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showInkAnnotation="0"/>
  <xr:revisionPtr revIDLastSave="0" documentId="8_{7E8FFF43-7C68-4051-9C08-B5D8CFAA0DBF}" xr6:coauthVersionLast="47" xr6:coauthVersionMax="47" xr10:uidLastSave="{00000000-0000-0000-0000-000000000000}"/>
  <bookViews>
    <workbookView xWindow="30975" yWindow="270" windowWidth="24615" windowHeight="15210" xr2:uid="{1B9B59A2-4E8F-4F31-B468-9F9DDB303DDD}"/>
  </bookViews>
  <sheets>
    <sheet name="Burden Table" sheetId="4" r:id="rId1"/>
    <sheet name="Assumption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57" i="4" l="1"/>
  <c r="S58" i="4"/>
  <c r="I49" i="4"/>
  <c r="S35" i="4" l="1"/>
  <c r="Q35" i="4"/>
  <c r="P35" i="4"/>
  <c r="O35" i="4"/>
  <c r="N35" i="4"/>
  <c r="M35" i="4"/>
  <c r="L35" i="4"/>
  <c r="I35" i="4"/>
  <c r="G35" i="4"/>
  <c r="F35" i="4"/>
  <c r="F29" i="4"/>
  <c r="G29" i="4" s="1"/>
  <c r="F28" i="4" s="1"/>
  <c r="F20" i="4"/>
  <c r="G20" i="4" s="1"/>
  <c r="F19" i="4" s="1"/>
  <c r="G11" i="4"/>
  <c r="F10" i="4" s="1"/>
  <c r="G10" i="4" s="1"/>
  <c r="F11" i="4"/>
  <c r="F27" i="4"/>
  <c r="F16" i="4"/>
  <c r="F15" i="4"/>
  <c r="F14" i="4"/>
  <c r="F18" i="4"/>
  <c r="F25" i="4"/>
  <c r="F26" i="4" s="1"/>
  <c r="F24" i="4"/>
  <c r="F23" i="4"/>
  <c r="F17" i="4" l="1"/>
  <c r="L11" i="4" l="1"/>
  <c r="F9" i="4"/>
  <c r="F7" i="4"/>
  <c r="F6" i="4"/>
  <c r="F5" i="4"/>
  <c r="L29" i="4"/>
  <c r="N29" i="4" s="1"/>
  <c r="P29" i="4" s="1"/>
  <c r="I29" i="4"/>
  <c r="K29" i="4" s="1"/>
  <c r="O28" i="4"/>
  <c r="G28" i="4"/>
  <c r="L28" i="4" s="1"/>
  <c r="N28" i="4" s="1"/>
  <c r="P28" i="4" s="1"/>
  <c r="O27" i="4"/>
  <c r="G27" i="4"/>
  <c r="O26" i="4"/>
  <c r="O25" i="4"/>
  <c r="G25" i="4"/>
  <c r="I25" i="4" s="1"/>
  <c r="K25" i="4" s="1"/>
  <c r="O24" i="4"/>
  <c r="O23" i="4"/>
  <c r="G23" i="4"/>
  <c r="O22" i="4"/>
  <c r="G22" i="4"/>
  <c r="L22" i="4" s="1"/>
  <c r="N22" i="4" s="1"/>
  <c r="O21" i="4"/>
  <c r="G21" i="4"/>
  <c r="L21" i="4" s="1"/>
  <c r="N21" i="4" s="1"/>
  <c r="P21" i="4" s="1"/>
  <c r="L20" i="4"/>
  <c r="N20" i="4" s="1"/>
  <c r="P20" i="4" s="1"/>
  <c r="I20" i="4"/>
  <c r="K20" i="4" s="1"/>
  <c r="O19" i="4"/>
  <c r="G19" i="4"/>
  <c r="L19" i="4" s="1"/>
  <c r="N19" i="4" s="1"/>
  <c r="O18" i="4"/>
  <c r="G18" i="4"/>
  <c r="O17" i="4"/>
  <c r="O16" i="4"/>
  <c r="O15" i="4"/>
  <c r="O14" i="4"/>
  <c r="G14" i="4"/>
  <c r="O13" i="4"/>
  <c r="G13" i="4"/>
  <c r="L13" i="4" s="1"/>
  <c r="N13" i="4" s="1"/>
  <c r="O12" i="4"/>
  <c r="G12" i="4"/>
  <c r="I12" i="4" s="1"/>
  <c r="K12" i="4" s="1"/>
  <c r="F48" i="4"/>
  <c r="F40" i="4"/>
  <c r="G40" i="4"/>
  <c r="L34" i="4"/>
  <c r="L33" i="4"/>
  <c r="L32" i="4"/>
  <c r="L31" i="4"/>
  <c r="G46" i="4"/>
  <c r="G47" i="4"/>
  <c r="G45" i="4"/>
  <c r="G44" i="4"/>
  <c r="G43" i="4"/>
  <c r="G42" i="4"/>
  <c r="G30" i="4"/>
  <c r="L30" i="4" s="1"/>
  <c r="G4" i="4"/>
  <c r="G3" i="4"/>
  <c r="P22" i="4" l="1"/>
  <c r="F8" i="4"/>
  <c r="G9" i="4"/>
  <c r="I3" i="4"/>
  <c r="K3" i="4" s="1"/>
  <c r="L4" i="4"/>
  <c r="I22" i="4"/>
  <c r="K22" i="4" s="1"/>
  <c r="Q22" i="4" s="1"/>
  <c r="S22" i="4" s="1"/>
  <c r="L27" i="4"/>
  <c r="N27" i="4" s="1"/>
  <c r="P27" i="4" s="1"/>
  <c r="I27" i="4"/>
  <c r="K27" i="4" s="1"/>
  <c r="Q29" i="4"/>
  <c r="S29" i="4" s="1"/>
  <c r="L23" i="4"/>
  <c r="N23" i="4" s="1"/>
  <c r="P23" i="4" s="1"/>
  <c r="I23" i="4"/>
  <c r="K23" i="4" s="1"/>
  <c r="I21" i="4"/>
  <c r="K21" i="4" s="1"/>
  <c r="Q21" i="4" s="1"/>
  <c r="S21" i="4" s="1"/>
  <c r="G24" i="4"/>
  <c r="I24" i="4" s="1"/>
  <c r="K24" i="4" s="1"/>
  <c r="L25" i="4"/>
  <c r="N25" i="4" s="1"/>
  <c r="P25" i="4" s="1"/>
  <c r="Q25" i="4" s="1"/>
  <c r="S25" i="4" s="1"/>
  <c r="P19" i="4"/>
  <c r="P13" i="4"/>
  <c r="I28" i="4"/>
  <c r="K28" i="4" s="1"/>
  <c r="Q28" i="4" s="1"/>
  <c r="S28" i="4" s="1"/>
  <c r="I4" i="4"/>
  <c r="I14" i="4"/>
  <c r="K14" i="4" s="1"/>
  <c r="L14" i="4"/>
  <c r="N14" i="4" s="1"/>
  <c r="P14" i="4" s="1"/>
  <c r="F49" i="4"/>
  <c r="I13" i="4"/>
  <c r="K13" i="4" s="1"/>
  <c r="Q20" i="4"/>
  <c r="S20" i="4" s="1"/>
  <c r="I18" i="4"/>
  <c r="K18" i="4" s="1"/>
  <c r="L18" i="4"/>
  <c r="N18" i="4" s="1"/>
  <c r="P18" i="4" s="1"/>
  <c r="G17" i="4"/>
  <c r="I17" i="4" s="1"/>
  <c r="K17" i="4" s="1"/>
  <c r="L12" i="4"/>
  <c r="N12" i="4" s="1"/>
  <c r="P12" i="4" s="1"/>
  <c r="Q12" i="4" s="1"/>
  <c r="S12" i="4" s="1"/>
  <c r="G16" i="4"/>
  <c r="I16" i="4" s="1"/>
  <c r="K16" i="4" s="1"/>
  <c r="L3" i="4"/>
  <c r="G15" i="4"/>
  <c r="I15" i="4" s="1"/>
  <c r="K15" i="4" s="1"/>
  <c r="I19" i="4"/>
  <c r="K19" i="4" s="1"/>
  <c r="L9" i="4"/>
  <c r="Q23" i="4" l="1"/>
  <c r="S23" i="4" s="1"/>
  <c r="Q13" i="4"/>
  <c r="S13" i="4" s="1"/>
  <c r="Q19" i="4"/>
  <c r="S19" i="4" s="1"/>
  <c r="L24" i="4"/>
  <c r="N24" i="4" s="1"/>
  <c r="P24" i="4" s="1"/>
  <c r="Q24" i="4" s="1"/>
  <c r="S24" i="4" s="1"/>
  <c r="Q27" i="4"/>
  <c r="S27" i="4" s="1"/>
  <c r="G26" i="4"/>
  <c r="I26" i="4" s="1"/>
  <c r="K26" i="4" s="1"/>
  <c r="Q14" i="4"/>
  <c r="S14" i="4" s="1"/>
  <c r="L15" i="4"/>
  <c r="N15" i="4" s="1"/>
  <c r="P15" i="4" s="1"/>
  <c r="Q15" i="4" s="1"/>
  <c r="S15" i="4" s="1"/>
  <c r="L16" i="4"/>
  <c r="N16" i="4" s="1"/>
  <c r="P16" i="4" s="1"/>
  <c r="Q16" i="4" s="1"/>
  <c r="S16" i="4" s="1"/>
  <c r="Q18" i="4"/>
  <c r="S18" i="4" s="1"/>
  <c r="L17" i="4"/>
  <c r="N17" i="4" s="1"/>
  <c r="P17" i="4" s="1"/>
  <c r="Q17" i="4" s="1"/>
  <c r="S17" i="4" s="1"/>
  <c r="G5" i="4"/>
  <c r="G7" i="4"/>
  <c r="G6" i="4"/>
  <c r="N34" i="4"/>
  <c r="P34" i="4" s="1"/>
  <c r="L37" i="4"/>
  <c r="N37" i="4" s="1"/>
  <c r="L38" i="4"/>
  <c r="L40" i="4" s="1"/>
  <c r="I36" i="4"/>
  <c r="I34" i="4"/>
  <c r="K34" i="4" s="1"/>
  <c r="I39" i="4"/>
  <c r="I38" i="4"/>
  <c r="I37" i="4"/>
  <c r="I32" i="4"/>
  <c r="K32" i="4" s="1"/>
  <c r="N33" i="4"/>
  <c r="P33" i="4" s="1"/>
  <c r="I33" i="4"/>
  <c r="K33" i="4" s="1"/>
  <c r="N32" i="4"/>
  <c r="P32" i="4" s="1"/>
  <c r="N31" i="4"/>
  <c r="P31" i="4" s="1"/>
  <c r="I31" i="4"/>
  <c r="K31" i="4" s="1"/>
  <c r="N30" i="4"/>
  <c r="P30" i="4" s="1"/>
  <c r="L6" i="4" l="1"/>
  <c r="L7" i="4"/>
  <c r="L10" i="4"/>
  <c r="L5" i="4"/>
  <c r="N38" i="4"/>
  <c r="L26" i="4"/>
  <c r="N26" i="4" s="1"/>
  <c r="P26" i="4" s="1"/>
  <c r="Q26" i="4" s="1"/>
  <c r="S26" i="4" s="1"/>
  <c r="G8" i="4"/>
  <c r="Q33" i="4"/>
  <c r="S33" i="4" s="1"/>
  <c r="Q31" i="4"/>
  <c r="S31" i="4" s="1"/>
  <c r="Q32" i="4"/>
  <c r="S32" i="4" s="1"/>
  <c r="Q34" i="4"/>
  <c r="I30" i="4"/>
  <c r="K30" i="4" s="1"/>
  <c r="Q30" i="4" s="1"/>
  <c r="L8" i="4" l="1"/>
  <c r="S34" i="4"/>
  <c r="S30" i="4"/>
  <c r="I43" i="4" l="1"/>
  <c r="R45" i="4" l="1"/>
  <c r="I45" i="4"/>
  <c r="K45" i="4" s="1"/>
  <c r="R44" i="4"/>
  <c r="I44" i="4"/>
  <c r="K44" i="4" s="1"/>
  <c r="R47" i="4"/>
  <c r="L47" i="4"/>
  <c r="R46" i="4"/>
  <c r="L46" i="4"/>
  <c r="R43" i="4"/>
  <c r="L43" i="4"/>
  <c r="N43" i="4" s="1"/>
  <c r="P43" i="4" s="1"/>
  <c r="K43" i="4"/>
  <c r="R42" i="4"/>
  <c r="L42" i="4"/>
  <c r="I42" i="4"/>
  <c r="K42" i="4" s="1"/>
  <c r="R41" i="4"/>
  <c r="O41" i="4"/>
  <c r="G41" i="4"/>
  <c r="P37" i="4"/>
  <c r="K37" i="4"/>
  <c r="L36" i="4"/>
  <c r="N36" i="4" s="1"/>
  <c r="P36" i="4" s="1"/>
  <c r="K36" i="4"/>
  <c r="L39" i="4"/>
  <c r="N39" i="4" s="1"/>
  <c r="P39" i="4" s="1"/>
  <c r="K39" i="4"/>
  <c r="K38" i="4"/>
  <c r="I11" i="4"/>
  <c r="O10" i="4"/>
  <c r="I10" i="4"/>
  <c r="K10" i="4" s="1"/>
  <c r="O9" i="4"/>
  <c r="I9" i="4"/>
  <c r="K9" i="4" s="1"/>
  <c r="O8" i="4"/>
  <c r="O7" i="4"/>
  <c r="O6" i="4"/>
  <c r="I6" i="4"/>
  <c r="O5" i="4"/>
  <c r="I5" i="4"/>
  <c r="O4" i="4"/>
  <c r="N4" i="4"/>
  <c r="O3" i="4"/>
  <c r="K5" i="4" l="1"/>
  <c r="K40" i="4"/>
  <c r="I41" i="4"/>
  <c r="G48" i="4"/>
  <c r="G49" i="4" s="1"/>
  <c r="N40" i="4"/>
  <c r="N46" i="4"/>
  <c r="P46" i="4" s="1"/>
  <c r="N47" i="4"/>
  <c r="P47" i="4" s="1"/>
  <c r="K6" i="4"/>
  <c r="K11" i="4"/>
  <c r="P4" i="4"/>
  <c r="K4" i="4"/>
  <c r="N11" i="4"/>
  <c r="L41" i="4"/>
  <c r="K41" i="4"/>
  <c r="I46" i="4"/>
  <c r="I40" i="4"/>
  <c r="H40" i="4" s="1"/>
  <c r="Q37" i="4"/>
  <c r="S37" i="4" s="1"/>
  <c r="Q43" i="4"/>
  <c r="S43" i="4" s="1"/>
  <c r="Q39" i="4"/>
  <c r="S39" i="4" s="1"/>
  <c r="P38" i="4"/>
  <c r="P40" i="4" s="1"/>
  <c r="O40" i="4" s="1"/>
  <c r="I8" i="4"/>
  <c r="K8" i="4" s="1"/>
  <c r="Q36" i="4"/>
  <c r="S36" i="4" s="1"/>
  <c r="N42" i="4"/>
  <c r="P42" i="4" s="1"/>
  <c r="Q42" i="4" s="1"/>
  <c r="S42" i="4" s="1"/>
  <c r="I47" i="4"/>
  <c r="K47" i="4" s="1"/>
  <c r="N5" i="4"/>
  <c r="P5" i="4" s="1"/>
  <c r="L44" i="4"/>
  <c r="N44" i="4" s="1"/>
  <c r="P44" i="4" s="1"/>
  <c r="Q44" i="4" s="1"/>
  <c r="S44" i="4" s="1"/>
  <c r="N10" i="4"/>
  <c r="P10" i="4" s="1"/>
  <c r="Q10" i="4" s="1"/>
  <c r="S10" i="4" s="1"/>
  <c r="L45" i="4"/>
  <c r="N45" i="4" s="1"/>
  <c r="P45" i="4" s="1"/>
  <c r="Q45" i="4" s="1"/>
  <c r="S45" i="4" s="1"/>
  <c r="N6" i="4"/>
  <c r="P6" i="4" s="1"/>
  <c r="Q5" i="4" l="1"/>
  <c r="S5" i="4" s="1"/>
  <c r="N41" i="4"/>
  <c r="P41" i="4" s="1"/>
  <c r="L48" i="4"/>
  <c r="Q47" i="4"/>
  <c r="S47" i="4" s="1"/>
  <c r="Q6" i="4"/>
  <c r="S6" i="4" s="1"/>
  <c r="N3" i="4"/>
  <c r="P3" i="4" s="1"/>
  <c r="P11" i="4"/>
  <c r="K46" i="4"/>
  <c r="Q46" i="4" s="1"/>
  <c r="S46" i="4" s="1"/>
  <c r="N9" i="4"/>
  <c r="P9" i="4" s="1"/>
  <c r="Q9" i="4" s="1"/>
  <c r="S9" i="4" s="1"/>
  <c r="Q3" i="4"/>
  <c r="Q4" i="4"/>
  <c r="S4" i="4" s="1"/>
  <c r="J40" i="4"/>
  <c r="M40" i="4"/>
  <c r="Q41" i="4"/>
  <c r="N8" i="4"/>
  <c r="P8" i="4" s="1"/>
  <c r="Q8" i="4" s="1"/>
  <c r="S8" i="4" s="1"/>
  <c r="P48" i="4"/>
  <c r="I7" i="4"/>
  <c r="N7" i="4"/>
  <c r="P7" i="4" s="1"/>
  <c r="N48" i="4"/>
  <c r="I48" i="4"/>
  <c r="Q38" i="4"/>
  <c r="S41" i="4" l="1"/>
  <c r="Q48" i="4"/>
  <c r="H35" i="4"/>
  <c r="Q11" i="4"/>
  <c r="S11" i="4" s="1"/>
  <c r="K48" i="4"/>
  <c r="J48" i="4" s="1"/>
  <c r="L49" i="4"/>
  <c r="S48" i="4"/>
  <c r="S62" i="4"/>
  <c r="S61" i="4"/>
  <c r="O48" i="4"/>
  <c r="S38" i="4"/>
  <c r="S40" i="4" s="1"/>
  <c r="Q40" i="4"/>
  <c r="H48" i="4"/>
  <c r="K7" i="4"/>
  <c r="K35" i="4" s="1"/>
  <c r="J35" i="4" s="1"/>
  <c r="S3" i="4"/>
  <c r="M48" i="4"/>
  <c r="P49" i="4" l="1"/>
  <c r="S63" i="4"/>
  <c r="N49" i="4"/>
  <c r="S52" i="4" s="1"/>
  <c r="M49" i="4"/>
  <c r="Q7" i="4"/>
  <c r="Q49" i="4" s="1"/>
  <c r="S53" i="4" l="1"/>
  <c r="K49" i="4"/>
  <c r="S7" i="4"/>
  <c r="S49" i="4" l="1"/>
  <c r="S59" i="4"/>
  <c r="S55" i="4" l="1"/>
  <c r="S54" i="4"/>
</calcChain>
</file>

<file path=xl/sharedStrings.xml><?xml version="1.0" encoding="utf-8"?>
<sst xmlns="http://schemas.openxmlformats.org/spreadsheetml/2006/main" count="220" uniqueCount="144">
  <si>
    <t>Responsive</t>
  </si>
  <si>
    <t>Non-Responsive</t>
  </si>
  <si>
    <t>Respondent Category</t>
  </si>
  <si>
    <t>Type of respondents</t>
  </si>
  <si>
    <t>Appendix</t>
  </si>
  <si>
    <t>Sample Size</t>
  </si>
  <si>
    <t>Number of respondents</t>
  </si>
  <si>
    <t>Frequency of response</t>
  </si>
  <si>
    <t>Total Annual responses</t>
  </si>
  <si>
    <t>Hours per response</t>
  </si>
  <si>
    <t>Annual burden (hours)</t>
  </si>
  <si>
    <t>Number of 
Non-respondents</t>
  </si>
  <si>
    <t>Grand Total Annual Burden Estimate (hours)</t>
  </si>
  <si>
    <t>COMBINED TOTAL</t>
  </si>
  <si>
    <t>Hourly rate</t>
  </si>
  <si>
    <t>Cost</t>
  </si>
  <si>
    <t>Estimated time per respondent</t>
  </si>
  <si>
    <t>Total survey responses</t>
  </si>
  <si>
    <t>Estimated time per survey respt</t>
  </si>
  <si>
    <t>Number of responses per State respt</t>
  </si>
  <si>
    <t>Total state responses</t>
  </si>
  <si>
    <t>Estimated time per State respt</t>
  </si>
  <si>
    <t>Cell</t>
  </si>
  <si>
    <t>Total annual burden hours (respondent + nonrespondent</t>
  </si>
  <si>
    <t>Study Brochure</t>
  </si>
  <si>
    <t>Thank You Letter</t>
  </si>
  <si>
    <t>Endorsement Letter</t>
  </si>
  <si>
    <t>Police Station Letter</t>
  </si>
  <si>
    <t>Document</t>
  </si>
  <si>
    <t>Sample Size Assumption</t>
  </si>
  <si>
    <t>Notes</t>
  </si>
  <si>
    <t>IDI Consent Form</t>
  </si>
  <si>
    <t>IDI Invitation Call Script</t>
  </si>
  <si>
    <t>State, Local, or Tribal Government</t>
  </si>
  <si>
    <t>Individual/ Household</t>
  </si>
  <si>
    <t>Individual/ Household Sub-Total</t>
  </si>
  <si>
    <t>State, Local, or Tribal Government Sub-Total</t>
  </si>
  <si>
    <t>Instruments</t>
  </si>
  <si>
    <t xml:space="preserve">First Survey Reminder Letter </t>
  </si>
  <si>
    <t xml:space="preserve">Second Survey Reminder Letter </t>
  </si>
  <si>
    <t xml:space="preserve">State, local, or Tribal agency direct service staff: Average hourly earnings of workers in community and social services occupations; </t>
  </si>
  <si>
    <t>Private sector not-for-profit direct service staff : Average hourly earnings of community and social service specialists;</t>
  </si>
  <si>
    <t>Number of responses per respondent (includes respondents and non-respondents</t>
  </si>
  <si>
    <r>
      <rPr>
        <b/>
        <sz val="10"/>
        <rFont val="Calibri"/>
        <family val="2"/>
        <scheme val="minor"/>
      </rPr>
      <t>Private sector not-for-profit agency director/manager:</t>
    </r>
    <r>
      <rPr>
        <sz val="10"/>
        <rFont val="Calibri"/>
        <family val="2"/>
        <scheme val="minor"/>
      </rPr>
      <t xml:space="preserve"> Average hourly earnings of social and community services managers = $$ 36.92</t>
    </r>
  </si>
  <si>
    <r>
      <rPr>
        <b/>
        <sz val="10"/>
        <rFont val="Calibri"/>
        <family val="2"/>
        <scheme val="minor"/>
      </rPr>
      <t>Private sector for-profit business director/manager</t>
    </r>
    <r>
      <rPr>
        <sz val="10"/>
        <rFont val="Calibri"/>
        <family val="2"/>
        <scheme val="minor"/>
      </rPr>
      <t>: Average hourly earnings of workers in management occupations;</t>
    </r>
  </si>
  <si>
    <r>
      <rPr>
        <b/>
        <sz val="10"/>
        <rFont val="Calibri"/>
        <family val="2"/>
        <scheme val="minor"/>
      </rPr>
      <t>State, local, or Tribal agency director/manager:</t>
    </r>
    <r>
      <rPr>
        <sz val="10"/>
        <rFont val="Calibri"/>
        <family val="2"/>
        <scheme val="minor"/>
      </rPr>
      <t xml:space="preserve"> Average hourly earnings of workers in management occupations; = $59.31</t>
    </r>
  </si>
  <si>
    <t>First Survey Reminder Letter</t>
  </si>
  <si>
    <t>Second Survey Reminder Letter</t>
  </si>
  <si>
    <t>C3</t>
  </si>
  <si>
    <t>C20</t>
  </si>
  <si>
    <t>C6</t>
  </si>
  <si>
    <t>C10</t>
  </si>
  <si>
    <t>C4</t>
  </si>
  <si>
    <t>C5</t>
  </si>
  <si>
    <t>C7</t>
  </si>
  <si>
    <t>C8</t>
  </si>
  <si>
    <t>C9</t>
  </si>
  <si>
    <t>C11</t>
  </si>
  <si>
    <t>C13</t>
  </si>
  <si>
    <t>C14</t>
  </si>
  <si>
    <t>C15</t>
  </si>
  <si>
    <t>C16</t>
  </si>
  <si>
    <t>C19</t>
  </si>
  <si>
    <t>C21</t>
  </si>
  <si>
    <t>C24</t>
  </si>
  <si>
    <t>Focus Group Discussion Guide</t>
  </si>
  <si>
    <t>C25</t>
  </si>
  <si>
    <t>C26</t>
  </si>
  <si>
    <t>C27</t>
  </si>
  <si>
    <t>C28</t>
  </si>
  <si>
    <t>C29</t>
  </si>
  <si>
    <t>Number of responses per survey respt</t>
  </si>
  <si>
    <t>IDI Reminder Call Script</t>
  </si>
  <si>
    <t>Total Annual Responses</t>
  </si>
  <si>
    <t>Household Survey</t>
  </si>
  <si>
    <t>Survey participants</t>
  </si>
  <si>
    <t>Focus groups</t>
  </si>
  <si>
    <t>IDI Confirmation Letter/Email</t>
  </si>
  <si>
    <t>IDI Interview Guide</t>
  </si>
  <si>
    <t>Focus Group Consent Form</t>
  </si>
  <si>
    <t>Study Description</t>
  </si>
  <si>
    <t>Household survey</t>
  </si>
  <si>
    <t>Sample of all participants who receive initial letter+brochure</t>
  </si>
  <si>
    <t>Send 1st survey reminder 2 weeks after start</t>
  </si>
  <si>
    <t>Send 2nd survey reminder 8 weeks after start</t>
  </si>
  <si>
    <t>Use door hanger 8 weeks after start</t>
  </si>
  <si>
    <t>Send refusal letters between 4-8 weeks after participant refusal</t>
  </si>
  <si>
    <t>Send IDI confirmation letter/email</t>
  </si>
  <si>
    <t>Send reminder call script</t>
  </si>
  <si>
    <t>Use consent form with IDI</t>
  </si>
  <si>
    <t>Respondents invited to complete IDI</t>
  </si>
  <si>
    <t>Sample of focus group participants from community based organizations - send invitation letter</t>
  </si>
  <si>
    <t>Sample of focus group participants from community based organizations - send study description</t>
  </si>
  <si>
    <t>Number of police stations to alert regarding field staff</t>
  </si>
  <si>
    <t>Sample of focus group participants from State, Local, or Tribal government  - send invitation letter</t>
  </si>
  <si>
    <t>Sample of focus group participants from State, Local, or Tribal government  - send study description</t>
  </si>
  <si>
    <t>Use consent form with focus groups - State, local or tribal government</t>
  </si>
  <si>
    <t>Use consent form with focus groups - community based organizations</t>
  </si>
  <si>
    <t>Respondents from community based organizations invited to complete focus group</t>
  </si>
  <si>
    <t>Respondents from State, local, or tribal government invited to complete focus group</t>
  </si>
  <si>
    <t>Survey Door Hanger</t>
  </si>
  <si>
    <t>Survey Refusal Letter</t>
  </si>
  <si>
    <t>SNAP Agency Data Request</t>
  </si>
  <si>
    <t>Respondents who are mailed thank you letter for participation - just phone and web completes</t>
  </si>
  <si>
    <t>E1/E2</t>
  </si>
  <si>
    <t>F1/F2</t>
  </si>
  <si>
    <t>J1/J2</t>
  </si>
  <si>
    <t>L1/L2</t>
  </si>
  <si>
    <t>K1/K2</t>
  </si>
  <si>
    <t>M1/M2</t>
  </si>
  <si>
    <t>N1/N2</t>
  </si>
  <si>
    <t>O1/O2</t>
  </si>
  <si>
    <t>Focus Group Invitation</t>
  </si>
  <si>
    <t>H</t>
  </si>
  <si>
    <t>State or county staff</t>
  </si>
  <si>
    <t>State or local police station staff</t>
  </si>
  <si>
    <t>Business (Profit, Non-Profit, or Farm)</t>
  </si>
  <si>
    <t>Business (Profit, Non-Profit, or Farm) Sub-Total</t>
  </si>
  <si>
    <t>Hourly rate for State agency staff includes 33% adjustment to include fringe benefits</t>
  </si>
  <si>
    <t>Individuals/Participant: Federal minimum wage = $7.25</t>
  </si>
  <si>
    <t>Sources: Department of Labor Wage and Hour Division (http://www.dol.gov/whd/minimumwage.htm). Bureau of Labor Statistics, Occupational Employment Statistics Survey, May 2021. (https://www.bls.gov/oes/current/oes_stru.htm). Individual/Household: Federal minimum wage.  Business (Profit, Non-Profit, or Farm): Average hourly earnings of Social and Community Service Management Occupations. State, Local, or Tribal Government: Average hourly earnings of Management Occupations. State, Local, or Tribal Government.</t>
  </si>
  <si>
    <t>B</t>
  </si>
  <si>
    <t>Survey Invitation</t>
  </si>
  <si>
    <t>C1/C2</t>
  </si>
  <si>
    <t>D</t>
  </si>
  <si>
    <t>G1/G2</t>
  </si>
  <si>
    <t>I</t>
  </si>
  <si>
    <t>P1/P2</t>
  </si>
  <si>
    <t>Q1</t>
  </si>
  <si>
    <t>Q2</t>
  </si>
  <si>
    <t>Q3</t>
  </si>
  <si>
    <t>R</t>
  </si>
  <si>
    <t>C12</t>
  </si>
  <si>
    <t>C18</t>
  </si>
  <si>
    <t>C23</t>
  </si>
  <si>
    <t>6 States + 1 County agency provide SNAP administrative data</t>
  </si>
  <si>
    <t>S1/S2/S3</t>
  </si>
  <si>
    <t>IDI participants</t>
  </si>
  <si>
    <t>Total Individual/HH Respondents</t>
  </si>
  <si>
    <t>19,800 household survey sample members + 312 IDI sample members (the half of the IDI sample that is not included in the HH survey sample)</t>
  </si>
  <si>
    <t>Sample of all participants invited to participate in the survey</t>
  </si>
  <si>
    <t>Respondents invited to participate in the IDI. Half of these sample members will have completed the household survey, while the other half will be household members who were not included in the survey sample.</t>
  </si>
  <si>
    <t>C17</t>
  </si>
  <si>
    <t>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</si>
</sst>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
    <numFmt numFmtId="167" formatCode="_(* #,##0.000_);_(* \(#,##0.000\);_(* &quot;-&quot;??_);_(@_)"/>
    <numFmt numFmtId="168" formatCode="0.000"/>
    <numFmt numFmtId="169" formatCode="#,##0.000"/>
    <numFmt numFmtId="170" formatCode="_(* #,##0.0_);_(* \(#,##0.0\);_(* &quot;-&quot;??_);_(@_)"/>
  </numFmts>
  <fonts count="11" x14ac:knownFonts="1">
    <font>
      <sz val="11"/>
      <color theme="1"/>
      <name val="Calibri"/>
      <family val="2"/>
      <scheme val="minor"/>
    </font>
    <font>
      <sz val="11"/>
      <color theme="1"/>
      <name val="Calibri"/>
      <family val="2"/>
      <scheme val="minor"/>
    </font>
    <font>
      <b/>
      <sz val="8"/>
      <name val="Calibri"/>
      <family val="2"/>
      <scheme val="minor"/>
    </font>
    <font>
      <sz val="8"/>
      <name val="Calibri"/>
      <family val="2"/>
      <scheme val="minor"/>
    </font>
    <font>
      <sz val="9"/>
      <name val="Calibri"/>
      <family val="2"/>
      <scheme val="minor"/>
    </font>
    <font>
      <b/>
      <sz val="9"/>
      <name val="Calibri"/>
      <family val="2"/>
      <scheme val="minor"/>
    </font>
    <font>
      <sz val="11"/>
      <name val="Calibri"/>
      <family val="2"/>
      <scheme val="minor"/>
    </font>
    <font>
      <b/>
      <sz val="10"/>
      <name val="Calibri"/>
      <family val="2"/>
      <scheme val="minor"/>
    </font>
    <font>
      <b/>
      <sz val="11"/>
      <name val="Calibri"/>
      <family val="2"/>
      <scheme val="minor"/>
    </font>
    <font>
      <sz val="10"/>
      <name val="Calibri"/>
      <family val="2"/>
      <scheme val="minor"/>
    </font>
    <font>
      <sz val="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46">
    <xf numFmtId="0" fontId="0" fillId="0" borderId="0" xfId="0"/>
    <xf numFmtId="0" fontId="2" fillId="0" borderId="5" xfId="0" applyFont="1" applyFill="1" applyBorder="1" applyAlignment="1">
      <alignment vertical="center" textRotation="90" wrapText="1"/>
    </xf>
    <xf numFmtId="0" fontId="2" fillId="0" borderId="1" xfId="0" applyFont="1" applyFill="1" applyBorder="1" applyAlignment="1">
      <alignment horizontal="center" vertical="center" wrapText="1"/>
    </xf>
    <xf numFmtId="164" fontId="4" fillId="0" borderId="1" xfId="1" applyNumberFormat="1" applyFont="1" applyFill="1" applyBorder="1" applyAlignment="1">
      <alignment horizontal="right"/>
    </xf>
    <xf numFmtId="0" fontId="4" fillId="0" borderId="1" xfId="0" applyFont="1" applyFill="1" applyBorder="1" applyAlignment="1">
      <alignment horizontal="right"/>
    </xf>
    <xf numFmtId="3" fontId="4" fillId="0" borderId="1" xfId="0" applyNumberFormat="1" applyFont="1" applyFill="1" applyBorder="1" applyAlignment="1">
      <alignment horizontal="right"/>
    </xf>
    <xf numFmtId="0" fontId="6" fillId="0" borderId="0" xfId="0" applyFont="1" applyFill="1"/>
    <xf numFmtId="44" fontId="4" fillId="0" borderId="1" xfId="2" applyFont="1" applyFill="1" applyBorder="1" applyAlignment="1">
      <alignment horizontal="right"/>
    </xf>
    <xf numFmtId="165" fontId="4" fillId="0" borderId="1" xfId="2" applyNumberFormat="1" applyFont="1" applyFill="1" applyBorder="1" applyAlignment="1">
      <alignment horizontal="right"/>
    </xf>
    <xf numFmtId="8" fontId="4" fillId="0" borderId="1" xfId="0" applyNumberFormat="1" applyFont="1" applyFill="1" applyBorder="1" applyAlignment="1">
      <alignment horizontal="right"/>
    </xf>
    <xf numFmtId="0" fontId="8" fillId="0" borderId="0" xfId="0" applyFont="1" applyFill="1"/>
    <xf numFmtId="0" fontId="9" fillId="0" borderId="0" xfId="0" applyFont="1" applyFill="1"/>
    <xf numFmtId="164" fontId="5" fillId="2" borderId="4" xfId="1" applyNumberFormat="1" applyFont="1" applyFill="1" applyBorder="1" applyAlignment="1">
      <alignment horizontal="right"/>
    </xf>
    <xf numFmtId="0" fontId="5" fillId="2" borderId="1" xfId="0" applyFont="1" applyFill="1" applyBorder="1" applyAlignment="1">
      <alignment horizontal="right"/>
    </xf>
    <xf numFmtId="43" fontId="5" fillId="2" borderId="1" xfId="0" applyNumberFormat="1" applyFont="1" applyFill="1" applyBorder="1" applyAlignment="1">
      <alignment horizontal="right"/>
    </xf>
    <xf numFmtId="166" fontId="5" fillId="2" borderId="1" xfId="0" applyNumberFormat="1" applyFont="1" applyFill="1" applyBorder="1" applyAlignment="1">
      <alignment horizontal="right"/>
    </xf>
    <xf numFmtId="3" fontId="4" fillId="0" borderId="4" xfId="0" applyNumberFormat="1" applyFont="1" applyFill="1" applyBorder="1" applyAlignment="1">
      <alignment horizontal="right"/>
    </xf>
    <xf numFmtId="0" fontId="4" fillId="0" borderId="4" xfId="0" applyFont="1" applyFill="1" applyBorder="1" applyAlignment="1">
      <alignment horizontal="right"/>
    </xf>
    <xf numFmtId="167" fontId="4" fillId="0" borderId="1" xfId="1" applyNumberFormat="1" applyFont="1" applyFill="1" applyBorder="1" applyAlignment="1">
      <alignment horizontal="right"/>
    </xf>
    <xf numFmtId="3" fontId="5" fillId="2" borderId="1" xfId="0" applyNumberFormat="1" applyFont="1" applyFill="1" applyBorder="1" applyAlignment="1">
      <alignment horizontal="right"/>
    </xf>
    <xf numFmtId="164" fontId="5" fillId="2" borderId="1" xfId="1" applyNumberFormat="1" applyFont="1" applyFill="1" applyBorder="1" applyAlignment="1">
      <alignment horizontal="right"/>
    </xf>
    <xf numFmtId="167" fontId="5" fillId="2" borderId="1" xfId="1" applyNumberFormat="1" applyFont="1" applyFill="1" applyBorder="1" applyAlignment="1">
      <alignment horizontal="right"/>
    </xf>
    <xf numFmtId="0" fontId="6" fillId="0" borderId="0" xfId="0" applyFont="1" applyFill="1" applyAlignment="1">
      <alignment vertical="top" wrapText="1"/>
    </xf>
    <xf numFmtId="0" fontId="9" fillId="0" borderId="0" xfId="0" applyFont="1" applyFill="1" applyAlignment="1">
      <alignment vertical="top" wrapText="1"/>
    </xf>
    <xf numFmtId="0" fontId="9" fillId="0" borderId="0" xfId="0" applyFont="1" applyFill="1" applyBorder="1" applyAlignment="1">
      <alignment vertical="top" wrapText="1"/>
    </xf>
    <xf numFmtId="44" fontId="5" fillId="2" borderId="1" xfId="2" applyFont="1" applyFill="1" applyBorder="1" applyAlignment="1">
      <alignment horizontal="right"/>
    </xf>
    <xf numFmtId="3" fontId="4" fillId="0" borderId="15" xfId="0" applyNumberFormat="1" applyFont="1" applyFill="1" applyBorder="1" applyAlignment="1">
      <alignment horizontal="right"/>
    </xf>
    <xf numFmtId="0" fontId="4" fillId="0" borderId="15" xfId="0" applyFont="1" applyFill="1" applyBorder="1" applyAlignment="1">
      <alignment horizontal="right"/>
    </xf>
    <xf numFmtId="164" fontId="4" fillId="0" borderId="15" xfId="1" applyNumberFormat="1" applyFont="1" applyFill="1" applyBorder="1" applyAlignment="1">
      <alignment horizontal="right"/>
    </xf>
    <xf numFmtId="166" fontId="4" fillId="0" borderId="15" xfId="0" applyNumberFormat="1" applyFont="1" applyFill="1" applyBorder="1" applyAlignment="1">
      <alignment horizontal="right"/>
    </xf>
    <xf numFmtId="167" fontId="4" fillId="0" borderId="15" xfId="1" applyNumberFormat="1" applyFont="1" applyFill="1" applyBorder="1" applyAlignment="1">
      <alignment horizontal="right"/>
    </xf>
    <xf numFmtId="44" fontId="4" fillId="0" borderId="15" xfId="2" applyFont="1" applyFill="1" applyBorder="1" applyAlignment="1">
      <alignment horizontal="right"/>
    </xf>
    <xf numFmtId="165" fontId="4" fillId="0" borderId="15" xfId="2" applyNumberFormat="1" applyFont="1" applyFill="1" applyBorder="1" applyAlignment="1">
      <alignment horizontal="right"/>
    </xf>
    <xf numFmtId="0" fontId="2" fillId="0" borderId="18" xfId="0" applyFont="1" applyFill="1" applyBorder="1" applyAlignment="1">
      <alignment horizontal="center" vertical="top" wrapText="1"/>
    </xf>
    <xf numFmtId="0" fontId="2" fillId="0" borderId="19" xfId="0" applyFont="1" applyFill="1" applyBorder="1" applyAlignment="1">
      <alignment horizontal="center" vertical="center" wrapText="1"/>
    </xf>
    <xf numFmtId="0" fontId="2" fillId="0" borderId="15" xfId="0" applyFont="1" applyFill="1" applyBorder="1" applyAlignment="1">
      <alignment horizontal="center" vertical="center" wrapText="1"/>
    </xf>
    <xf numFmtId="3" fontId="5" fillId="0" borderId="4" xfId="0" applyNumberFormat="1" applyFont="1" applyFill="1" applyBorder="1" applyAlignment="1">
      <alignment horizontal="right"/>
    </xf>
    <xf numFmtId="167" fontId="5" fillId="2" borderId="4" xfId="1" applyNumberFormat="1" applyFont="1" applyFill="1" applyBorder="1" applyAlignment="1">
      <alignment horizontal="right"/>
    </xf>
    <xf numFmtId="44" fontId="5" fillId="2" borderId="4" xfId="2" applyFont="1" applyFill="1" applyBorder="1" applyAlignment="1">
      <alignment horizontal="right"/>
    </xf>
    <xf numFmtId="44" fontId="5" fillId="0" borderId="4" xfId="2" applyFont="1" applyFill="1" applyBorder="1" applyAlignment="1">
      <alignment horizontal="right"/>
    </xf>
    <xf numFmtId="1" fontId="4" fillId="0" borderId="1" xfId="0" applyNumberFormat="1" applyFont="1" applyFill="1" applyBorder="1" applyAlignment="1">
      <alignment horizontal="right"/>
    </xf>
    <xf numFmtId="168" fontId="5" fillId="2" borderId="1" xfId="0" applyNumberFormat="1" applyFont="1" applyFill="1" applyBorder="1" applyAlignment="1">
      <alignment horizontal="right"/>
    </xf>
    <xf numFmtId="169" fontId="5" fillId="0" borderId="4" xfId="0" applyNumberFormat="1" applyFont="1" applyFill="1" applyBorder="1" applyAlignment="1">
      <alignment horizontal="right"/>
    </xf>
    <xf numFmtId="167" fontId="5" fillId="2" borderId="1" xfId="0" applyNumberFormat="1" applyFont="1" applyFill="1" applyBorder="1" applyAlignment="1">
      <alignment horizontal="right"/>
    </xf>
    <xf numFmtId="170" fontId="4" fillId="0" borderId="1" xfId="1" applyNumberFormat="1" applyFont="1" applyFill="1" applyBorder="1" applyAlignment="1">
      <alignment horizontal="right"/>
    </xf>
    <xf numFmtId="44" fontId="5" fillId="2" borderId="1" xfId="2" applyNumberFormat="1" applyFont="1" applyFill="1" applyBorder="1" applyAlignment="1">
      <alignment horizontal="right"/>
    </xf>
    <xf numFmtId="0" fontId="3" fillId="0" borderId="1"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2" fillId="0" borderId="1" xfId="0" applyFont="1" applyFill="1" applyBorder="1" applyAlignment="1">
      <alignment horizontal="center" vertical="center" textRotation="90" wrapText="1"/>
    </xf>
    <xf numFmtId="0" fontId="9" fillId="0" borderId="0" xfId="0" applyFont="1" applyAlignment="1"/>
    <xf numFmtId="4" fontId="5" fillId="0" borderId="4" xfId="0" applyNumberFormat="1" applyFont="1" applyFill="1" applyBorder="1" applyAlignment="1">
      <alignment horizontal="right"/>
    </xf>
    <xf numFmtId="0" fontId="3" fillId="0" borderId="0" xfId="0" applyFont="1" applyFill="1"/>
    <xf numFmtId="0" fontId="3" fillId="0" borderId="0" xfId="0" applyFont="1" applyFill="1" applyAlignment="1">
      <alignment vertical="top" wrapText="1"/>
    </xf>
    <xf numFmtId="3" fontId="3" fillId="0" borderId="0" xfId="0" applyNumberFormat="1" applyFont="1" applyFill="1"/>
    <xf numFmtId="166" fontId="3" fillId="0" borderId="8" xfId="0" applyNumberFormat="1" applyFont="1" applyFill="1" applyBorder="1"/>
    <xf numFmtId="0" fontId="3" fillId="0" borderId="13" xfId="0" applyFont="1" applyFill="1" applyBorder="1"/>
    <xf numFmtId="0" fontId="3" fillId="0" borderId="14" xfId="0" applyFont="1" applyFill="1" applyBorder="1"/>
    <xf numFmtId="3" fontId="3" fillId="0" borderId="8" xfId="0" applyNumberFormat="1" applyFont="1" applyFill="1" applyBorder="1"/>
    <xf numFmtId="0" fontId="3" fillId="0" borderId="9" xfId="0" applyFont="1" applyFill="1" applyBorder="1" applyAlignment="1"/>
    <xf numFmtId="0" fontId="3" fillId="0" borderId="0" xfId="0" applyFont="1" applyFill="1" applyBorder="1" applyAlignment="1"/>
    <xf numFmtId="3" fontId="3" fillId="0" borderId="10" xfId="0" applyNumberFormat="1" applyFont="1" applyFill="1" applyBorder="1"/>
    <xf numFmtId="164" fontId="3" fillId="0" borderId="8" xfId="0" applyNumberFormat="1" applyFont="1" applyFill="1" applyBorder="1" applyAlignment="1">
      <alignment horizontal="right" indent="1"/>
    </xf>
    <xf numFmtId="0" fontId="3" fillId="0" borderId="9" xfId="0" applyFont="1" applyFill="1" applyBorder="1"/>
    <xf numFmtId="0" fontId="3" fillId="0" borderId="0" xfId="0" applyFont="1" applyFill="1" applyBorder="1"/>
    <xf numFmtId="0" fontId="3" fillId="0" borderId="10" xfId="0" applyFont="1" applyFill="1" applyBorder="1"/>
    <xf numFmtId="1" fontId="3" fillId="0" borderId="8" xfId="0" applyNumberFormat="1" applyFont="1" applyFill="1" applyBorder="1"/>
    <xf numFmtId="0" fontId="3" fillId="0" borderId="11" xfId="0" applyFont="1" applyFill="1" applyBorder="1"/>
    <xf numFmtId="0" fontId="3" fillId="0" borderId="12" xfId="0" applyFont="1" applyFill="1" applyBorder="1"/>
    <xf numFmtId="0" fontId="3" fillId="0" borderId="7" xfId="0" applyFont="1" applyBorder="1" applyAlignment="1">
      <alignment horizontal="left" vertical="center" wrapText="1"/>
    </xf>
    <xf numFmtId="166" fontId="4" fillId="0" borderId="1" xfId="0" applyNumberFormat="1" applyFont="1" applyFill="1" applyBorder="1" applyAlignment="1">
      <alignment horizontal="right"/>
    </xf>
    <xf numFmtId="166" fontId="4" fillId="0" borderId="4" xfId="0" applyNumberFormat="1" applyFont="1" applyFill="1" applyBorder="1" applyAlignment="1">
      <alignment horizontal="right"/>
    </xf>
    <xf numFmtId="0" fontId="3" fillId="0" borderId="13" xfId="0" applyFont="1" applyFill="1" applyBorder="1" applyAlignment="1"/>
    <xf numFmtId="0" fontId="3" fillId="0" borderId="14" xfId="0" applyFont="1" applyFill="1" applyBorder="1" applyAlignment="1"/>
    <xf numFmtId="0" fontId="3" fillId="0" borderId="23" xfId="0" applyFont="1" applyFill="1" applyBorder="1" applyAlignment="1"/>
    <xf numFmtId="164" fontId="4" fillId="0" borderId="4" xfId="1" applyNumberFormat="1" applyFont="1" applyFill="1" applyBorder="1" applyAlignment="1">
      <alignment horizontal="right"/>
    </xf>
    <xf numFmtId="0" fontId="2" fillId="0" borderId="6" xfId="0" applyFont="1" applyFill="1" applyBorder="1" applyAlignment="1">
      <alignment horizontal="center" vertical="center" wrapText="1"/>
    </xf>
    <xf numFmtId="0" fontId="3" fillId="0" borderId="15" xfId="0" applyFont="1" applyFill="1" applyBorder="1" applyAlignment="1">
      <alignment horizontal="center" vertical="center" wrapText="1"/>
    </xf>
    <xf numFmtId="164" fontId="5" fillId="2" borderId="1" xfId="0" applyNumberFormat="1" applyFont="1" applyFill="1" applyBorder="1" applyAlignment="1">
      <alignment horizontal="right"/>
    </xf>
    <xf numFmtId="0" fontId="7" fillId="0" borderId="28" xfId="0" applyFont="1" applyBorder="1" applyAlignment="1">
      <alignment horizontal="left" vertical="center"/>
    </xf>
    <xf numFmtId="0" fontId="7" fillId="0" borderId="1" xfId="0" applyFont="1" applyFill="1" applyBorder="1" applyAlignment="1">
      <alignment horizontal="left" vertical="center" wrapText="1"/>
    </xf>
    <xf numFmtId="0" fontId="9" fillId="0" borderId="28" xfId="0" applyFont="1" applyBorder="1"/>
    <xf numFmtId="0" fontId="9" fillId="0" borderId="28" xfId="0" applyFont="1" applyFill="1" applyBorder="1"/>
    <xf numFmtId="0" fontId="9" fillId="0" borderId="0" xfId="0" applyFont="1"/>
    <xf numFmtId="3" fontId="9" fillId="0" borderId="0" xfId="0" applyNumberFormat="1" applyFont="1" applyBorder="1"/>
    <xf numFmtId="3" fontId="9" fillId="0" borderId="0" xfId="0" applyNumberFormat="1" applyFont="1" applyFill="1"/>
    <xf numFmtId="3" fontId="9" fillId="0" borderId="0" xfId="0" applyNumberFormat="1" applyFont="1" applyAlignment="1">
      <alignment horizontal="right"/>
    </xf>
    <xf numFmtId="0" fontId="9" fillId="2" borderId="0" xfId="0" applyFont="1" applyFill="1"/>
    <xf numFmtId="3" fontId="9" fillId="2" borderId="0" xfId="0" applyNumberFormat="1" applyFont="1" applyFill="1" applyBorder="1"/>
    <xf numFmtId="3" fontId="9" fillId="2" borderId="0" xfId="0" applyNumberFormat="1" applyFont="1" applyFill="1" applyAlignment="1">
      <alignment horizontal="right"/>
    </xf>
    <xf numFmtId="0" fontId="9" fillId="2" borderId="0" xfId="0" applyFont="1" applyFill="1" applyAlignment="1"/>
    <xf numFmtId="0" fontId="9" fillId="0" borderId="0" xfId="0" applyFont="1" applyBorder="1"/>
    <xf numFmtId="3" fontId="9" fillId="0" borderId="0" xfId="0" applyNumberFormat="1" applyFont="1" applyAlignment="1"/>
    <xf numFmtId="3" fontId="9" fillId="0" borderId="0" xfId="0" applyNumberFormat="1" applyFont="1"/>
    <xf numFmtId="0" fontId="9" fillId="0" borderId="0" xfId="0" applyFont="1" applyFill="1" applyBorder="1"/>
    <xf numFmtId="0" fontId="9" fillId="0" borderId="0" xfId="0" applyFont="1" applyFill="1" applyAlignment="1"/>
    <xf numFmtId="0" fontId="9" fillId="0" borderId="0" xfId="0" applyFont="1" applyAlignment="1">
      <alignment vertical="center"/>
    </xf>
    <xf numFmtId="3" fontId="9" fillId="0" borderId="0" xfId="0" applyNumberFormat="1" applyFont="1" applyFill="1" applyBorder="1"/>
    <xf numFmtId="3" fontId="9" fillId="0" borderId="0" xfId="0" applyNumberFormat="1" applyFont="1" applyFill="1" applyAlignment="1">
      <alignment horizontal="right"/>
    </xf>
    <xf numFmtId="0" fontId="9" fillId="0" borderId="0" xfId="0" applyFont="1" applyFill="1" applyAlignment="1">
      <alignment wrapText="1"/>
    </xf>
    <xf numFmtId="0" fontId="2" fillId="0" borderId="18"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9" xfId="0" applyFont="1" applyBorder="1" applyAlignment="1">
      <alignment horizontal="left" vertical="center" wrapText="1"/>
    </xf>
    <xf numFmtId="0" fontId="10" fillId="0" borderId="0"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27" xfId="0" applyFont="1" applyBorder="1" applyAlignment="1">
      <alignment horizontal="left" vertical="center" wrapText="1"/>
    </xf>
    <xf numFmtId="0" fontId="3" fillId="0" borderId="13" xfId="0" applyFont="1" applyFill="1" applyBorder="1" applyAlignment="1">
      <alignment horizontal="left" wrapText="1"/>
    </xf>
    <xf numFmtId="0" fontId="3" fillId="0" borderId="14" xfId="0" applyFont="1" applyFill="1" applyBorder="1" applyAlignment="1">
      <alignment horizontal="left" wrapText="1"/>
    </xf>
    <xf numFmtId="0" fontId="3" fillId="0" borderId="23" xfId="0" applyFont="1" applyFill="1" applyBorder="1" applyAlignment="1">
      <alignment horizontal="left" wrapText="1"/>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7"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2" borderId="16" xfId="0" applyFont="1" applyFill="1" applyBorder="1" applyAlignment="1">
      <alignment horizontal="center" vertical="top" wrapText="1"/>
    </xf>
    <xf numFmtId="0" fontId="2" fillId="2" borderId="17"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2" borderId="28" xfId="0" applyFont="1" applyFill="1" applyBorder="1" applyAlignment="1">
      <alignment horizontal="left"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29" xfId="0" applyFont="1" applyFill="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21ACB-E319-4444-A3EE-EB664EF421D9}">
  <sheetPr>
    <pageSetUpPr fitToPage="1"/>
  </sheetPr>
  <dimension ref="A1:S71"/>
  <sheetViews>
    <sheetView tabSelected="1" workbookViewId="0">
      <pane ySplit="2" topLeftCell="A3" activePane="bottomLeft" state="frozen"/>
      <selection pane="bottomLeft" activeCell="H17" sqref="H17"/>
    </sheetView>
  </sheetViews>
  <sheetFormatPr defaultColWidth="8.5703125" defaultRowHeight="15" x14ac:dyDescent="0.25"/>
  <cols>
    <col min="1" max="1" width="11.28515625" style="6" customWidth="1"/>
    <col min="2" max="2" width="15.42578125" style="6" customWidth="1"/>
    <col min="3" max="3" width="7.42578125" style="6" customWidth="1"/>
    <col min="4" max="4" width="21.7109375" style="22" bestFit="1" customWidth="1"/>
    <col min="5" max="5" width="6.7109375" style="6" bestFit="1" customWidth="1"/>
    <col min="6" max="6" width="9" style="6" customWidth="1"/>
    <col min="7" max="12" width="9.28515625" style="6" customWidth="1"/>
    <col min="13" max="13" width="9.7109375" style="6" customWidth="1"/>
    <col min="14" max="16" width="9.28515625" style="6" customWidth="1"/>
    <col min="17" max="17" width="12.5703125" style="6" customWidth="1"/>
    <col min="18" max="18" width="16" style="6" customWidth="1"/>
    <col min="19" max="19" width="10.5703125" style="6" bestFit="1" customWidth="1"/>
    <col min="20" max="16384" width="8.5703125" style="6"/>
  </cols>
  <sheetData>
    <row r="1" spans="1:19" ht="15.75" thickBot="1" x14ac:dyDescent="0.3">
      <c r="A1" s="1"/>
      <c r="B1" s="82"/>
      <c r="C1" s="106"/>
      <c r="D1" s="33"/>
      <c r="E1" s="34"/>
      <c r="F1" s="34"/>
      <c r="G1" s="137" t="s">
        <v>0</v>
      </c>
      <c r="H1" s="138"/>
      <c r="I1" s="138"/>
      <c r="J1" s="138"/>
      <c r="K1" s="139"/>
      <c r="L1" s="140" t="s">
        <v>1</v>
      </c>
      <c r="M1" s="138"/>
      <c r="N1" s="138"/>
      <c r="O1" s="138"/>
      <c r="P1" s="141"/>
      <c r="Q1" s="35"/>
      <c r="R1" s="35"/>
      <c r="S1" s="35"/>
    </row>
    <row r="2" spans="1:19" ht="53.25" customHeight="1" thickBot="1" x14ac:dyDescent="0.3">
      <c r="A2" s="2" t="s">
        <v>2</v>
      </c>
      <c r="B2" s="2" t="s">
        <v>3</v>
      </c>
      <c r="C2" s="2" t="s">
        <v>143</v>
      </c>
      <c r="D2" s="2" t="s">
        <v>37</v>
      </c>
      <c r="E2" s="55" t="s">
        <v>4</v>
      </c>
      <c r="F2" s="2" t="s">
        <v>5</v>
      </c>
      <c r="G2" s="2" t="s">
        <v>6</v>
      </c>
      <c r="H2" s="2" t="s">
        <v>7</v>
      </c>
      <c r="I2" s="2" t="s">
        <v>8</v>
      </c>
      <c r="J2" s="2" t="s">
        <v>9</v>
      </c>
      <c r="K2" s="2" t="s">
        <v>10</v>
      </c>
      <c r="L2" s="2" t="s">
        <v>11</v>
      </c>
      <c r="M2" s="2" t="s">
        <v>7</v>
      </c>
      <c r="N2" s="2" t="s">
        <v>8</v>
      </c>
      <c r="O2" s="2" t="s">
        <v>9</v>
      </c>
      <c r="P2" s="2" t="s">
        <v>10</v>
      </c>
      <c r="Q2" s="2" t="s">
        <v>12</v>
      </c>
      <c r="R2" s="2" t="s">
        <v>14</v>
      </c>
      <c r="S2" s="2" t="s">
        <v>15</v>
      </c>
    </row>
    <row r="3" spans="1:19" ht="15.75" customHeight="1" thickBot="1" x14ac:dyDescent="0.3">
      <c r="A3" s="143" t="s">
        <v>34</v>
      </c>
      <c r="B3" s="128" t="s">
        <v>75</v>
      </c>
      <c r="C3" s="128">
        <v>1</v>
      </c>
      <c r="D3" s="49" t="s">
        <v>122</v>
      </c>
      <c r="E3" s="46" t="s">
        <v>123</v>
      </c>
      <c r="F3" s="5">
        <v>6600</v>
      </c>
      <c r="G3" s="5">
        <f>ROUNDUP(F3*0.8,0)</f>
        <v>5280</v>
      </c>
      <c r="H3" s="4">
        <v>1</v>
      </c>
      <c r="I3" s="3">
        <f>(G3*H3)</f>
        <v>5280</v>
      </c>
      <c r="J3" s="76">
        <v>3.3399999999999999E-2</v>
      </c>
      <c r="K3" s="3">
        <f>I3*J3</f>
        <v>176.352</v>
      </c>
      <c r="L3" s="5">
        <f>(F3-G3)</f>
        <v>1320</v>
      </c>
      <c r="M3" s="4">
        <v>1</v>
      </c>
      <c r="N3" s="3">
        <f>(L3*M3)</f>
        <v>1320</v>
      </c>
      <c r="O3" s="76">
        <f>J3</f>
        <v>3.3399999999999999E-2</v>
      </c>
      <c r="P3" s="18">
        <f>N3*O3</f>
        <v>44.088000000000001</v>
      </c>
      <c r="Q3" s="3">
        <f>(K3+P3)</f>
        <v>220.44</v>
      </c>
      <c r="R3" s="7">
        <v>7.25</v>
      </c>
      <c r="S3" s="8">
        <f>(Q3*R3)</f>
        <v>1598.19</v>
      </c>
    </row>
    <row r="4" spans="1:19" ht="15.75" thickBot="1" x14ac:dyDescent="0.3">
      <c r="A4" s="144"/>
      <c r="B4" s="129"/>
      <c r="C4" s="129"/>
      <c r="D4" s="49" t="s">
        <v>24</v>
      </c>
      <c r="E4" s="46" t="s">
        <v>124</v>
      </c>
      <c r="F4" s="5">
        <v>6600</v>
      </c>
      <c r="G4" s="5">
        <f>ROUNDUP(F4*0.8,0)</f>
        <v>5280</v>
      </c>
      <c r="H4" s="4">
        <v>1</v>
      </c>
      <c r="I4" s="3">
        <f>(G4*H4)</f>
        <v>5280</v>
      </c>
      <c r="J4" s="76">
        <v>3.3399999999999999E-2</v>
      </c>
      <c r="K4" s="3">
        <f>I4*J4</f>
        <v>176.352</v>
      </c>
      <c r="L4" s="5">
        <f t="shared" ref="L4:L34" si="0">(F4-G4)</f>
        <v>1320</v>
      </c>
      <c r="M4" s="4">
        <v>1</v>
      </c>
      <c r="N4" s="3">
        <f>(L4*M4)</f>
        <v>1320</v>
      </c>
      <c r="O4" s="76">
        <f t="shared" ref="O4:O10" si="1">J4</f>
        <v>3.3399999999999999E-2</v>
      </c>
      <c r="P4" s="18">
        <f>N4*O4</f>
        <v>44.088000000000001</v>
      </c>
      <c r="Q4" s="3">
        <f>(K4+P4)</f>
        <v>220.44</v>
      </c>
      <c r="R4" s="7">
        <v>7.25</v>
      </c>
      <c r="S4" s="8">
        <f t="shared" ref="S4:S10" si="2">(Q4*R4)</f>
        <v>1598.19</v>
      </c>
    </row>
    <row r="5" spans="1:19" ht="15.75" thickBot="1" x14ac:dyDescent="0.3">
      <c r="A5" s="144"/>
      <c r="B5" s="129"/>
      <c r="C5" s="129"/>
      <c r="D5" s="54" t="s">
        <v>26</v>
      </c>
      <c r="E5" s="46" t="s">
        <v>104</v>
      </c>
      <c r="F5" s="5">
        <f>F3</f>
        <v>6600</v>
      </c>
      <c r="G5" s="5">
        <f>ROUNDUP(F5*0.8,0)</f>
        <v>5280</v>
      </c>
      <c r="H5" s="4">
        <v>1</v>
      </c>
      <c r="I5" s="3">
        <f>(G5*H5)</f>
        <v>5280</v>
      </c>
      <c r="J5" s="76">
        <v>3.3399999999999999E-2</v>
      </c>
      <c r="K5" s="3">
        <f>I5*J5</f>
        <v>176.352</v>
      </c>
      <c r="L5" s="5">
        <f t="shared" si="0"/>
        <v>1320</v>
      </c>
      <c r="M5" s="4">
        <v>1</v>
      </c>
      <c r="N5" s="3">
        <f>(L5*M5)</f>
        <v>1320</v>
      </c>
      <c r="O5" s="76">
        <f t="shared" si="1"/>
        <v>3.3399999999999999E-2</v>
      </c>
      <c r="P5" s="18">
        <f>N5*O5</f>
        <v>44.088000000000001</v>
      </c>
      <c r="Q5" s="3">
        <f>(K5+P5)</f>
        <v>220.44</v>
      </c>
      <c r="R5" s="7">
        <v>7.25</v>
      </c>
      <c r="S5" s="8">
        <f>(Q5*R5)</f>
        <v>1598.19</v>
      </c>
    </row>
    <row r="6" spans="1:19" ht="15.75" thickBot="1" x14ac:dyDescent="0.3">
      <c r="A6" s="144"/>
      <c r="B6" s="129"/>
      <c r="C6" s="129"/>
      <c r="D6" s="49" t="s">
        <v>38</v>
      </c>
      <c r="E6" s="46" t="s">
        <v>105</v>
      </c>
      <c r="F6" s="5">
        <f>ROUNDUP(0.875*F3,0)</f>
        <v>5775</v>
      </c>
      <c r="G6" s="5">
        <f>ROUNDUP(0.6*F6,0)</f>
        <v>3465</v>
      </c>
      <c r="H6" s="4">
        <v>1</v>
      </c>
      <c r="I6" s="3">
        <f t="shared" ref="I6:I11" si="3">(G6*H6)</f>
        <v>3465</v>
      </c>
      <c r="J6" s="76">
        <v>3.3399999999999999E-2</v>
      </c>
      <c r="K6" s="3">
        <f t="shared" ref="K6:K11" si="4">I6*J6</f>
        <v>115.73099999999999</v>
      </c>
      <c r="L6" s="5">
        <f t="shared" si="0"/>
        <v>2310</v>
      </c>
      <c r="M6" s="4">
        <v>1</v>
      </c>
      <c r="N6" s="3">
        <f t="shared" ref="N6:N10" si="5">(L6*M6)</f>
        <v>2310</v>
      </c>
      <c r="O6" s="76">
        <f t="shared" si="1"/>
        <v>3.3399999999999999E-2</v>
      </c>
      <c r="P6" s="18">
        <f t="shared" ref="P6:P39" si="6">N6*O6</f>
        <v>77.153999999999996</v>
      </c>
      <c r="Q6" s="3">
        <f t="shared" ref="Q6:Q10" si="7">(K6+P6)</f>
        <v>192.88499999999999</v>
      </c>
      <c r="R6" s="7">
        <v>7.25</v>
      </c>
      <c r="S6" s="8">
        <f t="shared" si="2"/>
        <v>1398.41625</v>
      </c>
    </row>
    <row r="7" spans="1:19" ht="15" customHeight="1" thickBot="1" x14ac:dyDescent="0.3">
      <c r="A7" s="144"/>
      <c r="B7" s="129"/>
      <c r="C7" s="129"/>
      <c r="D7" s="49" t="s">
        <v>39</v>
      </c>
      <c r="E7" s="46" t="s">
        <v>125</v>
      </c>
      <c r="F7" s="5">
        <f>ROUNDUP(0.7*F3,0)</f>
        <v>4620</v>
      </c>
      <c r="G7" s="5">
        <f>ROUNDUP(0.4*F7,0)</f>
        <v>1848</v>
      </c>
      <c r="H7" s="4">
        <v>1</v>
      </c>
      <c r="I7" s="3">
        <f t="shared" si="3"/>
        <v>1848</v>
      </c>
      <c r="J7" s="76">
        <v>3.3399999999999999E-2</v>
      </c>
      <c r="K7" s="3">
        <f t="shared" si="4"/>
        <v>61.723199999999999</v>
      </c>
      <c r="L7" s="5">
        <f t="shared" si="0"/>
        <v>2772</v>
      </c>
      <c r="M7" s="4">
        <v>1</v>
      </c>
      <c r="N7" s="3">
        <f t="shared" si="5"/>
        <v>2772</v>
      </c>
      <c r="O7" s="76">
        <f t="shared" si="1"/>
        <v>3.3399999999999999E-2</v>
      </c>
      <c r="P7" s="18">
        <f t="shared" si="6"/>
        <v>92.584800000000001</v>
      </c>
      <c r="Q7" s="3">
        <f t="shared" si="7"/>
        <v>154.30799999999999</v>
      </c>
      <c r="R7" s="7">
        <v>7.25</v>
      </c>
      <c r="S7" s="8">
        <f t="shared" si="2"/>
        <v>1118.7329999999999</v>
      </c>
    </row>
    <row r="8" spans="1:19" ht="15.75" thickBot="1" x14ac:dyDescent="0.3">
      <c r="A8" s="144"/>
      <c r="B8" s="129"/>
      <c r="C8" s="129"/>
      <c r="D8" s="49" t="s">
        <v>100</v>
      </c>
      <c r="E8" s="46" t="s">
        <v>113</v>
      </c>
      <c r="F8" s="5">
        <f>ROUNDUP(0.75*F7,0)</f>
        <v>3465</v>
      </c>
      <c r="G8" s="5">
        <f>ROUNDUP(0.95*F8,0)</f>
        <v>3292</v>
      </c>
      <c r="H8" s="4">
        <v>1</v>
      </c>
      <c r="I8" s="3">
        <f t="shared" si="3"/>
        <v>3292</v>
      </c>
      <c r="J8" s="76">
        <v>1.67E-2</v>
      </c>
      <c r="K8" s="3">
        <f t="shared" si="4"/>
        <v>54.976399999999998</v>
      </c>
      <c r="L8" s="5">
        <f t="shared" si="0"/>
        <v>173</v>
      </c>
      <c r="M8" s="4">
        <v>1</v>
      </c>
      <c r="N8" s="3">
        <f t="shared" si="5"/>
        <v>173</v>
      </c>
      <c r="O8" s="76">
        <f t="shared" si="1"/>
        <v>1.67E-2</v>
      </c>
      <c r="P8" s="18">
        <f t="shared" si="6"/>
        <v>2.8891</v>
      </c>
      <c r="Q8" s="3">
        <f t="shared" si="7"/>
        <v>57.865499999999997</v>
      </c>
      <c r="R8" s="7">
        <v>7.25</v>
      </c>
      <c r="S8" s="8">
        <f t="shared" si="2"/>
        <v>419.52487499999995</v>
      </c>
    </row>
    <row r="9" spans="1:19" ht="15.75" thickBot="1" x14ac:dyDescent="0.3">
      <c r="A9" s="144"/>
      <c r="B9" s="129"/>
      <c r="C9" s="129"/>
      <c r="D9" s="54" t="s">
        <v>101</v>
      </c>
      <c r="E9" s="46" t="s">
        <v>106</v>
      </c>
      <c r="F9" s="5">
        <f>ROUNDUP(0.2*F3,0)</f>
        <v>1320</v>
      </c>
      <c r="G9" s="5">
        <f>ROUNDUP(0.8*F9,0)</f>
        <v>1056</v>
      </c>
      <c r="H9" s="4">
        <v>1</v>
      </c>
      <c r="I9" s="3">
        <f t="shared" si="3"/>
        <v>1056</v>
      </c>
      <c r="J9" s="76">
        <v>3.3399999999999999E-2</v>
      </c>
      <c r="K9" s="3">
        <f t="shared" si="4"/>
        <v>35.270400000000002</v>
      </c>
      <c r="L9" s="5">
        <f t="shared" si="0"/>
        <v>264</v>
      </c>
      <c r="M9" s="4">
        <v>1</v>
      </c>
      <c r="N9" s="3">
        <f>(L9*M9)</f>
        <v>264</v>
      </c>
      <c r="O9" s="76">
        <f t="shared" si="1"/>
        <v>3.3399999999999999E-2</v>
      </c>
      <c r="P9" s="18">
        <f>N9*O9</f>
        <v>8.8176000000000005</v>
      </c>
      <c r="Q9" s="3">
        <f t="shared" si="7"/>
        <v>44.088000000000001</v>
      </c>
      <c r="R9" s="7">
        <v>7.25</v>
      </c>
      <c r="S9" s="8">
        <f t="shared" si="2"/>
        <v>319.63800000000003</v>
      </c>
    </row>
    <row r="10" spans="1:19" ht="15.75" thickBot="1" x14ac:dyDescent="0.3">
      <c r="A10" s="144"/>
      <c r="B10" s="129"/>
      <c r="C10" s="129"/>
      <c r="D10" s="54" t="s">
        <v>25</v>
      </c>
      <c r="E10" s="46" t="s">
        <v>108</v>
      </c>
      <c r="F10" s="5">
        <f>ROUNDUP(G11*(0.33),0)</f>
        <v>726</v>
      </c>
      <c r="G10" s="5">
        <f>F10</f>
        <v>726</v>
      </c>
      <c r="H10" s="4">
        <v>1</v>
      </c>
      <c r="I10" s="3">
        <f t="shared" si="3"/>
        <v>726</v>
      </c>
      <c r="J10" s="76">
        <v>1.67E-2</v>
      </c>
      <c r="K10" s="3">
        <f t="shared" si="4"/>
        <v>12.1242</v>
      </c>
      <c r="L10" s="5">
        <f t="shared" si="0"/>
        <v>0</v>
      </c>
      <c r="M10" s="4">
        <v>0</v>
      </c>
      <c r="N10" s="3">
        <f t="shared" si="5"/>
        <v>0</v>
      </c>
      <c r="O10" s="76">
        <f t="shared" si="1"/>
        <v>1.67E-2</v>
      </c>
      <c r="P10" s="18">
        <f t="shared" si="6"/>
        <v>0</v>
      </c>
      <c r="Q10" s="3">
        <f t="shared" si="7"/>
        <v>12.1242</v>
      </c>
      <c r="R10" s="7">
        <v>7.25</v>
      </c>
      <c r="S10" s="8">
        <f t="shared" si="2"/>
        <v>87.900450000000006</v>
      </c>
    </row>
    <row r="11" spans="1:19" ht="15.75" thickBot="1" x14ac:dyDescent="0.3">
      <c r="A11" s="144"/>
      <c r="B11" s="129"/>
      <c r="C11" s="130"/>
      <c r="D11" s="54" t="s">
        <v>74</v>
      </c>
      <c r="E11" s="46" t="s">
        <v>136</v>
      </c>
      <c r="F11" s="5">
        <f>F3</f>
        <v>6600</v>
      </c>
      <c r="G11" s="5">
        <f>ROUNDUP(F11*(1/3),0)</f>
        <v>2200</v>
      </c>
      <c r="H11" s="4">
        <v>1</v>
      </c>
      <c r="I11" s="3">
        <f t="shared" si="3"/>
        <v>2200</v>
      </c>
      <c r="J11" s="76">
        <v>0.58450000000000002</v>
      </c>
      <c r="K11" s="3">
        <f t="shared" si="4"/>
        <v>1285.9000000000001</v>
      </c>
      <c r="L11" s="5">
        <f t="shared" si="0"/>
        <v>4400</v>
      </c>
      <c r="M11" s="4">
        <v>1</v>
      </c>
      <c r="N11" s="3">
        <f>(L11*M11)</f>
        <v>4400</v>
      </c>
      <c r="O11" s="76">
        <v>0</v>
      </c>
      <c r="P11" s="18">
        <f>N11*O11</f>
        <v>0</v>
      </c>
      <c r="Q11" s="3">
        <f>(K11+P11)</f>
        <v>1285.9000000000001</v>
      </c>
      <c r="R11" s="7">
        <v>7.25</v>
      </c>
      <c r="S11" s="8">
        <f>(Q11*R11)</f>
        <v>9322.7750000000015</v>
      </c>
    </row>
    <row r="12" spans="1:19" ht="15.75" customHeight="1" thickBot="1" x14ac:dyDescent="0.3">
      <c r="A12" s="144"/>
      <c r="B12" s="129"/>
      <c r="C12" s="128">
        <v>2</v>
      </c>
      <c r="D12" s="49" t="s">
        <v>122</v>
      </c>
      <c r="E12" s="46" t="s">
        <v>123</v>
      </c>
      <c r="F12" s="5">
        <v>8800</v>
      </c>
      <c r="G12" s="5">
        <f>ROUNDUP(F12*0.8,0)</f>
        <v>7040</v>
      </c>
      <c r="H12" s="4">
        <v>1</v>
      </c>
      <c r="I12" s="3">
        <f>(G12*H12)</f>
        <v>7040</v>
      </c>
      <c r="J12" s="76">
        <v>3.3399999999999999E-2</v>
      </c>
      <c r="K12" s="3">
        <f>I12*J12</f>
        <v>235.136</v>
      </c>
      <c r="L12" s="5">
        <f>(F12-G12)</f>
        <v>1760</v>
      </c>
      <c r="M12" s="4">
        <v>1</v>
      </c>
      <c r="N12" s="3">
        <f>(L12*M12)</f>
        <v>1760</v>
      </c>
      <c r="O12" s="76">
        <f>J12</f>
        <v>3.3399999999999999E-2</v>
      </c>
      <c r="P12" s="18">
        <f>N12*O12</f>
        <v>58.783999999999999</v>
      </c>
      <c r="Q12" s="3">
        <f>(K12+P12)</f>
        <v>293.92</v>
      </c>
      <c r="R12" s="7">
        <v>7.25</v>
      </c>
      <c r="S12" s="8">
        <f>(Q12*R12)</f>
        <v>2130.92</v>
      </c>
    </row>
    <row r="13" spans="1:19" ht="15.75" thickBot="1" x14ac:dyDescent="0.3">
      <c r="A13" s="144"/>
      <c r="B13" s="129"/>
      <c r="C13" s="129"/>
      <c r="D13" s="49" t="s">
        <v>24</v>
      </c>
      <c r="E13" s="46" t="s">
        <v>124</v>
      </c>
      <c r="F13" s="5">
        <v>8800</v>
      </c>
      <c r="G13" s="5">
        <f>ROUNDUP(F13*0.8,0)</f>
        <v>7040</v>
      </c>
      <c r="H13" s="4">
        <v>1</v>
      </c>
      <c r="I13" s="3">
        <f>(G13*H13)</f>
        <v>7040</v>
      </c>
      <c r="J13" s="76">
        <v>3.3399999999999999E-2</v>
      </c>
      <c r="K13" s="3">
        <f>I13*J13</f>
        <v>235.136</v>
      </c>
      <c r="L13" s="5">
        <f t="shared" ref="L13:L20" si="8">(F13-G13)</f>
        <v>1760</v>
      </c>
      <c r="M13" s="4">
        <v>1</v>
      </c>
      <c r="N13" s="3">
        <f>(L13*M13)</f>
        <v>1760</v>
      </c>
      <c r="O13" s="76">
        <f t="shared" ref="O13:O19" si="9">J13</f>
        <v>3.3399999999999999E-2</v>
      </c>
      <c r="P13" s="18">
        <f>N13*O13</f>
        <v>58.783999999999999</v>
      </c>
      <c r="Q13" s="3">
        <f>(K13+P13)</f>
        <v>293.92</v>
      </c>
      <c r="R13" s="7">
        <v>7.25</v>
      </c>
      <c r="S13" s="8">
        <f t="shared" ref="S13" si="10">(Q13*R13)</f>
        <v>2130.92</v>
      </c>
    </row>
    <row r="14" spans="1:19" ht="15.75" thickBot="1" x14ac:dyDescent="0.3">
      <c r="A14" s="144"/>
      <c r="B14" s="129"/>
      <c r="C14" s="129"/>
      <c r="D14" s="54" t="s">
        <v>26</v>
      </c>
      <c r="E14" s="46" t="s">
        <v>104</v>
      </c>
      <c r="F14" s="5">
        <f>F12</f>
        <v>8800</v>
      </c>
      <c r="G14" s="5">
        <f>ROUNDUP(F14*0.8,0)</f>
        <v>7040</v>
      </c>
      <c r="H14" s="4">
        <v>1</v>
      </c>
      <c r="I14" s="3">
        <f>(G14*H14)</f>
        <v>7040</v>
      </c>
      <c r="J14" s="76">
        <v>3.3399999999999999E-2</v>
      </c>
      <c r="K14" s="3">
        <f>I14*J14</f>
        <v>235.136</v>
      </c>
      <c r="L14" s="5">
        <f t="shared" si="8"/>
        <v>1760</v>
      </c>
      <c r="M14" s="4">
        <v>1</v>
      </c>
      <c r="N14" s="3">
        <f>(L14*M14)</f>
        <v>1760</v>
      </c>
      <c r="O14" s="76">
        <f t="shared" si="9"/>
        <v>3.3399999999999999E-2</v>
      </c>
      <c r="P14" s="18">
        <f>N14*O14</f>
        <v>58.783999999999999</v>
      </c>
      <c r="Q14" s="3">
        <f>(K14+P14)</f>
        <v>293.92</v>
      </c>
      <c r="R14" s="7">
        <v>7.25</v>
      </c>
      <c r="S14" s="8">
        <f>(Q14*R14)</f>
        <v>2130.92</v>
      </c>
    </row>
    <row r="15" spans="1:19" ht="15.75" thickBot="1" x14ac:dyDescent="0.3">
      <c r="A15" s="144"/>
      <c r="B15" s="129"/>
      <c r="C15" s="129"/>
      <c r="D15" s="49" t="s">
        <v>38</v>
      </c>
      <c r="E15" s="46" t="s">
        <v>105</v>
      </c>
      <c r="F15" s="5">
        <f>ROUNDUP(0.875*F12,0)</f>
        <v>7700</v>
      </c>
      <c r="G15" s="5">
        <f>ROUNDUP(0.6*F15,0)</f>
        <v>4620</v>
      </c>
      <c r="H15" s="4">
        <v>1</v>
      </c>
      <c r="I15" s="3">
        <f t="shared" ref="I15:I20" si="11">(G15*H15)</f>
        <v>4620</v>
      </c>
      <c r="J15" s="76">
        <v>3.3399999999999999E-2</v>
      </c>
      <c r="K15" s="3">
        <f t="shared" ref="K15:K20" si="12">I15*J15</f>
        <v>154.30799999999999</v>
      </c>
      <c r="L15" s="5">
        <f t="shared" si="8"/>
        <v>3080</v>
      </c>
      <c r="M15" s="4">
        <v>1</v>
      </c>
      <c r="N15" s="3">
        <f t="shared" ref="N15:N17" si="13">(L15*M15)</f>
        <v>3080</v>
      </c>
      <c r="O15" s="76">
        <f t="shared" si="9"/>
        <v>3.3399999999999999E-2</v>
      </c>
      <c r="P15" s="18">
        <f t="shared" ref="P15:P17" si="14">N15*O15</f>
        <v>102.872</v>
      </c>
      <c r="Q15" s="3">
        <f t="shared" ref="Q15:Q19" si="15">(K15+P15)</f>
        <v>257.18</v>
      </c>
      <c r="R15" s="7">
        <v>7.25</v>
      </c>
      <c r="S15" s="8">
        <f t="shared" ref="S15:S19" si="16">(Q15*R15)</f>
        <v>1864.5550000000001</v>
      </c>
    </row>
    <row r="16" spans="1:19" ht="15" customHeight="1" thickBot="1" x14ac:dyDescent="0.3">
      <c r="A16" s="144"/>
      <c r="B16" s="129"/>
      <c r="C16" s="129"/>
      <c r="D16" s="49" t="s">
        <v>39</v>
      </c>
      <c r="E16" s="46" t="s">
        <v>125</v>
      </c>
      <c r="F16" s="5">
        <f>ROUNDUP(0.7*F12,0)</f>
        <v>6160</v>
      </c>
      <c r="G16" s="5">
        <f>ROUNDUP(0.4*F16,0)</f>
        <v>2464</v>
      </c>
      <c r="H16" s="4">
        <v>1</v>
      </c>
      <c r="I16" s="3">
        <f t="shared" si="11"/>
        <v>2464</v>
      </c>
      <c r="J16" s="76">
        <v>3.3399999999999999E-2</v>
      </c>
      <c r="K16" s="3">
        <f t="shared" si="12"/>
        <v>82.297600000000003</v>
      </c>
      <c r="L16" s="5">
        <f t="shared" si="8"/>
        <v>3696</v>
      </c>
      <c r="M16" s="4">
        <v>1</v>
      </c>
      <c r="N16" s="3">
        <f t="shared" si="13"/>
        <v>3696</v>
      </c>
      <c r="O16" s="76">
        <f t="shared" si="9"/>
        <v>3.3399999999999999E-2</v>
      </c>
      <c r="P16" s="18">
        <f t="shared" si="14"/>
        <v>123.4464</v>
      </c>
      <c r="Q16" s="3">
        <f t="shared" si="15"/>
        <v>205.744</v>
      </c>
      <c r="R16" s="7">
        <v>7.25</v>
      </c>
      <c r="S16" s="8">
        <f t="shared" si="16"/>
        <v>1491.644</v>
      </c>
    </row>
    <row r="17" spans="1:19" ht="15.75" thickBot="1" x14ac:dyDescent="0.3">
      <c r="A17" s="144"/>
      <c r="B17" s="129"/>
      <c r="C17" s="129"/>
      <c r="D17" s="49" t="s">
        <v>100</v>
      </c>
      <c r="E17" s="46" t="s">
        <v>113</v>
      </c>
      <c r="F17" s="5">
        <f>ROUNDUP(0.75*F16,0)</f>
        <v>4620</v>
      </c>
      <c r="G17" s="5">
        <f>ROUNDUP(0.95*F17,0)</f>
        <v>4389</v>
      </c>
      <c r="H17" s="4">
        <v>1</v>
      </c>
      <c r="I17" s="3">
        <f t="shared" si="11"/>
        <v>4389</v>
      </c>
      <c r="J17" s="76">
        <v>1.67E-2</v>
      </c>
      <c r="K17" s="3">
        <f t="shared" si="12"/>
        <v>73.296300000000002</v>
      </c>
      <c r="L17" s="5">
        <f t="shared" si="8"/>
        <v>231</v>
      </c>
      <c r="M17" s="4">
        <v>1</v>
      </c>
      <c r="N17" s="3">
        <f t="shared" si="13"/>
        <v>231</v>
      </c>
      <c r="O17" s="76">
        <f t="shared" si="9"/>
        <v>1.67E-2</v>
      </c>
      <c r="P17" s="18">
        <f t="shared" si="14"/>
        <v>3.8576999999999999</v>
      </c>
      <c r="Q17" s="3">
        <f t="shared" si="15"/>
        <v>77.153999999999996</v>
      </c>
      <c r="R17" s="7">
        <v>7.25</v>
      </c>
      <c r="S17" s="8">
        <f t="shared" si="16"/>
        <v>559.36649999999997</v>
      </c>
    </row>
    <row r="18" spans="1:19" ht="15.75" thickBot="1" x14ac:dyDescent="0.3">
      <c r="A18" s="144"/>
      <c r="B18" s="129"/>
      <c r="C18" s="129"/>
      <c r="D18" s="54" t="s">
        <v>101</v>
      </c>
      <c r="E18" s="46" t="s">
        <v>106</v>
      </c>
      <c r="F18" s="5">
        <f>ROUNDUP(0.2*F12,0)</f>
        <v>1760</v>
      </c>
      <c r="G18" s="5">
        <f>ROUNDUP(0.8*F18,0)</f>
        <v>1408</v>
      </c>
      <c r="H18" s="4">
        <v>1</v>
      </c>
      <c r="I18" s="3">
        <f t="shared" si="11"/>
        <v>1408</v>
      </c>
      <c r="J18" s="76">
        <v>3.3399999999999999E-2</v>
      </c>
      <c r="K18" s="3">
        <f t="shared" si="12"/>
        <v>47.027200000000001</v>
      </c>
      <c r="L18" s="5">
        <f t="shared" si="8"/>
        <v>352</v>
      </c>
      <c r="M18" s="4">
        <v>1</v>
      </c>
      <c r="N18" s="3">
        <f>(L18*M18)</f>
        <v>352</v>
      </c>
      <c r="O18" s="76">
        <f t="shared" si="9"/>
        <v>3.3399999999999999E-2</v>
      </c>
      <c r="P18" s="18">
        <f>N18*O18</f>
        <v>11.7568</v>
      </c>
      <c r="Q18" s="3">
        <f t="shared" si="15"/>
        <v>58.783999999999999</v>
      </c>
      <c r="R18" s="7">
        <v>7.25</v>
      </c>
      <c r="S18" s="8">
        <f t="shared" si="16"/>
        <v>426.18399999999997</v>
      </c>
    </row>
    <row r="19" spans="1:19" ht="15.75" thickBot="1" x14ac:dyDescent="0.3">
      <c r="A19" s="144"/>
      <c r="B19" s="129"/>
      <c r="C19" s="129"/>
      <c r="D19" s="54" t="s">
        <v>25</v>
      </c>
      <c r="E19" s="46" t="s">
        <v>108</v>
      </c>
      <c r="F19" s="5">
        <f>ROUNDUP(G20*(0.33),0)</f>
        <v>968</v>
      </c>
      <c r="G19" s="5">
        <f>F19</f>
        <v>968</v>
      </c>
      <c r="H19" s="4">
        <v>1</v>
      </c>
      <c r="I19" s="3">
        <f t="shared" si="11"/>
        <v>968</v>
      </c>
      <c r="J19" s="76">
        <v>1.67E-2</v>
      </c>
      <c r="K19" s="3">
        <f t="shared" si="12"/>
        <v>16.165600000000001</v>
      </c>
      <c r="L19" s="5">
        <f t="shared" si="8"/>
        <v>0</v>
      </c>
      <c r="M19" s="4">
        <v>0</v>
      </c>
      <c r="N19" s="3">
        <f t="shared" ref="N19" si="17">(L19*M19)</f>
        <v>0</v>
      </c>
      <c r="O19" s="76">
        <f t="shared" si="9"/>
        <v>1.67E-2</v>
      </c>
      <c r="P19" s="18">
        <f t="shared" ref="P19" si="18">N19*O19</f>
        <v>0</v>
      </c>
      <c r="Q19" s="3">
        <f t="shared" si="15"/>
        <v>16.165600000000001</v>
      </c>
      <c r="R19" s="7">
        <v>7.25</v>
      </c>
      <c r="S19" s="8">
        <f t="shared" si="16"/>
        <v>117.20060000000001</v>
      </c>
    </row>
    <row r="20" spans="1:19" ht="15.75" thickBot="1" x14ac:dyDescent="0.3">
      <c r="A20" s="144"/>
      <c r="B20" s="129"/>
      <c r="C20" s="130"/>
      <c r="D20" s="54" t="s">
        <v>74</v>
      </c>
      <c r="E20" s="46" t="s">
        <v>136</v>
      </c>
      <c r="F20" s="5">
        <f>F12</f>
        <v>8800</v>
      </c>
      <c r="G20" s="5">
        <f>ROUND(F20*(1/3),0)</f>
        <v>2933</v>
      </c>
      <c r="H20" s="4">
        <v>1</v>
      </c>
      <c r="I20" s="3">
        <f t="shared" si="11"/>
        <v>2933</v>
      </c>
      <c r="J20" s="76">
        <v>0.58450000000000002</v>
      </c>
      <c r="K20" s="3">
        <f t="shared" si="12"/>
        <v>1714.3385000000001</v>
      </c>
      <c r="L20" s="5">
        <f t="shared" si="8"/>
        <v>5867</v>
      </c>
      <c r="M20" s="4">
        <v>1</v>
      </c>
      <c r="N20" s="3">
        <f>(L20*M20)</f>
        <v>5867</v>
      </c>
      <c r="O20" s="76">
        <v>0</v>
      </c>
      <c r="P20" s="18">
        <f>N20*O20</f>
        <v>0</v>
      </c>
      <c r="Q20" s="3">
        <f>(K20+P20)</f>
        <v>1714.3385000000001</v>
      </c>
      <c r="R20" s="7">
        <v>7.25</v>
      </c>
      <c r="S20" s="8">
        <f>(Q20*R20)</f>
        <v>12428.954125</v>
      </c>
    </row>
    <row r="21" spans="1:19" ht="15.75" customHeight="1" thickBot="1" x14ac:dyDescent="0.3">
      <c r="A21" s="144"/>
      <c r="B21" s="129"/>
      <c r="C21" s="128">
        <v>3</v>
      </c>
      <c r="D21" s="49" t="s">
        <v>122</v>
      </c>
      <c r="E21" s="46" t="s">
        <v>123</v>
      </c>
      <c r="F21" s="5">
        <v>4400</v>
      </c>
      <c r="G21" s="5">
        <f>ROUNDUP(F21*0.8,0)</f>
        <v>3520</v>
      </c>
      <c r="H21" s="4">
        <v>1</v>
      </c>
      <c r="I21" s="3">
        <f>(G21*H21)</f>
        <v>3520</v>
      </c>
      <c r="J21" s="76">
        <v>3.3399999999999999E-2</v>
      </c>
      <c r="K21" s="3">
        <f>I21*J21</f>
        <v>117.568</v>
      </c>
      <c r="L21" s="5">
        <f>(F21-G21)</f>
        <v>880</v>
      </c>
      <c r="M21" s="4">
        <v>1</v>
      </c>
      <c r="N21" s="3">
        <f>(L21*M21)</f>
        <v>880</v>
      </c>
      <c r="O21" s="76">
        <f>J21</f>
        <v>3.3399999999999999E-2</v>
      </c>
      <c r="P21" s="18">
        <f>N21*O21</f>
        <v>29.391999999999999</v>
      </c>
      <c r="Q21" s="3">
        <f>(K21+P21)</f>
        <v>146.96</v>
      </c>
      <c r="R21" s="7">
        <v>7.25</v>
      </c>
      <c r="S21" s="8">
        <f>(Q21*R21)</f>
        <v>1065.46</v>
      </c>
    </row>
    <row r="22" spans="1:19" ht="15.75" thickBot="1" x14ac:dyDescent="0.3">
      <c r="A22" s="144"/>
      <c r="B22" s="129"/>
      <c r="C22" s="129"/>
      <c r="D22" s="49" t="s">
        <v>24</v>
      </c>
      <c r="E22" s="46" t="s">
        <v>124</v>
      </c>
      <c r="F22" s="5">
        <v>4400</v>
      </c>
      <c r="G22" s="5">
        <f>ROUNDUP(F22*0.8,0)</f>
        <v>3520</v>
      </c>
      <c r="H22" s="4">
        <v>1</v>
      </c>
      <c r="I22" s="3">
        <f>(G22*H22)</f>
        <v>3520</v>
      </c>
      <c r="J22" s="76">
        <v>3.3399999999999999E-2</v>
      </c>
      <c r="K22" s="3">
        <f>I22*J22</f>
        <v>117.568</v>
      </c>
      <c r="L22" s="5">
        <f t="shared" ref="L22:L29" si="19">(F22-G22)</f>
        <v>880</v>
      </c>
      <c r="M22" s="4">
        <v>1</v>
      </c>
      <c r="N22" s="3">
        <f>(L22*M22)</f>
        <v>880</v>
      </c>
      <c r="O22" s="76">
        <f t="shared" ref="O22:O28" si="20">J22</f>
        <v>3.3399999999999999E-2</v>
      </c>
      <c r="P22" s="18">
        <f>N22*O22</f>
        <v>29.391999999999999</v>
      </c>
      <c r="Q22" s="3">
        <f>(K22+P22)</f>
        <v>146.96</v>
      </c>
      <c r="R22" s="7">
        <v>7.25</v>
      </c>
      <c r="S22" s="8">
        <f t="shared" ref="S22" si="21">(Q22*R22)</f>
        <v>1065.46</v>
      </c>
    </row>
    <row r="23" spans="1:19" ht="15.75" thickBot="1" x14ac:dyDescent="0.3">
      <c r="A23" s="144"/>
      <c r="B23" s="129"/>
      <c r="C23" s="129"/>
      <c r="D23" s="54" t="s">
        <v>26</v>
      </c>
      <c r="E23" s="46" t="s">
        <v>104</v>
      </c>
      <c r="F23" s="5">
        <f>F21</f>
        <v>4400</v>
      </c>
      <c r="G23" s="5">
        <f>ROUNDUP(F23*0.8,0)</f>
        <v>3520</v>
      </c>
      <c r="H23" s="4">
        <v>1</v>
      </c>
      <c r="I23" s="3">
        <f>(G23*H23)</f>
        <v>3520</v>
      </c>
      <c r="J23" s="76">
        <v>3.3399999999999999E-2</v>
      </c>
      <c r="K23" s="3">
        <f>I23*J23</f>
        <v>117.568</v>
      </c>
      <c r="L23" s="5">
        <f t="shared" si="19"/>
        <v>880</v>
      </c>
      <c r="M23" s="4">
        <v>1</v>
      </c>
      <c r="N23" s="3">
        <f>(L23*M23)</f>
        <v>880</v>
      </c>
      <c r="O23" s="76">
        <f t="shared" si="20"/>
        <v>3.3399999999999999E-2</v>
      </c>
      <c r="P23" s="18">
        <f>N23*O23</f>
        <v>29.391999999999999</v>
      </c>
      <c r="Q23" s="3">
        <f>(K23+P23)</f>
        <v>146.96</v>
      </c>
      <c r="R23" s="7">
        <v>7.25</v>
      </c>
      <c r="S23" s="8">
        <f>(Q23*R23)</f>
        <v>1065.46</v>
      </c>
    </row>
    <row r="24" spans="1:19" ht="15.75" thickBot="1" x14ac:dyDescent="0.3">
      <c r="A24" s="144"/>
      <c r="B24" s="129"/>
      <c r="C24" s="129"/>
      <c r="D24" s="49" t="s">
        <v>38</v>
      </c>
      <c r="E24" s="46" t="s">
        <v>105</v>
      </c>
      <c r="F24" s="5">
        <f>ROUNDUP(0.875*F21,0)</f>
        <v>3850</v>
      </c>
      <c r="G24" s="5">
        <f>ROUNDUP(0.6*F24,0)</f>
        <v>2310</v>
      </c>
      <c r="H24" s="4">
        <v>1</v>
      </c>
      <c r="I24" s="3">
        <f t="shared" ref="I24:I29" si="22">(G24*H24)</f>
        <v>2310</v>
      </c>
      <c r="J24" s="76">
        <v>3.3399999999999999E-2</v>
      </c>
      <c r="K24" s="3">
        <f t="shared" ref="K24:K29" si="23">I24*J24</f>
        <v>77.153999999999996</v>
      </c>
      <c r="L24" s="5">
        <f t="shared" si="19"/>
        <v>1540</v>
      </c>
      <c r="M24" s="4">
        <v>1</v>
      </c>
      <c r="N24" s="3">
        <f t="shared" ref="N24:N26" si="24">(L24*M24)</f>
        <v>1540</v>
      </c>
      <c r="O24" s="76">
        <f t="shared" si="20"/>
        <v>3.3399999999999999E-2</v>
      </c>
      <c r="P24" s="18">
        <f t="shared" ref="P24:P26" si="25">N24*O24</f>
        <v>51.436</v>
      </c>
      <c r="Q24" s="3">
        <f t="shared" ref="Q24:Q28" si="26">(K24+P24)</f>
        <v>128.59</v>
      </c>
      <c r="R24" s="7">
        <v>7.25</v>
      </c>
      <c r="S24" s="8">
        <f t="shared" ref="S24:S28" si="27">(Q24*R24)</f>
        <v>932.27750000000003</v>
      </c>
    </row>
    <row r="25" spans="1:19" ht="15" customHeight="1" thickBot="1" x14ac:dyDescent="0.3">
      <c r="A25" s="144"/>
      <c r="B25" s="129"/>
      <c r="C25" s="129"/>
      <c r="D25" s="49" t="s">
        <v>39</v>
      </c>
      <c r="E25" s="46" t="s">
        <v>125</v>
      </c>
      <c r="F25" s="5">
        <f>ROUNDUP(0.7*F21,0)</f>
        <v>3080</v>
      </c>
      <c r="G25" s="5">
        <f>ROUNDUP(0.4*F25,0)</f>
        <v>1232</v>
      </c>
      <c r="H25" s="4">
        <v>1</v>
      </c>
      <c r="I25" s="3">
        <f t="shared" si="22"/>
        <v>1232</v>
      </c>
      <c r="J25" s="76">
        <v>3.3399999999999999E-2</v>
      </c>
      <c r="K25" s="3">
        <f t="shared" si="23"/>
        <v>41.148800000000001</v>
      </c>
      <c r="L25" s="5">
        <f t="shared" si="19"/>
        <v>1848</v>
      </c>
      <c r="M25" s="4">
        <v>1</v>
      </c>
      <c r="N25" s="3">
        <f t="shared" si="24"/>
        <v>1848</v>
      </c>
      <c r="O25" s="76">
        <f t="shared" si="20"/>
        <v>3.3399999999999999E-2</v>
      </c>
      <c r="P25" s="18">
        <f t="shared" si="25"/>
        <v>61.723199999999999</v>
      </c>
      <c r="Q25" s="3">
        <f t="shared" si="26"/>
        <v>102.872</v>
      </c>
      <c r="R25" s="7">
        <v>7.25</v>
      </c>
      <c r="S25" s="8">
        <f t="shared" si="27"/>
        <v>745.822</v>
      </c>
    </row>
    <row r="26" spans="1:19" ht="15.75" thickBot="1" x14ac:dyDescent="0.3">
      <c r="A26" s="144"/>
      <c r="B26" s="129"/>
      <c r="C26" s="129"/>
      <c r="D26" s="49" t="s">
        <v>100</v>
      </c>
      <c r="E26" s="46" t="s">
        <v>113</v>
      </c>
      <c r="F26" s="5">
        <f>ROUNDUP(0.75*F25,0)</f>
        <v>2310</v>
      </c>
      <c r="G26" s="5">
        <f>ROUNDUP(0.95*F26,0)</f>
        <v>2195</v>
      </c>
      <c r="H26" s="4">
        <v>1</v>
      </c>
      <c r="I26" s="3">
        <f t="shared" si="22"/>
        <v>2195</v>
      </c>
      <c r="J26" s="76">
        <v>1.67E-2</v>
      </c>
      <c r="K26" s="3">
        <f t="shared" si="23"/>
        <v>36.656500000000001</v>
      </c>
      <c r="L26" s="5">
        <f t="shared" si="19"/>
        <v>115</v>
      </c>
      <c r="M26" s="4">
        <v>1</v>
      </c>
      <c r="N26" s="3">
        <f t="shared" si="24"/>
        <v>115</v>
      </c>
      <c r="O26" s="76">
        <f t="shared" si="20"/>
        <v>1.67E-2</v>
      </c>
      <c r="P26" s="18">
        <f t="shared" si="25"/>
        <v>1.9204999999999999</v>
      </c>
      <c r="Q26" s="3">
        <f t="shared" si="26"/>
        <v>38.576999999999998</v>
      </c>
      <c r="R26" s="7">
        <v>7.25</v>
      </c>
      <c r="S26" s="8">
        <f t="shared" si="27"/>
        <v>279.68324999999999</v>
      </c>
    </row>
    <row r="27" spans="1:19" ht="15.75" thickBot="1" x14ac:dyDescent="0.3">
      <c r="A27" s="144"/>
      <c r="B27" s="129"/>
      <c r="C27" s="129"/>
      <c r="D27" s="54" t="s">
        <v>101</v>
      </c>
      <c r="E27" s="46" t="s">
        <v>106</v>
      </c>
      <c r="F27" s="5">
        <f>ROUNDUP(0.2*F21,0)</f>
        <v>880</v>
      </c>
      <c r="G27" s="5">
        <f>ROUNDUP(0.8*F27,0)</f>
        <v>704</v>
      </c>
      <c r="H27" s="4">
        <v>1</v>
      </c>
      <c r="I27" s="3">
        <f t="shared" si="22"/>
        <v>704</v>
      </c>
      <c r="J27" s="76">
        <v>3.3399999999999999E-2</v>
      </c>
      <c r="K27" s="3">
        <f t="shared" si="23"/>
        <v>23.5136</v>
      </c>
      <c r="L27" s="5">
        <f t="shared" si="19"/>
        <v>176</v>
      </c>
      <c r="M27" s="4">
        <v>1</v>
      </c>
      <c r="N27" s="3">
        <f>(L27*M27)</f>
        <v>176</v>
      </c>
      <c r="O27" s="76">
        <f t="shared" si="20"/>
        <v>3.3399999999999999E-2</v>
      </c>
      <c r="P27" s="18">
        <f>N27*O27</f>
        <v>5.8784000000000001</v>
      </c>
      <c r="Q27" s="3">
        <f t="shared" si="26"/>
        <v>29.391999999999999</v>
      </c>
      <c r="R27" s="7">
        <v>7.25</v>
      </c>
      <c r="S27" s="8">
        <f t="shared" si="27"/>
        <v>213.09199999999998</v>
      </c>
    </row>
    <row r="28" spans="1:19" ht="15.75" thickBot="1" x14ac:dyDescent="0.3">
      <c r="A28" s="144"/>
      <c r="B28" s="129"/>
      <c r="C28" s="129"/>
      <c r="D28" s="54" t="s">
        <v>25</v>
      </c>
      <c r="E28" s="46" t="s">
        <v>108</v>
      </c>
      <c r="F28" s="5">
        <f>ROUND(G29*(0.33),0)</f>
        <v>484</v>
      </c>
      <c r="G28" s="5">
        <f>F28</f>
        <v>484</v>
      </c>
      <c r="H28" s="4">
        <v>1</v>
      </c>
      <c r="I28" s="3">
        <f t="shared" si="22"/>
        <v>484</v>
      </c>
      <c r="J28" s="76">
        <v>1.67E-2</v>
      </c>
      <c r="K28" s="3">
        <f t="shared" si="23"/>
        <v>8.0828000000000007</v>
      </c>
      <c r="L28" s="5">
        <f t="shared" si="19"/>
        <v>0</v>
      </c>
      <c r="M28" s="4">
        <v>0</v>
      </c>
      <c r="N28" s="3">
        <f t="shared" ref="N28" si="28">(L28*M28)</f>
        <v>0</v>
      </c>
      <c r="O28" s="76">
        <f t="shared" si="20"/>
        <v>1.67E-2</v>
      </c>
      <c r="P28" s="18">
        <f t="shared" ref="P28" si="29">N28*O28</f>
        <v>0</v>
      </c>
      <c r="Q28" s="3">
        <f t="shared" si="26"/>
        <v>8.0828000000000007</v>
      </c>
      <c r="R28" s="7">
        <v>7.25</v>
      </c>
      <c r="S28" s="8">
        <f t="shared" si="27"/>
        <v>58.600300000000004</v>
      </c>
    </row>
    <row r="29" spans="1:19" ht="15.75" thickBot="1" x14ac:dyDescent="0.3">
      <c r="A29" s="144"/>
      <c r="B29" s="130"/>
      <c r="C29" s="130"/>
      <c r="D29" s="54" t="s">
        <v>74</v>
      </c>
      <c r="E29" s="46" t="s">
        <v>136</v>
      </c>
      <c r="F29" s="5">
        <f>F21</f>
        <v>4400</v>
      </c>
      <c r="G29" s="5">
        <f>ROUNDUP(F29*(1/3),0)</f>
        <v>1467</v>
      </c>
      <c r="H29" s="4">
        <v>1</v>
      </c>
      <c r="I29" s="3">
        <f t="shared" si="22"/>
        <v>1467</v>
      </c>
      <c r="J29" s="76">
        <v>0.58450000000000002</v>
      </c>
      <c r="K29" s="3">
        <f t="shared" si="23"/>
        <v>857.4615</v>
      </c>
      <c r="L29" s="5">
        <f t="shared" si="19"/>
        <v>2933</v>
      </c>
      <c r="M29" s="4">
        <v>1</v>
      </c>
      <c r="N29" s="3">
        <f>(L29*M29)</f>
        <v>2933</v>
      </c>
      <c r="O29" s="76">
        <v>0</v>
      </c>
      <c r="P29" s="18">
        <f>N29*O29</f>
        <v>0</v>
      </c>
      <c r="Q29" s="3">
        <f>(K29+P29)</f>
        <v>857.4615</v>
      </c>
      <c r="R29" s="7">
        <v>7.25</v>
      </c>
      <c r="S29" s="8">
        <f>(Q29*R29)</f>
        <v>6216.595875</v>
      </c>
    </row>
    <row r="30" spans="1:19" ht="15.75" thickBot="1" x14ac:dyDescent="0.3">
      <c r="A30" s="144"/>
      <c r="B30" s="128" t="s">
        <v>137</v>
      </c>
      <c r="C30" s="111"/>
      <c r="D30" s="75" t="s">
        <v>32</v>
      </c>
      <c r="E30" s="46" t="s">
        <v>107</v>
      </c>
      <c r="F30" s="5">
        <v>624</v>
      </c>
      <c r="G30" s="5">
        <f>ROUNDUP(0.9*F30,0)</f>
        <v>562</v>
      </c>
      <c r="H30" s="4">
        <v>1</v>
      </c>
      <c r="I30" s="3">
        <f t="shared" ref="I30:I33" si="30">(G30*H30)</f>
        <v>562</v>
      </c>
      <c r="J30" s="76">
        <v>0.1002</v>
      </c>
      <c r="K30" s="3">
        <f t="shared" ref="K30:K34" si="31">I30*J30</f>
        <v>56.312399999999997</v>
      </c>
      <c r="L30" s="5">
        <f t="shared" si="0"/>
        <v>62</v>
      </c>
      <c r="M30" s="4">
        <v>1</v>
      </c>
      <c r="N30" s="3">
        <f>(L30*M30)</f>
        <v>62</v>
      </c>
      <c r="O30" s="76">
        <v>0.1002</v>
      </c>
      <c r="P30" s="18">
        <f>N30*O30</f>
        <v>6.2123999999999997</v>
      </c>
      <c r="Q30" s="3">
        <f t="shared" ref="Q30:Q34" si="32">(K30+P30)</f>
        <v>62.524799999999999</v>
      </c>
      <c r="R30" s="7">
        <v>7.25</v>
      </c>
      <c r="S30" s="8">
        <f t="shared" ref="S30:S33" si="33">(Q30*R30)</f>
        <v>453.3048</v>
      </c>
    </row>
    <row r="31" spans="1:19" ht="15.75" thickBot="1" x14ac:dyDescent="0.3">
      <c r="A31" s="144"/>
      <c r="B31" s="129"/>
      <c r="C31" s="109"/>
      <c r="D31" s="75" t="s">
        <v>77</v>
      </c>
      <c r="E31" s="46" t="s">
        <v>109</v>
      </c>
      <c r="F31" s="5">
        <v>624</v>
      </c>
      <c r="G31" s="5">
        <v>156</v>
      </c>
      <c r="H31" s="4">
        <v>1</v>
      </c>
      <c r="I31" s="3">
        <f t="shared" si="30"/>
        <v>156</v>
      </c>
      <c r="J31" s="76">
        <v>1.67E-2</v>
      </c>
      <c r="K31" s="3">
        <f t="shared" si="31"/>
        <v>2.6052</v>
      </c>
      <c r="L31" s="5">
        <f t="shared" si="0"/>
        <v>468</v>
      </c>
      <c r="M31" s="4">
        <v>1</v>
      </c>
      <c r="N31" s="3">
        <f t="shared" ref="N31:N33" si="34">(L31*M31)</f>
        <v>468</v>
      </c>
      <c r="O31" s="76">
        <v>1.67E-2</v>
      </c>
      <c r="P31" s="18">
        <f t="shared" ref="P31:P34" si="35">N31*O31</f>
        <v>7.8155999999999999</v>
      </c>
      <c r="Q31" s="3">
        <f t="shared" si="32"/>
        <v>10.4208</v>
      </c>
      <c r="R31" s="7">
        <v>7.25</v>
      </c>
      <c r="S31" s="8">
        <f t="shared" si="33"/>
        <v>75.550799999999995</v>
      </c>
    </row>
    <row r="32" spans="1:19" ht="15.75" thickBot="1" x14ac:dyDescent="0.3">
      <c r="A32" s="144"/>
      <c r="B32" s="129"/>
      <c r="C32" s="109"/>
      <c r="D32" s="75" t="s">
        <v>72</v>
      </c>
      <c r="E32" s="46" t="s">
        <v>110</v>
      </c>
      <c r="F32" s="5">
        <v>624</v>
      </c>
      <c r="G32" s="5">
        <v>156</v>
      </c>
      <c r="H32" s="4">
        <v>1</v>
      </c>
      <c r="I32" s="3">
        <f>(G32*H32)</f>
        <v>156</v>
      </c>
      <c r="J32" s="76">
        <v>3.3399999999999999E-2</v>
      </c>
      <c r="K32" s="3">
        <f t="shared" si="31"/>
        <v>5.2103999999999999</v>
      </c>
      <c r="L32" s="5">
        <f t="shared" si="0"/>
        <v>468</v>
      </c>
      <c r="M32" s="4">
        <v>1</v>
      </c>
      <c r="N32" s="3">
        <f t="shared" si="34"/>
        <v>468</v>
      </c>
      <c r="O32" s="76">
        <v>3.3399999999999999E-2</v>
      </c>
      <c r="P32" s="18">
        <f t="shared" si="35"/>
        <v>15.6312</v>
      </c>
      <c r="Q32" s="3">
        <f t="shared" si="32"/>
        <v>20.8416</v>
      </c>
      <c r="R32" s="7">
        <v>7.25</v>
      </c>
      <c r="S32" s="8">
        <f t="shared" si="33"/>
        <v>151.10159999999999</v>
      </c>
    </row>
    <row r="33" spans="1:19" ht="15.75" thickBot="1" x14ac:dyDescent="0.3">
      <c r="A33" s="144"/>
      <c r="B33" s="129"/>
      <c r="C33" s="109"/>
      <c r="D33" s="75" t="s">
        <v>31</v>
      </c>
      <c r="E33" s="46" t="s">
        <v>111</v>
      </c>
      <c r="F33" s="5">
        <v>624</v>
      </c>
      <c r="G33" s="5">
        <v>156</v>
      </c>
      <c r="H33" s="4">
        <v>1</v>
      </c>
      <c r="I33" s="3">
        <f t="shared" si="30"/>
        <v>156</v>
      </c>
      <c r="J33" s="76">
        <v>3.3399999999999999E-2</v>
      </c>
      <c r="K33" s="3">
        <f t="shared" si="31"/>
        <v>5.2103999999999999</v>
      </c>
      <c r="L33" s="5">
        <f t="shared" si="0"/>
        <v>468</v>
      </c>
      <c r="M33" s="4">
        <v>1</v>
      </c>
      <c r="N33" s="3">
        <f t="shared" si="34"/>
        <v>468</v>
      </c>
      <c r="O33" s="76">
        <v>3.3399999999999999E-2</v>
      </c>
      <c r="P33" s="18">
        <f t="shared" si="35"/>
        <v>15.6312</v>
      </c>
      <c r="Q33" s="3">
        <f t="shared" si="32"/>
        <v>20.8416</v>
      </c>
      <c r="R33" s="7">
        <v>7.25</v>
      </c>
      <c r="S33" s="8">
        <f t="shared" si="33"/>
        <v>151.10159999999999</v>
      </c>
    </row>
    <row r="34" spans="1:19" ht="15.75" thickBot="1" x14ac:dyDescent="0.3">
      <c r="A34" s="145"/>
      <c r="B34" s="130"/>
      <c r="C34" s="112"/>
      <c r="D34" s="52" t="s">
        <v>78</v>
      </c>
      <c r="E34" s="47" t="s">
        <v>127</v>
      </c>
      <c r="F34" s="26">
        <v>624</v>
      </c>
      <c r="G34" s="26">
        <v>156</v>
      </c>
      <c r="H34" s="27">
        <v>1</v>
      </c>
      <c r="I34" s="3">
        <f>(G34*H34)</f>
        <v>156</v>
      </c>
      <c r="J34" s="29">
        <v>2</v>
      </c>
      <c r="K34" s="28">
        <f t="shared" si="31"/>
        <v>312</v>
      </c>
      <c r="L34" s="5">
        <f t="shared" si="0"/>
        <v>468</v>
      </c>
      <c r="M34" s="27">
        <v>1</v>
      </c>
      <c r="N34" s="28">
        <f>(L34*M34)</f>
        <v>468</v>
      </c>
      <c r="O34" s="29">
        <v>0</v>
      </c>
      <c r="P34" s="30">
        <f t="shared" si="35"/>
        <v>0</v>
      </c>
      <c r="Q34" s="28">
        <f t="shared" si="32"/>
        <v>312</v>
      </c>
      <c r="R34" s="31">
        <v>7.25</v>
      </c>
      <c r="S34" s="32">
        <f>(Q34*R34)</f>
        <v>2262</v>
      </c>
    </row>
    <row r="35" spans="1:19" s="10" customFormat="1" ht="15" customHeight="1" thickBot="1" x14ac:dyDescent="0.3">
      <c r="A35" s="125" t="s">
        <v>35</v>
      </c>
      <c r="B35" s="142"/>
      <c r="C35" s="142"/>
      <c r="D35" s="126"/>
      <c r="E35" s="127"/>
      <c r="F35" s="19">
        <f>ROUNDUP(F3+F12+F21+(F30/2),0)</f>
        <v>20112</v>
      </c>
      <c r="G35" s="19">
        <f>ROUNDUP(G3+G12+G21+(G30/2),0)</f>
        <v>16121</v>
      </c>
      <c r="H35" s="14">
        <f>SUM(I35/G35)</f>
        <v>5.3636250852924761</v>
      </c>
      <c r="I35" s="20">
        <f>SUM(I3:I34)</f>
        <v>86467</v>
      </c>
      <c r="J35" s="15">
        <f>K35/I35</f>
        <v>7.7089317311806821E-2</v>
      </c>
      <c r="K35" s="20">
        <f>SUM(K3:K34)</f>
        <v>6665.6820000000007</v>
      </c>
      <c r="L35" s="19">
        <f>ROUNDUP(L3+L12+L21+(L30/2),0)</f>
        <v>3991</v>
      </c>
      <c r="M35" s="14">
        <f>N35/L35</f>
        <v>10.917313956401903</v>
      </c>
      <c r="N35" s="20">
        <f>SUM(N3:N34)</f>
        <v>43571</v>
      </c>
      <c r="O35" s="15">
        <f>P35/N35</f>
        <v>2.2639344977163717E-2</v>
      </c>
      <c r="P35" s="21">
        <f>SUM(P3:P34)</f>
        <v>986.41890000000035</v>
      </c>
      <c r="Q35" s="21">
        <f>SUM(Q3:Q34)</f>
        <v>7652.1009000000004</v>
      </c>
      <c r="R35" s="25"/>
      <c r="S35" s="45">
        <f>SUM(S3:S34)</f>
        <v>55477.731524999988</v>
      </c>
    </row>
    <row r="36" spans="1:19" ht="15" customHeight="1" thickBot="1" x14ac:dyDescent="0.3">
      <c r="A36" s="129" t="s">
        <v>116</v>
      </c>
      <c r="B36" s="129" t="s">
        <v>76</v>
      </c>
      <c r="C36" s="109"/>
      <c r="D36" s="54" t="s">
        <v>79</v>
      </c>
      <c r="E36" s="48" t="s">
        <v>128</v>
      </c>
      <c r="F36" s="16">
        <v>96</v>
      </c>
      <c r="G36" s="16">
        <v>36</v>
      </c>
      <c r="H36" s="17">
        <v>1</v>
      </c>
      <c r="I36" s="81">
        <f>G36*H36</f>
        <v>36</v>
      </c>
      <c r="J36" s="77">
        <v>3.3399999999999999E-2</v>
      </c>
      <c r="K36" s="3">
        <f>I36*J36</f>
        <v>1.2023999999999999</v>
      </c>
      <c r="L36" s="16">
        <f>F36-G36</f>
        <v>60</v>
      </c>
      <c r="M36" s="17">
        <v>1</v>
      </c>
      <c r="N36" s="3">
        <f>M36*L36</f>
        <v>60</v>
      </c>
      <c r="O36" s="77">
        <v>3.3399999999999999E-2</v>
      </c>
      <c r="P36" s="18">
        <f>N36*O36</f>
        <v>2.004</v>
      </c>
      <c r="Q36" s="3">
        <f>(K36+P36)</f>
        <v>3.2063999999999999</v>
      </c>
      <c r="R36" s="7">
        <v>25.94</v>
      </c>
      <c r="S36" s="8">
        <f>(Q36*R36)</f>
        <v>83.174016000000009</v>
      </c>
    </row>
    <row r="37" spans="1:19" ht="15" customHeight="1" thickBot="1" x14ac:dyDescent="0.3">
      <c r="A37" s="129"/>
      <c r="B37" s="129"/>
      <c r="C37" s="109"/>
      <c r="D37" s="53" t="s">
        <v>65</v>
      </c>
      <c r="E37" s="48" t="s">
        <v>129</v>
      </c>
      <c r="F37" s="16">
        <v>96</v>
      </c>
      <c r="G37" s="16">
        <v>36</v>
      </c>
      <c r="H37" s="17">
        <v>1</v>
      </c>
      <c r="I37" s="3">
        <f>(G37*H37)</f>
        <v>36</v>
      </c>
      <c r="J37" s="77">
        <v>1.5</v>
      </c>
      <c r="K37" s="3">
        <f>I37*J37</f>
        <v>54</v>
      </c>
      <c r="L37" s="16">
        <f>F37-G37</f>
        <v>60</v>
      </c>
      <c r="M37" s="17">
        <v>1</v>
      </c>
      <c r="N37" s="3">
        <f>M37*L37</f>
        <v>60</v>
      </c>
      <c r="O37" s="77">
        <v>0</v>
      </c>
      <c r="P37" s="18">
        <f>N37*O37</f>
        <v>0</v>
      </c>
      <c r="Q37" s="3">
        <f>(K37+P37)</f>
        <v>54</v>
      </c>
      <c r="R37" s="7">
        <v>25.94</v>
      </c>
      <c r="S37" s="8">
        <f>(Q37*R37)</f>
        <v>1400.76</v>
      </c>
    </row>
    <row r="38" spans="1:19" ht="15" customHeight="1" thickBot="1" x14ac:dyDescent="0.3">
      <c r="A38" s="129"/>
      <c r="B38" s="129"/>
      <c r="C38" s="109"/>
      <c r="D38" s="49" t="s">
        <v>112</v>
      </c>
      <c r="E38" s="48" t="s">
        <v>130</v>
      </c>
      <c r="F38" s="16">
        <v>96</v>
      </c>
      <c r="G38" s="16">
        <v>36</v>
      </c>
      <c r="H38" s="17">
        <v>1</v>
      </c>
      <c r="I38" s="3">
        <f>(G38*H38)</f>
        <v>36</v>
      </c>
      <c r="J38" s="77">
        <v>1.67E-2</v>
      </c>
      <c r="K38" s="3">
        <f>I38*J38</f>
        <v>0.60119999999999996</v>
      </c>
      <c r="L38" s="16">
        <f>F38-G38</f>
        <v>60</v>
      </c>
      <c r="M38" s="17">
        <v>1</v>
      </c>
      <c r="N38" s="3">
        <f>M38*L38</f>
        <v>60</v>
      </c>
      <c r="O38" s="76">
        <v>1.67E-2</v>
      </c>
      <c r="P38" s="18">
        <f>N38*O38</f>
        <v>1.002</v>
      </c>
      <c r="Q38" s="3">
        <f>(K38+P38)</f>
        <v>1.6032</v>
      </c>
      <c r="R38" s="7">
        <v>25.94</v>
      </c>
      <c r="S38" s="8">
        <f>(Q38*R38)</f>
        <v>41.587008000000004</v>
      </c>
    </row>
    <row r="39" spans="1:19" ht="15.75" thickBot="1" x14ac:dyDescent="0.3">
      <c r="A39" s="129"/>
      <c r="B39" s="129"/>
      <c r="C39" s="109"/>
      <c r="D39" s="54" t="s">
        <v>80</v>
      </c>
      <c r="E39" s="48" t="s">
        <v>131</v>
      </c>
      <c r="F39" s="16">
        <v>96</v>
      </c>
      <c r="G39" s="16">
        <v>36</v>
      </c>
      <c r="H39" s="17">
        <v>1</v>
      </c>
      <c r="I39" s="3">
        <f>(G39*H39)</f>
        <v>36</v>
      </c>
      <c r="J39" s="77">
        <v>3.3399999999999999E-2</v>
      </c>
      <c r="K39" s="3">
        <f t="shared" ref="K39" si="36">I39*J39</f>
        <v>1.2023999999999999</v>
      </c>
      <c r="L39" s="16">
        <f t="shared" ref="L39" si="37">F39-G39</f>
        <v>60</v>
      </c>
      <c r="M39" s="17">
        <v>1</v>
      </c>
      <c r="N39" s="3">
        <f>M39*L39</f>
        <v>60</v>
      </c>
      <c r="O39" s="77">
        <v>3.3399999999999999E-2</v>
      </c>
      <c r="P39" s="18">
        <f t="shared" si="6"/>
        <v>2.004</v>
      </c>
      <c r="Q39" s="3">
        <f t="shared" ref="Q39" si="38">(K39+P39)</f>
        <v>3.2063999999999999</v>
      </c>
      <c r="R39" s="7">
        <v>25.94</v>
      </c>
      <c r="S39" s="8">
        <f t="shared" ref="S39" si="39">(Q39*R39)</f>
        <v>83.174016000000009</v>
      </c>
    </row>
    <row r="40" spans="1:19" ht="15" customHeight="1" thickBot="1" x14ac:dyDescent="0.3">
      <c r="A40" s="125" t="s">
        <v>117</v>
      </c>
      <c r="B40" s="126"/>
      <c r="C40" s="126"/>
      <c r="D40" s="126"/>
      <c r="E40" s="127"/>
      <c r="F40" s="19">
        <f>F38</f>
        <v>96</v>
      </c>
      <c r="G40" s="19">
        <f>G38</f>
        <v>36</v>
      </c>
      <c r="H40" s="37">
        <f>SUM(I40/G40)</f>
        <v>4</v>
      </c>
      <c r="I40" s="12">
        <f>SUM(I36:I39)</f>
        <v>144</v>
      </c>
      <c r="J40" s="37">
        <f>K40/I40</f>
        <v>0.39587499999999998</v>
      </c>
      <c r="K40" s="12">
        <f>SUM(K36:K39)</f>
        <v>57.005999999999993</v>
      </c>
      <c r="L40" s="12">
        <f>L38</f>
        <v>60</v>
      </c>
      <c r="M40" s="12">
        <f>N40/L40</f>
        <v>4</v>
      </c>
      <c r="N40" s="12">
        <f>SUM(N36:N39)</f>
        <v>240</v>
      </c>
      <c r="O40" s="37">
        <f>P40/N40</f>
        <v>2.0874999999999998E-2</v>
      </c>
      <c r="P40" s="12">
        <f>SUM(P36:P39)</f>
        <v>5.01</v>
      </c>
      <c r="Q40" s="12">
        <f>SUM(Q36:Q39)</f>
        <v>62.016000000000005</v>
      </c>
      <c r="R40" s="12"/>
      <c r="S40" s="38">
        <f>SUM(S36:S39)</f>
        <v>1608.6950399999998</v>
      </c>
    </row>
    <row r="41" spans="1:19" ht="15.75" thickBot="1" x14ac:dyDescent="0.3">
      <c r="A41" s="128" t="s">
        <v>33</v>
      </c>
      <c r="B41" s="83" t="s">
        <v>114</v>
      </c>
      <c r="C41" s="107"/>
      <c r="D41" s="50" t="s">
        <v>102</v>
      </c>
      <c r="E41" s="46" t="s">
        <v>121</v>
      </c>
      <c r="F41" s="4">
        <v>7</v>
      </c>
      <c r="G41" s="4">
        <f>F41</f>
        <v>7</v>
      </c>
      <c r="H41" s="4">
        <v>1</v>
      </c>
      <c r="I41" s="4">
        <f>G41</f>
        <v>7</v>
      </c>
      <c r="J41" s="76">
        <v>8</v>
      </c>
      <c r="K41" s="3">
        <f t="shared" ref="K41" si="40">I41*J41</f>
        <v>56</v>
      </c>
      <c r="L41" s="4">
        <f>F41-G41</f>
        <v>0</v>
      </c>
      <c r="M41" s="4">
        <v>0</v>
      </c>
      <c r="N41" s="3">
        <f t="shared" ref="N41:N43" si="41">(L41*M41)</f>
        <v>0</v>
      </c>
      <c r="O41" s="76">
        <f>J41</f>
        <v>8</v>
      </c>
      <c r="P41" s="18">
        <f t="shared" ref="P41" si="42">N41*O41</f>
        <v>0</v>
      </c>
      <c r="Q41" s="3">
        <f t="shared" ref="Q41" si="43">(K41+P41)</f>
        <v>56</v>
      </c>
      <c r="R41" s="9">
        <f>59.31*1.33</f>
        <v>78.882300000000001</v>
      </c>
      <c r="S41" s="8">
        <f>(Q41*R41)</f>
        <v>4417.4088000000002</v>
      </c>
    </row>
    <row r="42" spans="1:19" ht="15.75" thickBot="1" x14ac:dyDescent="0.3">
      <c r="A42" s="129"/>
      <c r="B42" s="128" t="s">
        <v>115</v>
      </c>
      <c r="C42" s="108"/>
      <c r="D42" s="51" t="s">
        <v>27</v>
      </c>
      <c r="E42" s="46" t="s">
        <v>126</v>
      </c>
      <c r="F42" s="5">
        <v>38</v>
      </c>
      <c r="G42" s="5">
        <f>ROUNDUP(0.8*F42,0)</f>
        <v>31</v>
      </c>
      <c r="H42" s="4">
        <v>1</v>
      </c>
      <c r="I42" s="40">
        <f t="shared" ref="I42:I47" si="44">G42</f>
        <v>31</v>
      </c>
      <c r="J42" s="76">
        <v>1.67E-2</v>
      </c>
      <c r="K42" s="3">
        <f>I42*J42</f>
        <v>0.51769999999999994</v>
      </c>
      <c r="L42" s="4">
        <f t="shared" ref="L42:L47" si="45">F42-G42</f>
        <v>7</v>
      </c>
      <c r="M42" s="4">
        <v>1</v>
      </c>
      <c r="N42" s="3">
        <f t="shared" si="41"/>
        <v>7</v>
      </c>
      <c r="O42" s="76">
        <v>1.67E-2</v>
      </c>
      <c r="P42" s="18">
        <f>N42*O42</f>
        <v>0.1169</v>
      </c>
      <c r="Q42" s="3">
        <f>(K42+P42)</f>
        <v>0.63459999999999994</v>
      </c>
      <c r="R42" s="9">
        <f t="shared" ref="R42:R47" si="46">59.31*1.33</f>
        <v>78.882300000000001</v>
      </c>
      <c r="S42" s="8">
        <f t="shared" ref="S42:S46" si="47">(Q42*R42)</f>
        <v>50.058707579999997</v>
      </c>
    </row>
    <row r="43" spans="1:19" ht="15.75" thickBot="1" x14ac:dyDescent="0.3">
      <c r="A43" s="129"/>
      <c r="B43" s="130"/>
      <c r="C43" s="110"/>
      <c r="D43" s="51" t="s">
        <v>80</v>
      </c>
      <c r="E43" s="46" t="s">
        <v>131</v>
      </c>
      <c r="F43" s="5">
        <v>38</v>
      </c>
      <c r="G43" s="5">
        <f>ROUNDUP(0.8*F43,0)</f>
        <v>31</v>
      </c>
      <c r="H43" s="4">
        <v>1</v>
      </c>
      <c r="I43" s="40">
        <f t="shared" si="44"/>
        <v>31</v>
      </c>
      <c r="J43" s="77">
        <v>3.3399999999999999E-2</v>
      </c>
      <c r="K43" s="3">
        <f>I43*J43</f>
        <v>1.0353999999999999</v>
      </c>
      <c r="L43" s="4">
        <f t="shared" si="45"/>
        <v>7</v>
      </c>
      <c r="M43" s="4">
        <v>1</v>
      </c>
      <c r="N43" s="3">
        <f t="shared" si="41"/>
        <v>7</v>
      </c>
      <c r="O43" s="77">
        <v>3.3399999999999999E-2</v>
      </c>
      <c r="P43" s="18">
        <f>N43*O43</f>
        <v>0.23380000000000001</v>
      </c>
      <c r="Q43" s="44">
        <f>(K43+P43)</f>
        <v>1.2691999999999999</v>
      </c>
      <c r="R43" s="9">
        <f t="shared" si="46"/>
        <v>78.882300000000001</v>
      </c>
      <c r="S43" s="8">
        <f t="shared" si="47"/>
        <v>100.11741515999999</v>
      </c>
    </row>
    <row r="44" spans="1:19" ht="15" customHeight="1" thickBot="1" x14ac:dyDescent="0.3">
      <c r="A44" s="129"/>
      <c r="B44" s="129" t="s">
        <v>76</v>
      </c>
      <c r="C44" s="108"/>
      <c r="D44" s="50" t="s">
        <v>79</v>
      </c>
      <c r="E44" s="46" t="s">
        <v>128</v>
      </c>
      <c r="F44" s="5">
        <v>24</v>
      </c>
      <c r="G44" s="5">
        <f>ROUNDUP(0.5*F44,0)</f>
        <v>12</v>
      </c>
      <c r="H44" s="4">
        <v>1</v>
      </c>
      <c r="I44" s="4">
        <f>G44</f>
        <v>12</v>
      </c>
      <c r="J44" s="76">
        <v>3.3399999999999999E-2</v>
      </c>
      <c r="K44" s="3">
        <f>I44*J44</f>
        <v>0.40079999999999999</v>
      </c>
      <c r="L44" s="4">
        <f>F44-G44</f>
        <v>12</v>
      </c>
      <c r="M44" s="4">
        <v>1</v>
      </c>
      <c r="N44" s="3">
        <f>(L44*M44)</f>
        <v>12</v>
      </c>
      <c r="O44" s="76">
        <v>3.3399999999999999E-2</v>
      </c>
      <c r="P44" s="18">
        <f>N44*O44</f>
        <v>0.40079999999999999</v>
      </c>
      <c r="Q44" s="3">
        <f>(K44+P44)</f>
        <v>0.80159999999999998</v>
      </c>
      <c r="R44" s="9">
        <f t="shared" si="46"/>
        <v>78.882300000000001</v>
      </c>
      <c r="S44" s="8">
        <f t="shared" si="47"/>
        <v>63.232051679999998</v>
      </c>
    </row>
    <row r="45" spans="1:19" ht="15" customHeight="1" thickBot="1" x14ac:dyDescent="0.3">
      <c r="A45" s="129"/>
      <c r="B45" s="129"/>
      <c r="C45" s="108"/>
      <c r="D45" s="52" t="s">
        <v>65</v>
      </c>
      <c r="E45" s="46" t="s">
        <v>129</v>
      </c>
      <c r="F45" s="5">
        <v>24</v>
      </c>
      <c r="G45" s="5">
        <f>ROUNDUP(0.5*F45,0)</f>
        <v>12</v>
      </c>
      <c r="H45" s="4">
        <v>1</v>
      </c>
      <c r="I45" s="4">
        <f>G45</f>
        <v>12</v>
      </c>
      <c r="J45" s="76">
        <v>1.5</v>
      </c>
      <c r="K45" s="3">
        <f>I45*J45</f>
        <v>18</v>
      </c>
      <c r="L45" s="4">
        <f>F45-G45</f>
        <v>12</v>
      </c>
      <c r="M45" s="4">
        <v>1</v>
      </c>
      <c r="N45" s="3">
        <f>(L45*M45)</f>
        <v>12</v>
      </c>
      <c r="O45" s="76">
        <v>0</v>
      </c>
      <c r="P45" s="18">
        <f>N45*O45</f>
        <v>0</v>
      </c>
      <c r="Q45" s="3">
        <f>(K45+P45)</f>
        <v>18</v>
      </c>
      <c r="R45" s="9">
        <f t="shared" si="46"/>
        <v>78.882300000000001</v>
      </c>
      <c r="S45" s="8">
        <f t="shared" si="47"/>
        <v>1419.8814</v>
      </c>
    </row>
    <row r="46" spans="1:19" ht="15" customHeight="1" thickBot="1" x14ac:dyDescent="0.3">
      <c r="A46" s="129"/>
      <c r="B46" s="129"/>
      <c r="C46" s="108"/>
      <c r="D46" s="50" t="s">
        <v>112</v>
      </c>
      <c r="E46" s="46" t="s">
        <v>130</v>
      </c>
      <c r="F46" s="5">
        <v>24</v>
      </c>
      <c r="G46" s="5">
        <f t="shared" ref="G46:G47" si="48">ROUNDUP(0.5*F46,0)</f>
        <v>12</v>
      </c>
      <c r="H46" s="4">
        <v>1</v>
      </c>
      <c r="I46" s="4">
        <f>G46</f>
        <v>12</v>
      </c>
      <c r="J46" s="76">
        <v>1.67E-2</v>
      </c>
      <c r="K46" s="3">
        <f>I46*J46</f>
        <v>0.20039999999999999</v>
      </c>
      <c r="L46" s="4">
        <f>F46-G46</f>
        <v>12</v>
      </c>
      <c r="M46" s="4">
        <v>1</v>
      </c>
      <c r="N46" s="3">
        <f>(L46*M46)</f>
        <v>12</v>
      </c>
      <c r="O46" s="76">
        <v>1.67E-2</v>
      </c>
      <c r="P46" s="18">
        <f>N46*O46</f>
        <v>0.20039999999999999</v>
      </c>
      <c r="Q46" s="3">
        <f>(K46+P46)</f>
        <v>0.40079999999999999</v>
      </c>
      <c r="R46" s="9">
        <f t="shared" si="46"/>
        <v>78.882300000000001</v>
      </c>
      <c r="S46" s="8">
        <f t="shared" si="47"/>
        <v>31.616025839999999</v>
      </c>
    </row>
    <row r="47" spans="1:19" ht="15.75" thickBot="1" x14ac:dyDescent="0.3">
      <c r="A47" s="129"/>
      <c r="B47" s="129"/>
      <c r="C47" s="109"/>
      <c r="D47" s="54" t="s">
        <v>80</v>
      </c>
      <c r="E47" s="46" t="s">
        <v>131</v>
      </c>
      <c r="F47" s="5">
        <v>24</v>
      </c>
      <c r="G47" s="5">
        <f t="shared" si="48"/>
        <v>12</v>
      </c>
      <c r="H47" s="4">
        <v>1</v>
      </c>
      <c r="I47" s="4">
        <f t="shared" si="44"/>
        <v>12</v>
      </c>
      <c r="J47" s="76">
        <v>3.3399999999999999E-2</v>
      </c>
      <c r="K47" s="3">
        <f t="shared" ref="K47" si="49">I47*J47</f>
        <v>0.40079999999999999</v>
      </c>
      <c r="L47" s="4">
        <f t="shared" si="45"/>
        <v>12</v>
      </c>
      <c r="M47" s="4">
        <v>1</v>
      </c>
      <c r="N47" s="3">
        <f t="shared" ref="N47" si="50">(L47*M47)</f>
        <v>12</v>
      </c>
      <c r="O47" s="76">
        <v>3.3399999999999999E-2</v>
      </c>
      <c r="P47" s="18">
        <f t="shared" ref="P47" si="51">N47*O47</f>
        <v>0.40079999999999999</v>
      </c>
      <c r="Q47" s="3">
        <f t="shared" ref="Q47" si="52">(K47+P47)</f>
        <v>0.80159999999999998</v>
      </c>
      <c r="R47" s="9">
        <f t="shared" si="46"/>
        <v>78.882300000000001</v>
      </c>
      <c r="S47" s="8">
        <f t="shared" ref="S47" si="53">(Q47*R47)</f>
        <v>63.232051679999998</v>
      </c>
    </row>
    <row r="48" spans="1:19" ht="15" customHeight="1" thickBot="1" x14ac:dyDescent="0.3">
      <c r="A48" s="131" t="s">
        <v>36</v>
      </c>
      <c r="B48" s="132"/>
      <c r="C48" s="132"/>
      <c r="D48" s="132"/>
      <c r="E48" s="133"/>
      <c r="F48" s="19">
        <f>F41+F42+F46</f>
        <v>69</v>
      </c>
      <c r="G48" s="19">
        <f>G41+G42+G46</f>
        <v>50</v>
      </c>
      <c r="H48" s="14">
        <f>SUM(I48/G48)</f>
        <v>2.34</v>
      </c>
      <c r="I48" s="13">
        <f>SUM(I41:I47)</f>
        <v>117</v>
      </c>
      <c r="J48" s="41">
        <f>K48/I48</f>
        <v>0.65431709401709415</v>
      </c>
      <c r="K48" s="43">
        <f>SUM(K41:K47)</f>
        <v>76.55510000000001</v>
      </c>
      <c r="L48" s="19">
        <f>L41+L42+L46</f>
        <v>19</v>
      </c>
      <c r="M48" s="41">
        <f>N48/L48</f>
        <v>3.263157894736842</v>
      </c>
      <c r="N48" s="13">
        <f>SUM(N41:N47)</f>
        <v>62</v>
      </c>
      <c r="O48" s="41">
        <f>P48/N48</f>
        <v>2.1817741935483873E-2</v>
      </c>
      <c r="P48" s="41">
        <f>SUM(P41:P47)</f>
        <v>1.3527</v>
      </c>
      <c r="Q48" s="84">
        <f>SUM(Q41:Q47)</f>
        <v>77.907799999999995</v>
      </c>
      <c r="R48" s="13"/>
      <c r="S48" s="25">
        <f>SUM(S41:S47)</f>
        <v>6145.5464519400002</v>
      </c>
    </row>
    <row r="49" spans="1:19" ht="15.75" thickBot="1" x14ac:dyDescent="0.3">
      <c r="A49" s="134" t="s">
        <v>13</v>
      </c>
      <c r="B49" s="135"/>
      <c r="C49" s="135"/>
      <c r="D49" s="135"/>
      <c r="E49" s="136"/>
      <c r="F49" s="36">
        <f>F48+F40+F35</f>
        <v>20277</v>
      </c>
      <c r="G49" s="36">
        <f>G48+G40+G35</f>
        <v>16207</v>
      </c>
      <c r="H49" s="36"/>
      <c r="I49" s="36">
        <f>I48+I40+I35</f>
        <v>86728</v>
      </c>
      <c r="J49" s="36"/>
      <c r="K49" s="36">
        <f>K48+K40+K35</f>
        <v>6799.2431000000006</v>
      </c>
      <c r="L49" s="36">
        <f>L48+L40+L35</f>
        <v>4070</v>
      </c>
      <c r="M49" s="36">
        <f>M48+M40+M35</f>
        <v>18.180471851138748</v>
      </c>
      <c r="N49" s="36">
        <f>N48+N40+N35</f>
        <v>43873</v>
      </c>
      <c r="O49" s="42"/>
      <c r="P49" s="36">
        <f>P48+P40+P35</f>
        <v>992.78160000000037</v>
      </c>
      <c r="Q49" s="57">
        <f>Q48+Q40+Q35</f>
        <v>7792.0246999999999</v>
      </c>
      <c r="R49" s="36"/>
      <c r="S49" s="39">
        <f>S48+S40+S35</f>
        <v>63231.973016939985</v>
      </c>
    </row>
    <row r="50" spans="1:19" s="58" customFormat="1" ht="11.25" x14ac:dyDescent="0.2">
      <c r="D50" s="59"/>
      <c r="G50" s="60"/>
    </row>
    <row r="51" spans="1:19" s="58" customFormat="1" ht="11.25" x14ac:dyDescent="0.2">
      <c r="A51" s="113" t="s">
        <v>120</v>
      </c>
      <c r="B51" s="114"/>
      <c r="C51" s="114"/>
      <c r="D51" s="114"/>
      <c r="E51" s="114"/>
      <c r="F51" s="114"/>
      <c r="G51" s="114"/>
      <c r="H51" s="114"/>
      <c r="I51" s="114"/>
      <c r="J51" s="114"/>
      <c r="K51" s="114"/>
      <c r="L51" s="114"/>
      <c r="M51" s="115"/>
    </row>
    <row r="52" spans="1:19" s="58" customFormat="1" ht="22.5" customHeight="1" x14ac:dyDescent="0.2">
      <c r="A52" s="116"/>
      <c r="B52" s="117"/>
      <c r="C52" s="117"/>
      <c r="D52" s="117"/>
      <c r="E52" s="117"/>
      <c r="F52" s="117"/>
      <c r="G52" s="117"/>
      <c r="H52" s="117"/>
      <c r="I52" s="117"/>
      <c r="J52" s="117"/>
      <c r="K52" s="117"/>
      <c r="L52" s="117"/>
      <c r="M52" s="118"/>
      <c r="O52" s="122" t="s">
        <v>42</v>
      </c>
      <c r="P52" s="123"/>
      <c r="Q52" s="123"/>
      <c r="R52" s="124"/>
      <c r="S52" s="61">
        <f>(I49+N49)/F49</f>
        <v>6.440844306356956</v>
      </c>
    </row>
    <row r="53" spans="1:19" s="58" customFormat="1" ht="11.25" x14ac:dyDescent="0.2">
      <c r="A53" s="119"/>
      <c r="B53" s="120"/>
      <c r="C53" s="120"/>
      <c r="D53" s="120"/>
      <c r="E53" s="120"/>
      <c r="F53" s="120"/>
      <c r="G53" s="120"/>
      <c r="H53" s="120"/>
      <c r="I53" s="120"/>
      <c r="J53" s="120"/>
      <c r="K53" s="120"/>
      <c r="L53" s="120"/>
      <c r="M53" s="121"/>
      <c r="O53" s="62" t="s">
        <v>73</v>
      </c>
      <c r="P53" s="63"/>
      <c r="Q53" s="63"/>
      <c r="R53" s="63"/>
      <c r="S53" s="64">
        <f>(I49+N49)</f>
        <v>130601</v>
      </c>
    </row>
    <row r="54" spans="1:19" s="58" customFormat="1" ht="11.25" x14ac:dyDescent="0.2">
      <c r="D54" s="59"/>
      <c r="O54" s="62" t="s">
        <v>16</v>
      </c>
      <c r="P54" s="63"/>
      <c r="Q54" s="63"/>
      <c r="R54" s="63"/>
      <c r="S54" s="61">
        <f>(Q49/S53)</f>
        <v>5.9662825705775607E-2</v>
      </c>
    </row>
    <row r="55" spans="1:19" s="58" customFormat="1" ht="11.25" x14ac:dyDescent="0.2">
      <c r="D55" s="59"/>
      <c r="O55" s="78" t="s">
        <v>23</v>
      </c>
      <c r="P55" s="79"/>
      <c r="Q55" s="79"/>
      <c r="R55" s="80"/>
      <c r="S55" s="64">
        <f>SUM(Q49)</f>
        <v>7792.0246999999999</v>
      </c>
    </row>
    <row r="56" spans="1:19" s="58" customFormat="1" ht="11.25" x14ac:dyDescent="0.2">
      <c r="D56" s="59"/>
      <c r="O56" s="65"/>
      <c r="P56" s="66"/>
      <c r="Q56" s="66"/>
      <c r="R56" s="66"/>
      <c r="S56" s="67"/>
    </row>
    <row r="57" spans="1:19" s="58" customFormat="1" ht="11.25" x14ac:dyDescent="0.2">
      <c r="D57" s="59"/>
      <c r="O57" s="122" t="s">
        <v>71</v>
      </c>
      <c r="P57" s="123"/>
      <c r="Q57" s="123"/>
      <c r="R57" s="124"/>
      <c r="S57" s="61">
        <f>(I11+I20+I29+F31)/(F11++F20+F29+I31)</f>
        <v>0.36199639206253759</v>
      </c>
    </row>
    <row r="58" spans="1:19" s="58" customFormat="1" ht="11.25" x14ac:dyDescent="0.2">
      <c r="D58" s="59"/>
      <c r="O58" s="62" t="s">
        <v>17</v>
      </c>
      <c r="P58" s="63"/>
      <c r="Q58" s="63"/>
      <c r="R58" s="63"/>
      <c r="S58" s="68">
        <f>(I35+N35)</f>
        <v>130038</v>
      </c>
    </row>
    <row r="59" spans="1:19" s="58" customFormat="1" ht="11.25" x14ac:dyDescent="0.2">
      <c r="D59" s="59"/>
      <c r="O59" s="62" t="s">
        <v>18</v>
      </c>
      <c r="P59" s="63"/>
      <c r="Q59" s="63"/>
      <c r="R59" s="63"/>
      <c r="S59" s="61">
        <f>Q35/S58</f>
        <v>5.8845113735984868E-2</v>
      </c>
    </row>
    <row r="60" spans="1:19" s="58" customFormat="1" ht="11.25" x14ac:dyDescent="0.2">
      <c r="D60" s="59"/>
      <c r="O60" s="69"/>
      <c r="P60" s="70"/>
      <c r="Q60" s="70"/>
      <c r="R60" s="70"/>
      <c r="S60" s="71"/>
    </row>
    <row r="61" spans="1:19" s="58" customFormat="1" ht="11.25" x14ac:dyDescent="0.2">
      <c r="D61" s="59"/>
      <c r="O61" s="62" t="s">
        <v>19</v>
      </c>
      <c r="P61" s="63"/>
      <c r="Q61" s="63"/>
      <c r="R61" s="63"/>
      <c r="S61" s="61">
        <f>(I48+N48)/F48</f>
        <v>2.5942028985507246</v>
      </c>
    </row>
    <row r="62" spans="1:19" s="58" customFormat="1" ht="11.25" x14ac:dyDescent="0.2">
      <c r="D62" s="59"/>
      <c r="O62" s="62" t="s">
        <v>20</v>
      </c>
      <c r="P62" s="63"/>
      <c r="Q62" s="63"/>
      <c r="R62" s="63"/>
      <c r="S62" s="72">
        <f>(I48+N48)</f>
        <v>179</v>
      </c>
    </row>
    <row r="63" spans="1:19" s="58" customFormat="1" ht="11.25" x14ac:dyDescent="0.2">
      <c r="D63" s="59"/>
      <c r="O63" s="73" t="s">
        <v>21</v>
      </c>
      <c r="P63" s="74"/>
      <c r="Q63" s="74"/>
      <c r="R63" s="74"/>
      <c r="S63" s="61">
        <f>(Q48/S62)</f>
        <v>0.43523910614525135</v>
      </c>
    </row>
    <row r="64" spans="1:19" s="58" customFormat="1" ht="11.25" x14ac:dyDescent="0.2">
      <c r="D64" s="59"/>
    </row>
    <row r="65" spans="1:8" s="58" customFormat="1" ht="11.25" x14ac:dyDescent="0.2">
      <c r="D65" s="59"/>
    </row>
    <row r="66" spans="1:8" s="58" customFormat="1" ht="11.25" x14ac:dyDescent="0.2">
      <c r="D66" s="59"/>
    </row>
    <row r="67" spans="1:8" x14ac:dyDescent="0.25">
      <c r="A67" s="11"/>
      <c r="B67" s="11"/>
      <c r="C67" s="11"/>
      <c r="D67" s="23"/>
      <c r="E67" s="11"/>
      <c r="F67" s="11"/>
      <c r="G67" s="11"/>
      <c r="H67" s="11"/>
    </row>
    <row r="68" spans="1:8" x14ac:dyDescent="0.25">
      <c r="A68" s="11"/>
      <c r="B68" s="11"/>
      <c r="C68" s="11"/>
    </row>
    <row r="69" spans="1:8" x14ac:dyDescent="0.25">
      <c r="A69" s="11"/>
      <c r="B69" s="11"/>
      <c r="C69" s="11"/>
    </row>
    <row r="70" spans="1:8" x14ac:dyDescent="0.25">
      <c r="A70" s="11"/>
      <c r="B70" s="11"/>
      <c r="C70" s="11"/>
    </row>
    <row r="71" spans="1:8" x14ac:dyDescent="0.25">
      <c r="A71" s="11"/>
      <c r="B71" s="11"/>
      <c r="C71" s="11"/>
    </row>
  </sheetData>
  <mergeCells count="20">
    <mergeCell ref="A36:A39"/>
    <mergeCell ref="B36:B39"/>
    <mergeCell ref="G1:K1"/>
    <mergeCell ref="L1:P1"/>
    <mergeCell ref="A35:E35"/>
    <mergeCell ref="A3:A34"/>
    <mergeCell ref="B30:B34"/>
    <mergeCell ref="B3:B29"/>
    <mergeCell ref="C3:C11"/>
    <mergeCell ref="C12:C20"/>
    <mergeCell ref="C21:C29"/>
    <mergeCell ref="A51:M53"/>
    <mergeCell ref="O52:R52"/>
    <mergeCell ref="O57:R57"/>
    <mergeCell ref="A40:E40"/>
    <mergeCell ref="A41:A47"/>
    <mergeCell ref="B42:B43"/>
    <mergeCell ref="B44:B47"/>
    <mergeCell ref="A48:E48"/>
    <mergeCell ref="A49:E49"/>
  </mergeCells>
  <printOptions gridLines="1"/>
  <pageMargins left="0.7" right="0.7" top="0.75" bottom="0.75" header="0.3" footer="0.3"/>
  <pageSetup scale="41" orientation="landscape" r:id="rId1"/>
  <headerFooter>
    <oddHeader>&amp;LAppendix - Burden Table for The Study of Food Access and Well-Being</oddHeader>
  </headerFooter>
  <ignoredErrors>
    <ignoredError sqref="J49:P49 P45:S45 R35 P47:S47 J46:L46 O46:S46 J47:L47 N45 J45:L45 N44:S44 J44:L44 J48:K48 O39:S39 O38:S38 J38:L38 O36:S36 J36:L36 P37:S37 J37:K37 J39:L39 P40:S40 J40 J41:S43 J35:K35 M46:N46 T41:T43 N40:O40 M39:N39 M38:N38 L37:O37 T37 M36:N36 T36 T38 T39 T48 M44 M45 O45 M47:O47 T46 T47 T35 T45 M40 M48:P48 R48:S48 R49:S4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3E76C-E29A-4BFD-BA5E-827C94019907}">
  <dimension ref="A1:U39"/>
  <sheetViews>
    <sheetView topLeftCell="A6" workbookViewId="0">
      <selection activeCell="C16" sqref="C16"/>
    </sheetView>
  </sheetViews>
  <sheetFormatPr defaultColWidth="9.140625" defaultRowHeight="12.75" x14ac:dyDescent="0.2"/>
  <cols>
    <col min="1" max="1" width="9.140625" style="89"/>
    <col min="2" max="2" width="27.5703125" style="97" bestFit="1" customWidth="1"/>
    <col min="3" max="3" width="10.7109375" style="89" bestFit="1" customWidth="1"/>
    <col min="4" max="4" width="78.5703125" style="56" bestFit="1" customWidth="1"/>
    <col min="5" max="16384" width="9.140625" style="89"/>
  </cols>
  <sheetData>
    <row r="1" spans="1:21" s="87" customFormat="1" ht="26.25" thickBot="1" x14ac:dyDescent="0.25">
      <c r="A1" s="85" t="s">
        <v>22</v>
      </c>
      <c r="B1" s="85" t="s">
        <v>28</v>
      </c>
      <c r="C1" s="86" t="s">
        <v>29</v>
      </c>
      <c r="D1" s="85" t="s">
        <v>30</v>
      </c>
      <c r="N1" s="88"/>
      <c r="O1" s="88"/>
      <c r="P1" s="88"/>
      <c r="Q1" s="88"/>
      <c r="R1" s="88"/>
      <c r="S1" s="88"/>
      <c r="T1" s="88"/>
      <c r="U1" s="88"/>
    </row>
    <row r="2" spans="1:21" x14ac:dyDescent="0.2">
      <c r="A2" s="89" t="s">
        <v>48</v>
      </c>
      <c r="B2" s="90" t="s">
        <v>122</v>
      </c>
      <c r="C2" s="91">
        <v>19800</v>
      </c>
      <c r="D2" s="56" t="s">
        <v>82</v>
      </c>
      <c r="N2" s="11"/>
      <c r="O2" s="11"/>
      <c r="P2" s="11"/>
      <c r="Q2" s="11"/>
      <c r="R2" s="11"/>
      <c r="S2" s="11"/>
      <c r="T2" s="11"/>
      <c r="U2" s="11"/>
    </row>
    <row r="3" spans="1:21" x14ac:dyDescent="0.2">
      <c r="A3" s="89" t="s">
        <v>52</v>
      </c>
      <c r="B3" s="90" t="s">
        <v>24</v>
      </c>
      <c r="C3" s="91">
        <v>19800</v>
      </c>
      <c r="D3" s="56" t="s">
        <v>82</v>
      </c>
      <c r="N3" s="11"/>
      <c r="O3" s="11"/>
      <c r="P3" s="11"/>
      <c r="Q3" s="11"/>
      <c r="R3" s="11"/>
      <c r="S3" s="11"/>
      <c r="T3" s="11"/>
      <c r="U3" s="11"/>
    </row>
    <row r="4" spans="1:21" x14ac:dyDescent="0.2">
      <c r="A4" s="89" t="s">
        <v>53</v>
      </c>
      <c r="B4" s="90" t="s">
        <v>26</v>
      </c>
      <c r="C4" s="91">
        <v>19800</v>
      </c>
      <c r="D4" s="56" t="s">
        <v>82</v>
      </c>
    </row>
    <row r="5" spans="1:21" x14ac:dyDescent="0.2">
      <c r="A5" s="89" t="s">
        <v>50</v>
      </c>
      <c r="B5" s="90" t="s">
        <v>46</v>
      </c>
      <c r="C5" s="91">
        <v>17325</v>
      </c>
      <c r="D5" s="56" t="s">
        <v>83</v>
      </c>
    </row>
    <row r="6" spans="1:21" x14ac:dyDescent="0.2">
      <c r="A6" s="11" t="s">
        <v>54</v>
      </c>
      <c r="B6" s="103" t="s">
        <v>47</v>
      </c>
      <c r="C6" s="91">
        <v>13860</v>
      </c>
      <c r="D6" s="101" t="s">
        <v>84</v>
      </c>
    </row>
    <row r="7" spans="1:21" x14ac:dyDescent="0.2">
      <c r="A7" s="11" t="s">
        <v>55</v>
      </c>
      <c r="B7" s="103" t="s">
        <v>100</v>
      </c>
      <c r="C7" s="91">
        <v>10395</v>
      </c>
      <c r="D7" s="101" t="s">
        <v>85</v>
      </c>
    </row>
    <row r="8" spans="1:21" x14ac:dyDescent="0.2">
      <c r="A8" s="11" t="s">
        <v>56</v>
      </c>
      <c r="B8" s="103" t="s">
        <v>101</v>
      </c>
      <c r="C8" s="91">
        <v>3960</v>
      </c>
      <c r="D8" s="101" t="s">
        <v>86</v>
      </c>
    </row>
    <row r="9" spans="1:21" x14ac:dyDescent="0.2">
      <c r="A9" s="11" t="s">
        <v>51</v>
      </c>
      <c r="B9" s="103" t="s">
        <v>25</v>
      </c>
      <c r="C9" s="91">
        <v>2178</v>
      </c>
      <c r="D9" s="101" t="s">
        <v>103</v>
      </c>
    </row>
    <row r="10" spans="1:21" x14ac:dyDescent="0.2">
      <c r="A10" s="11" t="s">
        <v>57</v>
      </c>
      <c r="B10" s="103" t="s">
        <v>81</v>
      </c>
      <c r="C10" s="91">
        <v>19800</v>
      </c>
      <c r="D10" s="101" t="s">
        <v>140</v>
      </c>
    </row>
    <row r="11" spans="1:21" ht="38.25" x14ac:dyDescent="0.2">
      <c r="A11" s="11" t="s">
        <v>132</v>
      </c>
      <c r="B11" s="103" t="s">
        <v>32</v>
      </c>
      <c r="C11" s="104">
        <v>624</v>
      </c>
      <c r="D11" s="105" t="s">
        <v>141</v>
      </c>
    </row>
    <row r="12" spans="1:21" x14ac:dyDescent="0.2">
      <c r="A12" s="11" t="s">
        <v>58</v>
      </c>
      <c r="B12" s="103" t="s">
        <v>77</v>
      </c>
      <c r="C12" s="104">
        <v>624</v>
      </c>
      <c r="D12" s="101" t="s">
        <v>87</v>
      </c>
    </row>
    <row r="13" spans="1:21" x14ac:dyDescent="0.2">
      <c r="A13" s="11" t="s">
        <v>59</v>
      </c>
      <c r="B13" s="103" t="s">
        <v>72</v>
      </c>
      <c r="C13" s="104">
        <v>624</v>
      </c>
      <c r="D13" s="101" t="s">
        <v>88</v>
      </c>
    </row>
    <row r="14" spans="1:21" x14ac:dyDescent="0.2">
      <c r="A14" s="11" t="s">
        <v>60</v>
      </c>
      <c r="B14" s="103" t="s">
        <v>31</v>
      </c>
      <c r="C14" s="104">
        <v>624</v>
      </c>
      <c r="D14" s="101" t="s">
        <v>89</v>
      </c>
    </row>
    <row r="15" spans="1:21" x14ac:dyDescent="0.2">
      <c r="A15" s="11" t="s">
        <v>61</v>
      </c>
      <c r="B15" s="103" t="s">
        <v>78</v>
      </c>
      <c r="C15" s="104">
        <v>624</v>
      </c>
      <c r="D15" s="101" t="s">
        <v>90</v>
      </c>
    </row>
    <row r="16" spans="1:21" ht="25.5" x14ac:dyDescent="0.2">
      <c r="A16" s="11" t="s">
        <v>142</v>
      </c>
      <c r="B16" s="103" t="s">
        <v>138</v>
      </c>
      <c r="C16" s="104">
        <v>20112</v>
      </c>
      <c r="D16" s="105" t="s">
        <v>139</v>
      </c>
    </row>
    <row r="17" spans="1:5" s="93" customFormat="1" x14ac:dyDescent="0.2">
      <c r="B17" s="94"/>
      <c r="C17" s="95"/>
      <c r="D17" s="96"/>
    </row>
    <row r="18" spans="1:5" x14ac:dyDescent="0.2">
      <c r="A18" s="89" t="s">
        <v>133</v>
      </c>
      <c r="B18" s="90" t="s">
        <v>79</v>
      </c>
      <c r="C18" s="92">
        <v>96</v>
      </c>
      <c r="D18" s="56" t="s">
        <v>97</v>
      </c>
      <c r="E18" s="56"/>
    </row>
    <row r="19" spans="1:5" x14ac:dyDescent="0.2">
      <c r="A19" s="89" t="s">
        <v>62</v>
      </c>
      <c r="B19" s="97" t="s">
        <v>65</v>
      </c>
      <c r="C19" s="92">
        <v>96</v>
      </c>
      <c r="D19" s="56" t="s">
        <v>98</v>
      </c>
      <c r="E19" s="56"/>
    </row>
    <row r="20" spans="1:5" x14ac:dyDescent="0.2">
      <c r="A20" s="89" t="s">
        <v>49</v>
      </c>
      <c r="B20" s="90" t="s">
        <v>112</v>
      </c>
      <c r="C20" s="92">
        <v>96</v>
      </c>
      <c r="D20" s="98" t="s">
        <v>91</v>
      </c>
      <c r="E20" s="98"/>
    </row>
    <row r="21" spans="1:5" x14ac:dyDescent="0.2">
      <c r="A21" s="89" t="s">
        <v>63</v>
      </c>
      <c r="B21" s="97" t="s">
        <v>80</v>
      </c>
      <c r="C21" s="92">
        <v>96</v>
      </c>
      <c r="D21" s="56" t="s">
        <v>92</v>
      </c>
      <c r="E21" s="56"/>
    </row>
    <row r="22" spans="1:5" s="93" customFormat="1" x14ac:dyDescent="0.2">
      <c r="B22" s="94"/>
      <c r="C22" s="95"/>
      <c r="D22" s="96"/>
    </row>
    <row r="23" spans="1:5" x14ac:dyDescent="0.2">
      <c r="A23" s="89" t="s">
        <v>134</v>
      </c>
      <c r="B23" s="24" t="s">
        <v>102</v>
      </c>
      <c r="C23" s="99">
        <v>7</v>
      </c>
      <c r="D23" s="56" t="s">
        <v>135</v>
      </c>
    </row>
    <row r="24" spans="1:5" x14ac:dyDescent="0.2">
      <c r="A24" s="89" t="s">
        <v>64</v>
      </c>
      <c r="B24" s="24" t="s">
        <v>27</v>
      </c>
      <c r="C24" s="99">
        <v>38</v>
      </c>
      <c r="D24" s="56" t="s">
        <v>93</v>
      </c>
    </row>
    <row r="25" spans="1:5" x14ac:dyDescent="0.2">
      <c r="A25" s="89" t="s">
        <v>66</v>
      </c>
      <c r="B25" s="24" t="s">
        <v>80</v>
      </c>
      <c r="C25" s="99">
        <v>38</v>
      </c>
      <c r="D25" s="56" t="s">
        <v>93</v>
      </c>
    </row>
    <row r="26" spans="1:5" x14ac:dyDescent="0.2">
      <c r="A26" s="89" t="s">
        <v>67</v>
      </c>
      <c r="B26" s="90" t="s">
        <v>79</v>
      </c>
      <c r="C26" s="99">
        <v>24</v>
      </c>
      <c r="D26" s="56" t="s">
        <v>96</v>
      </c>
      <c r="E26" s="56"/>
    </row>
    <row r="27" spans="1:5" x14ac:dyDescent="0.2">
      <c r="A27" s="89" t="s">
        <v>68</v>
      </c>
      <c r="B27" s="24" t="s">
        <v>65</v>
      </c>
      <c r="C27" s="99">
        <v>24</v>
      </c>
      <c r="D27" s="56" t="s">
        <v>99</v>
      </c>
      <c r="E27" s="56"/>
    </row>
    <row r="28" spans="1:5" x14ac:dyDescent="0.2">
      <c r="A28" s="89" t="s">
        <v>69</v>
      </c>
      <c r="B28" s="90" t="s">
        <v>112</v>
      </c>
      <c r="C28" s="99">
        <v>24</v>
      </c>
      <c r="D28" s="56" t="s">
        <v>94</v>
      </c>
      <c r="E28" s="56"/>
    </row>
    <row r="29" spans="1:5" x14ac:dyDescent="0.2">
      <c r="A29" s="89" t="s">
        <v>70</v>
      </c>
      <c r="B29" s="24" t="s">
        <v>80</v>
      </c>
      <c r="C29" s="99">
        <v>24</v>
      </c>
      <c r="D29" s="56" t="s">
        <v>95</v>
      </c>
      <c r="E29" s="56"/>
    </row>
    <row r="32" spans="1:5" s="11" customFormat="1" x14ac:dyDescent="0.2">
      <c r="B32" s="100"/>
      <c r="D32" s="101"/>
    </row>
    <row r="33" spans="1:4" s="11" customFormat="1" x14ac:dyDescent="0.2">
      <c r="A33" s="11" t="s">
        <v>118</v>
      </c>
      <c r="B33" s="100"/>
      <c r="D33" s="101"/>
    </row>
    <row r="34" spans="1:4" x14ac:dyDescent="0.2">
      <c r="A34" s="102" t="s">
        <v>119</v>
      </c>
    </row>
    <row r="35" spans="1:4" x14ac:dyDescent="0.2">
      <c r="A35" s="11" t="s">
        <v>45</v>
      </c>
    </row>
    <row r="36" spans="1:4" x14ac:dyDescent="0.2">
      <c r="A36" s="11" t="s">
        <v>40</v>
      </c>
    </row>
    <row r="37" spans="1:4" x14ac:dyDescent="0.2">
      <c r="A37" s="11" t="s">
        <v>44</v>
      </c>
    </row>
    <row r="38" spans="1:4" x14ac:dyDescent="0.2">
      <c r="A38" s="11" t="s">
        <v>43</v>
      </c>
    </row>
    <row r="39" spans="1:4" x14ac:dyDescent="0.2">
      <c r="A39" s="11" t="s">
        <v>41</v>
      </c>
    </row>
  </sheetData>
  <phoneticPr fontId="3"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Burden Table</vt:lpstr>
      <vt:lpstr>Assumptions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2023-03-03T20:40:57Z</dcterms:created>
  <dcterms:modified xsi:type="dcterms:W3CDTF">2023-03-30T19:52:58Z</dcterms:modified>
</cp:coreProperties>
</file>