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S:\Tracy\ICRs - SPPD\FY2024\1564.12 Small Industrial-Commercial-Institutional Steam Generating units NSPS\Send to EPA\"/>
    </mc:Choice>
  </mc:AlternateContent>
  <xr:revisionPtr revIDLastSave="0" documentId="13_ncr:1_{8A26512C-8485-4041-B740-ABA9F2480E30}" xr6:coauthVersionLast="47" xr6:coauthVersionMax="47" xr10:uidLastSave="{00000000-0000-0000-0000-000000000000}"/>
  <bookViews>
    <workbookView xWindow="-28920" yWindow="-3765" windowWidth="29040" windowHeight="1644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9" i="3" l="1"/>
  <c r="D7" i="3"/>
  <c r="E7" i="3"/>
  <c r="E9" i="3"/>
  <c r="E6" i="3"/>
  <c r="B9" i="3"/>
  <c r="B7" i="3"/>
  <c r="B6" i="3"/>
  <c r="N6" i="3" l="1"/>
  <c r="N7" i="3" s="1"/>
  <c r="O7" i="3"/>
  <c r="O6" i="3"/>
  <c r="N5" i="3"/>
  <c r="O5" i="3"/>
  <c r="N4" i="3"/>
  <c r="O4" i="3"/>
  <c r="G7" i="3" l="1"/>
  <c r="G6" i="3"/>
  <c r="K5" i="3"/>
  <c r="K7" i="3"/>
  <c r="K6" i="3"/>
  <c r="K4" i="3"/>
  <c r="L7" i="3"/>
  <c r="L5" i="3"/>
  <c r="B8" i="4"/>
  <c r="C8" i="4"/>
  <c r="F8" i="4"/>
  <c r="B9" i="5" l="1"/>
  <c r="E18" i="1" l="1"/>
  <c r="E17" i="1"/>
  <c r="E16" i="1"/>
  <c r="D9" i="2" l="1"/>
  <c r="D8" i="2"/>
  <c r="D7" i="2"/>
  <c r="D6" i="2"/>
  <c r="D5" i="2"/>
  <c r="D4" i="2"/>
  <c r="F4" i="2" s="1"/>
  <c r="F15" i="1"/>
  <c r="F14" i="1"/>
  <c r="F18" i="1"/>
  <c r="G18" i="1" s="1"/>
  <c r="F17" i="1"/>
  <c r="G17" i="1" s="1"/>
  <c r="F16" i="1"/>
  <c r="D7" i="1"/>
  <c r="G4" i="2" l="1"/>
  <c r="H4" i="2"/>
  <c r="I4" i="2"/>
  <c r="H17" i="1"/>
  <c r="I17" i="1" s="1"/>
  <c r="H18" i="1"/>
  <c r="I18" i="1" s="1"/>
  <c r="G16" i="1"/>
  <c r="H16" i="1"/>
  <c r="G15" i="1"/>
  <c r="H15" i="1"/>
  <c r="G14" i="1"/>
  <c r="H14" i="1"/>
  <c r="I14" i="1" l="1"/>
  <c r="I15" i="1"/>
  <c r="I16" i="1"/>
  <c r="G9" i="3" l="1"/>
  <c r="G10" i="3" s="1"/>
  <c r="D6" i="3"/>
  <c r="D10" i="3" s="1"/>
  <c r="E7" i="5"/>
  <c r="E6" i="5"/>
  <c r="E5" i="5"/>
  <c r="E4" i="5"/>
  <c r="F5" i="4"/>
  <c r="C6" i="4" s="1"/>
  <c r="I10" i="3" l="1"/>
  <c r="B6" i="6"/>
  <c r="F9" i="1"/>
  <c r="F6" i="4"/>
  <c r="E9" i="5"/>
  <c r="E8" i="5"/>
  <c r="I32" i="1" l="1"/>
  <c r="C7" i="4"/>
  <c r="G9" i="1"/>
  <c r="H9" i="1"/>
  <c r="F7" i="4" l="1"/>
  <c r="I9" i="1"/>
  <c r="B3" i="6" l="1"/>
  <c r="E9" i="2"/>
  <c r="F9" i="2" s="1"/>
  <c r="E26" i="1"/>
  <c r="E19" i="1"/>
  <c r="F19" i="1" s="1"/>
  <c r="E7" i="1"/>
  <c r="F7" i="1" s="1"/>
  <c r="F8" i="2"/>
  <c r="G7" i="1" l="1"/>
  <c r="I7" i="1"/>
  <c r="H7" i="1"/>
  <c r="H19" i="1"/>
  <c r="G19" i="1"/>
  <c r="I19" i="1" s="1"/>
  <c r="H9" i="2"/>
  <c r="G9" i="2"/>
  <c r="G8" i="2"/>
  <c r="H8" i="2"/>
  <c r="E10" i="5"/>
  <c r="F26" i="1"/>
  <c r="F10" i="1"/>
  <c r="H10" i="1" s="1"/>
  <c r="B7" i="6" l="1"/>
  <c r="I9" i="2"/>
  <c r="I8" i="2"/>
  <c r="F7" i="2"/>
  <c r="H7" i="2" s="1"/>
  <c r="F6" i="2"/>
  <c r="H6" i="2" s="1"/>
  <c r="H26" i="1"/>
  <c r="G26" i="1"/>
  <c r="G10" i="1"/>
  <c r="I10" i="1" s="1"/>
  <c r="G7" i="2" l="1"/>
  <c r="I7" i="2" s="1"/>
  <c r="G6" i="2"/>
  <c r="I26" i="1"/>
  <c r="F30" i="1" l="1"/>
  <c r="I6" i="2"/>
  <c r="I30" i="1"/>
  <c r="F5" i="2" l="1"/>
  <c r="F21" i="1" l="1"/>
  <c r="G5" i="2"/>
  <c r="H5" i="2"/>
  <c r="F31" i="1" l="1"/>
  <c r="K30" i="1" s="1"/>
  <c r="B2" i="6" s="1"/>
  <c r="I21" i="1"/>
  <c r="F10" i="2"/>
  <c r="I5" i="2"/>
  <c r="I10" i="2" s="1"/>
  <c r="B4" i="6" l="1"/>
  <c r="I31" i="1"/>
  <c r="I33" i="1" l="1"/>
  <c r="B5" i="6" s="1"/>
</calcChain>
</file>

<file path=xl/sharedStrings.xml><?xml version="1.0" encoding="utf-8"?>
<sst xmlns="http://schemas.openxmlformats.org/spreadsheetml/2006/main" count="167" uniqueCount="141">
  <si>
    <t>ICR Summary Information</t>
  </si>
  <si>
    <t>Hours per Response</t>
  </si>
  <si>
    <t>Number of Respondents</t>
  </si>
  <si>
    <t>Total Estimated Burden Hours</t>
  </si>
  <si>
    <t>Total Estimated Costs</t>
  </si>
  <si>
    <t>Annualized Capital O&amp;M</t>
  </si>
  <si>
    <t>Total Annual Responses</t>
  </si>
  <si>
    <t>Form Number</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</si>
  <si>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</si>
  <si>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</si>
  <si>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</si>
  <si>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</si>
  <si>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</si>
  <si>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</si>
  <si>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</si>
  <si>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</si>
  <si>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</si>
  <si>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Labor Rates</t>
  </si>
  <si>
    <t>Management</t>
  </si>
  <si>
    <t>Technical</t>
  </si>
  <si>
    <t>Clerical</t>
  </si>
  <si>
    <t>Subtotal for Reporting Requirements</t>
  </si>
  <si>
    <t xml:space="preserve">Subtotal for Recordkeeping Requirements  </t>
  </si>
  <si>
    <t>hr/response</t>
  </si>
  <si>
    <r>
      <t xml:space="preserve">Total Labor Burden and Costs (rounded) </t>
    </r>
    <r>
      <rPr>
        <b/>
        <vertAlign val="superscript"/>
        <sz val="10"/>
        <rFont val="Times New Roman"/>
        <family val="1"/>
      </rPr>
      <t>i</t>
    </r>
  </si>
  <si>
    <r>
      <t>Total Capital and O&amp;M Cost (rounded)</t>
    </r>
    <r>
      <rPr>
        <b/>
        <vertAlign val="superscript"/>
        <sz val="10"/>
        <rFont val="Times New Roman"/>
        <family val="1"/>
      </rPr>
      <t xml:space="preserve"> i</t>
    </r>
  </si>
  <si>
    <r>
      <t xml:space="preserve">GRAND TOTAL (rounded) </t>
    </r>
    <r>
      <rPr>
        <b/>
        <vertAlign val="superscript"/>
        <sz val="10"/>
        <rFont val="Times New Roman"/>
        <family val="1"/>
      </rPr>
      <t>i</t>
    </r>
  </si>
  <si>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</si>
  <si>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</si>
  <si>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</si>
  <si>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</si>
  <si>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</si>
  <si>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</si>
  <si>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</si>
  <si>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</si>
  <si>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</si>
  <si>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 xml:space="preserve">Technical </t>
  </si>
  <si>
    <r>
      <t>Capital/Startup vs. Operation and Maintenance (O&amp;M) Costs</t>
    </r>
    <r>
      <rPr>
        <sz val="10"/>
        <color theme="1"/>
        <rFont val="Times New Roman"/>
        <family val="1"/>
      </rPr>
      <t> </t>
    </r>
  </si>
  <si>
    <t>(A)</t>
  </si>
  <si>
    <t>(B)</t>
  </si>
  <si>
    <t>(C)</t>
  </si>
  <si>
    <t>(D)</t>
  </si>
  <si>
    <t>(E)</t>
  </si>
  <si>
    <t>(F)</t>
  </si>
  <si>
    <t>(G)</t>
  </si>
  <si>
    <t>Continuous Monitoring Device</t>
  </si>
  <si>
    <t>Total Capital/Startup Cost,  (B X C)</t>
  </si>
  <si>
    <t>Total O&amp;M, 
(E X F)</t>
  </si>
  <si>
    <t>Information Collection Activity</t>
  </si>
  <si>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</si>
  <si>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</si>
  <si>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</si>
  <si>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</si>
  <si>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</si>
  <si>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</si>
  <si>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</si>
  <si>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</si>
  <si>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</si>
  <si>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</si>
  <si>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</si>
  <si>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</si>
  <si>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</si>
  <si>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</si>
  <si>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r>
      <t xml:space="preserve">CEMS, control device outlet only </t>
    </r>
    <r>
      <rPr>
        <vertAlign val="superscript"/>
        <sz val="10"/>
        <color rgb="FF000000"/>
        <rFont val="Times New Roman"/>
        <family val="1"/>
      </rPr>
      <t>a</t>
    </r>
  </si>
  <si>
    <t>PM Monitoring</t>
  </si>
  <si>
    <r>
      <t xml:space="preserve">COMS for sources burning coal, residual oil, or wood </t>
    </r>
    <r>
      <rPr>
        <vertAlign val="superscript"/>
        <sz val="10"/>
        <color rgb="FF000000"/>
        <rFont val="Times New Roman"/>
        <family val="1"/>
      </rPr>
      <t>b</t>
    </r>
  </si>
  <si>
    <t>Notification of construction/ reconstruction</t>
  </si>
  <si>
    <t>Notification of modification</t>
  </si>
  <si>
    <t>Notification of actual startup</t>
  </si>
  <si>
    <t>Notification of initial performance test</t>
  </si>
  <si>
    <t>Notifications of CEMS demonstration</t>
  </si>
  <si>
    <t>Semiannual compliance report</t>
  </si>
  <si>
    <t>Not Applicable</t>
  </si>
  <si>
    <r>
      <t>b</t>
    </r>
    <r>
      <rPr>
        <sz val="10"/>
        <rFont val="Times New Roman"/>
        <family val="1"/>
      </rPr>
      <t xml:space="preserve">  This ICR uses the following labor rates: Managerial $163.17 ($77.70+ 110%); Technical $130.28 (562.04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</si>
  <si>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b</t>
    </r>
    <r>
      <rPr>
        <sz val="10"/>
        <rFont val="Times New Roman"/>
        <family val="1"/>
      </rPr>
      <t xml:space="preserve">  This cost is based on the average hourly labor rate as follows: Managerial $73.46 (GS-13, Step 5, $45.91 + 60%); Technical $54.51 (GS-12, Step 1, $34.07 + 60%); and Clerical $29.50 (GS-6, Step 3, $18.44 + 60%). These rates are from the Office of Personnel Management (OPM), 2023 General Schedule, which excludes locality rates of pay. The rates have been increased by 60 percent to account for the benefit packages available to government employees.</t>
    </r>
  </si>
  <si>
    <t>Table 1: Annual Respondent Burden and Cost – NSPS for Small Industrial-Commercial-Institutional Steam Generating Units (40 CFR Part 60, Subpart Dc) (Renewal)</t>
  </si>
  <si>
    <t>Table 2: Average Annual EPA Burden and Cost – NSPS for Small Industrial-Commercial-Institutional Steam Generating Units (40 CFR Part 60, Subpart Dc) (Renewal)</t>
  </si>
  <si>
    <t>1.  Applications</t>
  </si>
  <si>
    <t>2.  Survey and Studies</t>
  </si>
  <si>
    <t>3.  Reporting requirements</t>
  </si>
  <si>
    <r>
      <t xml:space="preserve">A.  Familiarize with the regulatory requirements </t>
    </r>
    <r>
      <rPr>
        <vertAlign val="superscript"/>
        <sz val="10"/>
        <color theme="1"/>
        <rFont val="Times New Roman"/>
        <family val="1"/>
      </rPr>
      <t>c</t>
    </r>
  </si>
  <si>
    <t>B.  Required activities</t>
  </si>
  <si>
    <t>C.  Create information</t>
  </si>
  <si>
    <t>D.  Gather existing information</t>
  </si>
  <si>
    <t>E.  Write report</t>
  </si>
  <si>
    <t>Results of performance test</t>
  </si>
  <si>
    <t>N/A</t>
  </si>
  <si>
    <t>See 3B</t>
  </si>
  <si>
    <t>See 3E</t>
  </si>
  <si>
    <r>
      <t>c</t>
    </r>
    <r>
      <rPr>
        <sz val="10"/>
        <color theme="1"/>
        <rFont val="Times New Roman"/>
        <family val="1"/>
      </rPr>
      <t xml:space="preserve">  We have assumed that existing respondents will have to familiarize with the regulatory requirements each year.</t>
    </r>
  </si>
  <si>
    <r>
      <t>d</t>
    </r>
    <r>
      <rPr>
        <sz val="10"/>
        <color theme="1"/>
        <rFont val="Times New Roman"/>
        <family val="1"/>
      </rPr>
      <t xml:space="preserve">  We have assumed that four new respondents will each take two hours to write notification of construction/reconstruction report.</t>
    </r>
  </si>
  <si>
    <r>
      <t>e</t>
    </r>
    <r>
      <rPr>
        <sz val="10"/>
        <color theme="1"/>
        <rFont val="Times New Roman"/>
        <family val="1"/>
      </rPr>
      <t xml:space="preserve">  We have assumed that seven new respondents will each take two hours to write notification of modification report.</t>
    </r>
  </si>
  <si>
    <r>
      <t>h</t>
    </r>
    <r>
      <rPr>
        <sz val="10"/>
        <color theme="1"/>
        <rFont val="Times New Roman"/>
        <family val="1"/>
      </rPr>
      <t xml:space="preserve">  This estimate includes performance test (opacity) for coal, wood, and oil-fired steam generating units and test of continuous emissions monitor.</t>
    </r>
  </si>
  <si>
    <r>
      <t xml:space="preserve">i  </t>
    </r>
    <r>
      <rPr>
        <sz val="10"/>
        <color theme="1"/>
        <rFont val="Times New Roman"/>
        <family val="1"/>
      </rPr>
      <t>Totals have been rounded to 3 significant figures. Figures may not add exactly due to rounding.</t>
    </r>
  </si>
  <si>
    <t>4.  Recordkeeping requirements</t>
  </si>
  <si>
    <t>A.  Familiarize with the regulatory requirements</t>
  </si>
  <si>
    <t>B.  Plan activities</t>
  </si>
  <si>
    <t>C.  Implement activities</t>
  </si>
  <si>
    <t>D.  Develop record system</t>
  </si>
  <si>
    <t>E.  Check computer system, calibrate continuous monitors</t>
  </si>
  <si>
    <t>F.  Train personnel</t>
  </si>
  <si>
    <t>G.  Audits</t>
  </si>
  <si>
    <t>See 3A</t>
  </si>
  <si>
    <r>
      <t xml:space="preserve">Review of notification of construction/‌reconstruction </t>
    </r>
    <r>
      <rPr>
        <vertAlign val="superscript"/>
        <sz val="10"/>
        <color theme="1"/>
        <rFont val="Times New Roman"/>
        <family val="1"/>
      </rPr>
      <t>c</t>
    </r>
  </si>
  <si>
    <r>
      <t xml:space="preserve">Review of notification of modification </t>
    </r>
    <r>
      <rPr>
        <vertAlign val="superscript"/>
        <sz val="10"/>
        <color theme="1"/>
        <rFont val="Times New Roman"/>
        <family val="1"/>
      </rPr>
      <t>c</t>
    </r>
  </si>
  <si>
    <r>
      <t xml:space="preserve">Review of notification of actual startup </t>
    </r>
    <r>
      <rPr>
        <vertAlign val="superscript"/>
        <sz val="10"/>
        <color theme="1"/>
        <rFont val="Times New Roman"/>
        <family val="1"/>
      </rPr>
      <t>c</t>
    </r>
  </si>
  <si>
    <r>
      <t xml:space="preserve">Review of initial CEMS demonstration </t>
    </r>
    <r>
      <rPr>
        <vertAlign val="superscript"/>
        <sz val="10"/>
        <color theme="1"/>
        <rFont val="Times New Roman"/>
        <family val="1"/>
      </rPr>
      <t>c</t>
    </r>
  </si>
  <si>
    <r>
      <t xml:space="preserve">Review of demonstration of monitoring system </t>
    </r>
    <r>
      <rPr>
        <vertAlign val="superscript"/>
        <sz val="10"/>
        <color theme="1"/>
        <rFont val="Times New Roman"/>
        <family val="1"/>
      </rPr>
      <t>c</t>
    </r>
  </si>
  <si>
    <r>
      <t xml:space="preserve">Review of semiannual reports </t>
    </r>
    <r>
      <rPr>
        <vertAlign val="superscript"/>
        <sz val="10"/>
        <color theme="1"/>
        <rFont val="Times New Roman"/>
        <family val="1"/>
      </rPr>
      <t>d</t>
    </r>
  </si>
  <si>
    <r>
      <t>c</t>
    </r>
    <r>
      <rPr>
        <sz val="10"/>
        <color theme="1"/>
        <rFont val="Times New Roman"/>
        <family val="1"/>
      </rPr>
      <t xml:space="preserve">  We have assumed that occurrences/respondent for new facilities are based on an average of 1.7 affected facilities per respondent.</t>
    </r>
  </si>
  <si>
    <r>
      <t>d</t>
    </r>
    <r>
      <rPr>
        <sz val="10"/>
        <color theme="1"/>
        <rFont val="Times New Roman"/>
        <family val="1"/>
      </rPr>
      <t xml:space="preserve">  We have assumed that it will take 8 hours two times per year to review each semiannual report.</t>
    </r>
  </si>
  <si>
    <r>
      <t xml:space="preserve">e  </t>
    </r>
    <r>
      <rPr>
        <sz val="10"/>
        <color theme="1"/>
        <rFont val="Times New Roman"/>
        <family val="1"/>
      </rPr>
      <t>Totals have been rounded to 3 significant figures. Figures may not add exactly due to rounding.</t>
    </r>
  </si>
  <si>
    <r>
      <t xml:space="preserve">Performance test (2.9 - 8.7 MW) </t>
    </r>
    <r>
      <rPr>
        <vertAlign val="superscript"/>
        <sz val="10"/>
        <color theme="1"/>
        <rFont val="Times New Roman"/>
        <family val="1"/>
      </rPr>
      <t>d</t>
    </r>
  </si>
  <si>
    <r>
      <t xml:space="preserve">Performance test (8.7 – 29 MW) </t>
    </r>
    <r>
      <rPr>
        <vertAlign val="superscript"/>
        <sz val="10"/>
        <color theme="1"/>
        <rFont val="Times New Roman"/>
        <family val="1"/>
      </rPr>
      <t>e</t>
    </r>
  </si>
  <si>
    <r>
      <t xml:space="preserve">Notification of  construction/reconstruction </t>
    </r>
    <r>
      <rPr>
        <vertAlign val="superscript"/>
        <sz val="10"/>
        <color theme="1"/>
        <rFont val="Times New Roman"/>
        <family val="1"/>
      </rPr>
      <t>d, f</t>
    </r>
  </si>
  <si>
    <r>
      <t>f</t>
    </r>
    <r>
      <rPr>
        <sz val="10"/>
        <color theme="1"/>
        <rFont val="Times New Roman"/>
        <family val="1"/>
      </rPr>
      <t xml:space="preserve">  We have assumed that occurrences/respondents for new facilities are based on an average of 1.7 affected facilities per respondent, with an estimated 10 percent retest.</t>
    </r>
  </si>
  <si>
    <r>
      <t xml:space="preserve">Semiannual reports </t>
    </r>
    <r>
      <rPr>
        <vertAlign val="superscript"/>
        <sz val="10"/>
        <color theme="1"/>
        <rFont val="Times New Roman"/>
        <family val="1"/>
      </rPr>
      <t>g</t>
    </r>
  </si>
  <si>
    <r>
      <t>g</t>
    </r>
    <r>
      <rPr>
        <sz val="10"/>
        <color theme="1"/>
        <rFont val="Times New Roman"/>
        <family val="1"/>
      </rPr>
      <t xml:space="preserve">  We have assumed that all new respondents will each take 16 hours to write the semiannual report two times per year.</t>
    </r>
  </si>
  <si>
    <r>
      <t xml:space="preserve">Notification of modification </t>
    </r>
    <r>
      <rPr>
        <vertAlign val="superscript"/>
        <sz val="10"/>
        <color theme="1"/>
        <rFont val="Times New Roman"/>
        <family val="1"/>
      </rPr>
      <t>e, f</t>
    </r>
  </si>
  <si>
    <r>
      <t xml:space="preserve">Notification of actual startup </t>
    </r>
    <r>
      <rPr>
        <vertAlign val="superscript"/>
        <sz val="10"/>
        <color theme="1"/>
        <rFont val="Times New Roman"/>
        <family val="1"/>
      </rPr>
      <t>f</t>
    </r>
  </si>
  <si>
    <r>
      <t xml:space="preserve">Notification of initial performance test </t>
    </r>
    <r>
      <rPr>
        <vertAlign val="superscript"/>
        <sz val="10"/>
        <color theme="1"/>
        <rFont val="Times New Roman"/>
        <family val="1"/>
      </rPr>
      <t>f</t>
    </r>
  </si>
  <si>
    <r>
      <t xml:space="preserve">Notification of demo of CEMS </t>
    </r>
    <r>
      <rPr>
        <vertAlign val="superscript"/>
        <sz val="10"/>
        <color theme="1"/>
        <rFont val="Times New Roman"/>
        <family val="1"/>
      </rPr>
      <t>f, h</t>
    </r>
  </si>
  <si>
    <r>
      <t xml:space="preserve">TOTAL (rounded) </t>
    </r>
    <r>
      <rPr>
        <b/>
        <vertAlign val="superscript"/>
        <sz val="10"/>
        <rFont val="Times New Roman"/>
        <family val="1"/>
      </rPr>
      <t>e</t>
    </r>
  </si>
  <si>
    <r>
      <t>a</t>
    </r>
    <r>
      <rPr>
        <sz val="10"/>
        <rFont val="Times New Roman"/>
        <family val="1"/>
      </rPr>
      <t xml:space="preserve">  We have assumed that the average number of existing respondents that will be subject to the rule will be 345.  There will be 11 additional new sources per year that will become subject to the rule over the three-year period of this ICR, for a total of 356 respondents.</t>
    </r>
  </si>
  <si>
    <r>
      <t>SO</t>
    </r>
    <r>
      <rPr>
        <b/>
        <vertAlign val="subscript"/>
        <sz val="10"/>
        <color rgb="FF000000"/>
        <rFont val="Times New Roman"/>
        <family val="1"/>
      </rPr>
      <t>2</t>
    </r>
    <r>
      <rPr>
        <b/>
        <sz val="10"/>
        <color rgb="FF000000"/>
        <rFont val="Times New Roman"/>
        <family val="1"/>
      </rPr>
      <t xml:space="preserve"> Monitoring</t>
    </r>
  </si>
  <si>
    <r>
      <rPr>
        <vertAlign val="superscript"/>
        <sz val="10"/>
        <color theme="1"/>
        <rFont val="Times New Roman"/>
        <family val="1"/>
      </rPr>
      <t xml:space="preserve">a  </t>
    </r>
    <r>
      <rPr>
        <sz val="10"/>
        <color theme="1"/>
        <rFont val="Times New Roman"/>
        <family val="1"/>
      </rPr>
      <t>Number of respondents with O&amp;M (575 units) represents an annual average of 356 existing facilities, multiplied by an average of 1.7 affected units per facility, less an annual average of 31 units requiring inlet and outlet monitoring [356 x 1.7 = 605.2 - 31 = 574.2, rounded to 574 units]. Number of respondents with capital costs (19 units) represents an average of 11 new facilities per year, multiplied by an average of 1.7 affected units per facility [11 x 1.7 = 18.7, rounded to 19 units].</t>
    </r>
  </si>
  <si>
    <t>New SO2 Monitoring</t>
  </si>
  <si>
    <t>Old SO2 Monitoring</t>
  </si>
  <si>
    <t>New PM Monitoring</t>
  </si>
  <si>
    <t>Old PM Monitoring</t>
  </si>
  <si>
    <r>
      <rPr>
        <vertAlign val="superscript"/>
        <sz val="10"/>
        <color theme="1"/>
        <rFont val="Times New Roman"/>
        <family val="1"/>
      </rPr>
      <t xml:space="preserve">b  </t>
    </r>
    <r>
      <rPr>
        <sz val="10"/>
        <color theme="1"/>
        <rFont val="Times New Roman"/>
        <family val="1"/>
      </rPr>
      <t xml:space="preserve">Number of respondents with O&amp;M (147 units) represents an annual average of 142.4 existing affected facilities that require COMS, plus an average of 4.4 new affected facilities per year that require COMS [142.4/356 × 11 = 4.4 new affected facilities per year that require COMS; 142.4 + 4.4 = 146.8, rounded to 147 facilities that require COMS] Number of respondents with capital costs (7 units) represents an average of 4.4 new affected facilities per year that require COMS, multiplied by an average of 1.7 affected units per facility [4.4 x 1.7 = 7.48, rounded to 7 units].	</t>
    </r>
  </si>
  <si>
    <t>2022 CEPCI</t>
  </si>
  <si>
    <t>2007 CEPCI</t>
  </si>
  <si>
    <r>
      <t xml:space="preserve">Annual O&amp;M Costs for One Respondent </t>
    </r>
    <r>
      <rPr>
        <b/>
        <vertAlign val="superscript"/>
        <sz val="10"/>
        <color theme="1"/>
        <rFont val="Times New Roman"/>
        <family val="1"/>
      </rPr>
      <t>c</t>
    </r>
  </si>
  <si>
    <r>
      <t xml:space="preserve">Capital/Startup Cost for One Respondent </t>
    </r>
    <r>
      <rPr>
        <b/>
        <vertAlign val="superscript"/>
        <sz val="10"/>
        <color theme="1"/>
        <rFont val="Times New Roman"/>
        <family val="1"/>
      </rPr>
      <t>c</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</si>
  <si>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d</t>
    </r>
  </si>
  <si>
    <r>
      <rPr>
        <vertAlign val="superscript"/>
        <sz val="10"/>
        <color theme="1"/>
        <rFont val="Times New Roman"/>
        <family val="1"/>
      </rPr>
      <t>d</t>
    </r>
    <r>
      <rPr>
        <sz val="10"/>
        <color theme="1"/>
        <rFont val="Times New Roman"/>
        <family val="1"/>
      </rPr>
      <t xml:space="preserve"> Totals have been rounded to 3 significant digits. Figures may not add exactly due to rounding. </t>
    </r>
  </si>
  <si>
    <r>
      <rPr>
        <vertAlign val="superscript"/>
        <sz val="10"/>
        <color theme="1"/>
        <rFont val="Times New Roman"/>
        <family val="1"/>
      </rPr>
      <t>c</t>
    </r>
    <r>
      <rPr>
        <sz val="10"/>
        <color theme="1"/>
        <rFont val="Times New Roman"/>
        <family val="1"/>
      </rPr>
      <t xml:space="preserve"> Costs have been increased from 2007 to 2022 $ using the CEPCI Equipment Cost Index.</t>
    </r>
  </si>
  <si>
    <r>
      <t xml:space="preserve">CEMS, control device inlet and outlet </t>
    </r>
    <r>
      <rPr>
        <vertAlign val="superscript"/>
        <sz val="10"/>
        <color rgb="FF000000"/>
        <rFont val="Times New Roman"/>
        <family val="1"/>
      </rPr>
      <t>a</t>
    </r>
  </si>
  <si>
    <r>
      <t xml:space="preserve">Number of New  Respondents </t>
    </r>
    <r>
      <rPr>
        <b/>
        <vertAlign val="superscript"/>
        <sz val="10"/>
        <color theme="1"/>
        <rFont val="Times New Roman"/>
        <family val="1"/>
      </rPr>
      <t>a, b</t>
    </r>
  </si>
  <si>
    <r>
      <t>Number of Respondents with O&amp;M</t>
    </r>
    <r>
      <rPr>
        <b/>
        <vertAlign val="superscript"/>
        <sz val="10"/>
        <color theme="1"/>
        <rFont val="Times New Roman"/>
        <family val="1"/>
      </rPr>
      <t xml:space="preserve"> a,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</si>
</sst>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1" formatCode="_(* #,##0_);_(* \(#,##0\);_(* &quot;-&quot;_);_(@_)"/>
    <numFmt numFmtId="43" formatCode="_(* #,##0.00_);_(* \(#,##0.00\);_(* &quot;-&quot;??_);_(@_)"/>
    <numFmt numFmtId="164" formatCode="General_)"/>
    <numFmt numFmtId="165" formatCode="&quot;$&quot;#,##0.00"/>
    <numFmt numFmtId="166" formatCode="&quot;$&quot;#,##0"/>
    <numFmt numFmtId="167" formatCode="0.0"/>
  </numFmts>
  <fonts count="33"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8"/>
      <name val="Calibri"/>
      <family val="2"/>
      <scheme val="minor"/>
    </font>
    <font>
      <sz val="12"/>
      <color theme="1"/>
      <name val="Times New Roman"/>
      <family val="1"/>
    </font>
    <font>
      <sz val="12"/>
      <color rgb="FF000000"/>
      <name val="Times New Roman"/>
      <family val="1"/>
    </font>
    <font>
      <sz val="11"/>
      <color theme="1"/>
      <name val="Calibri"/>
      <family val="2"/>
      <scheme val="minor"/>
    </font>
    <font>
      <sz val="9"/>
      <color theme="1"/>
      <name val="Times New Roman"/>
      <family val="1"/>
    </font>
    <font>
      <sz val="11"/>
      <color rgb="FFFF0000"/>
      <name val="Calibri"/>
      <family val="2"/>
      <scheme val="minor"/>
    </font>
    <font>
      <b/>
      <vertAlign val="subscript"/>
      <sz val="10"/>
      <color rgb="FF000000"/>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164" fontId="11" fillId="0" borderId="0"/>
    <xf numFmtId="43" fontId="29" fillId="0" borderId="0" applyFont="0" applyFill="0" applyBorder="0" applyAlignment="0" applyProtection="0"/>
  </cellStyleXfs>
  <cellXfs count="134">
    <xf numFmtId="0" fontId="0" fillId="0" borderId="0" xfId="0"/>
    <xf numFmtId="0" fontId="2" fillId="0" borderId="0" xfId="0" applyFont="1"/>
    <xf numFmtId="0" fontId="2" fillId="0" borderId="1" xfId="0" applyFont="1" applyBorder="1" applyAlignment="1">
      <alignment horizontal="center" wrapText="1"/>
    </xf>
    <xf numFmtId="0" fontId="9" fillId="0" borderId="0" xfId="0" applyFont="1"/>
    <xf numFmtId="164" fontId="13" fillId="0" borderId="0" xfId="1" applyFont="1" applyAlignment="1">
      <alignment horizontal="center" vertical="center" wrapText="1"/>
    </xf>
    <xf numFmtId="164" fontId="10" fillId="0" borderId="0" xfId="1" applyFont="1" applyAlignment="1">
      <alignment horizontal="center" vertical="center" wrapText="1"/>
    </xf>
    <xf numFmtId="165" fontId="10" fillId="0" borderId="0" xfId="1" applyNumberFormat="1" applyFont="1" applyAlignment="1">
      <alignment horizontal="right" wrapText="1"/>
    </xf>
    <xf numFmtId="0" fontId="10" fillId="0" borderId="0" xfId="0" applyFont="1"/>
    <xf numFmtId="0" fontId="2" fillId="0" borderId="0" xfId="0" applyFont="1" applyAlignment="1">
      <alignment horizontal="right"/>
    </xf>
    <xf numFmtId="0" fontId="9" fillId="0" borderId="0" xfId="0" applyFont="1" applyAlignment="1">
      <alignment wrapText="1"/>
    </xf>
    <xf numFmtId="0" fontId="10" fillId="0" borderId="1" xfId="0" applyFont="1" applyBorder="1" applyAlignment="1">
      <alignment horizontal="center" wrapText="1"/>
    </xf>
    <xf numFmtId="8" fontId="10" fillId="0" borderId="1" xfId="0" applyNumberFormat="1" applyFont="1" applyBorder="1" applyAlignment="1">
      <alignment horizontal="right" wrapText="1"/>
    </xf>
    <xf numFmtId="6" fontId="21" fillId="0" borderId="2" xfId="0" applyNumberFormat="1" applyFont="1" applyBorder="1" applyAlignment="1">
      <alignment horizontal="right" wrapText="1"/>
    </xf>
    <xf numFmtId="0" fontId="18" fillId="0" borderId="0" xfId="0" applyFont="1"/>
    <xf numFmtId="0" fontId="15" fillId="0" borderId="1" xfId="0" applyFont="1" applyBorder="1"/>
    <xf numFmtId="41" fontId="18" fillId="0" borderId="0" xfId="0" applyNumberFormat="1" applyFont="1"/>
    <xf numFmtId="41" fontId="18" fillId="0" borderId="5" xfId="0" applyNumberFormat="1" applyFont="1" applyBorder="1"/>
    <xf numFmtId="164" fontId="13" fillId="0" borderId="0" xfId="1" applyFont="1" applyAlignment="1">
      <alignment wrapText="1"/>
    </xf>
    <xf numFmtId="0" fontId="24" fillId="0" borderId="0" xfId="0" applyFont="1"/>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3"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24" fillId="0" borderId="0" xfId="0" applyFont="1" applyAlignment="1">
      <alignment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5" fillId="0" borderId="0" xfId="0" applyFont="1" applyAlignment="1">
      <alignment vertical="top" wrapText="1"/>
    </xf>
    <xf numFmtId="165" fontId="10" fillId="0" borderId="1" xfId="0" applyNumberFormat="1" applyFont="1" applyBorder="1"/>
    <xf numFmtId="0" fontId="10" fillId="0" borderId="1" xfId="0" applyFont="1" applyBorder="1" applyAlignment="1">
      <alignment horizontal="center" vertical="center" wrapText="1"/>
    </xf>
    <xf numFmtId="0" fontId="2" fillId="0" borderId="1" xfId="0" applyFont="1" applyBorder="1" applyAlignment="1">
      <alignment horizontal="left" vertical="center" wrapText="1" indent="2"/>
    </xf>
    <xf numFmtId="0" fontId="1" fillId="0" borderId="0" xfId="0" applyFont="1"/>
    <xf numFmtId="0" fontId="2" fillId="0" borderId="1" xfId="0" applyFont="1" applyBorder="1" applyAlignment="1">
      <alignment horizontal="right"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1" fontId="2" fillId="0" borderId="1" xfId="0" applyNumberFormat="1" applyFont="1" applyBorder="1" applyAlignment="1">
      <alignment horizontal="center" vertical="center" wrapText="1"/>
    </xf>
    <xf numFmtId="6" fontId="7" fillId="0" borderId="1" xfId="0" applyNumberFormat="1" applyFont="1" applyBorder="1" applyAlignment="1">
      <alignment horizontal="right" wrapText="1"/>
    </xf>
    <xf numFmtId="8" fontId="2" fillId="0" borderId="1" xfId="0" applyNumberFormat="1" applyFont="1" applyBorder="1" applyAlignment="1">
      <alignment horizontal="right" wrapText="1"/>
    </xf>
    <xf numFmtId="0" fontId="10" fillId="0" borderId="1" xfId="0" applyFont="1" applyBorder="1" applyAlignment="1">
      <alignment horizontal="right" wrapText="1"/>
    </xf>
    <xf numFmtId="3" fontId="2" fillId="0" borderId="0" xfId="0" applyNumberFormat="1" applyFont="1"/>
    <xf numFmtId="0" fontId="3" fillId="0" borderId="0" xfId="0" applyFont="1"/>
    <xf numFmtId="0" fontId="2" fillId="0" borderId="0" xfId="0" applyFont="1" applyAlignment="1">
      <alignment vertical="top" wrapText="1"/>
    </xf>
    <xf numFmtId="41" fontId="10" fillId="0" borderId="0" xfId="0" applyNumberFormat="1" applyFont="1"/>
    <xf numFmtId="6" fontId="10" fillId="0" borderId="1" xfId="0" applyNumberFormat="1" applyFont="1" applyBorder="1" applyAlignment="1">
      <alignment horizontal="right" wrapText="1"/>
    </xf>
    <xf numFmtId="0" fontId="12" fillId="0" borderId="1" xfId="0" applyFont="1" applyBorder="1" applyAlignment="1">
      <alignment wrapText="1"/>
    </xf>
    <xf numFmtId="0" fontId="22"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8" fillId="0" borderId="0" xfId="0" applyFont="1" applyAlignment="1">
      <alignment vertical="top" wrapText="1"/>
    </xf>
    <xf numFmtId="3" fontId="7" fillId="0" borderId="0" xfId="0" applyNumberFormat="1" applyFont="1" applyAlignment="1">
      <alignment wrapText="1"/>
    </xf>
    <xf numFmtId="6" fontId="7" fillId="0" borderId="0" xfId="0" applyNumberFormat="1" applyFont="1" applyAlignment="1">
      <alignment horizontal="right" wrapText="1"/>
    </xf>
    <xf numFmtId="0" fontId="3" fillId="0" borderId="0" xfId="0" applyFont="1" applyAlignment="1">
      <alignment wrapText="1"/>
    </xf>
    <xf numFmtId="0" fontId="21" fillId="0" borderId="1" xfId="0" applyFont="1" applyBorder="1" applyAlignment="1">
      <alignment vertical="top" wrapText="1"/>
    </xf>
    <xf numFmtId="3" fontId="2" fillId="0" borderId="1" xfId="0" applyNumberFormat="1" applyFont="1" applyBorder="1" applyAlignment="1">
      <alignment horizontal="center" vertical="center" wrapText="1"/>
    </xf>
    <xf numFmtId="164" fontId="9" fillId="0" borderId="0" xfId="1" applyFont="1"/>
    <xf numFmtId="0" fontId="27" fillId="0" borderId="0" xfId="0" applyFont="1" applyAlignment="1">
      <alignment vertical="center" wrapText="1"/>
    </xf>
    <xf numFmtId="0" fontId="28" fillId="0" borderId="0" xfId="0" applyFont="1" applyAlignment="1">
      <alignment vertical="center" wrapText="1"/>
    </xf>
    <xf numFmtId="1" fontId="3"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6" fontId="24" fillId="0" borderId="0" xfId="0" applyNumberFormat="1" applyFont="1"/>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2" fillId="0" borderId="1" xfId="0" applyFont="1" applyBorder="1" applyAlignment="1">
      <alignment horizontal="center" vertical="top" wrapText="1"/>
    </xf>
    <xf numFmtId="0" fontId="10" fillId="0" borderId="1" xfId="0" applyFont="1" applyBorder="1" applyAlignment="1">
      <alignment horizontal="center" vertical="top" wrapText="1"/>
    </xf>
    <xf numFmtId="164" fontId="9" fillId="0" borderId="0" xfId="1" applyFont="1" applyAlignment="1">
      <alignment horizontal="left" vertical="center"/>
    </xf>
    <xf numFmtId="6" fontId="21" fillId="0" borderId="1" xfId="0" applyNumberFormat="1" applyFont="1" applyBorder="1" applyAlignment="1">
      <alignment horizontal="right" wrapText="1"/>
    </xf>
    <xf numFmtId="6" fontId="12" fillId="0" borderId="1" xfId="0" applyNumberFormat="1" applyFont="1" applyBorder="1" applyAlignment="1">
      <alignment horizontal="right" wrapText="1"/>
    </xf>
    <xf numFmtId="41" fontId="0" fillId="0" borderId="0" xfId="0" applyNumberFormat="1"/>
    <xf numFmtId="3" fontId="0" fillId="0" borderId="0" xfId="0" applyNumberFormat="1"/>
    <xf numFmtId="6" fontId="0" fillId="0" borderId="0" xfId="0" applyNumberFormat="1"/>
    <xf numFmtId="8" fontId="2" fillId="0" borderId="0" xfId="0" applyNumberFormat="1" applyFont="1"/>
    <xf numFmtId="0" fontId="3" fillId="0" borderId="7" xfId="0" applyFont="1" applyBorder="1" applyAlignment="1">
      <alignment horizontal="center" vertical="center" wrapText="1"/>
    </xf>
    <xf numFmtId="0" fontId="15" fillId="0" borderId="1" xfId="0" applyFont="1" applyBorder="1" applyAlignment="1">
      <alignment vertical="center" wrapText="1"/>
    </xf>
    <xf numFmtId="6" fontId="15" fillId="0" borderId="1" xfId="0" applyNumberFormat="1" applyFont="1" applyBorder="1" applyAlignment="1">
      <alignment horizontal="center" vertical="center" wrapText="1"/>
    </xf>
    <xf numFmtId="0" fontId="15" fillId="0" borderId="7" xfId="0" applyFont="1" applyBorder="1" applyAlignment="1">
      <alignment horizontal="center" vertical="center" wrapText="1"/>
    </xf>
    <xf numFmtId="0" fontId="30" fillId="0" borderId="1" xfId="0" applyFont="1" applyBorder="1" applyAlignment="1">
      <alignment horizontal="center" vertical="center" wrapText="1"/>
    </xf>
    <xf numFmtId="0" fontId="5"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xf>
    <xf numFmtId="0" fontId="10" fillId="0" borderId="1" xfId="0" applyFont="1" applyBorder="1" applyAlignment="1">
      <alignment horizontal="center"/>
    </xf>
    <xf numFmtId="3" fontId="10" fillId="0" borderId="1" xfId="0" applyNumberFormat="1" applyFont="1" applyBorder="1" applyAlignment="1">
      <alignment horizontal="center"/>
    </xf>
    <xf numFmtId="3" fontId="10" fillId="0" borderId="1" xfId="2" applyNumberFormat="1" applyFont="1" applyBorder="1" applyAlignment="1">
      <alignment horizontal="center"/>
    </xf>
    <xf numFmtId="0" fontId="31" fillId="0" borderId="0" xfId="0" applyFont="1"/>
    <xf numFmtId="0" fontId="25" fillId="0" borderId="0" xfId="0" applyFont="1"/>
    <xf numFmtId="2" fontId="24" fillId="0" borderId="0" xfId="0" applyNumberFormat="1" applyFont="1"/>
    <xf numFmtId="167" fontId="24" fillId="0" borderId="0" xfId="0" applyNumberFormat="1" applyFont="1"/>
    <xf numFmtId="1" fontId="15" fillId="0" borderId="1" xfId="0" applyNumberFormat="1" applyFont="1" applyBorder="1" applyAlignment="1">
      <alignment horizontal="center" vertical="center" wrapText="1"/>
    </xf>
    <xf numFmtId="167" fontId="0" fillId="0" borderId="0" xfId="0" applyNumberFormat="1"/>
    <xf numFmtId="0" fontId="0" fillId="0" borderId="1" xfId="0" applyBorder="1" applyAlignment="1">
      <alignment horizontal="center" vertical="center"/>
    </xf>
    <xf numFmtId="0" fontId="0" fillId="0" borderId="0" xfId="0" applyAlignment="1">
      <alignment horizontal="center"/>
    </xf>
    <xf numFmtId="0" fontId="19" fillId="0" borderId="0" xfId="0" applyFont="1" applyAlignment="1">
      <alignment horizontal="left" vertical="top" wrapText="1"/>
    </xf>
    <xf numFmtId="0" fontId="10" fillId="0" borderId="0" xfId="0" applyFont="1" applyAlignment="1">
      <alignment horizontal="left" vertical="top" wrapText="1"/>
    </xf>
    <xf numFmtId="0" fontId="15" fillId="0" borderId="1" xfId="0" applyFont="1" applyBorder="1" applyAlignment="1">
      <alignment horizontal="center"/>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3" fontId="6" fillId="0" borderId="2" xfId="0" applyNumberFormat="1" applyFont="1" applyBorder="1" applyAlignment="1">
      <alignment horizontal="center"/>
    </xf>
    <xf numFmtId="3" fontId="6" fillId="0" borderId="3" xfId="0" applyNumberFormat="1" applyFont="1" applyBorder="1" applyAlignment="1">
      <alignment horizontal="center"/>
    </xf>
    <xf numFmtId="3" fontId="6" fillId="0" borderId="4" xfId="0" applyNumberFormat="1" applyFont="1" applyBorder="1" applyAlignment="1">
      <alignment horizontal="center"/>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3" fontId="21" fillId="0" borderId="2" xfId="0" applyNumberFormat="1" applyFont="1" applyBorder="1" applyAlignment="1">
      <alignment horizontal="center" wrapText="1"/>
    </xf>
    <xf numFmtId="3" fontId="21" fillId="0" borderId="3" xfId="0" applyNumberFormat="1" applyFont="1" applyBorder="1" applyAlignment="1">
      <alignment horizontal="center" wrapText="1"/>
    </xf>
    <xf numFmtId="3" fontId="21" fillId="0" borderId="4" xfId="0" applyNumberFormat="1" applyFont="1" applyBorder="1" applyAlignment="1">
      <alignment horizontal="center" wrapText="1"/>
    </xf>
    <xf numFmtId="0" fontId="12" fillId="0" borderId="1" xfId="0" applyFont="1" applyBorder="1" applyAlignment="1">
      <alignment horizontal="center" wrapText="1"/>
    </xf>
    <xf numFmtId="3" fontId="12" fillId="0" borderId="1" xfId="0" applyNumberFormat="1" applyFont="1" applyBorder="1" applyAlignment="1">
      <alignment horizontal="center" wrapText="1"/>
    </xf>
    <xf numFmtId="0" fontId="19" fillId="0" borderId="0" xfId="0" applyFont="1" applyAlignment="1">
      <alignment horizontal="left" wrapText="1"/>
    </xf>
    <xf numFmtId="0" fontId="12" fillId="0" borderId="0" xfId="0" applyFont="1" applyAlignment="1">
      <alignment horizontal="left"/>
    </xf>
    <xf numFmtId="0" fontId="10" fillId="0" borderId="6" xfId="0" applyFont="1" applyBorder="1" applyAlignment="1">
      <alignment horizontal="left" vertical="top"/>
    </xf>
    <xf numFmtId="0" fontId="2" fillId="0" borderId="0" xfId="0" applyFont="1" applyAlignment="1">
      <alignment horizontal="left" vertical="top" wrapText="1"/>
    </xf>
    <xf numFmtId="0" fontId="2" fillId="0" borderId="0" xfId="0" applyFont="1" applyAlignment="1">
      <alignment vertical="center" wrapText="1"/>
    </xf>
    <xf numFmtId="0" fontId="24" fillId="0" borderId="0" xfId="0" applyFont="1" applyAlignment="1">
      <alignment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6" fillId="0" borderId="1" xfId="0" applyFont="1" applyBorder="1" applyAlignment="1">
      <alignment vertical="center" wrapText="1"/>
    </xf>
    <xf numFmtId="0" fontId="14" fillId="0" borderId="1" xfId="0" applyFont="1" applyBorder="1" applyAlignment="1">
      <alignment horizontal="center" vertical="center" wrapText="1"/>
    </xf>
  </cellXfs>
  <cellStyles count="3">
    <cellStyle name="Comma" xfId="2" builtinId="3"/>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I15" sqref="I15"/>
    </sheetView>
  </sheetViews>
  <sheetFormatPr defaultRowHeight="15" x14ac:dyDescent="0.25"/>
  <cols>
    <col min="1" max="1" width="27.85546875" bestFit="1" customWidth="1"/>
    <col min="2" max="2" width="14.28515625" customWidth="1"/>
  </cols>
  <sheetData>
    <row r="1" spans="1:2" x14ac:dyDescent="0.25">
      <c r="A1" s="103" t="s">
        <v>0</v>
      </c>
      <c r="B1" s="103"/>
    </row>
    <row r="2" spans="1:2" x14ac:dyDescent="0.25">
      <c r="A2" t="s">
        <v>1</v>
      </c>
      <c r="B2" s="81">
        <f>'Table 1'!K30</f>
        <v>306.30401626842911</v>
      </c>
    </row>
    <row r="3" spans="1:2" x14ac:dyDescent="0.25">
      <c r="A3" t="s">
        <v>2</v>
      </c>
      <c r="B3" s="81">
        <f>Respondents!F8</f>
        <v>356</v>
      </c>
    </row>
    <row r="4" spans="1:2" x14ac:dyDescent="0.25">
      <c r="A4" t="s">
        <v>3</v>
      </c>
      <c r="B4" s="82">
        <f>'Table 1'!F31</f>
        <v>241000</v>
      </c>
    </row>
    <row r="5" spans="1:2" x14ac:dyDescent="0.25">
      <c r="A5" t="s">
        <v>4</v>
      </c>
      <c r="B5" s="83">
        <f>'Table 1'!I33</f>
        <v>51700000</v>
      </c>
    </row>
    <row r="6" spans="1:2" x14ac:dyDescent="0.25">
      <c r="A6" t="s">
        <v>5</v>
      </c>
      <c r="B6" s="83">
        <f>'Capital O&amp;M'!I10</f>
        <v>21300000</v>
      </c>
    </row>
    <row r="7" spans="1:2" x14ac:dyDescent="0.25">
      <c r="A7" t="s">
        <v>6</v>
      </c>
      <c r="B7" s="81">
        <f>Responses!E10</f>
        <v>786.8</v>
      </c>
    </row>
    <row r="8" spans="1:2" x14ac:dyDescent="0.25">
      <c r="A8" t="s">
        <v>7</v>
      </c>
      <c r="B8" t="s">
        <v>72</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58"/>
  <sheetViews>
    <sheetView zoomScale="87" zoomScaleNormal="87" workbookViewId="0">
      <selection activeCell="A2" sqref="A2"/>
    </sheetView>
  </sheetViews>
  <sheetFormatPr defaultRowHeight="15" x14ac:dyDescent="0.25"/>
  <cols>
    <col min="1" max="1" width="44.140625" customWidth="1"/>
    <col min="2" max="8" width="11" customWidth="1"/>
    <col min="9" max="9" width="15.85546875" customWidth="1"/>
    <col min="10" max="10" width="6.7109375" customWidth="1"/>
    <col min="11" max="11" width="11.42578125" customWidth="1"/>
    <col min="12" max="12" width="7.7109375" customWidth="1"/>
    <col min="13" max="13" width="7.28515625" customWidth="1"/>
    <col min="14" max="14" width="12.140625" customWidth="1"/>
    <col min="21" max="21" width="11.7109375" customWidth="1"/>
  </cols>
  <sheetData>
    <row r="1" spans="1:21" ht="20.25" x14ac:dyDescent="0.3">
      <c r="A1" s="36" t="s">
        <v>75</v>
      </c>
      <c r="B1" s="1"/>
      <c r="C1" s="1"/>
      <c r="D1" s="1"/>
      <c r="E1" s="1"/>
      <c r="F1" s="1"/>
      <c r="G1" s="1"/>
      <c r="H1" s="1"/>
      <c r="I1" s="8"/>
      <c r="J1" s="1"/>
      <c r="K1" s="1"/>
      <c r="L1" s="1"/>
      <c r="M1" s="50"/>
      <c r="N1" s="13"/>
    </row>
    <row r="2" spans="1:21" s="1" customFormat="1" ht="12.75" x14ac:dyDescent="0.2">
      <c r="F2" s="7"/>
      <c r="G2" s="7"/>
      <c r="H2" s="7"/>
      <c r="I2" s="8"/>
      <c r="J2" s="3"/>
    </row>
    <row r="3" spans="1:21" s="1" customFormat="1" ht="76.5" x14ac:dyDescent="0.2">
      <c r="A3" s="20" t="s">
        <v>8</v>
      </c>
      <c r="B3" s="76" t="s">
        <v>9</v>
      </c>
      <c r="C3" s="76" t="s">
        <v>10</v>
      </c>
      <c r="D3" s="76" t="s">
        <v>11</v>
      </c>
      <c r="E3" s="76" t="s">
        <v>12</v>
      </c>
      <c r="F3" s="76" t="s">
        <v>13</v>
      </c>
      <c r="G3" s="76" t="s">
        <v>14</v>
      </c>
      <c r="H3" s="76" t="s">
        <v>15</v>
      </c>
      <c r="I3" s="76" t="s">
        <v>16</v>
      </c>
      <c r="J3" s="3"/>
      <c r="M3" s="51"/>
      <c r="N3" s="51"/>
      <c r="O3" s="51"/>
      <c r="P3" s="51"/>
      <c r="Q3" s="51"/>
      <c r="R3" s="51"/>
      <c r="S3" s="51"/>
      <c r="T3" s="51"/>
      <c r="U3" s="51"/>
    </row>
    <row r="4" spans="1:21" s="1" customFormat="1" ht="12.75" x14ac:dyDescent="0.2">
      <c r="A4" s="22" t="s">
        <v>77</v>
      </c>
      <c r="B4" s="20" t="s">
        <v>86</v>
      </c>
      <c r="C4" s="20"/>
      <c r="D4" s="20"/>
      <c r="E4" s="2"/>
      <c r="F4" s="2"/>
      <c r="G4" s="2"/>
      <c r="H4" s="2"/>
      <c r="I4" s="37"/>
      <c r="J4" s="3"/>
      <c r="K4" s="106" t="s">
        <v>17</v>
      </c>
      <c r="L4" s="106"/>
      <c r="O4" s="53"/>
      <c r="P4" s="53"/>
      <c r="Q4" s="53"/>
      <c r="R4" s="53"/>
      <c r="S4" s="53"/>
      <c r="T4" s="53"/>
      <c r="U4" s="54"/>
    </row>
    <row r="5" spans="1:21" s="1" customFormat="1" ht="12.75" x14ac:dyDescent="0.2">
      <c r="A5" s="22" t="s">
        <v>78</v>
      </c>
      <c r="B5" s="20" t="s">
        <v>86</v>
      </c>
      <c r="C5" s="20"/>
      <c r="D5" s="20"/>
      <c r="E5" s="20"/>
      <c r="F5" s="64"/>
      <c r="G5" s="40"/>
      <c r="H5" s="40"/>
      <c r="I5" s="39"/>
      <c r="J5" s="9"/>
      <c r="K5" s="14" t="s">
        <v>18</v>
      </c>
      <c r="L5" s="33">
        <v>163.16999999999999</v>
      </c>
      <c r="M5" s="52"/>
      <c r="N5" s="53"/>
      <c r="O5" s="53"/>
      <c r="P5" s="53"/>
      <c r="Q5" s="53"/>
      <c r="R5" s="55"/>
      <c r="S5" s="53"/>
      <c r="T5" s="53"/>
      <c r="U5" s="56"/>
    </row>
    <row r="6" spans="1:21" s="1" customFormat="1" ht="12.75" x14ac:dyDescent="0.2">
      <c r="A6" s="22" t="s">
        <v>79</v>
      </c>
      <c r="B6" s="20"/>
      <c r="C6" s="20"/>
      <c r="D6" s="20"/>
      <c r="E6" s="20"/>
      <c r="F6" s="20"/>
      <c r="G6" s="20"/>
      <c r="H6" s="20"/>
      <c r="I6" s="39"/>
      <c r="J6" s="3"/>
      <c r="K6" s="14" t="s">
        <v>19</v>
      </c>
      <c r="L6" s="33">
        <v>130.28</v>
      </c>
      <c r="M6" s="52"/>
      <c r="N6" s="53"/>
      <c r="O6" s="53"/>
      <c r="P6" s="53"/>
      <c r="Q6" s="53"/>
      <c r="R6" s="53"/>
      <c r="S6" s="53"/>
      <c r="T6" s="53"/>
      <c r="U6" s="56"/>
    </row>
    <row r="7" spans="1:21" s="1" customFormat="1" ht="15.75" x14ac:dyDescent="0.2">
      <c r="A7" s="38" t="s">
        <v>80</v>
      </c>
      <c r="B7" s="20">
        <v>2</v>
      </c>
      <c r="C7" s="20">
        <v>1</v>
      </c>
      <c r="D7" s="20">
        <f>B7*C7</f>
        <v>2</v>
      </c>
      <c r="E7" s="20">
        <f>Respondents!F8</f>
        <v>356</v>
      </c>
      <c r="F7" s="20">
        <f>D7*E7</f>
        <v>712</v>
      </c>
      <c r="G7" s="20">
        <f>F7*0.05</f>
        <v>35.6</v>
      </c>
      <c r="H7" s="20">
        <f>F7*0.1</f>
        <v>71.2</v>
      </c>
      <c r="I7" s="39">
        <f>F7*$L$6+G7*$L$5+H7*$L$7</f>
        <v>103246.764</v>
      </c>
      <c r="J7" s="3"/>
      <c r="K7" s="14" t="s">
        <v>20</v>
      </c>
      <c r="L7" s="33">
        <v>65.709999999999994</v>
      </c>
      <c r="M7" s="52"/>
      <c r="N7" s="53"/>
      <c r="O7" s="53"/>
      <c r="P7" s="53"/>
      <c r="Q7" s="53"/>
      <c r="R7" s="53"/>
      <c r="S7" s="53"/>
      <c r="T7" s="53"/>
      <c r="U7" s="56"/>
    </row>
    <row r="8" spans="1:21" s="1" customFormat="1" ht="12.75" x14ac:dyDescent="0.2">
      <c r="A8" s="38" t="s">
        <v>81</v>
      </c>
      <c r="B8" s="20"/>
      <c r="C8" s="20"/>
      <c r="D8" s="20"/>
      <c r="E8" s="20"/>
      <c r="F8" s="20"/>
      <c r="G8" s="20"/>
      <c r="H8" s="20"/>
      <c r="I8" s="39"/>
      <c r="J8" s="3"/>
      <c r="K8" s="65"/>
      <c r="L8" s="17"/>
      <c r="M8" s="52"/>
      <c r="N8" s="53"/>
      <c r="O8" s="53"/>
      <c r="P8" s="53"/>
      <c r="Q8" s="57"/>
      <c r="R8" s="57"/>
      <c r="S8" s="57"/>
      <c r="T8" s="57"/>
      <c r="U8" s="56"/>
    </row>
    <row r="9" spans="1:21" s="1" customFormat="1" ht="15.75" x14ac:dyDescent="0.2">
      <c r="A9" s="35" t="s">
        <v>112</v>
      </c>
      <c r="B9" s="20">
        <v>8</v>
      </c>
      <c r="C9" s="20">
        <v>2</v>
      </c>
      <c r="D9" s="20">
        <v>16</v>
      </c>
      <c r="E9" s="20">
        <v>7</v>
      </c>
      <c r="F9" s="91">
        <f>D9*E9</f>
        <v>112</v>
      </c>
      <c r="G9" s="91">
        <f>F9*0.05</f>
        <v>5.6000000000000005</v>
      </c>
      <c r="H9" s="91">
        <f>F9*0.1</f>
        <v>11.200000000000001</v>
      </c>
      <c r="I9" s="39">
        <f>F9*$L$6+G9*$L$5+H9*$L$7</f>
        <v>16241.064</v>
      </c>
      <c r="J9" s="3"/>
      <c r="K9" s="78"/>
      <c r="L9" s="4"/>
      <c r="M9" s="52"/>
      <c r="N9" s="53"/>
      <c r="O9" s="53"/>
      <c r="P9" s="53"/>
      <c r="Q9" s="57"/>
      <c r="R9" s="57"/>
      <c r="S9" s="57"/>
      <c r="T9" s="57"/>
      <c r="U9" s="56"/>
    </row>
    <row r="10" spans="1:21" s="1" customFormat="1" ht="15.75" x14ac:dyDescent="0.2">
      <c r="A10" s="35" t="s">
        <v>113</v>
      </c>
      <c r="B10" s="20">
        <v>330</v>
      </c>
      <c r="C10" s="20">
        <v>2</v>
      </c>
      <c r="D10" s="20">
        <v>660</v>
      </c>
      <c r="E10" s="20">
        <v>4</v>
      </c>
      <c r="F10" s="95">
        <f>D10*E10</f>
        <v>2640</v>
      </c>
      <c r="G10" s="95">
        <f>F10*0.05</f>
        <v>132</v>
      </c>
      <c r="H10" s="95">
        <f>F10*0.1</f>
        <v>264</v>
      </c>
      <c r="I10" s="39">
        <f>F10*$L$6+G10*$L$5+H10*$L$7</f>
        <v>382825.08</v>
      </c>
      <c r="J10" s="3"/>
      <c r="K10" s="4"/>
      <c r="L10" s="4"/>
      <c r="M10" s="52"/>
      <c r="N10" s="53"/>
      <c r="O10" s="53"/>
      <c r="P10" s="53"/>
      <c r="Q10" s="57"/>
      <c r="R10" s="57"/>
      <c r="S10" s="57"/>
      <c r="T10" s="57"/>
      <c r="U10" s="56"/>
    </row>
    <row r="11" spans="1:21" s="1" customFormat="1" ht="12.75" x14ac:dyDescent="0.2">
      <c r="A11" s="38" t="s">
        <v>82</v>
      </c>
      <c r="B11" s="20" t="s">
        <v>87</v>
      </c>
      <c r="C11" s="20"/>
      <c r="D11" s="20"/>
      <c r="E11" s="20"/>
      <c r="F11" s="91"/>
      <c r="G11" s="91"/>
      <c r="H11" s="91"/>
      <c r="I11" s="39"/>
      <c r="J11" s="3"/>
      <c r="K11" s="5"/>
      <c r="L11" s="6"/>
      <c r="M11" s="52"/>
      <c r="N11" s="53"/>
      <c r="O11" s="53"/>
      <c r="P11" s="53"/>
      <c r="Q11" s="57"/>
      <c r="R11" s="57"/>
      <c r="S11" s="58"/>
      <c r="T11" s="58"/>
      <c r="U11" s="56"/>
    </row>
    <row r="12" spans="1:21" s="1" customFormat="1" ht="12.75" x14ac:dyDescent="0.2">
      <c r="A12" s="38" t="s">
        <v>83</v>
      </c>
      <c r="B12" s="20" t="s">
        <v>88</v>
      </c>
      <c r="C12" s="20"/>
      <c r="D12" s="20"/>
      <c r="E12" s="20"/>
      <c r="F12" s="91"/>
      <c r="G12" s="91"/>
      <c r="H12" s="91"/>
      <c r="I12" s="39"/>
      <c r="J12" s="3"/>
      <c r="K12" s="5"/>
      <c r="L12" s="6"/>
      <c r="M12" s="52"/>
      <c r="N12" s="53"/>
      <c r="O12" s="53"/>
      <c r="P12" s="53"/>
      <c r="Q12" s="57"/>
      <c r="R12" s="57"/>
      <c r="S12" s="58"/>
      <c r="T12" s="58"/>
      <c r="U12" s="56"/>
    </row>
    <row r="13" spans="1:21" s="1" customFormat="1" ht="12.75" x14ac:dyDescent="0.2">
      <c r="A13" s="38" t="s">
        <v>84</v>
      </c>
      <c r="B13" s="20"/>
      <c r="C13" s="20"/>
      <c r="D13" s="20"/>
      <c r="E13" s="20"/>
      <c r="F13" s="91"/>
      <c r="G13" s="91"/>
      <c r="H13" s="91"/>
      <c r="I13" s="39"/>
      <c r="J13" s="3"/>
      <c r="K13" s="5"/>
      <c r="L13" s="6"/>
      <c r="M13" s="52"/>
      <c r="N13" s="53"/>
      <c r="O13" s="53"/>
      <c r="P13" s="53"/>
      <c r="Q13" s="57"/>
      <c r="R13" s="57"/>
      <c r="S13" s="58"/>
      <c r="T13" s="58"/>
      <c r="U13" s="56"/>
    </row>
    <row r="14" spans="1:21" s="1" customFormat="1" ht="15.75" x14ac:dyDescent="0.2">
      <c r="A14" s="35" t="s">
        <v>114</v>
      </c>
      <c r="B14" s="20">
        <v>2</v>
      </c>
      <c r="C14" s="20">
        <v>1.7</v>
      </c>
      <c r="D14" s="20">
        <v>3.4</v>
      </c>
      <c r="E14" s="20">
        <v>4</v>
      </c>
      <c r="F14" s="91">
        <f t="shared" ref="F14:F19" si="0">D14*E14</f>
        <v>13.6</v>
      </c>
      <c r="G14" s="91">
        <f t="shared" ref="G14:G19" si="1">F14*0.05</f>
        <v>0.68</v>
      </c>
      <c r="H14" s="91">
        <f t="shared" ref="H14:H19" si="2">F14*0.1</f>
        <v>1.36</v>
      </c>
      <c r="I14" s="39">
        <f t="shared" ref="I14:I19" si="3">F14*$L$6+G14*$L$5+H14*$L$7</f>
        <v>1972.1292000000001</v>
      </c>
      <c r="J14" s="3"/>
      <c r="K14" s="5"/>
      <c r="L14" s="6"/>
      <c r="M14" s="52"/>
      <c r="N14" s="53"/>
      <c r="O14" s="53"/>
      <c r="P14" s="53"/>
      <c r="Q14" s="57"/>
      <c r="R14" s="57"/>
      <c r="S14" s="58"/>
      <c r="T14" s="58"/>
      <c r="U14" s="56"/>
    </row>
    <row r="15" spans="1:21" s="1" customFormat="1" ht="15.75" x14ac:dyDescent="0.2">
      <c r="A15" s="35" t="s">
        <v>118</v>
      </c>
      <c r="B15" s="20">
        <v>2</v>
      </c>
      <c r="C15" s="20">
        <v>1.7</v>
      </c>
      <c r="D15" s="20">
        <v>3.4</v>
      </c>
      <c r="E15" s="20">
        <v>7</v>
      </c>
      <c r="F15" s="91">
        <f t="shared" si="0"/>
        <v>23.8</v>
      </c>
      <c r="G15" s="91">
        <f t="shared" si="1"/>
        <v>1.1900000000000002</v>
      </c>
      <c r="H15" s="91">
        <f t="shared" si="2"/>
        <v>2.3800000000000003</v>
      </c>
      <c r="I15" s="39">
        <f t="shared" si="3"/>
        <v>3451.2261000000003</v>
      </c>
      <c r="J15" s="3"/>
      <c r="K15" s="5"/>
      <c r="L15" s="6"/>
      <c r="M15" s="52"/>
      <c r="N15" s="53"/>
      <c r="O15" s="53"/>
      <c r="P15" s="53"/>
      <c r="Q15" s="57"/>
      <c r="R15" s="57"/>
      <c r="S15" s="58"/>
      <c r="T15" s="58"/>
      <c r="U15" s="56"/>
    </row>
    <row r="16" spans="1:21" s="1" customFormat="1" ht="15.75" x14ac:dyDescent="0.2">
      <c r="A16" s="35" t="s">
        <v>119</v>
      </c>
      <c r="B16" s="20">
        <v>2</v>
      </c>
      <c r="C16" s="20">
        <v>1.7</v>
      </c>
      <c r="D16" s="20">
        <v>3.4</v>
      </c>
      <c r="E16" s="20">
        <f>Respondents!B8</f>
        <v>11</v>
      </c>
      <c r="F16" s="91">
        <f t="shared" si="0"/>
        <v>37.4</v>
      </c>
      <c r="G16" s="91">
        <f t="shared" si="1"/>
        <v>1.87</v>
      </c>
      <c r="H16" s="91">
        <f t="shared" si="2"/>
        <v>3.74</v>
      </c>
      <c r="I16" s="39">
        <f t="shared" si="3"/>
        <v>5423.3553000000002</v>
      </c>
      <c r="J16" s="3"/>
      <c r="K16" s="5"/>
      <c r="L16" s="6"/>
      <c r="M16" s="52"/>
      <c r="N16" s="53"/>
      <c r="O16" s="53"/>
      <c r="P16" s="53"/>
      <c r="Q16" s="57"/>
      <c r="R16" s="57"/>
      <c r="S16" s="58"/>
      <c r="T16" s="58"/>
      <c r="U16" s="56"/>
    </row>
    <row r="17" spans="1:21" s="1" customFormat="1" ht="15.75" x14ac:dyDescent="0.2">
      <c r="A17" s="35" t="s">
        <v>120</v>
      </c>
      <c r="B17" s="20">
        <v>2</v>
      </c>
      <c r="C17" s="20">
        <v>1.7</v>
      </c>
      <c r="D17" s="20">
        <v>3.4</v>
      </c>
      <c r="E17" s="20">
        <f>Respondents!B8</f>
        <v>11</v>
      </c>
      <c r="F17" s="91">
        <f t="shared" si="0"/>
        <v>37.4</v>
      </c>
      <c r="G17" s="91">
        <f t="shared" si="1"/>
        <v>1.87</v>
      </c>
      <c r="H17" s="91">
        <f t="shared" si="2"/>
        <v>3.74</v>
      </c>
      <c r="I17" s="39">
        <f t="shared" si="3"/>
        <v>5423.3553000000002</v>
      </c>
      <c r="J17" s="3"/>
      <c r="K17" s="5"/>
      <c r="L17" s="6"/>
      <c r="M17" s="52"/>
      <c r="N17" s="53"/>
      <c r="O17" s="53"/>
      <c r="P17" s="53"/>
      <c r="Q17" s="57"/>
      <c r="R17" s="57"/>
      <c r="S17" s="58"/>
      <c r="T17" s="58"/>
      <c r="U17" s="56"/>
    </row>
    <row r="18" spans="1:21" s="1" customFormat="1" ht="15.75" x14ac:dyDescent="0.2">
      <c r="A18" s="35" t="s">
        <v>121</v>
      </c>
      <c r="B18" s="20">
        <v>2</v>
      </c>
      <c r="C18" s="20">
        <v>1.7</v>
      </c>
      <c r="D18" s="20">
        <v>3.4</v>
      </c>
      <c r="E18" s="20">
        <f>Respondents!B8</f>
        <v>11</v>
      </c>
      <c r="F18" s="91">
        <f t="shared" si="0"/>
        <v>37.4</v>
      </c>
      <c r="G18" s="91">
        <f t="shared" si="1"/>
        <v>1.87</v>
      </c>
      <c r="H18" s="91">
        <f t="shared" si="2"/>
        <v>3.74</v>
      </c>
      <c r="I18" s="39">
        <f t="shared" si="3"/>
        <v>5423.3553000000002</v>
      </c>
      <c r="J18" s="3"/>
      <c r="K18" s="5"/>
      <c r="L18" s="6"/>
      <c r="M18" s="52"/>
      <c r="N18" s="53"/>
      <c r="O18" s="53"/>
      <c r="P18" s="53"/>
      <c r="Q18" s="57"/>
      <c r="R18" s="57"/>
      <c r="S18" s="58"/>
      <c r="T18" s="58"/>
      <c r="U18" s="56"/>
    </row>
    <row r="19" spans="1:21" s="1" customFormat="1" ht="15.75" x14ac:dyDescent="0.2">
      <c r="A19" s="35" t="s">
        <v>116</v>
      </c>
      <c r="B19" s="20">
        <v>16</v>
      </c>
      <c r="C19" s="20">
        <v>2</v>
      </c>
      <c r="D19" s="20">
        <v>32</v>
      </c>
      <c r="E19" s="64">
        <f>Respondents!F8</f>
        <v>356</v>
      </c>
      <c r="F19" s="95">
        <f t="shared" si="0"/>
        <v>11392</v>
      </c>
      <c r="G19" s="95">
        <f t="shared" si="1"/>
        <v>569.6</v>
      </c>
      <c r="H19" s="95">
        <f t="shared" si="2"/>
        <v>1139.2</v>
      </c>
      <c r="I19" s="39">
        <f t="shared" si="3"/>
        <v>1651948.2239999999</v>
      </c>
      <c r="J19" s="3"/>
      <c r="K19" s="5"/>
      <c r="L19" s="6"/>
      <c r="M19" s="52"/>
      <c r="N19" s="53"/>
      <c r="O19" s="53"/>
      <c r="P19" s="53"/>
      <c r="Q19" s="57"/>
      <c r="R19" s="57"/>
      <c r="S19" s="58"/>
      <c r="T19" s="58"/>
      <c r="U19" s="56"/>
    </row>
    <row r="20" spans="1:21" s="1" customFormat="1" ht="12.75" x14ac:dyDescent="0.2">
      <c r="A20" s="35" t="s">
        <v>85</v>
      </c>
      <c r="B20" s="20" t="s">
        <v>87</v>
      </c>
      <c r="C20" s="20"/>
      <c r="D20" s="20"/>
      <c r="E20" s="20"/>
      <c r="F20" s="91"/>
      <c r="G20" s="91"/>
      <c r="H20" s="91"/>
      <c r="I20" s="39"/>
      <c r="J20" s="3"/>
      <c r="K20" s="5"/>
      <c r="L20" s="6"/>
      <c r="M20" s="52"/>
      <c r="N20" s="53"/>
      <c r="O20" s="53"/>
      <c r="P20" s="53"/>
      <c r="Q20" s="53"/>
      <c r="R20" s="53"/>
      <c r="S20" s="53"/>
      <c r="T20" s="53"/>
      <c r="U20" s="56"/>
    </row>
    <row r="21" spans="1:21" s="1" customFormat="1" ht="13.5" x14ac:dyDescent="0.25">
      <c r="A21" s="107" t="s">
        <v>21</v>
      </c>
      <c r="B21" s="108"/>
      <c r="C21" s="108"/>
      <c r="D21" s="108"/>
      <c r="E21" s="109"/>
      <c r="F21" s="110">
        <f>SUM(F5:H20)</f>
        <v>17256.439999999999</v>
      </c>
      <c r="G21" s="111"/>
      <c r="H21" s="112"/>
      <c r="I21" s="41">
        <f>SUM(I5:I20)</f>
        <v>2175954.5532</v>
      </c>
      <c r="J21" s="3"/>
      <c r="M21" s="52"/>
      <c r="N21" s="53"/>
      <c r="O21" s="53"/>
      <c r="P21" s="53"/>
      <c r="Q21" s="53"/>
      <c r="R21" s="53"/>
      <c r="S21" s="53"/>
      <c r="T21" s="53"/>
      <c r="U21" s="56"/>
    </row>
    <row r="22" spans="1:21" s="1" customFormat="1" ht="13.5" x14ac:dyDescent="0.25">
      <c r="A22" s="22" t="s">
        <v>94</v>
      </c>
      <c r="B22" s="20" t="s">
        <v>102</v>
      </c>
      <c r="C22" s="20"/>
      <c r="D22" s="20"/>
      <c r="E22" s="2"/>
      <c r="F22" s="92"/>
      <c r="G22" s="92"/>
      <c r="H22" s="92"/>
      <c r="I22" s="42"/>
      <c r="J22" s="3"/>
      <c r="K22" s="3"/>
      <c r="M22" s="59"/>
      <c r="N22" s="59"/>
      <c r="O22" s="59"/>
      <c r="P22" s="59"/>
      <c r="Q22" s="59"/>
      <c r="R22" s="60"/>
      <c r="S22" s="60"/>
      <c r="T22" s="60"/>
      <c r="U22" s="61"/>
    </row>
    <row r="23" spans="1:21" s="1" customFormat="1" ht="12.75" x14ac:dyDescent="0.2">
      <c r="A23" s="38" t="s">
        <v>95</v>
      </c>
      <c r="B23" s="20" t="s">
        <v>86</v>
      </c>
      <c r="C23" s="20"/>
      <c r="D23" s="20"/>
      <c r="E23" s="10"/>
      <c r="F23" s="93"/>
      <c r="G23" s="93"/>
      <c r="H23" s="93"/>
      <c r="I23" s="11"/>
      <c r="J23" s="3"/>
      <c r="K23" s="3"/>
      <c r="M23" s="52"/>
      <c r="N23" s="53"/>
      <c r="O23" s="53"/>
      <c r="P23" s="53"/>
      <c r="Q23" s="53"/>
      <c r="R23" s="53"/>
      <c r="S23" s="53"/>
      <c r="T23" s="53"/>
      <c r="U23" s="54"/>
    </row>
    <row r="24" spans="1:21" s="1" customFormat="1" ht="12.75" x14ac:dyDescent="0.2">
      <c r="A24" s="38" t="s">
        <v>96</v>
      </c>
      <c r="B24" s="20" t="s">
        <v>86</v>
      </c>
      <c r="C24" s="20"/>
      <c r="D24" s="20"/>
      <c r="E24" s="10"/>
      <c r="F24" s="94"/>
      <c r="G24" s="93"/>
      <c r="H24" s="93"/>
      <c r="I24" s="11"/>
      <c r="J24" s="3"/>
      <c r="K24" s="3"/>
      <c r="M24" s="52"/>
      <c r="N24" s="53"/>
      <c r="O24" s="53"/>
      <c r="P24" s="53"/>
      <c r="Q24" s="53"/>
      <c r="R24" s="53"/>
      <c r="S24" s="53"/>
      <c r="T24" s="53"/>
      <c r="U24" s="56"/>
    </row>
    <row r="25" spans="1:21" s="1" customFormat="1" ht="12.75" x14ac:dyDescent="0.2">
      <c r="A25" s="38" t="s">
        <v>97</v>
      </c>
      <c r="B25" s="20" t="s">
        <v>86</v>
      </c>
      <c r="C25" s="20"/>
      <c r="D25" s="20"/>
      <c r="E25" s="10"/>
      <c r="F25" s="93"/>
      <c r="G25" s="93"/>
      <c r="H25" s="93"/>
      <c r="I25" s="43"/>
      <c r="J25" s="3"/>
      <c r="M25" s="52"/>
      <c r="N25" s="53"/>
      <c r="O25" s="53"/>
      <c r="P25" s="53"/>
      <c r="Q25" s="53"/>
      <c r="R25" s="53"/>
      <c r="S25" s="53"/>
      <c r="T25" s="53"/>
      <c r="U25" s="56"/>
    </row>
    <row r="26" spans="1:21" s="1" customFormat="1" ht="12.75" x14ac:dyDescent="0.2">
      <c r="A26" s="38" t="s">
        <v>98</v>
      </c>
      <c r="B26" s="20">
        <v>1.5</v>
      </c>
      <c r="C26" s="20">
        <v>365</v>
      </c>
      <c r="D26" s="20">
        <v>547.5</v>
      </c>
      <c r="E26" s="64">
        <f>Respondents!F8</f>
        <v>356</v>
      </c>
      <c r="F26" s="95">
        <f t="shared" ref="F26" si="4">D26*E26</f>
        <v>194910</v>
      </c>
      <c r="G26" s="95">
        <f t="shared" ref="G26" si="5">F26*0.05</f>
        <v>9745.5</v>
      </c>
      <c r="H26" s="95">
        <f t="shared" ref="H26" si="6">F26*0.1</f>
        <v>19491</v>
      </c>
      <c r="I26" s="11">
        <f>F26*$L$6+G26*$L$5+H26*$L$7</f>
        <v>28263801.645</v>
      </c>
      <c r="J26" s="3"/>
      <c r="K26" s="3"/>
      <c r="M26" s="52"/>
      <c r="N26" s="53"/>
      <c r="O26" s="53"/>
      <c r="P26" s="53"/>
      <c r="Q26" s="53"/>
      <c r="R26" s="55"/>
      <c r="S26" s="53"/>
      <c r="T26" s="53"/>
      <c r="U26" s="56"/>
    </row>
    <row r="27" spans="1:21" s="1" customFormat="1" ht="24.6" customHeight="1" x14ac:dyDescent="0.2">
      <c r="A27" s="38" t="s">
        <v>99</v>
      </c>
      <c r="B27" s="20" t="s">
        <v>86</v>
      </c>
      <c r="C27" s="20"/>
      <c r="D27" s="20"/>
      <c r="E27" s="10"/>
      <c r="F27" s="10"/>
      <c r="G27" s="10"/>
      <c r="H27" s="10"/>
      <c r="I27" s="11"/>
      <c r="J27" s="3"/>
      <c r="K27" s="3"/>
      <c r="M27" s="52"/>
      <c r="N27" s="53"/>
      <c r="O27" s="53"/>
      <c r="P27" s="53"/>
      <c r="Q27" s="53"/>
      <c r="R27" s="53"/>
      <c r="S27" s="53"/>
      <c r="T27" s="53"/>
      <c r="U27" s="56"/>
    </row>
    <row r="28" spans="1:21" s="1" customFormat="1" ht="12.75" x14ac:dyDescent="0.2">
      <c r="A28" s="38" t="s">
        <v>100</v>
      </c>
      <c r="B28" s="20" t="s">
        <v>86</v>
      </c>
      <c r="C28" s="20"/>
      <c r="D28" s="20"/>
      <c r="E28" s="10"/>
      <c r="F28" s="10"/>
      <c r="G28" s="10"/>
      <c r="H28" s="10"/>
      <c r="I28" s="43"/>
      <c r="J28" s="3"/>
      <c r="K28" s="3"/>
      <c r="M28" s="52"/>
      <c r="N28" s="53"/>
      <c r="O28" s="53"/>
      <c r="P28" s="53"/>
      <c r="Q28" s="53"/>
      <c r="R28" s="53"/>
      <c r="S28" s="53"/>
      <c r="T28" s="53"/>
      <c r="U28" s="56"/>
    </row>
    <row r="29" spans="1:21" s="1" customFormat="1" ht="12.75" x14ac:dyDescent="0.2">
      <c r="A29" s="38" t="s">
        <v>101</v>
      </c>
      <c r="B29" s="23"/>
      <c r="C29" s="23"/>
      <c r="D29" s="23"/>
      <c r="E29" s="10"/>
      <c r="F29" s="10"/>
      <c r="G29" s="10"/>
      <c r="H29" s="10"/>
      <c r="I29" s="11"/>
      <c r="J29" s="3"/>
      <c r="K29" s="3"/>
      <c r="M29" s="52"/>
      <c r="N29" s="53"/>
      <c r="O29" s="53"/>
      <c r="P29" s="53"/>
      <c r="Q29" s="53"/>
      <c r="R29" s="53"/>
      <c r="S29" s="53"/>
      <c r="T29" s="53"/>
      <c r="U29" s="56"/>
    </row>
    <row r="30" spans="1:21" s="1" customFormat="1" ht="13.5" x14ac:dyDescent="0.25">
      <c r="A30" s="63" t="s">
        <v>22</v>
      </c>
      <c r="B30" s="113"/>
      <c r="C30" s="114"/>
      <c r="D30" s="114"/>
      <c r="E30" s="115"/>
      <c r="F30" s="119">
        <f>SUM(F22:H29)</f>
        <v>224146.5</v>
      </c>
      <c r="G30" s="120"/>
      <c r="H30" s="121"/>
      <c r="I30" s="12">
        <f>SUM(I22:I29)</f>
        <v>28263801.645</v>
      </c>
      <c r="J30" s="16"/>
      <c r="K30" s="47">
        <f>F31/Responses!E10</f>
        <v>306.30401626842911</v>
      </c>
      <c r="L30" s="47" t="s">
        <v>23</v>
      </c>
      <c r="M30" s="52"/>
      <c r="N30" s="53"/>
      <c r="O30" s="53"/>
      <c r="P30" s="53"/>
      <c r="Q30" s="53"/>
      <c r="R30" s="53"/>
      <c r="S30" s="53"/>
      <c r="T30" s="53"/>
      <c r="U30" s="56"/>
    </row>
    <row r="31" spans="1:21" s="1" customFormat="1" ht="13.5" customHeight="1" x14ac:dyDescent="0.25">
      <c r="A31" s="49" t="s">
        <v>24</v>
      </c>
      <c r="B31" s="116"/>
      <c r="C31" s="117"/>
      <c r="D31" s="117"/>
      <c r="E31" s="118"/>
      <c r="F31" s="119">
        <f>ROUND(SUM(F21,F30), -3)</f>
        <v>241000</v>
      </c>
      <c r="G31" s="120"/>
      <c r="H31" s="121"/>
      <c r="I31" s="12">
        <f>ROUND(SUM(I30,I21), -5)</f>
        <v>30400000</v>
      </c>
      <c r="J31" s="16"/>
      <c r="K31" s="15"/>
      <c r="L31" s="3"/>
      <c r="M31" s="52"/>
      <c r="N31" s="53"/>
      <c r="O31" s="53"/>
      <c r="P31" s="53"/>
      <c r="Q31" s="53"/>
      <c r="R31" s="53"/>
      <c r="S31" s="53"/>
      <c r="T31" s="53"/>
      <c r="U31" s="56"/>
    </row>
    <row r="32" spans="1:21" s="1" customFormat="1" ht="13.5" customHeight="1" x14ac:dyDescent="0.25">
      <c r="A32" s="49" t="s">
        <v>25</v>
      </c>
      <c r="B32" s="116"/>
      <c r="C32" s="117"/>
      <c r="D32" s="117"/>
      <c r="E32" s="117"/>
      <c r="F32" s="117"/>
      <c r="G32" s="117"/>
      <c r="H32" s="118"/>
      <c r="I32" s="79">
        <f>ROUND('Capital O&amp;M'!G10+'Capital O&amp;M'!D10,-5)</f>
        <v>21300000</v>
      </c>
      <c r="J32" s="3"/>
      <c r="M32" s="59"/>
      <c r="N32" s="59"/>
      <c r="O32" s="59"/>
      <c r="P32" s="59"/>
      <c r="Q32" s="59"/>
      <c r="R32" s="60"/>
      <c r="S32" s="60"/>
      <c r="T32" s="60"/>
      <c r="U32" s="61"/>
    </row>
    <row r="33" spans="1:21" s="1" customFormat="1" ht="13.5" customHeight="1" x14ac:dyDescent="0.25">
      <c r="A33" s="49" t="s">
        <v>26</v>
      </c>
      <c r="B33" s="116"/>
      <c r="C33" s="117"/>
      <c r="D33" s="117"/>
      <c r="E33" s="117"/>
      <c r="F33" s="117"/>
      <c r="G33" s="117"/>
      <c r="H33" s="118"/>
      <c r="I33" s="79">
        <f>ROUND(SUM(I31:I32), -3)</f>
        <v>51700000</v>
      </c>
      <c r="J33" s="3"/>
      <c r="M33" s="62"/>
      <c r="N33" s="62"/>
      <c r="O33" s="62"/>
      <c r="P33" s="62"/>
      <c r="Q33" s="62"/>
      <c r="R33" s="60"/>
      <c r="S33" s="60"/>
      <c r="T33" s="60"/>
      <c r="U33" s="61"/>
    </row>
    <row r="34" spans="1:21" s="1" customFormat="1" ht="13.5" x14ac:dyDescent="0.25">
      <c r="G34" s="44"/>
      <c r="I34" s="8"/>
      <c r="J34" s="3"/>
      <c r="M34" s="62"/>
      <c r="N34" s="62"/>
      <c r="O34" s="62"/>
      <c r="P34" s="62"/>
      <c r="Q34" s="62"/>
      <c r="R34" s="62"/>
      <c r="S34" s="62"/>
      <c r="T34" s="62"/>
      <c r="U34" s="61"/>
    </row>
    <row r="35" spans="1:21" s="1" customFormat="1" ht="13.5" x14ac:dyDescent="0.25">
      <c r="A35" s="45" t="s">
        <v>27</v>
      </c>
      <c r="I35" s="8"/>
      <c r="J35" s="3"/>
      <c r="M35" s="62"/>
      <c r="N35" s="62"/>
      <c r="O35" s="62"/>
      <c r="P35" s="62"/>
      <c r="Q35" s="62"/>
      <c r="R35" s="62"/>
      <c r="S35" s="62"/>
      <c r="T35" s="62"/>
      <c r="U35" s="61"/>
    </row>
    <row r="36" spans="1:21" s="1" customFormat="1" ht="34.5" customHeight="1" x14ac:dyDescent="0.2">
      <c r="A36" s="104" t="s">
        <v>123</v>
      </c>
      <c r="B36" s="105"/>
      <c r="C36" s="105"/>
      <c r="D36" s="105"/>
      <c r="E36" s="105"/>
      <c r="F36" s="105"/>
      <c r="G36" s="105"/>
      <c r="H36" s="105"/>
      <c r="I36" s="105"/>
      <c r="J36" s="3"/>
      <c r="M36" s="32"/>
      <c r="N36" s="32"/>
      <c r="O36" s="32"/>
      <c r="P36" s="32"/>
      <c r="Q36" s="32"/>
      <c r="R36" s="32"/>
      <c r="S36" s="32"/>
      <c r="T36" s="32"/>
      <c r="U36" s="32"/>
    </row>
    <row r="37" spans="1:21" s="1" customFormat="1" ht="59.25" customHeight="1" x14ac:dyDescent="0.2">
      <c r="A37" s="104" t="s">
        <v>73</v>
      </c>
      <c r="B37" s="104"/>
      <c r="C37" s="104"/>
      <c r="D37" s="104"/>
      <c r="E37" s="104"/>
      <c r="F37" s="104"/>
      <c r="G37" s="104"/>
      <c r="H37" s="104"/>
      <c r="I37" s="104"/>
      <c r="J37" s="3"/>
      <c r="M37" s="32"/>
      <c r="N37" s="32"/>
      <c r="O37" s="32"/>
      <c r="P37" s="32"/>
      <c r="Q37" s="32"/>
      <c r="R37" s="32"/>
      <c r="S37" s="32"/>
      <c r="T37" s="32"/>
      <c r="U37" s="32"/>
    </row>
    <row r="38" spans="1:21" s="1" customFormat="1" ht="19.149999999999999" customHeight="1" x14ac:dyDescent="0.2">
      <c r="A38" s="90" t="s">
        <v>89</v>
      </c>
      <c r="B38" s="46"/>
      <c r="C38" s="46"/>
      <c r="D38" s="46"/>
      <c r="E38" s="46"/>
      <c r="F38" s="46"/>
      <c r="G38" s="46"/>
      <c r="H38" s="46"/>
      <c r="I38" s="46"/>
      <c r="M38" s="32"/>
      <c r="N38" s="32"/>
      <c r="O38" s="32"/>
      <c r="P38" s="32"/>
      <c r="Q38" s="32"/>
      <c r="R38" s="32"/>
      <c r="S38" s="32"/>
      <c r="T38" s="32"/>
      <c r="U38" s="32"/>
    </row>
    <row r="39" spans="1:21" ht="15.75" x14ac:dyDescent="0.25">
      <c r="A39" s="90" t="s">
        <v>90</v>
      </c>
    </row>
    <row r="40" spans="1:21" ht="15.75" x14ac:dyDescent="0.25">
      <c r="A40" s="90" t="s">
        <v>91</v>
      </c>
    </row>
    <row r="41" spans="1:21" ht="15.75" x14ac:dyDescent="0.25">
      <c r="A41" s="90" t="s">
        <v>115</v>
      </c>
      <c r="J41" s="96"/>
    </row>
    <row r="42" spans="1:21" ht="15.75" x14ac:dyDescent="0.25">
      <c r="A42" s="90" t="s">
        <v>117</v>
      </c>
    </row>
    <row r="43" spans="1:21" ht="15.75" x14ac:dyDescent="0.25">
      <c r="A43" s="90" t="s">
        <v>92</v>
      </c>
      <c r="H43" s="96"/>
    </row>
    <row r="44" spans="1:21" ht="15.75" x14ac:dyDescent="0.25">
      <c r="A44" s="90" t="s">
        <v>93</v>
      </c>
      <c r="B44" s="66"/>
      <c r="C44" s="66"/>
    </row>
    <row r="45" spans="1:21" ht="15.75" x14ac:dyDescent="0.25">
      <c r="A45" s="66"/>
      <c r="B45" s="66"/>
      <c r="C45" s="66"/>
    </row>
    <row r="46" spans="1:21" ht="15.75" x14ac:dyDescent="0.25">
      <c r="A46" s="66"/>
      <c r="B46" s="66"/>
      <c r="C46" s="66"/>
    </row>
    <row r="47" spans="1:21" ht="15.75" x14ac:dyDescent="0.25">
      <c r="A47" s="67"/>
      <c r="B47" s="67"/>
      <c r="C47" s="67"/>
    </row>
    <row r="48" spans="1:21" ht="15.75" x14ac:dyDescent="0.25">
      <c r="A48" s="66"/>
      <c r="B48" s="66"/>
      <c r="C48" s="66"/>
    </row>
    <row r="49" spans="1:3" ht="15.75" x14ac:dyDescent="0.25">
      <c r="A49" s="66"/>
      <c r="B49" s="66"/>
      <c r="C49" s="66"/>
    </row>
    <row r="50" spans="1:3" ht="15.75" x14ac:dyDescent="0.25">
      <c r="A50" s="67"/>
      <c r="B50" s="67"/>
      <c r="C50" s="67"/>
    </row>
    <row r="51" spans="1:3" ht="15.75" x14ac:dyDescent="0.25">
      <c r="A51" s="67"/>
      <c r="B51" s="67"/>
      <c r="C51" s="67"/>
    </row>
    <row r="52" spans="1:3" ht="15.75" customHeight="1" x14ac:dyDescent="0.25">
      <c r="A52" s="66"/>
      <c r="B52" s="66"/>
      <c r="C52" s="66"/>
    </row>
    <row r="53" spans="1:3" ht="15" customHeight="1" x14ac:dyDescent="0.25">
      <c r="A53" s="66"/>
      <c r="B53" s="66"/>
      <c r="C53" s="66"/>
    </row>
    <row r="54" spans="1:3" ht="15.75" x14ac:dyDescent="0.25">
      <c r="A54" s="66"/>
      <c r="B54" s="66"/>
      <c r="C54" s="66"/>
    </row>
    <row r="55" spans="1:3" ht="15.75" x14ac:dyDescent="0.25">
      <c r="A55" s="67"/>
      <c r="B55" s="67"/>
      <c r="C55" s="67"/>
    </row>
    <row r="56" spans="1:3" ht="15.75" x14ac:dyDescent="0.25">
      <c r="A56" s="67"/>
      <c r="B56" s="66"/>
      <c r="C56" s="66"/>
    </row>
    <row r="57" spans="1:3" ht="15.75" x14ac:dyDescent="0.25">
      <c r="A57" s="66"/>
      <c r="B57" s="66"/>
      <c r="C57" s="66"/>
    </row>
    <row r="58" spans="1:3" ht="15.75" x14ac:dyDescent="0.25">
      <c r="A58" s="67"/>
      <c r="B58" s="66"/>
      <c r="C58" s="66"/>
    </row>
  </sheetData>
  <sortState xmlns:xlrd2="http://schemas.microsoft.com/office/spreadsheetml/2017/richdata2" ref="A43:C58">
    <sortCondition ref="C43:C58"/>
  </sortState>
  <mergeCells count="11">
    <mergeCell ref="A36:I36"/>
    <mergeCell ref="K4:L4"/>
    <mergeCell ref="A37:I37"/>
    <mergeCell ref="A21:E21"/>
    <mergeCell ref="F21:H21"/>
    <mergeCell ref="B30:E30"/>
    <mergeCell ref="B31:E31"/>
    <mergeCell ref="B32:H32"/>
    <mergeCell ref="B33:H33"/>
    <mergeCell ref="F30:H30"/>
    <mergeCell ref="F31:H31"/>
  </mergeCells>
  <phoneticPr fontId="26"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22"/>
  <sheetViews>
    <sheetView zoomScale="90" zoomScaleNormal="90" workbookViewId="0">
      <selection activeCell="A2" sqref="A2"/>
    </sheetView>
  </sheetViews>
  <sheetFormatPr defaultRowHeight="15" x14ac:dyDescent="0.25"/>
  <cols>
    <col min="1" max="1" width="37.5703125" customWidth="1"/>
    <col min="2" max="9" width="11.7109375" customWidth="1"/>
    <col min="10" max="10" width="8.140625" customWidth="1"/>
    <col min="11" max="11" width="11.85546875" customWidth="1"/>
  </cols>
  <sheetData>
    <row r="1" spans="1:12" ht="15.75" x14ac:dyDescent="0.25">
      <c r="A1" s="36" t="s">
        <v>76</v>
      </c>
      <c r="B1" s="1"/>
      <c r="C1" s="1"/>
      <c r="D1" s="1"/>
      <c r="E1" s="1"/>
      <c r="F1" s="1"/>
      <c r="G1" s="1"/>
      <c r="H1" s="1"/>
      <c r="I1" s="1"/>
    </row>
    <row r="2" spans="1:12" x14ac:dyDescent="0.25">
      <c r="A2" s="1"/>
      <c r="B2" s="1"/>
      <c r="C2" s="1"/>
      <c r="D2" s="1"/>
      <c r="E2" s="1"/>
      <c r="F2" s="7"/>
      <c r="G2" s="7"/>
      <c r="H2" s="7"/>
      <c r="I2" s="7"/>
    </row>
    <row r="3" spans="1:12" ht="76.5" x14ac:dyDescent="0.25">
      <c r="A3" s="34" t="s">
        <v>28</v>
      </c>
      <c r="B3" s="77" t="s">
        <v>29</v>
      </c>
      <c r="C3" s="77" t="s">
        <v>30</v>
      </c>
      <c r="D3" s="77" t="s">
        <v>31</v>
      </c>
      <c r="E3" s="77" t="s">
        <v>32</v>
      </c>
      <c r="F3" s="77" t="s">
        <v>13</v>
      </c>
      <c r="G3" s="77" t="s">
        <v>33</v>
      </c>
      <c r="H3" s="77" t="s">
        <v>34</v>
      </c>
      <c r="I3" s="77" t="s">
        <v>35</v>
      </c>
      <c r="J3" s="1"/>
      <c r="K3" s="1"/>
      <c r="L3" s="1"/>
    </row>
    <row r="4" spans="1:12" ht="28.5" x14ac:dyDescent="0.25">
      <c r="A4" s="22" t="s">
        <v>103</v>
      </c>
      <c r="B4" s="2">
        <v>2</v>
      </c>
      <c r="C4" s="2">
        <v>1.7</v>
      </c>
      <c r="D4" s="2">
        <f>B4*C4</f>
        <v>3.4</v>
      </c>
      <c r="E4" s="2">
        <v>4</v>
      </c>
      <c r="F4" s="10">
        <f t="shared" ref="F4" si="0">D4*E4</f>
        <v>13.6</v>
      </c>
      <c r="G4" s="10">
        <f t="shared" ref="G4" si="1">F4*0.05</f>
        <v>0.68</v>
      </c>
      <c r="H4" s="10">
        <f t="shared" ref="H4" si="2">F4*0.1</f>
        <v>1.36</v>
      </c>
      <c r="I4" s="11">
        <f t="shared" ref="I4:I9" si="3">F4*$L$6+G4*$L$5+H4*$L$7</f>
        <v>831.40879999999993</v>
      </c>
      <c r="J4" s="1"/>
      <c r="K4" s="106" t="s">
        <v>17</v>
      </c>
      <c r="L4" s="106"/>
    </row>
    <row r="5" spans="1:12" ht="15.75" x14ac:dyDescent="0.25">
      <c r="A5" s="22" t="s">
        <v>104</v>
      </c>
      <c r="B5" s="2">
        <v>2</v>
      </c>
      <c r="C5" s="2">
        <v>1.7</v>
      </c>
      <c r="D5" s="2">
        <f t="shared" ref="D5:D9" si="4">B5*C5</f>
        <v>3.4</v>
      </c>
      <c r="E5" s="2">
        <v>7</v>
      </c>
      <c r="F5" s="10">
        <f t="shared" ref="F5:F7" si="5">D5*E5</f>
        <v>23.8</v>
      </c>
      <c r="G5" s="10">
        <f t="shared" ref="G5:G7" si="6">F5*0.05</f>
        <v>1.1900000000000002</v>
      </c>
      <c r="H5" s="10">
        <f t="shared" ref="H5:H7" si="7">F5*0.1</f>
        <v>2.3800000000000003</v>
      </c>
      <c r="I5" s="11">
        <f t="shared" si="3"/>
        <v>1454.9654</v>
      </c>
      <c r="J5" s="1"/>
      <c r="K5" s="14" t="s">
        <v>18</v>
      </c>
      <c r="L5" s="33">
        <v>73.459999999999994</v>
      </c>
    </row>
    <row r="6" spans="1:12" ht="15.75" x14ac:dyDescent="0.25">
      <c r="A6" s="22" t="s">
        <v>105</v>
      </c>
      <c r="B6" s="2">
        <v>2</v>
      </c>
      <c r="C6" s="2">
        <v>1.7</v>
      </c>
      <c r="D6" s="2">
        <f t="shared" si="4"/>
        <v>3.4</v>
      </c>
      <c r="E6" s="2">
        <v>11</v>
      </c>
      <c r="F6" s="10">
        <f t="shared" si="5"/>
        <v>37.4</v>
      </c>
      <c r="G6" s="10">
        <f t="shared" si="6"/>
        <v>1.87</v>
      </c>
      <c r="H6" s="10">
        <f t="shared" si="7"/>
        <v>3.74</v>
      </c>
      <c r="I6" s="48">
        <f t="shared" si="3"/>
        <v>2286.3741999999997</v>
      </c>
      <c r="J6" s="1"/>
      <c r="K6" s="14" t="s">
        <v>36</v>
      </c>
      <c r="L6" s="33">
        <v>54.51</v>
      </c>
    </row>
    <row r="7" spans="1:12" ht="15.75" x14ac:dyDescent="0.25">
      <c r="A7" s="22" t="s">
        <v>106</v>
      </c>
      <c r="B7" s="2">
        <v>2</v>
      </c>
      <c r="C7" s="2">
        <v>1.7</v>
      </c>
      <c r="D7" s="2">
        <f t="shared" si="4"/>
        <v>3.4</v>
      </c>
      <c r="E7" s="2">
        <v>11</v>
      </c>
      <c r="F7" s="10">
        <f t="shared" si="5"/>
        <v>37.4</v>
      </c>
      <c r="G7" s="10">
        <f t="shared" si="6"/>
        <v>1.87</v>
      </c>
      <c r="H7" s="10">
        <f t="shared" si="7"/>
        <v>3.74</v>
      </c>
      <c r="I7" s="11">
        <f t="shared" si="3"/>
        <v>2286.3741999999997</v>
      </c>
      <c r="J7" s="1"/>
      <c r="K7" s="14" t="s">
        <v>20</v>
      </c>
      <c r="L7" s="33">
        <v>29.5</v>
      </c>
    </row>
    <row r="8" spans="1:12" ht="28.5" x14ac:dyDescent="0.25">
      <c r="A8" s="22" t="s">
        <v>107</v>
      </c>
      <c r="B8" s="2">
        <v>2</v>
      </c>
      <c r="C8" s="2">
        <v>1.7</v>
      </c>
      <c r="D8" s="2">
        <f t="shared" si="4"/>
        <v>3.4</v>
      </c>
      <c r="E8" s="2">
        <v>11</v>
      </c>
      <c r="F8" s="10">
        <f t="shared" ref="F8:F9" si="8">D8*E8</f>
        <v>37.4</v>
      </c>
      <c r="G8" s="10">
        <f t="shared" ref="G8:G9" si="9">F8*0.05</f>
        <v>1.87</v>
      </c>
      <c r="H8" s="10">
        <f t="shared" ref="H8:H9" si="10">F8*0.1</f>
        <v>3.74</v>
      </c>
      <c r="I8" s="11">
        <f t="shared" si="3"/>
        <v>2286.3741999999997</v>
      </c>
      <c r="J8" s="13"/>
      <c r="K8" s="13"/>
      <c r="L8" s="1"/>
    </row>
    <row r="9" spans="1:12" ht="19.5" customHeight="1" x14ac:dyDescent="0.25">
      <c r="A9" s="22" t="s">
        <v>108</v>
      </c>
      <c r="B9" s="2">
        <v>8</v>
      </c>
      <c r="C9" s="2">
        <v>2</v>
      </c>
      <c r="D9" s="2">
        <f t="shared" si="4"/>
        <v>16</v>
      </c>
      <c r="E9" s="2">
        <f>Respondents!F8</f>
        <v>356</v>
      </c>
      <c r="F9" s="10">
        <f t="shared" si="8"/>
        <v>5696</v>
      </c>
      <c r="G9" s="10">
        <f t="shared" si="9"/>
        <v>284.8</v>
      </c>
      <c r="H9" s="10">
        <f t="shared" si="10"/>
        <v>569.6</v>
      </c>
      <c r="I9" s="11">
        <f t="shared" si="3"/>
        <v>348213.56799999997</v>
      </c>
      <c r="J9" s="13"/>
      <c r="K9" s="13"/>
      <c r="L9" s="3"/>
    </row>
    <row r="10" spans="1:12" ht="15" customHeight="1" x14ac:dyDescent="0.25">
      <c r="A10" s="49" t="s">
        <v>122</v>
      </c>
      <c r="B10" s="122"/>
      <c r="C10" s="122"/>
      <c r="D10" s="122"/>
      <c r="E10" s="122"/>
      <c r="F10" s="123">
        <f>ROUND(SUM(F4:H9), -1)</f>
        <v>6720</v>
      </c>
      <c r="G10" s="123"/>
      <c r="H10" s="123"/>
      <c r="I10" s="80">
        <f>ROUND(SUM(I4:I9), -3)</f>
        <v>357000</v>
      </c>
      <c r="J10" s="1"/>
      <c r="K10" s="1"/>
      <c r="L10" s="1"/>
    </row>
    <row r="11" spans="1:12" ht="9.75" customHeight="1" x14ac:dyDescent="0.25">
      <c r="A11" s="126"/>
      <c r="B11" s="126"/>
      <c r="C11" s="126"/>
      <c r="D11" s="126"/>
      <c r="E11" s="126"/>
      <c r="F11" s="126"/>
      <c r="G11" s="126"/>
      <c r="H11" s="126"/>
      <c r="I11" s="126"/>
      <c r="J11" s="1"/>
      <c r="K11" s="1"/>
      <c r="L11" s="1"/>
    </row>
    <row r="12" spans="1:12" ht="18.75" customHeight="1" x14ac:dyDescent="0.25">
      <c r="A12" s="125" t="s">
        <v>27</v>
      </c>
      <c r="B12" s="125"/>
      <c r="C12" s="125"/>
      <c r="D12" s="125"/>
      <c r="E12" s="125"/>
      <c r="F12" s="125"/>
      <c r="G12" s="125"/>
      <c r="H12" s="125"/>
      <c r="I12" s="125"/>
      <c r="J12" s="1"/>
      <c r="K12" s="1"/>
      <c r="L12" s="1"/>
    </row>
    <row r="13" spans="1:12" ht="32.25" customHeight="1" x14ac:dyDescent="0.25">
      <c r="A13" s="124" t="s">
        <v>123</v>
      </c>
      <c r="B13" s="124"/>
      <c r="C13" s="124"/>
      <c r="D13" s="124"/>
      <c r="E13" s="124"/>
      <c r="F13" s="124"/>
      <c r="G13" s="124"/>
      <c r="H13" s="124"/>
      <c r="I13" s="124"/>
      <c r="J13" s="1"/>
      <c r="K13" s="1"/>
      <c r="L13" s="1"/>
    </row>
    <row r="14" spans="1:12" ht="43.15" customHeight="1" x14ac:dyDescent="0.25">
      <c r="A14" s="124" t="s">
        <v>74</v>
      </c>
      <c r="B14" s="124"/>
      <c r="C14" s="124"/>
      <c r="D14" s="124"/>
      <c r="E14" s="124"/>
      <c r="F14" s="124"/>
      <c r="G14" s="124"/>
      <c r="H14" s="124"/>
      <c r="I14" s="124"/>
      <c r="J14" s="1"/>
      <c r="K14" s="1"/>
      <c r="L14" s="1"/>
    </row>
    <row r="15" spans="1:12" ht="15.75" x14ac:dyDescent="0.25">
      <c r="A15" s="90" t="s">
        <v>109</v>
      </c>
      <c r="B15" s="1"/>
      <c r="C15" s="1"/>
      <c r="D15" s="1"/>
      <c r="E15" s="1"/>
      <c r="F15" s="1"/>
      <c r="G15" s="1"/>
      <c r="H15" s="1"/>
      <c r="I15" s="1"/>
      <c r="J15" s="1"/>
      <c r="K15" s="1"/>
      <c r="L15" s="1"/>
    </row>
    <row r="16" spans="1:12" ht="15.75" x14ac:dyDescent="0.25">
      <c r="A16" s="90" t="s">
        <v>110</v>
      </c>
      <c r="B16" s="84"/>
      <c r="C16" s="84"/>
      <c r="D16" s="1"/>
      <c r="E16" s="1"/>
      <c r="F16" s="1"/>
      <c r="G16" s="1"/>
      <c r="H16" s="1"/>
      <c r="I16" s="1"/>
      <c r="J16" s="1"/>
      <c r="K16" s="1"/>
      <c r="L16" s="1"/>
    </row>
    <row r="17" spans="1:12" ht="15.75" x14ac:dyDescent="0.25">
      <c r="A17" s="90" t="s">
        <v>111</v>
      </c>
      <c r="B17" s="84"/>
      <c r="C17" s="84"/>
      <c r="D17" s="1"/>
      <c r="E17" s="97"/>
      <c r="F17" s="1"/>
      <c r="G17" s="1"/>
      <c r="H17" s="1"/>
      <c r="I17" s="1"/>
      <c r="J17" s="1"/>
      <c r="K17" s="1"/>
      <c r="L17" s="1"/>
    </row>
    <row r="18" spans="1:12" x14ac:dyDescent="0.25">
      <c r="A18" s="1"/>
      <c r="B18" s="84"/>
      <c r="C18" s="84"/>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sheetData>
  <mergeCells count="7">
    <mergeCell ref="K4:L4"/>
    <mergeCell ref="B10:E10"/>
    <mergeCell ref="F10:H10"/>
    <mergeCell ref="A13:I13"/>
    <mergeCell ref="A14:I14"/>
    <mergeCell ref="A12:I12"/>
    <mergeCell ref="A11:I11"/>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R15"/>
  <sheetViews>
    <sheetView topLeftCell="A5" zoomScale="90" zoomScaleNormal="90" workbookViewId="0">
      <selection activeCell="A14" sqref="A14:G14"/>
    </sheetView>
  </sheetViews>
  <sheetFormatPr defaultColWidth="22" defaultRowHeight="12.75" x14ac:dyDescent="0.2"/>
  <cols>
    <col min="1" max="1" width="27.7109375" style="18" customWidth="1"/>
    <col min="2" max="7" width="14.7109375" style="18" customWidth="1"/>
    <col min="8" max="8" width="6" style="18" customWidth="1"/>
    <col min="9" max="9" width="11.42578125" style="18" bestFit="1" customWidth="1"/>
    <col min="10" max="10" width="6" style="18" bestFit="1" customWidth="1"/>
    <col min="11" max="11" width="19.5703125" style="18" bestFit="1" customWidth="1"/>
    <col min="12" max="12" width="18.7109375" style="18" bestFit="1" customWidth="1"/>
    <col min="13" max="16384" width="22" style="18"/>
  </cols>
  <sheetData>
    <row r="1" spans="1:18" x14ac:dyDescent="0.2">
      <c r="A1" s="5"/>
      <c r="B1" s="6"/>
      <c r="C1" s="6"/>
    </row>
    <row r="2" spans="1:18" x14ac:dyDescent="0.2">
      <c r="A2" s="130" t="s">
        <v>37</v>
      </c>
      <c r="B2" s="130"/>
      <c r="C2" s="130"/>
      <c r="D2" s="130"/>
      <c r="E2" s="130"/>
      <c r="F2" s="130"/>
      <c r="G2" s="131"/>
      <c r="H2" s="26"/>
    </row>
    <row r="3" spans="1:18" ht="15" x14ac:dyDescent="0.25">
      <c r="A3" s="23" t="s">
        <v>38</v>
      </c>
      <c r="B3" s="23" t="s">
        <v>39</v>
      </c>
      <c r="C3" s="23" t="s">
        <v>40</v>
      </c>
      <c r="D3" s="23" t="s">
        <v>41</v>
      </c>
      <c r="E3" s="23" t="s">
        <v>42</v>
      </c>
      <c r="F3" s="23" t="s">
        <v>43</v>
      </c>
      <c r="G3" s="23" t="s">
        <v>44</v>
      </c>
      <c r="H3" s="26"/>
      <c r="K3" t="s">
        <v>126</v>
      </c>
      <c r="L3" t="s">
        <v>127</v>
      </c>
      <c r="N3" s="18" t="s">
        <v>128</v>
      </c>
      <c r="O3" s="18" t="s">
        <v>129</v>
      </c>
      <c r="Q3" s="18" t="s">
        <v>132</v>
      </c>
      <c r="R3" s="18" t="s">
        <v>131</v>
      </c>
    </row>
    <row r="4" spans="1:18" ht="46.5" customHeight="1" x14ac:dyDescent="0.25">
      <c r="A4" s="85" t="s">
        <v>45</v>
      </c>
      <c r="B4" s="85" t="s">
        <v>134</v>
      </c>
      <c r="C4" s="85" t="s">
        <v>139</v>
      </c>
      <c r="D4" s="85" t="s">
        <v>46</v>
      </c>
      <c r="E4" s="85" t="s">
        <v>133</v>
      </c>
      <c r="F4" s="85" t="s">
        <v>140</v>
      </c>
      <c r="G4" s="85" t="s">
        <v>47</v>
      </c>
      <c r="H4" s="26"/>
      <c r="K4" s="101">
        <f>Respondents!F8</f>
        <v>356</v>
      </c>
      <c r="L4" s="101">
        <v>323</v>
      </c>
      <c r="N4" s="18">
        <f>323/O5</f>
        <v>2.5</v>
      </c>
      <c r="O4">
        <f>301/120.4</f>
        <v>2.5</v>
      </c>
      <c r="Q4" s="102">
        <v>525.4</v>
      </c>
      <c r="R4" s="102">
        <v>816</v>
      </c>
    </row>
    <row r="5" spans="1:18" ht="15" x14ac:dyDescent="0.25">
      <c r="A5" s="132" t="s">
        <v>124</v>
      </c>
      <c r="B5" s="132"/>
      <c r="C5" s="132"/>
      <c r="D5" s="132"/>
      <c r="E5" s="132"/>
      <c r="F5" s="132"/>
      <c r="G5" s="132"/>
      <c r="H5" s="27"/>
      <c r="K5" s="101">
        <f>K4*1.7-31</f>
        <v>574.19999999999993</v>
      </c>
      <c r="L5" s="101">
        <f>L4*1.7-28</f>
        <v>521.1</v>
      </c>
      <c r="M5" s="99"/>
      <c r="N5" s="18">
        <f>Respondents!F8/N4</f>
        <v>142.4</v>
      </c>
      <c r="O5">
        <f>323/O4</f>
        <v>129.19999999999999</v>
      </c>
    </row>
    <row r="6" spans="1:18" ht="36.75" customHeight="1" x14ac:dyDescent="0.25">
      <c r="A6" s="86" t="s">
        <v>138</v>
      </c>
      <c r="B6" s="87">
        <f>113592*R4/Q4</f>
        <v>176420.00761324706</v>
      </c>
      <c r="C6" s="19">
        <v>0</v>
      </c>
      <c r="D6" s="87">
        <f>+B6*C6</f>
        <v>0</v>
      </c>
      <c r="E6" s="87">
        <f>25900*R4/Q4</f>
        <v>40225.352112676061</v>
      </c>
      <c r="F6" s="100">
        <v>31</v>
      </c>
      <c r="G6" s="87">
        <f>+E6*F6</f>
        <v>1246985.9154929579</v>
      </c>
      <c r="H6" s="27"/>
      <c r="K6" s="101">
        <f>K4*L6/L4</f>
        <v>30.75046439628483</v>
      </c>
      <c r="L6" s="101">
        <v>27.9</v>
      </c>
      <c r="N6" s="18">
        <f>N5/Respondents!F8*11</f>
        <v>4.4000000000000004</v>
      </c>
      <c r="O6">
        <f>+O5/323*11</f>
        <v>4.3999999999999995</v>
      </c>
    </row>
    <row r="7" spans="1:18" ht="36.75" customHeight="1" x14ac:dyDescent="0.25">
      <c r="A7" s="86" t="s">
        <v>63</v>
      </c>
      <c r="B7" s="87">
        <f>73028*R4/Q4</f>
        <v>113419.96193376476</v>
      </c>
      <c r="C7" s="19">
        <v>19</v>
      </c>
      <c r="D7" s="87">
        <f>+B7*C7</f>
        <v>2154979.2767415303</v>
      </c>
      <c r="E7" s="87">
        <f>17100*R4/Q4</f>
        <v>26558.051008755236</v>
      </c>
      <c r="F7" s="100">
        <v>574</v>
      </c>
      <c r="G7" s="87">
        <f>+E7*F7</f>
        <v>15244321.279025504</v>
      </c>
      <c r="H7" s="28"/>
      <c r="K7" s="101">
        <f>0.4*K4</f>
        <v>142.4</v>
      </c>
      <c r="L7" s="101">
        <f>0.4*L4</f>
        <v>129.20000000000002</v>
      </c>
      <c r="N7">
        <f>+N5+N6</f>
        <v>146.80000000000001</v>
      </c>
      <c r="O7">
        <f>+O5+O6</f>
        <v>133.6</v>
      </c>
    </row>
    <row r="8" spans="1:18" x14ac:dyDescent="0.2">
      <c r="A8" s="132" t="s">
        <v>64</v>
      </c>
      <c r="B8" s="132"/>
      <c r="C8" s="132"/>
      <c r="D8" s="132"/>
      <c r="E8" s="132"/>
      <c r="F8" s="132"/>
      <c r="G8" s="132"/>
      <c r="H8" s="29"/>
    </row>
    <row r="9" spans="1:18" ht="36.75" customHeight="1" x14ac:dyDescent="0.2">
      <c r="A9" s="86" t="s">
        <v>65</v>
      </c>
      <c r="B9" s="87">
        <f>47033*R4/Q4</f>
        <v>73047.065093262281</v>
      </c>
      <c r="C9" s="100">
        <v>7</v>
      </c>
      <c r="D9" s="87">
        <f>+B9*C9</f>
        <v>511329.45565283595</v>
      </c>
      <c r="E9" s="87">
        <f>9100*R4/Q4</f>
        <v>14133.231823372669</v>
      </c>
      <c r="F9" s="100">
        <v>147</v>
      </c>
      <c r="G9" s="87">
        <f>+E9*F9</f>
        <v>2077585.0780357823</v>
      </c>
    </row>
    <row r="10" spans="1:18" ht="15.75" x14ac:dyDescent="0.2">
      <c r="A10" s="24" t="s">
        <v>135</v>
      </c>
      <c r="B10" s="20"/>
      <c r="C10" s="20"/>
      <c r="D10" s="25">
        <f>ROUND(SUM(D5:D9), -4)</f>
        <v>2670000</v>
      </c>
      <c r="E10" s="20"/>
      <c r="F10" s="20"/>
      <c r="G10" s="25">
        <f>ROUND(SUM(G6:G9), -5)</f>
        <v>18600000</v>
      </c>
      <c r="I10" s="71">
        <f>ROUND(D10+G10,-5)</f>
        <v>21300000</v>
      </c>
    </row>
    <row r="11" spans="1:18" ht="11.25" customHeight="1" x14ac:dyDescent="0.2">
      <c r="A11" s="69"/>
      <c r="B11" s="70"/>
      <c r="C11" s="70"/>
      <c r="D11" s="28"/>
      <c r="E11" s="70"/>
      <c r="F11" s="70"/>
      <c r="G11" s="28"/>
      <c r="K11" s="97"/>
    </row>
    <row r="12" spans="1:18" ht="66.75" customHeight="1" x14ac:dyDescent="0.2">
      <c r="A12" s="128" t="s">
        <v>125</v>
      </c>
      <c r="B12" s="129"/>
      <c r="C12" s="129"/>
      <c r="D12" s="129"/>
      <c r="E12" s="129"/>
      <c r="F12" s="129"/>
      <c r="G12" s="129"/>
      <c r="J12" s="99"/>
      <c r="K12" s="99"/>
      <c r="L12" s="99"/>
    </row>
    <row r="13" spans="1:18" ht="59.25" customHeight="1" x14ac:dyDescent="0.2">
      <c r="A13" s="128" t="s">
        <v>130</v>
      </c>
      <c r="B13" s="129"/>
      <c r="C13" s="129"/>
      <c r="D13" s="129"/>
      <c r="E13" s="129"/>
      <c r="F13" s="129"/>
      <c r="G13" s="129"/>
      <c r="J13" s="99"/>
      <c r="K13" s="98"/>
      <c r="L13" s="98"/>
      <c r="M13" s="29"/>
      <c r="N13" s="29"/>
      <c r="O13" s="29"/>
      <c r="P13" s="29"/>
      <c r="Q13" s="29"/>
      <c r="R13" s="29"/>
    </row>
    <row r="14" spans="1:18" ht="16.899999999999999" customHeight="1" x14ac:dyDescent="0.2">
      <c r="A14" s="127" t="s">
        <v>137</v>
      </c>
      <c r="B14" s="127"/>
      <c r="C14" s="127"/>
      <c r="D14" s="127"/>
      <c r="E14" s="127"/>
      <c r="F14" s="127"/>
      <c r="G14" s="127"/>
      <c r="K14" s="98"/>
    </row>
    <row r="15" spans="1:18" ht="17.25" customHeight="1" x14ac:dyDescent="0.2">
      <c r="A15" s="127" t="s">
        <v>136</v>
      </c>
      <c r="B15" s="127"/>
      <c r="C15" s="127"/>
      <c r="D15" s="127"/>
      <c r="E15" s="127"/>
      <c r="F15" s="127"/>
      <c r="G15" s="127"/>
    </row>
  </sheetData>
  <mergeCells count="7">
    <mergeCell ref="A15:G15"/>
    <mergeCell ref="A12:G12"/>
    <mergeCell ref="A2:G2"/>
    <mergeCell ref="A13:G13"/>
    <mergeCell ref="A5:G5"/>
    <mergeCell ref="A8:G8"/>
    <mergeCell ref="A14:G14"/>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1"/>
  <sheetViews>
    <sheetView zoomScale="80" zoomScaleNormal="80" workbookViewId="0">
      <selection activeCell="B41" sqref="B41"/>
    </sheetView>
  </sheetViews>
  <sheetFormatPr defaultRowHeight="15" x14ac:dyDescent="0.25"/>
  <cols>
    <col min="1" max="1" width="28.7109375" customWidth="1"/>
    <col min="2" max="2" width="11.85546875" customWidth="1"/>
    <col min="3" max="3" width="12.7109375" customWidth="1"/>
    <col min="4" max="4" width="11.42578125" customWidth="1"/>
    <col min="5" max="5" width="14.7109375" customWidth="1"/>
  </cols>
  <sheetData>
    <row r="1" spans="1:6" s="18" customFormat="1" ht="15.75" x14ac:dyDescent="0.2">
      <c r="A1" s="133" t="s">
        <v>6</v>
      </c>
      <c r="B1" s="133"/>
      <c r="C1" s="133"/>
      <c r="D1" s="133"/>
      <c r="E1" s="133"/>
    </row>
    <row r="2" spans="1:6" s="18" customFormat="1" ht="12.75" x14ac:dyDescent="0.2">
      <c r="A2" s="19" t="s">
        <v>38</v>
      </c>
      <c r="B2" s="19" t="s">
        <v>39</v>
      </c>
      <c r="C2" s="19" t="s">
        <v>40</v>
      </c>
      <c r="D2" s="19" t="s">
        <v>41</v>
      </c>
      <c r="E2" s="19" t="s">
        <v>42</v>
      </c>
    </row>
    <row r="3" spans="1:6" s="18" customFormat="1" ht="102" x14ac:dyDescent="0.2">
      <c r="A3" s="88" t="s">
        <v>48</v>
      </c>
      <c r="B3" s="88" t="s">
        <v>2</v>
      </c>
      <c r="C3" s="88" t="s">
        <v>49</v>
      </c>
      <c r="D3" s="88" t="s">
        <v>50</v>
      </c>
      <c r="E3" s="88" t="s">
        <v>51</v>
      </c>
    </row>
    <row r="4" spans="1:6" s="18" customFormat="1" ht="25.5" x14ac:dyDescent="0.2">
      <c r="A4" s="22" t="s">
        <v>66</v>
      </c>
      <c r="B4" s="89">
        <v>4</v>
      </c>
      <c r="C4" s="89">
        <v>1.7</v>
      </c>
      <c r="D4" s="20">
        <v>0</v>
      </c>
      <c r="E4" s="20">
        <f t="shared" ref="E4:E9" si="0">(B4*C4)+D4</f>
        <v>6.8</v>
      </c>
    </row>
    <row r="5" spans="1:6" s="18" customFormat="1" ht="12.75" x14ac:dyDescent="0.2">
      <c r="A5" s="22" t="s">
        <v>67</v>
      </c>
      <c r="B5" s="89">
        <v>7</v>
      </c>
      <c r="C5" s="89">
        <v>1.7</v>
      </c>
      <c r="D5" s="20">
        <v>0</v>
      </c>
      <c r="E5" s="20">
        <f t="shared" si="0"/>
        <v>11.9</v>
      </c>
    </row>
    <row r="6" spans="1:6" s="18" customFormat="1" ht="12.75" x14ac:dyDescent="0.2">
      <c r="A6" s="22" t="s">
        <v>68</v>
      </c>
      <c r="B6" s="89">
        <v>11</v>
      </c>
      <c r="C6" s="89">
        <v>1.7</v>
      </c>
      <c r="D6" s="20">
        <v>0</v>
      </c>
      <c r="E6" s="20">
        <f t="shared" si="0"/>
        <v>18.7</v>
      </c>
    </row>
    <row r="7" spans="1:6" s="18" customFormat="1" ht="25.5" x14ac:dyDescent="0.2">
      <c r="A7" s="22" t="s">
        <v>69</v>
      </c>
      <c r="B7" s="89">
        <v>11</v>
      </c>
      <c r="C7" s="89">
        <v>1.7</v>
      </c>
      <c r="D7" s="20">
        <v>0</v>
      </c>
      <c r="E7" s="20">
        <f t="shared" si="0"/>
        <v>18.7</v>
      </c>
      <c r="F7" s="3"/>
    </row>
    <row r="8" spans="1:6" s="18" customFormat="1" ht="28.5" customHeight="1" x14ac:dyDescent="0.2">
      <c r="A8" s="22" t="s">
        <v>70</v>
      </c>
      <c r="B8" s="89">
        <v>11</v>
      </c>
      <c r="C8" s="89">
        <v>1.7</v>
      </c>
      <c r="D8" s="20">
        <v>0</v>
      </c>
      <c r="E8" s="20">
        <f t="shared" si="0"/>
        <v>18.7</v>
      </c>
    </row>
    <row r="9" spans="1:6" s="18" customFormat="1" ht="28.5" customHeight="1" x14ac:dyDescent="0.2">
      <c r="A9" s="22" t="s">
        <v>71</v>
      </c>
      <c r="B9" s="89">
        <f>Respondents!F8</f>
        <v>356</v>
      </c>
      <c r="C9" s="89">
        <v>2</v>
      </c>
      <c r="D9" s="20">
        <v>0</v>
      </c>
      <c r="E9" s="20">
        <f t="shared" si="0"/>
        <v>712</v>
      </c>
    </row>
    <row r="10" spans="1:6" s="18" customFormat="1" ht="20.45" customHeight="1" x14ac:dyDescent="0.2">
      <c r="A10" s="22"/>
      <c r="B10" s="20"/>
      <c r="C10" s="20"/>
      <c r="D10" s="23" t="s">
        <v>52</v>
      </c>
      <c r="E10" s="68">
        <f>SUM(E4:E9)</f>
        <v>786.8</v>
      </c>
    </row>
    <row r="11" spans="1:6" s="18" customFormat="1" ht="9.75" customHeight="1" x14ac:dyDescent="0.2">
      <c r="A11" s="72"/>
      <c r="B11" s="73"/>
      <c r="C11" s="73"/>
      <c r="D11" s="74"/>
      <c r="E11" s="75"/>
    </row>
  </sheetData>
  <mergeCells count="1">
    <mergeCell ref="A1:E1"/>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80" zoomScaleNormal="80" workbookViewId="0">
      <selection activeCell="L8" sqref="L8"/>
    </sheetView>
  </sheetViews>
  <sheetFormatPr defaultColWidth="17.7109375" defaultRowHeight="31.9" customHeight="1" x14ac:dyDescent="0.25"/>
  <cols>
    <col min="4" max="4" width="20.85546875" bestFit="1" customWidth="1"/>
  </cols>
  <sheetData>
    <row r="1" spans="1:6" s="18" customFormat="1" ht="31.9" customHeight="1" x14ac:dyDescent="0.2">
      <c r="A1" s="133" t="s">
        <v>2</v>
      </c>
      <c r="B1" s="133"/>
      <c r="C1" s="133"/>
      <c r="D1" s="133"/>
      <c r="E1" s="133"/>
      <c r="F1" s="133"/>
    </row>
    <row r="2" spans="1:6" s="18" customFormat="1" ht="25.5" x14ac:dyDescent="0.2">
      <c r="A2" s="30"/>
      <c r="B2" s="132" t="s">
        <v>53</v>
      </c>
      <c r="C2" s="132"/>
      <c r="D2" s="30" t="s">
        <v>54</v>
      </c>
      <c r="E2" s="132"/>
      <c r="F2" s="132"/>
    </row>
    <row r="3" spans="1:6" s="18" customFormat="1" ht="31.9" customHeight="1" x14ac:dyDescent="0.2">
      <c r="A3" s="30"/>
      <c r="B3" s="31" t="s">
        <v>38</v>
      </c>
      <c r="C3" s="31" t="s">
        <v>39</v>
      </c>
      <c r="D3" s="31" t="s">
        <v>40</v>
      </c>
      <c r="E3" s="31" t="s">
        <v>41</v>
      </c>
      <c r="F3" s="31" t="s">
        <v>42</v>
      </c>
    </row>
    <row r="4" spans="1:6" s="18" customFormat="1" ht="70.900000000000006" customHeight="1" x14ac:dyDescent="0.2">
      <c r="A4" s="31" t="s">
        <v>55</v>
      </c>
      <c r="B4" s="30" t="s">
        <v>56</v>
      </c>
      <c r="C4" s="30" t="s">
        <v>57</v>
      </c>
      <c r="D4" s="30" t="s">
        <v>58</v>
      </c>
      <c r="E4" s="30" t="s">
        <v>59</v>
      </c>
      <c r="F4" s="30" t="s">
        <v>60</v>
      </c>
    </row>
    <row r="5" spans="1:6" s="18" customFormat="1" ht="31.9" customHeight="1" x14ac:dyDescent="0.2">
      <c r="A5" s="19">
        <v>1</v>
      </c>
      <c r="B5" s="20">
        <v>11</v>
      </c>
      <c r="C5" s="20">
        <v>334</v>
      </c>
      <c r="D5" s="20">
        <v>0</v>
      </c>
      <c r="E5" s="20">
        <v>0</v>
      </c>
      <c r="F5" s="20">
        <f>B5+C5+D5-E5</f>
        <v>345</v>
      </c>
    </row>
    <row r="6" spans="1:6" s="18" customFormat="1" ht="31.9" customHeight="1" x14ac:dyDescent="0.2">
      <c r="A6" s="19">
        <v>2</v>
      </c>
      <c r="B6" s="20">
        <v>11</v>
      </c>
      <c r="C6" s="20">
        <f>F5</f>
        <v>345</v>
      </c>
      <c r="D6" s="20">
        <v>0</v>
      </c>
      <c r="E6" s="20">
        <v>0</v>
      </c>
      <c r="F6" s="20">
        <f>B6+C6+D6-E6</f>
        <v>356</v>
      </c>
    </row>
    <row r="7" spans="1:6" s="18" customFormat="1" ht="31.9" customHeight="1" x14ac:dyDescent="0.2">
      <c r="A7" s="19">
        <v>3</v>
      </c>
      <c r="B7" s="20">
        <v>11</v>
      </c>
      <c r="C7" s="20">
        <f>F6</f>
        <v>356</v>
      </c>
      <c r="D7" s="20">
        <v>0</v>
      </c>
      <c r="E7" s="20">
        <v>0</v>
      </c>
      <c r="F7" s="20">
        <f>B7+C7+D7-E7</f>
        <v>367</v>
      </c>
    </row>
    <row r="8" spans="1:6" s="18" customFormat="1" ht="31.9" customHeight="1" x14ac:dyDescent="0.2">
      <c r="A8" s="19" t="s">
        <v>61</v>
      </c>
      <c r="B8" s="20">
        <f>AVERAGE(B5:B7)</f>
        <v>11</v>
      </c>
      <c r="C8" s="20">
        <f>AVERAGE(C5:C7)</f>
        <v>345</v>
      </c>
      <c r="D8" s="20">
        <v>0</v>
      </c>
      <c r="E8" s="20">
        <v>0</v>
      </c>
      <c r="F8" s="23">
        <f>AVERAGE(F5:F7)</f>
        <v>356</v>
      </c>
    </row>
    <row r="9" spans="1:6" s="18" customFormat="1" ht="20.45" customHeight="1" x14ac:dyDescent="0.2">
      <c r="A9" s="21" t="s">
        <v>62</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2024-10-23T20:19:05+00:00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45199B37-6332-4470-98E2-3413F3EAB3AD}"/>
</file>

<file path=customXml/itemProps3.xml><?xml version="1.0" encoding="utf-8"?>
<ds:datastoreItem xmlns:ds="http://schemas.openxmlformats.org/officeDocument/2006/customXml" ds:itemID="{1788708A-52BB-4D0F-B232-80F9E123F193}">
  <ds:schemaRefs>
    <ds:schemaRef ds:uri="http://purl.org/dc/terms/"/>
    <ds:schemaRef ds:uri="4d6aed1e-57d3-46e3-9aba-f706adbce63b"/>
    <ds:schemaRef ds:uri="http://purl.org/dc/elements/1.1/"/>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1891fcec-84c2-4840-9468-b51a784ab0d1"/>
    <ds:schemaRef ds:uri="http://purl.org/dc/dcmitype/"/>
  </ds:schemaRefs>
</ds:datastoreItem>
</file>

<file path=customXml/itemProps4.xml><?xml version="1.0" encoding="utf-8"?>
<ds:datastoreItem xmlns:ds="http://schemas.openxmlformats.org/officeDocument/2006/customXml" ds:itemID="{8703D7BE-69A7-49FA-A6D4-47D9DF0898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2023-11-06T15:19:26Z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ies>
</file>