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Tracy\ICRs - SPPD\FY2024\0746.12 Calciners and Dryers in Mineral Idustries NSPS\Send to EPA\"/>
    </mc:Choice>
  </mc:AlternateContent>
  <xr:revisionPtr revIDLastSave="0" documentId="13_ncr:1_{96D68EF1-79DF-450B-B5DF-49EAF47F517D}" xr6:coauthVersionLast="47" xr6:coauthVersionMax="47" xr10:uidLastSave="{00000000-0000-0000-0000-000000000000}"/>
  <bookViews>
    <workbookView xWindow="-28920" yWindow="-3765" windowWidth="29040" windowHeight="1644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5" i="1" l="1"/>
  <c r="E5" i="3"/>
  <c r="B5" i="3"/>
  <c r="I17" i="2" l="1"/>
  <c r="I13" i="2"/>
  <c r="F18" i="2"/>
  <c r="K34" i="1"/>
  <c r="F35" i="1"/>
  <c r="I5" i="2" l="1"/>
  <c r="I5" i="1"/>
  <c r="G6" i="2" l="1"/>
  <c r="I6" i="2" s="1"/>
  <c r="H6" i="2"/>
  <c r="G8" i="2"/>
  <c r="F6" i="2"/>
  <c r="F8" i="2"/>
  <c r="H8" i="2" s="1"/>
  <c r="F9" i="2"/>
  <c r="G9" i="2" s="1"/>
  <c r="F10" i="2"/>
  <c r="H10" i="2" s="1"/>
  <c r="F11" i="2"/>
  <c r="F12" i="2"/>
  <c r="H12" i="2" s="1"/>
  <c r="D17" i="2"/>
  <c r="D16" i="2"/>
  <c r="F16" i="2" s="1"/>
  <c r="D15" i="2"/>
  <c r="F15" i="2" s="1"/>
  <c r="D14" i="2"/>
  <c r="F14" i="2" s="1"/>
  <c r="D13" i="2"/>
  <c r="F13" i="2" s="1"/>
  <c r="D12" i="2"/>
  <c r="D11" i="2"/>
  <c r="D10" i="2"/>
  <c r="D7" i="2"/>
  <c r="F7" i="2" s="1"/>
  <c r="D5" i="2"/>
  <c r="E31" i="1"/>
  <c r="D31" i="1"/>
  <c r="E23" i="1"/>
  <c r="D23" i="1"/>
  <c r="D22" i="1"/>
  <c r="F22" i="1" s="1"/>
  <c r="H22" i="1" s="1"/>
  <c r="D21" i="1"/>
  <c r="F21" i="1" s="1"/>
  <c r="H21" i="1" s="1"/>
  <c r="D20" i="1"/>
  <c r="F20" i="1" s="1"/>
  <c r="G20" i="1" s="1"/>
  <c r="D19" i="1"/>
  <c r="F19" i="1" s="1"/>
  <c r="H19" i="1" s="1"/>
  <c r="D18" i="1"/>
  <c r="F18" i="1" s="1"/>
  <c r="H18" i="1" s="1"/>
  <c r="D17" i="1"/>
  <c r="F17" i="1" s="1"/>
  <c r="H17" i="1" s="1"/>
  <c r="D16" i="1"/>
  <c r="F16" i="1" s="1"/>
  <c r="D12" i="1"/>
  <c r="F12" i="1" s="1"/>
  <c r="G12" i="1" s="1"/>
  <c r="D11" i="1"/>
  <c r="F11" i="1" s="1"/>
  <c r="H11" i="1" s="1"/>
  <c r="D10" i="1"/>
  <c r="F10" i="1" s="1"/>
  <c r="H10" i="1" s="1"/>
  <c r="D9" i="1"/>
  <c r="D8" i="1"/>
  <c r="D7" i="1"/>
  <c r="F7" i="1" s="1"/>
  <c r="G7" i="1" s="1"/>
  <c r="D5" i="1"/>
  <c r="G13" i="2" l="1"/>
  <c r="H13" i="2"/>
  <c r="I8" i="2"/>
  <c r="H7" i="2"/>
  <c r="G7" i="2"/>
  <c r="I7" i="2"/>
  <c r="G14" i="2"/>
  <c r="H14" i="2"/>
  <c r="I14" i="2" s="1"/>
  <c r="H15" i="2"/>
  <c r="G15" i="2"/>
  <c r="I15" i="2" s="1"/>
  <c r="I16" i="2"/>
  <c r="H16" i="2"/>
  <c r="G16" i="2"/>
  <c r="H11" i="2"/>
  <c r="G11" i="2"/>
  <c r="I11" i="2" s="1"/>
  <c r="G10" i="2"/>
  <c r="I10" i="2" s="1"/>
  <c r="H9" i="2"/>
  <c r="I9" i="2" s="1"/>
  <c r="G12" i="2"/>
  <c r="I12" i="2" s="1"/>
  <c r="F23" i="1"/>
  <c r="H23" i="1" s="1"/>
  <c r="G16" i="1"/>
  <c r="H20" i="1"/>
  <c r="H7" i="1"/>
  <c r="I7" i="1" s="1"/>
  <c r="G19" i="1"/>
  <c r="G22" i="1"/>
  <c r="G21" i="1"/>
  <c r="G18" i="1"/>
  <c r="I18" i="1" s="1"/>
  <c r="G17" i="1"/>
  <c r="I17" i="1" s="1"/>
  <c r="H16" i="1"/>
  <c r="H12" i="1"/>
  <c r="I12" i="1" s="1"/>
  <c r="G11" i="1"/>
  <c r="I11" i="1" s="1"/>
  <c r="G10" i="1"/>
  <c r="I10" i="1" s="1"/>
  <c r="I16" i="1" l="1"/>
  <c r="G23" i="1"/>
  <c r="B7" i="6" l="1"/>
  <c r="E10" i="5"/>
  <c r="E9" i="5"/>
  <c r="E8" i="5"/>
  <c r="E7" i="5"/>
  <c r="E6" i="5"/>
  <c r="E5" i="5"/>
  <c r="E4" i="5"/>
  <c r="E12" i="5" s="1"/>
  <c r="E11" i="5"/>
  <c r="G5" i="3"/>
  <c r="G6" i="3" s="1"/>
  <c r="C8" i="4"/>
  <c r="B8" i="4"/>
  <c r="F7" i="4"/>
  <c r="F6" i="4"/>
  <c r="F5" i="4"/>
  <c r="E9" i="1"/>
  <c r="D5" i="3"/>
  <c r="F9" i="1" l="1"/>
  <c r="F8" i="4"/>
  <c r="B3" i="6" s="1"/>
  <c r="H9" i="1" l="1"/>
  <c r="G9" i="1"/>
  <c r="E17" i="2"/>
  <c r="F17" i="2" s="1"/>
  <c r="H17" i="2" l="1"/>
  <c r="G17" i="2"/>
  <c r="I23" i="1"/>
  <c r="D6" i="3" l="1"/>
  <c r="B6" i="6" l="1"/>
  <c r="I6" i="3" l="1"/>
  <c r="I36" i="1"/>
  <c r="I37" i="1" s="1"/>
  <c r="I21" i="1" l="1"/>
  <c r="E5" i="1"/>
  <c r="F31" i="1" l="1"/>
  <c r="G31" i="1" s="1"/>
  <c r="I19" i="1"/>
  <c r="F5" i="1"/>
  <c r="H31" i="1" l="1"/>
  <c r="I31" i="1" s="1"/>
  <c r="H5" i="1"/>
  <c r="I20" i="1"/>
  <c r="I9" i="1"/>
  <c r="G5" i="1"/>
  <c r="F34" i="1" l="1"/>
  <c r="I34" i="1"/>
  <c r="E8" i="1" l="1"/>
  <c r="F5" i="2" l="1"/>
  <c r="G5" i="2" s="1"/>
  <c r="F8" i="1"/>
  <c r="H5" i="2" l="1"/>
  <c r="I18" i="2" s="1"/>
  <c r="H8" i="1"/>
  <c r="G8" i="1"/>
  <c r="F24" i="1" l="1"/>
  <c r="B4" i="6" s="1"/>
  <c r="I8" i="1"/>
  <c r="I24" i="1" s="1"/>
  <c r="B5" i="6" s="1"/>
  <c r="B2" i="6" l="1"/>
</calcChain>
</file>

<file path=xl/sharedStrings.xml><?xml version="1.0" encoding="utf-8"?>
<sst xmlns="http://schemas.openxmlformats.org/spreadsheetml/2006/main" count="175" uniqueCount="150">
  <si>
    <t>ICR Summary Information</t>
  </si>
  <si>
    <t>Hours per Response</t>
  </si>
  <si>
    <t>Number of Respondents</t>
  </si>
  <si>
    <t>Total Estimated Burden Hours</t>
  </si>
  <si>
    <t>Total Estimated Costs</t>
  </si>
  <si>
    <t>Annualized Capital O&amp;M</t>
  </si>
  <si>
    <t>Total Annual Responses</t>
  </si>
  <si>
    <t>Form Number</t>
  </si>
  <si>
    <t>Burden Item</t>
  </si>
  <si>
    <t>(A)
Person hours per occurrence</t>
  </si>
  <si>
    <t>(B)
No. of occurrences per respondent per year</t>
  </si>
  <si>
    <t>(C) 
Person hours per respondent per year 
(C=AxB)</t>
  </si>
  <si>
    <r>
      <t xml:space="preserve">(D)
Respondents per year </t>
    </r>
    <r>
      <rPr>
        <vertAlign val="superscript"/>
        <sz val="10"/>
        <color theme="1"/>
        <rFont val="Times New Roman"/>
        <family val="1"/>
      </rPr>
      <t>a</t>
    </r>
  </si>
  <si>
    <t>(E) 
Technical person- hours per year (E=CxD)</t>
  </si>
  <si>
    <t>(F)
Management person hours per year (Ex0.05)</t>
  </si>
  <si>
    <t>(G)
Clerical person hours per year (Ex0.1)</t>
  </si>
  <si>
    <r>
      <t xml:space="preserve">(H)
Cost, $ </t>
    </r>
    <r>
      <rPr>
        <vertAlign val="superscript"/>
        <sz val="10"/>
        <color theme="1"/>
        <rFont val="Times New Roman"/>
        <family val="1"/>
      </rPr>
      <t>b</t>
    </r>
  </si>
  <si>
    <t>1.  Reporting requirements</t>
  </si>
  <si>
    <t>Labor Rates</t>
  </si>
  <si>
    <t>Management</t>
  </si>
  <si>
    <t>Technical</t>
  </si>
  <si>
    <t>Clerical</t>
  </si>
  <si>
    <t>Subtotal for Reporting Requirements</t>
  </si>
  <si>
    <t>2.  Recordkeeping requirements</t>
  </si>
  <si>
    <t xml:space="preserve">Subtotal for Recordkeeping Requirements  </t>
  </si>
  <si>
    <t>hr/response</t>
  </si>
  <si>
    <t>Assumptions:</t>
  </si>
  <si>
    <t>Burden item</t>
  </si>
  <si>
    <t>(A)
 Person hours per occurrence</t>
  </si>
  <si>
    <t>(B) 
No. of occurrences per respondent per year</t>
  </si>
  <si>
    <t>(C) 
Person hours per respondent per year (C=AxB)</t>
  </si>
  <si>
    <r>
      <t xml:space="preserve">(D) 
Respondents per year  </t>
    </r>
    <r>
      <rPr>
        <vertAlign val="superscript"/>
        <sz val="10"/>
        <rFont val="Times New Roman"/>
        <family val="1"/>
      </rPr>
      <t>a</t>
    </r>
  </si>
  <si>
    <t>(F) 
Management person hours per year (Ex0.05)</t>
  </si>
  <si>
    <t>(G) 
Clerical person hours per year (Ex0.1)</t>
  </si>
  <si>
    <r>
      <t xml:space="preserve">(H) 
Cost, $ </t>
    </r>
    <r>
      <rPr>
        <vertAlign val="superscript"/>
        <sz val="10"/>
        <rFont val="Times New Roman"/>
        <family val="1"/>
      </rPr>
      <t>b</t>
    </r>
  </si>
  <si>
    <t xml:space="preserve">Technical </t>
  </si>
  <si>
    <r>
      <t>Capital/Startup vs. Operation and Maintenance (O&amp;M) Costs</t>
    </r>
    <r>
      <rPr>
        <sz val="10"/>
        <color theme="1"/>
        <rFont val="Times New Roman"/>
        <family val="1"/>
      </rPr>
      <t> </t>
    </r>
  </si>
  <si>
    <t>(A)</t>
  </si>
  <si>
    <t>(B)</t>
  </si>
  <si>
    <t>(C)</t>
  </si>
  <si>
    <t>(D)</t>
  </si>
  <si>
    <t>(E)</t>
  </si>
  <si>
    <t>(F)</t>
  </si>
  <si>
    <t>(G)</t>
  </si>
  <si>
    <t>Continuous Monitoring Device</t>
  </si>
  <si>
    <t>Total Capital/Startup Cost,  (B X C)</t>
  </si>
  <si>
    <t>Total O&amp;M, 
(E X F)</t>
  </si>
  <si>
    <t>Information Collection Activity</t>
  </si>
  <si>
    <t>Number of Responses</t>
  </si>
  <si>
    <t>Number of Existing Respondents That Keep Records But Do Not Submit Reports</t>
  </si>
  <si>
    <t>Total Annual Responses E=(BxC)+D</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</si>
  <si>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</si>
  <si>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</si>
  <si>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</si>
  <si>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</si>
  <si>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</si>
  <si>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</si>
  <si>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</si>
  <si>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</si>
  <si>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</si>
  <si>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</si>
  <si>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r>
      <t xml:space="preserve">a </t>
    </r>
    <r>
      <rPr>
        <sz val="10"/>
        <color rgb="FF000000"/>
        <rFont val="Times New Roman"/>
        <family val="1"/>
      </rPr>
      <t xml:space="preserve">  New respondents include sources with constructed and reconstructed affected facilities.</t>
    </r>
  </si>
  <si>
    <t>Table 1:  Annual Respondent Burden and Cost - NSPS for Calciners and Dryers in Mineral Industries (40 CFR Part 60, Subpart UUU) (Renewal)</t>
  </si>
  <si>
    <t>Table 2:  Average Annual EPA Burden - NSPS for Calciners and Dryers in Mineral Industries (40 CFR Part 60, Subpart UUU) (Renewal)</t>
  </si>
  <si>
    <t>CMS</t>
  </si>
  <si>
    <t>Number of New  Respondents</t>
  </si>
  <si>
    <t>Notification of construction/reconstruction or modification</t>
  </si>
  <si>
    <t>Notification of actual startup</t>
  </si>
  <si>
    <t>Notification of demonstration of CMS</t>
  </si>
  <si>
    <t>Notification of physical or operational change</t>
  </si>
  <si>
    <t>Notification of initial performance test</t>
  </si>
  <si>
    <t>Notification of the repeat of the performance test</t>
  </si>
  <si>
    <t>Repeat of performance test results</t>
  </si>
  <si>
    <t>Semiannual reports</t>
  </si>
  <si>
    <t>Not Applicable</t>
  </si>
  <si>
    <t xml:space="preserve">  B.  Required Activities</t>
  </si>
  <si>
    <r>
      <t xml:space="preserve">     Initial performance test </t>
    </r>
    <r>
      <rPr>
        <vertAlign val="superscript"/>
        <sz val="10"/>
        <color theme="1"/>
        <rFont val="Times New Roman"/>
        <family val="1"/>
      </rPr>
      <t>d</t>
    </r>
  </si>
  <si>
    <r>
      <t xml:space="preserve">     Repeat performance test </t>
    </r>
    <r>
      <rPr>
        <vertAlign val="superscript"/>
        <sz val="10"/>
        <color theme="1"/>
        <rFont val="Times New Roman"/>
        <family val="1"/>
      </rPr>
      <t>e</t>
    </r>
  </si>
  <si>
    <r>
      <t xml:space="preserve">     Scrubber demonstration </t>
    </r>
    <r>
      <rPr>
        <vertAlign val="superscript"/>
        <sz val="10"/>
        <color theme="1"/>
        <rFont val="Times New Roman"/>
        <family val="1"/>
      </rPr>
      <t>f</t>
    </r>
  </si>
  <si>
    <r>
      <t xml:space="preserve">     Reference Method 9 text </t>
    </r>
    <r>
      <rPr>
        <vertAlign val="superscript"/>
        <sz val="10"/>
        <color theme="1"/>
        <rFont val="Times New Roman"/>
        <family val="1"/>
      </rPr>
      <t>g,h</t>
    </r>
  </si>
  <si>
    <r>
      <t xml:space="preserve">     Re-calibration of continuous opacity monitors (COM) </t>
    </r>
    <r>
      <rPr>
        <vertAlign val="superscript"/>
        <sz val="10"/>
        <color theme="1"/>
        <rFont val="Times New Roman"/>
        <family val="1"/>
      </rPr>
      <t>i</t>
    </r>
  </si>
  <si>
    <r>
      <t xml:space="preserve">     Re-calibration of scrubber </t>
    </r>
    <r>
      <rPr>
        <vertAlign val="superscript"/>
        <sz val="10"/>
        <color theme="1"/>
        <rFont val="Times New Roman"/>
        <family val="1"/>
      </rPr>
      <t>i,j</t>
    </r>
  </si>
  <si>
    <t xml:space="preserve">  C.  Create Information</t>
  </si>
  <si>
    <t xml:space="preserve">  D.  Gather existing information</t>
  </si>
  <si>
    <t xml:space="preserve">  E.  Write report</t>
  </si>
  <si>
    <t xml:space="preserve">     Notification of construction/reconstruction or modification</t>
  </si>
  <si>
    <t xml:space="preserve">     Notification of actual startup</t>
  </si>
  <si>
    <t xml:space="preserve">     Notification of demonstration of CMS</t>
  </si>
  <si>
    <r>
      <t xml:space="preserve">     Notification of physical or operation change </t>
    </r>
    <r>
      <rPr>
        <vertAlign val="superscript"/>
        <sz val="10"/>
        <color theme="1"/>
        <rFont val="Times New Roman"/>
        <family val="1"/>
      </rPr>
      <t>k</t>
    </r>
  </si>
  <si>
    <t xml:space="preserve">     Notification of initial performance test </t>
  </si>
  <si>
    <t xml:space="preserve">     Notification of repeat performance test</t>
  </si>
  <si>
    <t xml:space="preserve">     Performance test report</t>
  </si>
  <si>
    <r>
      <t xml:space="preserve">     Semiannual reports </t>
    </r>
    <r>
      <rPr>
        <vertAlign val="superscript"/>
        <sz val="10"/>
        <color theme="1"/>
        <rFont val="Times New Roman"/>
        <family val="1"/>
      </rPr>
      <t>l</t>
    </r>
  </si>
  <si>
    <t>See 3B</t>
  </si>
  <si>
    <r>
      <t xml:space="preserve">  A.  Familiarization with Regulatory Requirements</t>
    </r>
    <r>
      <rPr>
        <vertAlign val="superscript"/>
        <sz val="10"/>
        <color theme="1"/>
        <rFont val="Times New Roman"/>
        <family val="1"/>
      </rPr>
      <t xml:space="preserve"> c</t>
    </r>
  </si>
  <si>
    <t xml:space="preserve">  B.  Plan activities</t>
  </si>
  <si>
    <t xml:space="preserve">  C.  Implement activities</t>
  </si>
  <si>
    <t xml:space="preserve">  D.  Develop record system</t>
  </si>
  <si>
    <t xml:space="preserve">  E.  Time to enter information</t>
  </si>
  <si>
    <t>See 3A</t>
  </si>
  <si>
    <t>N/A</t>
  </si>
  <si>
    <r>
      <t xml:space="preserve">     Records of startup, shutdowns, malfunctions </t>
    </r>
    <r>
      <rPr>
        <vertAlign val="superscript"/>
        <sz val="10"/>
        <color theme="1"/>
        <rFont val="Times New Roman"/>
        <family val="1"/>
      </rPr>
      <t>m</t>
    </r>
  </si>
  <si>
    <t xml:space="preserve">  F.  Train to train personnel</t>
  </si>
  <si>
    <t xml:space="preserve">  G.  Audits</t>
  </si>
  <si>
    <r>
      <rPr>
        <vertAlign val="superscript"/>
        <sz val="10"/>
        <color theme="1"/>
        <rFont val="Times New Roman"/>
        <family val="1"/>
      </rPr>
      <t>a</t>
    </r>
    <r>
      <rPr>
        <sz val="10"/>
        <color theme="1"/>
        <rFont val="Times New Roman"/>
        <family val="1"/>
      </rPr>
      <t xml:space="preserve">  We have assumed that the average number of respondents that will be subject to the rule over the three-year period of this ICR will be 167.  It is estimated that no additional respondents will become subject to the regulation in the next three years.</t>
    </r>
  </si>
  <si>
    <r>
      <t>b</t>
    </r>
    <r>
      <rPr>
        <sz val="10"/>
        <rFont val="Times New Roman"/>
        <family val="1"/>
      </rPr>
      <t xml:space="preserve">  This ICR uses the following labor rates: Managerial $163.17 ($77.70 + 110%); Technical $130.28 ($62.04 + 110%); and Clerical $65.71 ($31.29 + 110%).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</si>
  <si>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A.  Familiarization with regulatory requirements</t>
    </r>
    <r>
      <rPr>
        <vertAlign val="superscript"/>
        <sz val="10"/>
        <color theme="1"/>
        <rFont val="Times New Roman"/>
        <family val="1"/>
      </rPr>
      <t>c</t>
    </r>
  </si>
  <si>
    <r>
      <rPr>
        <vertAlign val="superscript"/>
        <sz val="10"/>
        <color theme="1"/>
        <rFont val="Times New Roman"/>
        <family val="1"/>
      </rPr>
      <t>c</t>
    </r>
    <r>
      <rPr>
        <sz val="10"/>
        <color theme="1"/>
        <rFont val="Times New Roman"/>
        <family val="1"/>
      </rPr>
      <t xml:space="preserve">  We assume that each respondent will have to familiarize with the regulatory requirements each year. </t>
    </r>
  </si>
  <si>
    <r>
      <rPr>
        <vertAlign val="superscript"/>
        <sz val="10"/>
        <color theme="1"/>
        <rFont val="Times New Roman"/>
        <family val="1"/>
      </rPr>
      <t>d</t>
    </r>
    <r>
      <rPr>
        <sz val="10"/>
        <color theme="1"/>
        <rFont val="Times New Roman"/>
        <family val="1"/>
      </rPr>
      <t xml:space="preserve">  We have assumed that it will take 330 hours to complete a performance test.</t>
    </r>
  </si>
  <si>
    <r>
      <rPr>
        <vertAlign val="superscript"/>
        <sz val="10"/>
        <color theme="1"/>
        <rFont val="Times New Roman"/>
        <family val="1"/>
      </rPr>
      <t>e</t>
    </r>
    <r>
      <rPr>
        <sz val="10"/>
        <color theme="1"/>
        <rFont val="Times New Roman"/>
        <family val="1"/>
      </rPr>
      <t xml:space="preserve">  We have assumed that 20 percent of new respondents will have to conduct a CMS demonstration.</t>
    </r>
  </si>
  <si>
    <r>
      <rPr>
        <vertAlign val="superscript"/>
        <sz val="10"/>
        <color theme="1"/>
        <rFont val="Times New Roman"/>
        <family val="1"/>
      </rPr>
      <t>f</t>
    </r>
    <r>
      <rPr>
        <sz val="10"/>
        <color theme="1"/>
        <rFont val="Times New Roman"/>
        <family val="1"/>
      </rPr>
      <t xml:space="preserve">  We have assumed that 20 percent of new respondents will take two hours to conduct a scrubber demonstration.</t>
    </r>
  </si>
  <si>
    <r>
      <rPr>
        <vertAlign val="superscript"/>
        <sz val="10"/>
        <color theme="1"/>
        <rFont val="Times New Roman"/>
        <family val="1"/>
      </rPr>
      <t>g</t>
    </r>
    <r>
      <rPr>
        <sz val="10"/>
        <color theme="1"/>
        <rFont val="Times New Roman"/>
        <family val="1"/>
      </rPr>
      <t xml:space="preserve">  We have assumed that 80 percent of new respondents will conduct a reference Method 9 test.</t>
    </r>
  </si>
  <si>
    <r>
      <rPr>
        <vertAlign val="superscript"/>
        <sz val="10"/>
        <color theme="1"/>
        <rFont val="Times New Roman"/>
        <family val="1"/>
      </rPr>
      <t>j</t>
    </r>
    <r>
      <rPr>
        <sz val="10"/>
        <color theme="1"/>
        <rFont val="Times New Roman"/>
        <family val="1"/>
      </rPr>
      <t xml:space="preserve">  We have assumed that 20 percent of new respondents will re-calibrate the scrubber.</t>
    </r>
  </si>
  <si>
    <r>
      <rPr>
        <vertAlign val="superscript"/>
        <sz val="10"/>
        <color theme="1"/>
        <rFont val="Times New Roman"/>
        <family val="1"/>
      </rPr>
      <t>k</t>
    </r>
    <r>
      <rPr>
        <sz val="10"/>
        <color theme="1"/>
        <rFont val="Times New Roman"/>
        <family val="1"/>
      </rPr>
      <t xml:space="preserve">  We have assumed that one respondent will notify the Agency regarding a physical or operational change.</t>
    </r>
  </si>
  <si>
    <r>
      <rPr>
        <vertAlign val="superscript"/>
        <sz val="10"/>
        <color theme="1"/>
        <rFont val="Times New Roman"/>
        <family val="1"/>
      </rPr>
      <t xml:space="preserve">l </t>
    </r>
    <r>
      <rPr>
        <sz val="10"/>
        <color theme="1"/>
        <rFont val="Times New Roman"/>
        <family val="1"/>
      </rPr>
      <t xml:space="preserve"> We have assumed that it will take 16 hours for each respondent to complete the semiannual report of exceedances.</t>
    </r>
  </si>
  <si>
    <r>
      <rPr>
        <vertAlign val="superscript"/>
        <sz val="10"/>
        <color theme="1"/>
        <rFont val="Times New Roman"/>
        <family val="1"/>
      </rPr>
      <t>n</t>
    </r>
    <r>
      <rPr>
        <sz val="10"/>
        <color theme="1"/>
        <rFont val="Times New Roman"/>
        <family val="1"/>
      </rPr>
      <t xml:space="preserve">  Totals have been rounded to 3 significant figures. Figures may not add exactly due to rounding.</t>
    </r>
  </si>
  <si>
    <r>
      <rPr>
        <vertAlign val="superscript"/>
        <sz val="10"/>
        <color theme="1"/>
        <rFont val="Times New Roman"/>
        <family val="1"/>
      </rPr>
      <t>m</t>
    </r>
    <r>
      <rPr>
        <sz val="10"/>
        <color theme="1"/>
        <rFont val="Times New Roman"/>
        <family val="1"/>
      </rPr>
      <t xml:space="preserve">  We have assumed that it will take each respondent 1.5 hours to record SSM information.</t>
    </r>
  </si>
  <si>
    <r>
      <rPr>
        <vertAlign val="superscript"/>
        <sz val="10"/>
        <color theme="1"/>
        <rFont val="Times New Roman"/>
        <family val="1"/>
      </rPr>
      <t xml:space="preserve">h </t>
    </r>
    <r>
      <rPr>
        <sz val="10"/>
        <color theme="1"/>
        <rFont val="Times New Roman"/>
        <family val="1"/>
      </rPr>
      <t xml:space="preserve"> We have assumed that it will take respondents 18 hours to conduct a reference Method 9 test.</t>
    </r>
  </si>
  <si>
    <r>
      <rPr>
        <vertAlign val="superscript"/>
        <sz val="10"/>
        <color theme="1"/>
        <rFont val="Times New Roman"/>
        <family val="1"/>
      </rPr>
      <t xml:space="preserve">i </t>
    </r>
    <r>
      <rPr>
        <sz val="10"/>
        <color theme="1"/>
        <rFont val="Times New Roman"/>
        <family val="1"/>
      </rPr>
      <t xml:space="preserve"> We have assumed that it will take 4 hours to re-calibrate either the COM or the scrubber.</t>
    </r>
  </si>
  <si>
    <t>Initial performance tests</t>
  </si>
  <si>
    <t xml:space="preserve">   New or modified facility</t>
  </si>
  <si>
    <t>Repeat performance tests</t>
  </si>
  <si>
    <t>Report review</t>
  </si>
  <si>
    <t xml:space="preserve">   Modification of construction/reconstruction or modification</t>
  </si>
  <si>
    <t xml:space="preserve">   Notification of actual startup</t>
  </si>
  <si>
    <t xml:space="preserve">   Notification of demonstration of CMS</t>
  </si>
  <si>
    <r>
      <t xml:space="preserve">   Notification of physical or operational change </t>
    </r>
    <r>
      <rPr>
        <vertAlign val="superscript"/>
        <sz val="10"/>
        <color theme="1"/>
        <rFont val="Times New Roman"/>
        <family val="1"/>
      </rPr>
      <t>c</t>
    </r>
  </si>
  <si>
    <t xml:space="preserve">   Notification of initial performance test</t>
  </si>
  <si>
    <r>
      <t xml:space="preserve">   Review demonstration of CMS </t>
    </r>
    <r>
      <rPr>
        <vertAlign val="superscript"/>
        <sz val="10"/>
        <color theme="1"/>
        <rFont val="Times New Roman"/>
        <family val="1"/>
      </rPr>
      <t>d</t>
    </r>
  </si>
  <si>
    <r>
      <t xml:space="preserve">   Review test results </t>
    </r>
    <r>
      <rPr>
        <vertAlign val="superscript"/>
        <sz val="10"/>
        <color theme="1"/>
        <rFont val="Times New Roman"/>
        <family val="1"/>
      </rPr>
      <t>e</t>
    </r>
  </si>
  <si>
    <r>
      <t xml:space="preserve">   Review of semiannual report of exceedances </t>
    </r>
    <r>
      <rPr>
        <vertAlign val="superscript"/>
        <sz val="10"/>
        <color theme="1"/>
        <rFont val="Times New Roman"/>
        <family val="1"/>
      </rPr>
      <t>f</t>
    </r>
  </si>
  <si>
    <r>
      <t>a</t>
    </r>
    <r>
      <rPr>
        <sz val="10"/>
        <rFont val="Times New Roman"/>
        <family val="1"/>
      </rPr>
      <t xml:space="preserve">  We have assumed that the average number of respondents that will be subject to the rule over the three-year period of this ICR will be 167.  It is estimated that no additional respondents will become subject to the regulation in the next three years.</t>
    </r>
  </si>
  <si>
    <r>
      <t>b</t>
    </r>
    <r>
      <rPr>
        <sz val="10"/>
        <rFont val="Times New Roman"/>
        <family val="1"/>
      </rPr>
      <t xml:space="preserve">  This cost is based on the average hourly labor rate as follows: Managerial $73.46 (GS-13, Step 5, $45.91 + 60%); Technical $54.51 (GS-12, Step 1, $34.07 + 60%); and Clerical $29.50 (GS-6, Step 3, $18.44 + 60%). This ICR assumes that Managerial hours are 5 percent of Technical hours, and Clerical hours are 10 percent of Technical hours. These rates are from the Office of Personnel Management (OPM), 2023 General Schedule, which excludes locality, rates of pay. The rates have been increased by 60 percent to account for the benefit packages available to government employees.  </t>
    </r>
  </si>
  <si>
    <r>
      <t>c</t>
    </r>
    <r>
      <rPr>
        <sz val="10"/>
        <rFont val="Times New Roman"/>
        <family val="1"/>
      </rPr>
      <t xml:space="preserve">  We have assumed that one respondent will submit a notification of physical or operational change.</t>
    </r>
  </si>
  <si>
    <r>
      <t>d</t>
    </r>
    <r>
      <rPr>
        <sz val="10"/>
        <rFont val="Times New Roman"/>
        <family val="1"/>
      </rPr>
      <t xml:space="preserve">  We have assumed that it will take four hours to review the CMS demonstration report.</t>
    </r>
  </si>
  <si>
    <r>
      <t>e</t>
    </r>
    <r>
      <rPr>
        <sz val="10"/>
        <rFont val="Times New Roman"/>
        <family val="1"/>
      </rPr>
      <t xml:space="preserve">  We have assumed that it will take eight hours to review the performance test results.</t>
    </r>
  </si>
  <si>
    <r>
      <t>g</t>
    </r>
    <r>
      <rPr>
        <sz val="10"/>
        <rFont val="Times New Roman"/>
        <family val="1"/>
      </rPr>
      <t xml:space="preserve">  Totals have been rounded to 3 significant figures. Figures may not add exactly due to rounding.</t>
    </r>
  </si>
  <si>
    <r>
      <t>f</t>
    </r>
    <r>
      <rPr>
        <sz val="10"/>
        <rFont val="Times New Roman"/>
        <family val="1"/>
      </rPr>
      <t xml:space="preserve">   We have assumed that it will take eight hours to review semiannual report of exceedances.</t>
    </r>
  </si>
  <si>
    <r>
      <t xml:space="preserve">TOTAL (rounded) </t>
    </r>
    <r>
      <rPr>
        <b/>
        <vertAlign val="superscript"/>
        <sz val="10"/>
        <rFont val="Times New Roman"/>
        <family val="1"/>
      </rPr>
      <t>g</t>
    </r>
  </si>
  <si>
    <r>
      <t xml:space="preserve">Total Labor Burden and Costs (rounded) </t>
    </r>
    <r>
      <rPr>
        <b/>
        <vertAlign val="superscript"/>
        <sz val="10"/>
        <rFont val="Times New Roman"/>
        <family val="1"/>
      </rPr>
      <t>n</t>
    </r>
  </si>
  <si>
    <r>
      <t>Total Capital and O&amp;M Cost (rounded)</t>
    </r>
    <r>
      <rPr>
        <b/>
        <vertAlign val="superscript"/>
        <sz val="10"/>
        <rFont val="Times New Roman"/>
        <family val="1"/>
      </rPr>
      <t xml:space="preserve"> n</t>
    </r>
  </si>
  <si>
    <r>
      <t xml:space="preserve">GRAND TOTAL (rounded) </t>
    </r>
    <r>
      <rPr>
        <b/>
        <vertAlign val="superscript"/>
        <sz val="10"/>
        <rFont val="Times New Roman"/>
        <family val="1"/>
      </rPr>
      <t>n</t>
    </r>
  </si>
  <si>
    <t>2008 Average CEPCI</t>
  </si>
  <si>
    <t>2022 CEPCI</t>
  </si>
  <si>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b</t>
    </r>
  </si>
  <si>
    <r>
      <rPr>
        <vertAlign val="superscript"/>
        <sz val="10"/>
        <color theme="1"/>
        <rFont val="Times New Roman"/>
        <family val="1"/>
      </rPr>
      <t>b</t>
    </r>
    <r>
      <rPr>
        <sz val="10"/>
        <color theme="1"/>
        <rFont val="Times New Roman"/>
        <family val="1"/>
      </rPr>
      <t xml:space="preserve"> Totals have been rounded to 3 significant digits. Figures may not add exactly due to rounding. </t>
    </r>
  </si>
  <si>
    <r>
      <t xml:space="preserve">Capital/Startup Cost for One Respondent </t>
    </r>
    <r>
      <rPr>
        <b/>
        <vertAlign val="superscript"/>
        <sz val="10"/>
        <color theme="1"/>
        <rFont val="Times New Roman"/>
        <family val="1"/>
      </rPr>
      <t>a</t>
    </r>
  </si>
  <si>
    <t>Number of Respondents with O&amp;M</t>
  </si>
  <si>
    <r>
      <t xml:space="preserve">Annual O&amp;M Costs for One Respondent </t>
    </r>
    <r>
      <rPr>
        <b/>
        <vertAlign val="superscript"/>
        <sz val="10"/>
        <color theme="1"/>
        <rFont val="Times New Roman"/>
        <family val="1"/>
      </rPr>
      <t>a</t>
    </r>
  </si>
  <si>
    <r>
      <rPr>
        <vertAlign val="superscript"/>
        <sz val="10"/>
        <color theme="1"/>
        <rFont val="Times New Roman"/>
        <family val="1"/>
      </rPr>
      <t>a</t>
    </r>
    <r>
      <rPr>
        <sz val="10"/>
        <color theme="1"/>
        <rFont val="Times New Roman"/>
        <family val="1"/>
      </rPr>
      <t xml:space="preserve"> Costs have been increased from 2008 to 2022 $ using the CEPCI Equipment Cost Index.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</si>
</sst>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164" formatCode="General_)"/>
    <numFmt numFmtId="165" formatCode="&quot;$&quot;#,##0.00"/>
    <numFmt numFmtId="166" formatCode="&quot;$&quot;#,##0"/>
    <numFmt numFmtId="167" formatCode="0.0"/>
  </numFmts>
  <fonts count="28"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sz val="10"/>
      <name val="Times New Roman"/>
      <family val="1"/>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vertAlign val="superscript"/>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10"/>
      <color rgb="FFFF0000"/>
      <name val="Calibri"/>
      <family val="2"/>
      <scheme val="minor"/>
    </font>
    <font>
      <sz val="8"/>
      <name val="Calibri"/>
      <family val="2"/>
      <scheme val="minor"/>
    </font>
    <font>
      <sz val="12"/>
      <color theme="1"/>
      <name val="Times New Roman"/>
      <family val="1"/>
    </font>
    <font>
      <sz val="12"/>
      <color rgb="FF000000"/>
      <name val="Times New Roman"/>
      <family val="1"/>
    </font>
    <font>
      <b/>
      <sz val="11"/>
      <color theme="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xf numFmtId="164" fontId="10" fillId="0" borderId="0"/>
  </cellStyleXfs>
  <cellXfs count="136">
    <xf numFmtId="0" fontId="0" fillId="0" borderId="0" xfId="0"/>
    <xf numFmtId="0" fontId="2" fillId="0" borderId="0" xfId="0" applyFont="1"/>
    <xf numFmtId="0" fontId="2" fillId="0" borderId="1" xfId="0" applyFont="1" applyBorder="1" applyAlignment="1">
      <alignment horizontal="center" wrapText="1"/>
    </xf>
    <xf numFmtId="0" fontId="8" fillId="0" borderId="0" xfId="0" applyFont="1"/>
    <xf numFmtId="164" fontId="12" fillId="0" borderId="0" xfId="1" applyFont="1" applyAlignment="1">
      <alignment horizontal="center" vertical="center" wrapText="1"/>
    </xf>
    <xf numFmtId="164" fontId="9" fillId="0" borderId="0" xfId="1" applyFont="1" applyAlignment="1">
      <alignment horizontal="center" vertical="center" wrapText="1"/>
    </xf>
    <xf numFmtId="165" fontId="9" fillId="0" borderId="0" xfId="1" applyNumberFormat="1" applyFont="1" applyAlignment="1">
      <alignment horizontal="right" wrapText="1"/>
    </xf>
    <xf numFmtId="0" fontId="9" fillId="0" borderId="0" xfId="0" applyFont="1"/>
    <xf numFmtId="0" fontId="2" fillId="0" borderId="0" xfId="0" applyFont="1" applyAlignment="1">
      <alignment horizontal="right"/>
    </xf>
    <xf numFmtId="0" fontId="8" fillId="0" borderId="0" xfId="0" applyFont="1" applyAlignment="1">
      <alignment wrapText="1"/>
    </xf>
    <xf numFmtId="0" fontId="9" fillId="0" borderId="1" xfId="0" applyFont="1" applyBorder="1" applyAlignment="1">
      <alignment horizontal="center" wrapText="1"/>
    </xf>
    <xf numFmtId="8" fontId="9" fillId="0" borderId="1" xfId="0" applyNumberFormat="1" applyFont="1" applyBorder="1" applyAlignment="1">
      <alignment horizontal="right" wrapText="1"/>
    </xf>
    <xf numFmtId="0" fontId="17" fillId="0" borderId="0" xfId="0" applyFont="1"/>
    <xf numFmtId="0" fontId="14" fillId="0" borderId="1" xfId="0" applyFont="1" applyBorder="1"/>
    <xf numFmtId="41" fontId="17" fillId="0" borderId="0" xfId="0" applyNumberFormat="1" applyFont="1"/>
    <xf numFmtId="41" fontId="17" fillId="0" borderId="5" xfId="0" applyNumberFormat="1" applyFont="1" applyBorder="1"/>
    <xf numFmtId="164" fontId="12" fillId="0" borderId="0" xfId="1" applyFont="1" applyAlignment="1">
      <alignment wrapText="1"/>
    </xf>
    <xf numFmtId="0" fontId="22" fillId="0" borderId="0" xfId="0" applyFont="1"/>
    <xf numFmtId="0" fontId="1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1" fillId="0" borderId="0" xfId="0" applyFont="1" applyAlignme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6"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6"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6" fontId="2" fillId="0" borderId="0" xfId="0" applyNumberFormat="1" applyFont="1" applyAlignment="1">
      <alignment horizontal="center" vertical="center" wrapText="1"/>
    </xf>
    <xf numFmtId="6" fontId="3" fillId="0" borderId="0" xfId="0" applyNumberFormat="1" applyFont="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0" xfId="0" applyFont="1" applyAlignment="1">
      <alignment vertical="top" wrapText="1"/>
    </xf>
    <xf numFmtId="165" fontId="9" fillId="0" borderId="1" xfId="0" applyNumberFormat="1" applyFont="1" applyBorder="1"/>
    <xf numFmtId="0" fontId="9" fillId="0" borderId="1" xfId="0" applyFont="1" applyBorder="1" applyAlignment="1">
      <alignment horizontal="left" vertical="center" wrapText="1"/>
    </xf>
    <xf numFmtId="6"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0" xfId="0" applyFont="1"/>
    <xf numFmtId="0" fontId="2" fillId="0" borderId="1" xfId="0" applyFont="1" applyBorder="1" applyAlignment="1">
      <alignment horizontal="right" wrapText="1"/>
    </xf>
    <xf numFmtId="0" fontId="2" fillId="0" borderId="1" xfId="0" applyFont="1" applyBorder="1" applyAlignment="1">
      <alignment horizontal="left" vertical="center" wrapText="1" indent="1"/>
    </xf>
    <xf numFmtId="8" fontId="2" fillId="0" borderId="1" xfId="0" applyNumberFormat="1" applyFont="1" applyBorder="1" applyAlignment="1">
      <alignment horizontal="right"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top" wrapText="1" indent="1"/>
    </xf>
    <xf numFmtId="8" fontId="2" fillId="0" borderId="1" xfId="0" applyNumberFormat="1" applyFont="1" applyBorder="1" applyAlignment="1">
      <alignment horizontal="right" wrapText="1"/>
    </xf>
    <xf numFmtId="0" fontId="9" fillId="0" borderId="1" xfId="0" applyFont="1" applyBorder="1" applyAlignment="1">
      <alignment horizontal="right" wrapText="1"/>
    </xf>
    <xf numFmtId="3" fontId="2" fillId="0" borderId="0" xfId="0" applyNumberFormat="1" applyFont="1"/>
    <xf numFmtId="0" fontId="3" fillId="0" borderId="0" xfId="0" applyFont="1"/>
    <xf numFmtId="41" fontId="9" fillId="0" borderId="0" xfId="0" applyNumberFormat="1" applyFont="1"/>
    <xf numFmtId="0" fontId="11" fillId="0" borderId="1" xfId="0" applyFont="1" applyBorder="1" applyAlignment="1">
      <alignment wrapText="1"/>
    </xf>
    <xf numFmtId="3" fontId="8" fillId="0" borderId="0" xfId="0" applyNumberFormat="1" applyFont="1"/>
    <xf numFmtId="0" fontId="20" fillId="0" borderId="0" xfId="0" applyFont="1"/>
    <xf numFmtId="0" fontId="3" fillId="0" borderId="0" xfId="0" applyFont="1" applyAlignment="1">
      <alignment horizontal="center" wrapText="1"/>
    </xf>
    <xf numFmtId="0" fontId="2" fillId="0" borderId="0" xfId="0" applyFont="1" applyAlignment="1">
      <alignment horizontal="left" vertical="top" wrapText="1" indent="1"/>
    </xf>
    <xf numFmtId="0" fontId="2" fillId="0" borderId="0" xfId="0" applyFont="1" applyAlignment="1">
      <alignment horizontal="center" wrapText="1"/>
    </xf>
    <xf numFmtId="0" fontId="2" fillId="0" borderId="0" xfId="0" applyFont="1" applyAlignment="1">
      <alignment horizontal="right" wrapText="1"/>
    </xf>
    <xf numFmtId="3" fontId="2" fillId="0" borderId="0" xfId="0" applyNumberFormat="1" applyFont="1" applyAlignment="1">
      <alignment horizontal="center" wrapText="1"/>
    </xf>
    <xf numFmtId="166" fontId="2" fillId="0" borderId="0" xfId="0" applyNumberFormat="1" applyFont="1" applyAlignment="1">
      <alignment horizontal="right" wrapText="1"/>
    </xf>
    <xf numFmtId="1" fontId="2" fillId="0" borderId="0" xfId="0" applyNumberFormat="1" applyFont="1" applyAlignment="1">
      <alignment horizontal="center" wrapText="1"/>
    </xf>
    <xf numFmtId="167" fontId="2" fillId="0" borderId="0" xfId="0" applyNumberFormat="1" applyFont="1" applyAlignment="1">
      <alignment horizontal="center" wrapText="1"/>
    </xf>
    <xf numFmtId="0" fontId="7" fillId="0" borderId="0" xfId="0" applyFont="1" applyAlignment="1">
      <alignment vertical="top" wrapText="1"/>
    </xf>
    <xf numFmtId="3" fontId="6" fillId="0" borderId="0" xfId="0" applyNumberFormat="1" applyFont="1" applyAlignment="1">
      <alignment wrapText="1"/>
    </xf>
    <xf numFmtId="6" fontId="6" fillId="0" borderId="0" xfId="0" applyNumberFormat="1" applyFont="1" applyAlignment="1">
      <alignment horizontal="right" wrapText="1"/>
    </xf>
    <xf numFmtId="0" fontId="3" fillId="0" borderId="0" xfId="0" applyFont="1" applyAlignment="1">
      <alignment wrapText="1"/>
    </xf>
    <xf numFmtId="3" fontId="2" fillId="0" borderId="1" xfId="0" applyNumberFormat="1" applyFont="1" applyBorder="1" applyAlignment="1">
      <alignment horizontal="center" vertical="center" wrapText="1"/>
    </xf>
    <xf numFmtId="3" fontId="9" fillId="0" borderId="1" xfId="0" applyNumberFormat="1" applyFont="1" applyBorder="1" applyAlignment="1">
      <alignment horizontal="center" wrapText="1"/>
    </xf>
    <xf numFmtId="164" fontId="8" fillId="0" borderId="0" xfId="1" applyFont="1" applyAlignment="1">
      <alignment vertical="center"/>
    </xf>
    <xf numFmtId="164" fontId="8" fillId="0" borderId="0" xfId="1" applyFont="1"/>
    <xf numFmtId="0" fontId="25" fillId="0" borderId="0" xfId="0" applyFont="1" applyAlignment="1">
      <alignment vertical="center" wrapText="1"/>
    </xf>
    <xf numFmtId="0" fontId="26"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wrapText="1"/>
    </xf>
    <xf numFmtId="6" fontId="22" fillId="0" borderId="0" xfId="0" applyNumberFormat="1" applyFont="1"/>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1" fontId="3" fillId="0" borderId="6" xfId="0" applyNumberFormat="1" applyFont="1" applyBorder="1" applyAlignment="1">
      <alignment horizontal="center" vertical="center" wrapText="1"/>
    </xf>
    <xf numFmtId="0" fontId="2" fillId="0" borderId="1" xfId="0" applyFont="1" applyBorder="1" applyAlignment="1">
      <alignment horizontal="center" vertical="top" wrapText="1"/>
    </xf>
    <xf numFmtId="0" fontId="9" fillId="0" borderId="1" xfId="0" applyFont="1" applyBorder="1" applyAlignment="1">
      <alignment horizontal="center" vertical="top" wrapText="1"/>
    </xf>
    <xf numFmtId="164" fontId="8" fillId="0" borderId="0" xfId="1" applyFont="1" applyAlignment="1">
      <alignment horizontal="left" vertical="center"/>
    </xf>
    <xf numFmtId="6" fontId="11" fillId="0" borderId="1" xfId="0" applyNumberFormat="1" applyFont="1" applyBorder="1" applyAlignment="1">
      <alignment horizontal="right" wrapText="1"/>
    </xf>
    <xf numFmtId="41" fontId="0" fillId="0" borderId="0" xfId="0" applyNumberFormat="1"/>
    <xf numFmtId="3" fontId="0" fillId="0" borderId="0" xfId="0" applyNumberFormat="1"/>
    <xf numFmtId="6" fontId="0" fillId="0" borderId="0" xfId="0" applyNumberFormat="1"/>
    <xf numFmtId="1" fontId="0" fillId="0" borderId="0" xfId="0" applyNumberFormat="1"/>
    <xf numFmtId="8" fontId="2" fillId="0" borderId="0" xfId="0" applyNumberFormat="1" applyFont="1"/>
    <xf numFmtId="0" fontId="18" fillId="0" borderId="0" xfId="0" applyFont="1" applyAlignment="1">
      <alignment wrapText="1"/>
    </xf>
    <xf numFmtId="0" fontId="18" fillId="0" borderId="0" xfId="0" applyFont="1" applyAlignment="1">
      <alignment horizontal="left" wrapText="1"/>
    </xf>
    <xf numFmtId="6" fontId="2" fillId="0" borderId="1" xfId="0" applyNumberFormat="1" applyFont="1" applyBorder="1" applyAlignment="1">
      <alignment horizontal="right" vertical="center" wrapText="1"/>
    </xf>
    <xf numFmtId="0" fontId="14" fillId="0" borderId="0" xfId="0" applyFont="1"/>
    <xf numFmtId="165" fontId="9" fillId="0" borderId="0" xfId="0" applyNumberFormat="1" applyFont="1"/>
    <xf numFmtId="0" fontId="18" fillId="0" borderId="0" xfId="0" applyFont="1"/>
    <xf numFmtId="6" fontId="9" fillId="0" borderId="1" xfId="0" applyNumberFormat="1" applyFont="1" applyBorder="1" applyAlignment="1">
      <alignment horizontal="right" vertical="center" wrapText="1"/>
    </xf>
    <xf numFmtId="8" fontId="9" fillId="0" borderId="1" xfId="0" applyNumberFormat="1" applyFont="1" applyBorder="1" applyAlignment="1">
      <alignment horizontal="right" vertical="center" wrapText="1"/>
    </xf>
    <xf numFmtId="0" fontId="2" fillId="0" borderId="1" xfId="0" applyFont="1" applyBorder="1" applyAlignment="1">
      <alignment horizontal="justify" vertical="center" wrapText="1"/>
    </xf>
    <xf numFmtId="0" fontId="23" fillId="0" borderId="0" xfId="0" applyFont="1"/>
    <xf numFmtId="6" fontId="3" fillId="0" borderId="1" xfId="0" applyNumberFormat="1" applyFont="1" applyBorder="1" applyAlignment="1">
      <alignment horizontal="right" wrapText="1"/>
    </xf>
    <xf numFmtId="0" fontId="11" fillId="0" borderId="1" xfId="0" applyFont="1" applyBorder="1" applyAlignment="1">
      <alignment vertical="top" wrapText="1"/>
    </xf>
    <xf numFmtId="6" fontId="11" fillId="0" borderId="2" xfId="0" applyNumberFormat="1" applyFont="1" applyBorder="1" applyAlignment="1">
      <alignment horizontal="right" wrapText="1"/>
    </xf>
    <xf numFmtId="0" fontId="11" fillId="0" borderId="1" xfId="0" applyFont="1" applyBorder="1" applyAlignment="1">
      <alignment horizontal="left" vertical="top" wrapText="1"/>
    </xf>
    <xf numFmtId="0" fontId="27" fillId="0" borderId="1" xfId="0" applyFont="1" applyBorder="1" applyAlignment="1">
      <alignment horizontal="center" vertical="center"/>
    </xf>
    <xf numFmtId="0" fontId="0" fillId="0" borderId="0" xfId="0" applyAlignment="1">
      <alignment horizontal="center"/>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wrapText="1"/>
    </xf>
    <xf numFmtId="0" fontId="14" fillId="0" borderId="1" xfId="0" applyFont="1" applyBorder="1" applyAlignment="1">
      <alignment horizontal="center"/>
    </xf>
    <xf numFmtId="0" fontId="18" fillId="0" borderId="0" xfId="0" applyFont="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3" fontId="15" fillId="0" borderId="2" xfId="0" applyNumberFormat="1" applyFont="1" applyBorder="1" applyAlignment="1">
      <alignment horizontal="center" wrapText="1"/>
    </xf>
    <xf numFmtId="3" fontId="15" fillId="0" borderId="3" xfId="0" applyNumberFormat="1" applyFont="1" applyBorder="1" applyAlignment="1">
      <alignment horizontal="center" wrapText="1"/>
    </xf>
    <xf numFmtId="3" fontId="15" fillId="0" borderId="4" xfId="0" applyNumberFormat="1" applyFont="1" applyBorder="1" applyAlignment="1">
      <alignment horizontal="center"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1" fillId="0" borderId="2" xfId="0" applyFont="1" applyBorder="1" applyAlignment="1">
      <alignment horizontal="center" wrapText="1"/>
    </xf>
    <xf numFmtId="0" fontId="11" fillId="0" borderId="3" xfId="0" applyFont="1" applyBorder="1" applyAlignment="1">
      <alignment horizontal="center" wrapText="1"/>
    </xf>
    <xf numFmtId="0" fontId="11" fillId="0" borderId="4" xfId="0" applyFont="1" applyBorder="1" applyAlignment="1">
      <alignment horizontal="center" wrapText="1"/>
    </xf>
    <xf numFmtId="3" fontId="11" fillId="0" borderId="2" xfId="0" applyNumberFormat="1" applyFont="1" applyBorder="1" applyAlignment="1">
      <alignment horizontal="center" wrapText="1"/>
    </xf>
    <xf numFmtId="3" fontId="11" fillId="0" borderId="3" xfId="0" applyNumberFormat="1" applyFont="1" applyBorder="1" applyAlignment="1">
      <alignment horizontal="center" wrapText="1"/>
    </xf>
    <xf numFmtId="3" fontId="11" fillId="0" borderId="4" xfId="0" applyNumberFormat="1" applyFont="1" applyBorder="1" applyAlignment="1">
      <alignment horizontal="center" wrapText="1"/>
    </xf>
    <xf numFmtId="0" fontId="2" fillId="0" borderId="1" xfId="0" applyFont="1" applyBorder="1" applyAlignment="1">
      <alignment horizontal="center" vertical="top" wrapText="1"/>
    </xf>
    <xf numFmtId="0" fontId="18" fillId="0" borderId="0" xfId="0" applyFont="1" applyAlignment="1">
      <alignment horizontal="left" wrapText="1"/>
    </xf>
    <xf numFmtId="0" fontId="11" fillId="0" borderId="1" xfId="0" applyFont="1" applyBorder="1" applyAlignment="1">
      <alignment horizontal="center" wrapText="1"/>
    </xf>
    <xf numFmtId="3" fontId="11" fillId="0" borderId="1" xfId="0" applyNumberFormat="1" applyFont="1" applyBorder="1" applyAlignment="1">
      <alignment horizontal="center" wrapText="1"/>
    </xf>
    <xf numFmtId="0" fontId="11" fillId="0" borderId="0" xfId="0" applyFont="1" applyAlignment="1">
      <alignment horizontal="left"/>
    </xf>
    <xf numFmtId="0" fontId="9" fillId="0" borderId="6" xfId="0" applyFont="1" applyBorder="1" applyAlignment="1">
      <alignment horizontal="left" vertical="top"/>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0" xfId="0" applyFont="1" applyAlignment="1">
      <alignment horizontal="left"/>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8"/>
  <sheetViews>
    <sheetView tabSelected="1" workbookViewId="0">
      <selection activeCell="A14" sqref="A14"/>
    </sheetView>
  </sheetViews>
  <sheetFormatPr defaultRowHeight="15" x14ac:dyDescent="0.25"/>
  <cols>
    <col min="1" max="1" width="27.85546875" bestFit="1" customWidth="1"/>
    <col min="2" max="2" width="14.5703125" customWidth="1"/>
  </cols>
  <sheetData>
    <row r="1" spans="1:2" x14ac:dyDescent="0.25">
      <c r="A1" s="101" t="s">
        <v>0</v>
      </c>
      <c r="B1" s="101"/>
    </row>
    <row r="2" spans="1:2" x14ac:dyDescent="0.25">
      <c r="A2" t="s">
        <v>1</v>
      </c>
      <c r="B2" s="81">
        <f>'Table 1'!K34</f>
        <v>19.791044776119403</v>
      </c>
    </row>
    <row r="3" spans="1:2" x14ac:dyDescent="0.25">
      <c r="A3" t="s">
        <v>2</v>
      </c>
      <c r="B3">
        <f>Respondents!F8</f>
        <v>167</v>
      </c>
    </row>
    <row r="4" spans="1:2" x14ac:dyDescent="0.25">
      <c r="A4" t="s">
        <v>3</v>
      </c>
      <c r="B4" s="82">
        <f>'Table 1'!F35</f>
        <v>6630</v>
      </c>
    </row>
    <row r="5" spans="1:2" x14ac:dyDescent="0.25">
      <c r="A5" t="s">
        <v>4</v>
      </c>
      <c r="B5" s="83">
        <f>'Table 1'!I37</f>
        <v>990000</v>
      </c>
    </row>
    <row r="6" spans="1:2" x14ac:dyDescent="0.25">
      <c r="A6" t="s">
        <v>5</v>
      </c>
      <c r="B6" s="83">
        <f>'Capital O&amp;M'!D6+'Capital O&amp;M'!G6</f>
        <v>154000</v>
      </c>
    </row>
    <row r="7" spans="1:2" x14ac:dyDescent="0.25">
      <c r="A7" t="s">
        <v>6</v>
      </c>
      <c r="B7" s="84">
        <f>Responses!E12</f>
        <v>335</v>
      </c>
    </row>
    <row r="8" spans="1:2" x14ac:dyDescent="0.25">
      <c r="A8" t="s">
        <v>7</v>
      </c>
      <c r="B8" t="s">
        <v>74</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70"/>
  <sheetViews>
    <sheetView zoomScaleNormal="100" workbookViewId="0"/>
  </sheetViews>
  <sheetFormatPr defaultRowHeight="15" x14ac:dyDescent="0.25"/>
  <cols>
    <col min="1" max="1" width="46.85546875" customWidth="1"/>
    <col min="2" max="8" width="11" customWidth="1"/>
    <col min="9" max="9" width="12.7109375" customWidth="1"/>
    <col min="10" max="10" width="6.7109375" customWidth="1"/>
    <col min="11" max="11" width="11.42578125" customWidth="1"/>
    <col min="12" max="12" width="7.7109375" customWidth="1"/>
    <col min="13" max="13" width="47.85546875" customWidth="1"/>
    <col min="14" max="14" width="12.140625" customWidth="1"/>
    <col min="21" max="21" width="11.7109375" customWidth="1"/>
  </cols>
  <sheetData>
    <row r="1" spans="1:21" ht="20.25" x14ac:dyDescent="0.3">
      <c r="A1" s="37" t="s">
        <v>62</v>
      </c>
      <c r="B1" s="1"/>
      <c r="C1" s="1"/>
      <c r="D1" s="1"/>
      <c r="E1" s="1"/>
      <c r="F1" s="1"/>
      <c r="G1" s="1"/>
      <c r="H1" s="1"/>
      <c r="I1" s="8"/>
      <c r="J1" s="1"/>
      <c r="K1" s="1"/>
      <c r="L1" s="1"/>
      <c r="M1" s="51"/>
      <c r="N1" s="12"/>
    </row>
    <row r="2" spans="1:21" s="1" customFormat="1" ht="12.75" x14ac:dyDescent="0.2">
      <c r="F2" s="7"/>
      <c r="G2" s="7"/>
      <c r="H2" s="7"/>
      <c r="I2" s="8"/>
      <c r="J2" s="3"/>
    </row>
    <row r="3" spans="1:21" s="1" customFormat="1" ht="76.5" x14ac:dyDescent="0.2">
      <c r="A3" s="19" t="s">
        <v>8</v>
      </c>
      <c r="B3" s="77" t="s">
        <v>9</v>
      </c>
      <c r="C3" s="77" t="s">
        <v>10</v>
      </c>
      <c r="D3" s="77" t="s">
        <v>11</v>
      </c>
      <c r="E3" s="77" t="s">
        <v>12</v>
      </c>
      <c r="F3" s="77" t="s">
        <v>13</v>
      </c>
      <c r="G3" s="77" t="s">
        <v>14</v>
      </c>
      <c r="H3" s="77" t="s">
        <v>15</v>
      </c>
      <c r="I3" s="77" t="s">
        <v>16</v>
      </c>
      <c r="J3" s="3"/>
      <c r="M3" s="52"/>
      <c r="N3" s="52"/>
      <c r="O3" s="52"/>
      <c r="P3" s="52"/>
      <c r="Q3" s="52"/>
      <c r="R3" s="52"/>
      <c r="S3" s="52"/>
      <c r="T3" s="52"/>
      <c r="U3" s="52"/>
    </row>
    <row r="4" spans="1:21" s="1" customFormat="1" ht="12.75" x14ac:dyDescent="0.2">
      <c r="A4" s="36" t="s">
        <v>17</v>
      </c>
      <c r="B4" s="2"/>
      <c r="C4" s="2"/>
      <c r="D4" s="2"/>
      <c r="E4" s="2"/>
      <c r="F4" s="2"/>
      <c r="G4" s="2"/>
      <c r="H4" s="2"/>
      <c r="I4" s="38"/>
      <c r="J4" s="3"/>
      <c r="K4" s="105" t="s">
        <v>18</v>
      </c>
      <c r="L4" s="105"/>
      <c r="O4" s="54"/>
      <c r="P4" s="54"/>
      <c r="Q4" s="54"/>
      <c r="R4" s="54"/>
      <c r="S4" s="54"/>
      <c r="T4" s="54"/>
      <c r="U4" s="55"/>
    </row>
    <row r="5" spans="1:21" s="1" customFormat="1" ht="15.75" x14ac:dyDescent="0.2">
      <c r="A5" s="39" t="s">
        <v>106</v>
      </c>
      <c r="B5" s="19">
        <v>1</v>
      </c>
      <c r="C5" s="19">
        <v>1</v>
      </c>
      <c r="D5" s="19">
        <f>+B5*C5</f>
        <v>1</v>
      </c>
      <c r="E5" s="19">
        <f>Respondents!F8</f>
        <v>167</v>
      </c>
      <c r="F5" s="64">
        <f>D5*E5</f>
        <v>167</v>
      </c>
      <c r="G5" s="41">
        <f>F5*0.05</f>
        <v>8.35</v>
      </c>
      <c r="H5" s="41">
        <f>F5*0.1</f>
        <v>16.7</v>
      </c>
      <c r="I5" s="40">
        <f>F5*$L$6+G5*$L$5+H5*$L$7</f>
        <v>24216.586499999998</v>
      </c>
      <c r="J5" s="9"/>
      <c r="K5" s="13" t="s">
        <v>19</v>
      </c>
      <c r="L5" s="32">
        <v>163.16999999999999</v>
      </c>
      <c r="M5" s="53"/>
      <c r="N5" s="54"/>
      <c r="O5" s="54"/>
      <c r="P5" s="54"/>
      <c r="Q5" s="54"/>
      <c r="R5" s="56"/>
      <c r="S5" s="54"/>
      <c r="T5" s="54"/>
      <c r="U5" s="57"/>
    </row>
    <row r="6" spans="1:21" s="1" customFormat="1" ht="12.75" x14ac:dyDescent="0.2">
      <c r="A6" s="43" t="s">
        <v>75</v>
      </c>
      <c r="B6" s="19"/>
      <c r="C6" s="19"/>
      <c r="D6" s="19"/>
      <c r="E6" s="19"/>
      <c r="F6" s="19"/>
      <c r="G6" s="19"/>
      <c r="H6" s="19"/>
      <c r="I6" s="40"/>
      <c r="J6" s="3"/>
      <c r="K6" s="13" t="s">
        <v>20</v>
      </c>
      <c r="L6" s="32">
        <v>130.28</v>
      </c>
      <c r="M6" s="53"/>
      <c r="N6" s="54"/>
      <c r="O6" s="54"/>
      <c r="P6" s="54"/>
      <c r="Q6" s="54"/>
      <c r="R6" s="54"/>
      <c r="S6" s="54"/>
      <c r="T6" s="54"/>
      <c r="U6" s="57"/>
    </row>
    <row r="7" spans="1:21" s="1" customFormat="1" ht="15.75" x14ac:dyDescent="0.2">
      <c r="A7" s="43" t="s">
        <v>76</v>
      </c>
      <c r="B7" s="77">
        <v>330</v>
      </c>
      <c r="C7" s="77">
        <v>1</v>
      </c>
      <c r="D7" s="19">
        <f t="shared" ref="D7:D12" si="0">+B7*C7</f>
        <v>330</v>
      </c>
      <c r="E7" s="19">
        <v>0</v>
      </c>
      <c r="F7" s="64">
        <f t="shared" ref="F7:F12" si="1">D7*E7</f>
        <v>0</v>
      </c>
      <c r="G7" s="41">
        <f t="shared" ref="G7:G12" si="2">F7*0.05</f>
        <v>0</v>
      </c>
      <c r="H7" s="41">
        <f t="shared" ref="H7:H12" si="3">F7*0.1</f>
        <v>0</v>
      </c>
      <c r="I7" s="88">
        <f>F7*$L$6+G7*$L$5+H7*$L$7</f>
        <v>0</v>
      </c>
      <c r="J7" s="3"/>
      <c r="K7" s="13" t="s">
        <v>21</v>
      </c>
      <c r="L7" s="32">
        <v>65.709999999999994</v>
      </c>
      <c r="M7" s="53"/>
      <c r="N7" s="54"/>
      <c r="O7" s="54"/>
      <c r="P7" s="54"/>
      <c r="Q7" s="54"/>
      <c r="R7" s="54"/>
      <c r="S7" s="54"/>
      <c r="T7" s="54"/>
      <c r="U7" s="57"/>
    </row>
    <row r="8" spans="1:21" s="1" customFormat="1" ht="15.75" x14ac:dyDescent="0.2">
      <c r="A8" s="43" t="s">
        <v>77</v>
      </c>
      <c r="B8" s="77">
        <v>330</v>
      </c>
      <c r="C8" s="77">
        <v>1</v>
      </c>
      <c r="D8" s="19">
        <f t="shared" si="0"/>
        <v>330</v>
      </c>
      <c r="E8" s="19">
        <f>Responses!B4</f>
        <v>0</v>
      </c>
      <c r="F8" s="64">
        <f t="shared" si="1"/>
        <v>0</v>
      </c>
      <c r="G8" s="41">
        <f t="shared" si="2"/>
        <v>0</v>
      </c>
      <c r="H8" s="41">
        <f t="shared" si="3"/>
        <v>0</v>
      </c>
      <c r="I8" s="88">
        <f>F8*$L$6+G8*$L$5+H8*$L$7</f>
        <v>0</v>
      </c>
      <c r="J8" s="3"/>
      <c r="K8" s="67"/>
      <c r="L8" s="16"/>
      <c r="M8" s="53"/>
      <c r="N8" s="54"/>
      <c r="O8" s="54"/>
      <c r="P8" s="54"/>
      <c r="Q8" s="58"/>
      <c r="R8" s="58"/>
      <c r="S8" s="58"/>
      <c r="T8" s="58"/>
      <c r="U8" s="57"/>
    </row>
    <row r="9" spans="1:21" s="1" customFormat="1" ht="15.75" x14ac:dyDescent="0.2">
      <c r="A9" s="43" t="s">
        <v>78</v>
      </c>
      <c r="B9" s="77">
        <v>2</v>
      </c>
      <c r="C9" s="77">
        <v>1</v>
      </c>
      <c r="D9" s="19">
        <f t="shared" si="0"/>
        <v>2</v>
      </c>
      <c r="E9" s="19">
        <f>Responses!B5</f>
        <v>0</v>
      </c>
      <c r="F9" s="64">
        <f t="shared" si="1"/>
        <v>0</v>
      </c>
      <c r="G9" s="41">
        <f t="shared" si="2"/>
        <v>0</v>
      </c>
      <c r="H9" s="41">
        <f t="shared" si="3"/>
        <v>0</v>
      </c>
      <c r="I9" s="88">
        <f>F9*$L$6+G9*$L$5+H9*$L$7</f>
        <v>0</v>
      </c>
      <c r="J9" s="3"/>
      <c r="K9" s="79"/>
      <c r="L9" s="4"/>
      <c r="M9" s="53"/>
      <c r="N9" s="54"/>
      <c r="O9" s="54"/>
      <c r="P9" s="54"/>
      <c r="Q9" s="58"/>
      <c r="R9" s="58"/>
      <c r="S9" s="58"/>
      <c r="T9" s="58"/>
      <c r="U9" s="57"/>
    </row>
    <row r="10" spans="1:21" s="1" customFormat="1" ht="15.75" x14ac:dyDescent="0.2">
      <c r="A10" s="43" t="s">
        <v>79</v>
      </c>
      <c r="B10" s="77">
        <v>18</v>
      </c>
      <c r="C10" s="77">
        <v>1</v>
      </c>
      <c r="D10" s="19">
        <f t="shared" si="0"/>
        <v>18</v>
      </c>
      <c r="E10" s="19">
        <v>0</v>
      </c>
      <c r="F10" s="64">
        <f t="shared" si="1"/>
        <v>0</v>
      </c>
      <c r="G10" s="41">
        <f t="shared" si="2"/>
        <v>0</v>
      </c>
      <c r="H10" s="41">
        <f t="shared" si="3"/>
        <v>0</v>
      </c>
      <c r="I10" s="88">
        <f t="shared" ref="I10:I12" si="4">F10*$L$6+G10*$L$5+H10*$L$7</f>
        <v>0</v>
      </c>
      <c r="J10" s="3"/>
      <c r="K10" s="79"/>
      <c r="L10" s="4"/>
      <c r="M10" s="53"/>
      <c r="N10" s="54"/>
      <c r="O10" s="54"/>
      <c r="P10" s="54"/>
      <c r="Q10" s="58"/>
      <c r="R10" s="58"/>
      <c r="S10" s="58"/>
      <c r="T10" s="58"/>
      <c r="U10" s="57"/>
    </row>
    <row r="11" spans="1:21" s="1" customFormat="1" ht="28.5" x14ac:dyDescent="0.2">
      <c r="A11" s="43" t="s">
        <v>80</v>
      </c>
      <c r="B11" s="19">
        <v>4</v>
      </c>
      <c r="C11" s="19">
        <v>2</v>
      </c>
      <c r="D11" s="19">
        <f t="shared" si="0"/>
        <v>8</v>
      </c>
      <c r="E11" s="19">
        <v>0</v>
      </c>
      <c r="F11" s="64">
        <f t="shared" si="1"/>
        <v>0</v>
      </c>
      <c r="G11" s="41">
        <f t="shared" si="2"/>
        <v>0</v>
      </c>
      <c r="H11" s="41">
        <f t="shared" si="3"/>
        <v>0</v>
      </c>
      <c r="I11" s="88">
        <f t="shared" si="4"/>
        <v>0</v>
      </c>
      <c r="J11" s="3"/>
      <c r="K11" s="79"/>
      <c r="L11" s="4"/>
      <c r="M11" s="53"/>
      <c r="N11" s="54"/>
      <c r="O11" s="54"/>
      <c r="P11" s="54"/>
      <c r="Q11" s="58"/>
      <c r="R11" s="58"/>
      <c r="S11" s="58"/>
      <c r="T11" s="58"/>
      <c r="U11" s="57"/>
    </row>
    <row r="12" spans="1:21" s="1" customFormat="1" ht="15.75" x14ac:dyDescent="0.2">
      <c r="A12" s="43" t="s">
        <v>81</v>
      </c>
      <c r="B12" s="77">
        <v>4</v>
      </c>
      <c r="C12" s="77">
        <v>2</v>
      </c>
      <c r="D12" s="19">
        <f t="shared" si="0"/>
        <v>8</v>
      </c>
      <c r="E12" s="19">
        <v>0</v>
      </c>
      <c r="F12" s="64">
        <f t="shared" si="1"/>
        <v>0</v>
      </c>
      <c r="G12" s="41">
        <f t="shared" si="2"/>
        <v>0</v>
      </c>
      <c r="H12" s="41">
        <f t="shared" si="3"/>
        <v>0</v>
      </c>
      <c r="I12" s="88">
        <f t="shared" si="4"/>
        <v>0</v>
      </c>
      <c r="J12" s="3"/>
      <c r="K12" s="79"/>
      <c r="L12" s="4"/>
      <c r="M12" s="53"/>
      <c r="N12" s="54"/>
      <c r="O12" s="54"/>
      <c r="P12" s="54"/>
      <c r="Q12" s="58"/>
      <c r="R12" s="58"/>
      <c r="S12" s="58"/>
      <c r="T12" s="58"/>
      <c r="U12" s="57"/>
    </row>
    <row r="13" spans="1:21" s="1" customFormat="1" ht="12.75" x14ac:dyDescent="0.2">
      <c r="A13" s="43" t="s">
        <v>82</v>
      </c>
      <c r="B13" s="122" t="s">
        <v>93</v>
      </c>
      <c r="C13" s="122"/>
      <c r="D13" s="19"/>
      <c r="E13" s="19"/>
      <c r="F13" s="19"/>
      <c r="G13" s="19"/>
      <c r="H13" s="19"/>
      <c r="I13" s="88"/>
      <c r="J13" s="3"/>
      <c r="K13" s="79"/>
      <c r="L13" s="4"/>
      <c r="M13" s="53"/>
      <c r="N13" s="54"/>
      <c r="O13" s="54"/>
      <c r="P13" s="54"/>
      <c r="Q13" s="58"/>
      <c r="R13" s="58"/>
      <c r="S13" s="58"/>
      <c r="T13" s="58"/>
      <c r="U13" s="57"/>
    </row>
    <row r="14" spans="1:21" s="1" customFormat="1" ht="12.75" x14ac:dyDescent="0.2">
      <c r="A14" s="43" t="s">
        <v>83</v>
      </c>
      <c r="B14" s="122" t="s">
        <v>93</v>
      </c>
      <c r="C14" s="122"/>
      <c r="D14" s="19"/>
      <c r="E14" s="19"/>
      <c r="F14" s="19"/>
      <c r="G14" s="19"/>
      <c r="H14" s="19"/>
      <c r="I14" s="88"/>
      <c r="J14" s="3"/>
      <c r="K14" s="79"/>
      <c r="L14" s="4"/>
      <c r="M14" s="53"/>
      <c r="N14" s="54"/>
      <c r="O14" s="54"/>
      <c r="P14" s="54"/>
      <c r="Q14" s="58"/>
      <c r="R14" s="58"/>
      <c r="S14" s="58"/>
      <c r="T14" s="58"/>
      <c r="U14" s="57"/>
    </row>
    <row r="15" spans="1:21" s="1" customFormat="1" ht="12.75" x14ac:dyDescent="0.2">
      <c r="A15" s="43" t="s">
        <v>84</v>
      </c>
      <c r="B15" s="19"/>
      <c r="C15" s="19"/>
      <c r="D15" s="19"/>
      <c r="E15" s="19"/>
      <c r="F15" s="19"/>
      <c r="G15" s="19"/>
      <c r="H15" s="19"/>
      <c r="I15" s="88"/>
      <c r="J15" s="3"/>
      <c r="K15" s="79"/>
      <c r="L15" s="4"/>
      <c r="M15" s="53"/>
      <c r="N15" s="54"/>
      <c r="O15" s="54"/>
      <c r="P15" s="54"/>
      <c r="Q15" s="58"/>
      <c r="R15" s="58"/>
      <c r="S15" s="58"/>
      <c r="T15" s="58"/>
      <c r="U15" s="57"/>
    </row>
    <row r="16" spans="1:21" s="1" customFormat="1" ht="25.5" x14ac:dyDescent="0.2">
      <c r="A16" s="43" t="s">
        <v>85</v>
      </c>
      <c r="B16" s="19">
        <v>2</v>
      </c>
      <c r="C16" s="19">
        <v>1</v>
      </c>
      <c r="D16" s="19">
        <f t="shared" ref="D16:D23" si="5">+B16*C16</f>
        <v>2</v>
      </c>
      <c r="E16" s="19">
        <v>0</v>
      </c>
      <c r="F16" s="64">
        <f t="shared" ref="F16:F23" si="6">D16*E16</f>
        <v>0</v>
      </c>
      <c r="G16" s="41">
        <f t="shared" ref="G16:G23" si="7">F16*0.05</f>
        <v>0</v>
      </c>
      <c r="H16" s="41">
        <f t="shared" ref="H16:H23" si="8">F16*0.1</f>
        <v>0</v>
      </c>
      <c r="I16" s="88">
        <f t="shared" ref="I16:I18" si="9">F16*$L$6+G16*$L$5+H16*$L$7</f>
        <v>0</v>
      </c>
      <c r="J16" s="3"/>
      <c r="K16" s="79"/>
      <c r="L16" s="4"/>
      <c r="M16" s="53"/>
      <c r="N16" s="54"/>
      <c r="O16" s="54"/>
      <c r="P16" s="54"/>
      <c r="Q16" s="58"/>
      <c r="R16" s="58"/>
      <c r="S16" s="58"/>
      <c r="T16" s="58"/>
      <c r="U16" s="57"/>
    </row>
    <row r="17" spans="1:21" s="1" customFormat="1" ht="12.75" x14ac:dyDescent="0.2">
      <c r="A17" s="43" t="s">
        <v>86</v>
      </c>
      <c r="B17" s="77">
        <v>2</v>
      </c>
      <c r="C17" s="77">
        <v>1</v>
      </c>
      <c r="D17" s="19">
        <f t="shared" si="5"/>
        <v>2</v>
      </c>
      <c r="E17" s="19">
        <v>0</v>
      </c>
      <c r="F17" s="64">
        <f t="shared" si="6"/>
        <v>0</v>
      </c>
      <c r="G17" s="41">
        <f t="shared" si="7"/>
        <v>0</v>
      </c>
      <c r="H17" s="41">
        <f t="shared" si="8"/>
        <v>0</v>
      </c>
      <c r="I17" s="88">
        <f t="shared" si="9"/>
        <v>0</v>
      </c>
      <c r="J17" s="3"/>
      <c r="K17" s="79"/>
      <c r="L17" s="4"/>
      <c r="M17" s="53"/>
      <c r="N17" s="54"/>
      <c r="O17" s="54"/>
      <c r="P17" s="54"/>
      <c r="Q17" s="58"/>
      <c r="R17" s="58"/>
      <c r="S17" s="58"/>
      <c r="T17" s="58"/>
      <c r="U17" s="57"/>
    </row>
    <row r="18" spans="1:21" s="1" customFormat="1" ht="12.75" x14ac:dyDescent="0.2">
      <c r="A18" s="43" t="s">
        <v>87</v>
      </c>
      <c r="B18" s="77">
        <v>2</v>
      </c>
      <c r="C18" s="77">
        <v>1</v>
      </c>
      <c r="D18" s="19">
        <f t="shared" si="5"/>
        <v>2</v>
      </c>
      <c r="E18" s="19">
        <v>0</v>
      </c>
      <c r="F18" s="64">
        <f t="shared" si="6"/>
        <v>0</v>
      </c>
      <c r="G18" s="41">
        <f t="shared" si="7"/>
        <v>0</v>
      </c>
      <c r="H18" s="41">
        <f t="shared" si="8"/>
        <v>0</v>
      </c>
      <c r="I18" s="88">
        <f t="shared" si="9"/>
        <v>0</v>
      </c>
      <c r="J18" s="3"/>
      <c r="K18" s="79"/>
      <c r="L18" s="4"/>
      <c r="M18" s="53"/>
      <c r="N18" s="54"/>
      <c r="O18" s="54"/>
      <c r="P18" s="54"/>
      <c r="Q18" s="58"/>
      <c r="R18" s="58"/>
      <c r="S18" s="58"/>
      <c r="T18" s="58"/>
      <c r="U18" s="57"/>
    </row>
    <row r="19" spans="1:21" s="1" customFormat="1" ht="15.75" x14ac:dyDescent="0.2">
      <c r="A19" s="43" t="s">
        <v>88</v>
      </c>
      <c r="B19" s="77">
        <v>2</v>
      </c>
      <c r="C19" s="77">
        <v>1</v>
      </c>
      <c r="D19" s="19">
        <f t="shared" si="5"/>
        <v>2</v>
      </c>
      <c r="E19" s="19">
        <v>1</v>
      </c>
      <c r="F19" s="64">
        <f t="shared" si="6"/>
        <v>2</v>
      </c>
      <c r="G19" s="41">
        <f t="shared" si="7"/>
        <v>0.1</v>
      </c>
      <c r="H19" s="41">
        <f t="shared" si="8"/>
        <v>0.2</v>
      </c>
      <c r="I19" s="40">
        <f>F19*$L$6+G19*$L$5+H19*$L$7</f>
        <v>290.01900000000001</v>
      </c>
      <c r="J19" s="3"/>
      <c r="K19" s="4"/>
      <c r="L19" s="4"/>
      <c r="M19" s="53"/>
      <c r="N19" s="54"/>
      <c r="O19" s="54"/>
      <c r="P19" s="54"/>
      <c r="Q19" s="58"/>
      <c r="R19" s="58"/>
      <c r="S19" s="58"/>
      <c r="T19" s="58"/>
      <c r="U19" s="57"/>
    </row>
    <row r="20" spans="1:21" s="1" customFormat="1" ht="12.75" x14ac:dyDescent="0.2">
      <c r="A20" s="43" t="s">
        <v>89</v>
      </c>
      <c r="B20" s="77">
        <v>2</v>
      </c>
      <c r="C20" s="77">
        <v>1</v>
      </c>
      <c r="D20" s="19">
        <f t="shared" si="5"/>
        <v>2</v>
      </c>
      <c r="E20" s="19">
        <v>0</v>
      </c>
      <c r="F20" s="64">
        <f t="shared" si="6"/>
        <v>0</v>
      </c>
      <c r="G20" s="41">
        <f t="shared" si="7"/>
        <v>0</v>
      </c>
      <c r="H20" s="41">
        <f t="shared" si="8"/>
        <v>0</v>
      </c>
      <c r="I20" s="88">
        <f>F20*$L$6+G20*$L$5+H20*$L$7</f>
        <v>0</v>
      </c>
      <c r="J20" s="3"/>
      <c r="K20" s="5"/>
      <c r="L20" s="6"/>
      <c r="M20" s="53"/>
      <c r="N20" s="54"/>
      <c r="O20" s="54"/>
      <c r="P20" s="54"/>
      <c r="Q20" s="58"/>
      <c r="R20" s="58"/>
      <c r="S20" s="59"/>
      <c r="T20" s="59"/>
      <c r="U20" s="57"/>
    </row>
    <row r="21" spans="1:21" s="1" customFormat="1" ht="12.75" x14ac:dyDescent="0.2">
      <c r="A21" s="43" t="s">
        <v>90</v>
      </c>
      <c r="B21" s="77">
        <v>2</v>
      </c>
      <c r="C21" s="77">
        <v>0.2</v>
      </c>
      <c r="D21" s="19">
        <f t="shared" si="5"/>
        <v>0.4</v>
      </c>
      <c r="E21" s="19">
        <v>0</v>
      </c>
      <c r="F21" s="64">
        <f t="shared" si="6"/>
        <v>0</v>
      </c>
      <c r="G21" s="41">
        <f t="shared" si="7"/>
        <v>0</v>
      </c>
      <c r="H21" s="41">
        <f t="shared" si="8"/>
        <v>0</v>
      </c>
      <c r="I21" s="88">
        <f>F21*$L$6+G21*$L$5+H21*$L$7</f>
        <v>0</v>
      </c>
      <c r="J21" s="3"/>
      <c r="K21" s="5"/>
      <c r="L21" s="6"/>
      <c r="M21" s="53"/>
      <c r="N21" s="54"/>
      <c r="O21" s="54"/>
      <c r="P21" s="54"/>
      <c r="Q21" s="58"/>
      <c r="R21" s="58"/>
      <c r="S21" s="59"/>
      <c r="T21" s="59"/>
      <c r="U21" s="57"/>
    </row>
    <row r="22" spans="1:21" s="1" customFormat="1" ht="12.75" x14ac:dyDescent="0.2">
      <c r="A22" s="43" t="s">
        <v>91</v>
      </c>
      <c r="B22" s="77">
        <v>8</v>
      </c>
      <c r="C22" s="77">
        <v>1</v>
      </c>
      <c r="D22" s="19">
        <f t="shared" si="5"/>
        <v>8</v>
      </c>
      <c r="E22" s="19">
        <v>0</v>
      </c>
      <c r="F22" s="64">
        <f t="shared" si="6"/>
        <v>0</v>
      </c>
      <c r="G22" s="41">
        <f t="shared" si="7"/>
        <v>0</v>
      </c>
      <c r="H22" s="41">
        <f t="shared" si="8"/>
        <v>0</v>
      </c>
      <c r="I22" s="40"/>
      <c r="J22" s="3"/>
      <c r="K22" s="5"/>
      <c r="L22" s="6"/>
      <c r="M22" s="53"/>
      <c r="N22" s="54"/>
      <c r="O22" s="54"/>
      <c r="P22" s="54"/>
      <c r="Q22" s="54"/>
      <c r="R22" s="54"/>
      <c r="S22" s="54"/>
      <c r="T22" s="54"/>
      <c r="U22" s="57"/>
    </row>
    <row r="23" spans="1:21" s="1" customFormat="1" ht="18" customHeight="1" x14ac:dyDescent="0.2">
      <c r="A23" s="43" t="s">
        <v>92</v>
      </c>
      <c r="B23" s="77">
        <v>16</v>
      </c>
      <c r="C23" s="77">
        <v>2</v>
      </c>
      <c r="D23" s="19">
        <f t="shared" si="5"/>
        <v>32</v>
      </c>
      <c r="E23" s="19">
        <f>Respondents!F8</f>
        <v>167</v>
      </c>
      <c r="F23" s="64">
        <f t="shared" si="6"/>
        <v>5344</v>
      </c>
      <c r="G23" s="41">
        <f t="shared" si="7"/>
        <v>267.2</v>
      </c>
      <c r="H23" s="41">
        <f t="shared" si="8"/>
        <v>534.4</v>
      </c>
      <c r="I23" s="40">
        <f t="shared" ref="I23" si="10">F23*$L$6+G23*$L$5+H23*$L$7</f>
        <v>774930.76799999992</v>
      </c>
      <c r="J23" s="9"/>
      <c r="K23" s="66"/>
      <c r="L23" s="6"/>
      <c r="M23" s="53"/>
      <c r="N23" s="54"/>
      <c r="O23" s="54"/>
      <c r="P23" s="54"/>
      <c r="Q23" s="54"/>
      <c r="R23" s="54"/>
      <c r="S23" s="54"/>
      <c r="T23" s="54"/>
      <c r="U23" s="57"/>
    </row>
    <row r="24" spans="1:21" s="1" customFormat="1" ht="12.75" x14ac:dyDescent="0.2">
      <c r="A24" s="107" t="s">
        <v>22</v>
      </c>
      <c r="B24" s="108"/>
      <c r="C24" s="108"/>
      <c r="D24" s="108"/>
      <c r="E24" s="109"/>
      <c r="F24" s="110">
        <f>SUM(F5:H23)</f>
        <v>6339.95</v>
      </c>
      <c r="G24" s="111"/>
      <c r="H24" s="112"/>
      <c r="I24" s="96">
        <f>SUM(I5:I23)</f>
        <v>799437.37349999987</v>
      </c>
      <c r="J24" s="3"/>
      <c r="M24" s="53"/>
      <c r="N24" s="54"/>
      <c r="O24" s="54"/>
      <c r="P24" s="54"/>
      <c r="Q24" s="54"/>
      <c r="R24" s="54"/>
      <c r="S24" s="54"/>
      <c r="T24" s="54"/>
      <c r="U24" s="57"/>
    </row>
    <row r="25" spans="1:21" s="1" customFormat="1" ht="12.75" x14ac:dyDescent="0.2">
      <c r="A25" s="42" t="s">
        <v>23</v>
      </c>
      <c r="B25" s="2"/>
      <c r="C25" s="2"/>
      <c r="D25" s="2"/>
      <c r="E25" s="2"/>
      <c r="F25" s="2"/>
      <c r="G25" s="2"/>
      <c r="H25" s="2"/>
      <c r="I25" s="38"/>
      <c r="J25" s="3"/>
      <c r="M25" s="53"/>
      <c r="N25" s="54"/>
      <c r="O25" s="54"/>
      <c r="P25" s="54"/>
      <c r="Q25" s="54"/>
      <c r="R25" s="56"/>
      <c r="S25" s="54"/>
      <c r="T25" s="54"/>
      <c r="U25" s="57"/>
    </row>
    <row r="26" spans="1:21" s="1" customFormat="1" ht="15.75" x14ac:dyDescent="0.25">
      <c r="A26" s="43" t="s">
        <v>94</v>
      </c>
      <c r="B26" s="122" t="s">
        <v>99</v>
      </c>
      <c r="C26" s="122"/>
      <c r="D26" s="2"/>
      <c r="E26" s="2"/>
      <c r="F26" s="2"/>
      <c r="G26" s="2"/>
      <c r="H26" s="2"/>
      <c r="I26" s="44"/>
      <c r="J26" s="3"/>
      <c r="K26" s="3"/>
      <c r="M26" s="60"/>
      <c r="N26" s="60"/>
      <c r="O26" s="60"/>
      <c r="P26" s="60"/>
      <c r="Q26" s="60"/>
      <c r="R26" s="61"/>
      <c r="S26" s="61"/>
      <c r="T26" s="61"/>
      <c r="U26" s="62"/>
    </row>
    <row r="27" spans="1:21" s="1" customFormat="1" ht="12.75" x14ac:dyDescent="0.2">
      <c r="A27" s="43" t="s">
        <v>95</v>
      </c>
      <c r="B27" s="122" t="s">
        <v>93</v>
      </c>
      <c r="C27" s="122"/>
      <c r="D27" s="10"/>
      <c r="E27" s="10"/>
      <c r="F27" s="10"/>
      <c r="G27" s="10"/>
      <c r="H27" s="10"/>
      <c r="I27" s="11"/>
      <c r="J27" s="3"/>
      <c r="K27" s="3"/>
      <c r="M27" s="53"/>
      <c r="N27" s="54"/>
      <c r="O27" s="54"/>
      <c r="P27" s="54"/>
      <c r="Q27" s="54"/>
      <c r="R27" s="54"/>
      <c r="S27" s="54"/>
      <c r="T27" s="54"/>
      <c r="U27" s="55"/>
    </row>
    <row r="28" spans="1:21" s="1" customFormat="1" ht="12.75" x14ac:dyDescent="0.2">
      <c r="A28" s="43" t="s">
        <v>96</v>
      </c>
      <c r="B28" s="122" t="s">
        <v>93</v>
      </c>
      <c r="C28" s="122"/>
      <c r="D28" s="10"/>
      <c r="E28" s="10"/>
      <c r="F28" s="65"/>
      <c r="G28" s="10"/>
      <c r="H28" s="10"/>
      <c r="I28" s="11"/>
      <c r="J28" s="3"/>
      <c r="K28" s="3"/>
      <c r="M28" s="53"/>
      <c r="N28" s="54"/>
      <c r="O28" s="54"/>
      <c r="P28" s="54"/>
      <c r="Q28" s="54"/>
      <c r="R28" s="54"/>
      <c r="S28" s="54"/>
      <c r="T28" s="54"/>
      <c r="U28" s="57"/>
    </row>
    <row r="29" spans="1:21" s="1" customFormat="1" ht="12.75" x14ac:dyDescent="0.2">
      <c r="A29" s="43" t="s">
        <v>97</v>
      </c>
      <c r="B29" s="122" t="s">
        <v>100</v>
      </c>
      <c r="C29" s="122"/>
      <c r="D29" s="10"/>
      <c r="E29" s="10"/>
      <c r="F29" s="10"/>
      <c r="G29" s="10"/>
      <c r="H29" s="10"/>
      <c r="I29" s="45"/>
      <c r="J29" s="3"/>
      <c r="M29" s="53"/>
      <c r="N29" s="54"/>
      <c r="O29" s="54"/>
      <c r="P29" s="54"/>
      <c r="Q29" s="54"/>
      <c r="R29" s="54"/>
      <c r="S29" s="54"/>
      <c r="T29" s="54"/>
      <c r="U29" s="57"/>
    </row>
    <row r="30" spans="1:21" s="1" customFormat="1" ht="12.75" x14ac:dyDescent="0.2">
      <c r="A30" s="43" t="s">
        <v>98</v>
      </c>
      <c r="B30" s="10"/>
      <c r="C30" s="10"/>
      <c r="D30" s="10"/>
      <c r="E30" s="10"/>
      <c r="F30" s="10"/>
      <c r="G30" s="10"/>
      <c r="H30" s="10"/>
      <c r="I30" s="11"/>
      <c r="J30" s="3"/>
      <c r="K30" s="3"/>
      <c r="M30" s="53"/>
      <c r="N30" s="54"/>
      <c r="O30" s="54"/>
      <c r="P30" s="54"/>
      <c r="Q30" s="54"/>
      <c r="R30" s="56"/>
      <c r="S30" s="54"/>
      <c r="T30" s="54"/>
      <c r="U30" s="57"/>
    </row>
    <row r="31" spans="1:21" s="1" customFormat="1" ht="15.75" x14ac:dyDescent="0.2">
      <c r="A31" s="43" t="s">
        <v>101</v>
      </c>
      <c r="B31" s="77">
        <v>1.5</v>
      </c>
      <c r="C31" s="77">
        <v>1</v>
      </c>
      <c r="D31" s="77">
        <f t="shared" ref="D31" si="11">B31*C31</f>
        <v>1.5</v>
      </c>
      <c r="E31" s="19">
        <f>Respondents!F8</f>
        <v>167</v>
      </c>
      <c r="F31" s="10">
        <f t="shared" ref="F31" si="12">D31*E31</f>
        <v>250.5</v>
      </c>
      <c r="G31" s="10">
        <f t="shared" ref="G31" si="13">F31*0.05</f>
        <v>12.525</v>
      </c>
      <c r="H31" s="10">
        <f t="shared" ref="H31" si="14">F31*0.1</f>
        <v>25.05</v>
      </c>
      <c r="I31" s="11">
        <f>F31*$L$6+G31*$L$5+H31*$L$7</f>
        <v>36324.87975</v>
      </c>
      <c r="J31" s="3"/>
      <c r="K31" s="3"/>
      <c r="M31" s="53"/>
      <c r="N31" s="54"/>
      <c r="O31" s="54"/>
      <c r="P31" s="54"/>
      <c r="Q31" s="54"/>
      <c r="R31" s="54"/>
      <c r="S31" s="54"/>
      <c r="T31" s="54"/>
      <c r="U31" s="57"/>
    </row>
    <row r="32" spans="1:21" s="1" customFormat="1" ht="12.75" x14ac:dyDescent="0.2">
      <c r="A32" s="43" t="s">
        <v>102</v>
      </c>
      <c r="B32" s="77" t="s">
        <v>100</v>
      </c>
      <c r="C32" s="77"/>
      <c r="D32" s="77"/>
      <c r="E32" s="10"/>
      <c r="F32" s="10"/>
      <c r="G32" s="10"/>
      <c r="H32" s="10"/>
      <c r="I32" s="11"/>
      <c r="J32" s="3"/>
      <c r="K32" s="3"/>
      <c r="M32" s="53"/>
      <c r="N32" s="54"/>
      <c r="O32" s="54"/>
      <c r="P32" s="54"/>
      <c r="Q32" s="54"/>
      <c r="R32" s="54"/>
      <c r="S32" s="54"/>
      <c r="T32" s="54"/>
      <c r="U32" s="57"/>
    </row>
    <row r="33" spans="1:21" s="1" customFormat="1" ht="12.75" x14ac:dyDescent="0.2">
      <c r="A33" s="43" t="s">
        <v>103</v>
      </c>
      <c r="B33" s="77" t="s">
        <v>100</v>
      </c>
      <c r="C33" s="43"/>
      <c r="D33" s="43"/>
      <c r="E33" s="10"/>
      <c r="F33" s="10"/>
      <c r="G33" s="10"/>
      <c r="H33" s="10"/>
      <c r="I33" s="45"/>
      <c r="J33" s="3"/>
      <c r="K33" s="3"/>
      <c r="M33" s="53"/>
      <c r="N33" s="54"/>
      <c r="O33" s="54"/>
      <c r="P33" s="54"/>
      <c r="Q33" s="54"/>
      <c r="R33" s="54"/>
      <c r="S33" s="54"/>
      <c r="T33" s="54"/>
      <c r="U33" s="57"/>
    </row>
    <row r="34" spans="1:21" s="1" customFormat="1" ht="12.75" x14ac:dyDescent="0.2">
      <c r="A34" s="97" t="s">
        <v>24</v>
      </c>
      <c r="B34" s="113"/>
      <c r="C34" s="114"/>
      <c r="D34" s="114"/>
      <c r="E34" s="115"/>
      <c r="F34" s="119">
        <f>SUM(F26:H33)</f>
        <v>288.07499999999999</v>
      </c>
      <c r="G34" s="120"/>
      <c r="H34" s="121"/>
      <c r="I34" s="98">
        <f>SUM(I26:I33)</f>
        <v>36324.87975</v>
      </c>
      <c r="J34" s="15"/>
      <c r="K34" s="48">
        <f>F35/Responses!E12</f>
        <v>19.791044776119403</v>
      </c>
      <c r="L34" s="48" t="s">
        <v>25</v>
      </c>
      <c r="M34" s="53"/>
      <c r="N34" s="54"/>
      <c r="O34" s="54"/>
      <c r="P34" s="54"/>
      <c r="Q34" s="54"/>
      <c r="R34" s="54"/>
      <c r="S34" s="54"/>
      <c r="T34" s="54"/>
      <c r="U34" s="57"/>
    </row>
    <row r="35" spans="1:21" s="1" customFormat="1" ht="15.75" x14ac:dyDescent="0.2">
      <c r="A35" s="99" t="s">
        <v>139</v>
      </c>
      <c r="B35" s="116"/>
      <c r="C35" s="117"/>
      <c r="D35" s="117"/>
      <c r="E35" s="118"/>
      <c r="F35" s="119">
        <f>ROUND(SUM(F24,F34), -1)</f>
        <v>6630</v>
      </c>
      <c r="G35" s="120"/>
      <c r="H35" s="121"/>
      <c r="I35" s="98">
        <f>ROUND(SUM(I34,I24), -3)</f>
        <v>836000</v>
      </c>
      <c r="J35" s="15"/>
      <c r="K35" s="14"/>
      <c r="L35" s="3"/>
      <c r="M35" s="53"/>
      <c r="N35" s="54"/>
      <c r="O35" s="54"/>
      <c r="P35" s="54"/>
      <c r="Q35" s="54"/>
      <c r="R35" s="54"/>
      <c r="S35" s="54"/>
      <c r="T35" s="54"/>
      <c r="U35" s="57"/>
    </row>
    <row r="36" spans="1:21" s="1" customFormat="1" ht="13.5" customHeight="1" x14ac:dyDescent="0.25">
      <c r="A36" s="49" t="s">
        <v>140</v>
      </c>
      <c r="B36" s="116"/>
      <c r="C36" s="117"/>
      <c r="D36" s="117"/>
      <c r="E36" s="117"/>
      <c r="F36" s="117"/>
      <c r="G36" s="117"/>
      <c r="H36" s="118"/>
      <c r="I36" s="80">
        <f>ROUND('Capital O&amp;M'!G6+'Capital O&amp;M'!D6,-3)</f>
        <v>154000</v>
      </c>
      <c r="J36" s="3"/>
      <c r="M36" s="60"/>
      <c r="N36" s="60"/>
      <c r="O36" s="60"/>
      <c r="P36" s="60"/>
      <c r="Q36" s="60"/>
      <c r="R36" s="61"/>
      <c r="S36" s="61"/>
      <c r="T36" s="61"/>
      <c r="U36" s="62"/>
    </row>
    <row r="37" spans="1:21" s="1" customFormat="1" ht="13.5" customHeight="1" x14ac:dyDescent="0.25">
      <c r="A37" s="49" t="s">
        <v>141</v>
      </c>
      <c r="B37" s="116"/>
      <c r="C37" s="117"/>
      <c r="D37" s="117"/>
      <c r="E37" s="117"/>
      <c r="F37" s="117"/>
      <c r="G37" s="117"/>
      <c r="H37" s="118"/>
      <c r="I37" s="80">
        <f>ROUND(SUM(I35:I36), -3)</f>
        <v>990000</v>
      </c>
      <c r="J37" s="3"/>
      <c r="M37" s="63"/>
      <c r="N37" s="63"/>
      <c r="O37" s="63"/>
      <c r="P37" s="63"/>
      <c r="Q37" s="63"/>
      <c r="R37" s="61"/>
      <c r="S37" s="61"/>
      <c r="T37" s="61"/>
      <c r="U37" s="62"/>
    </row>
    <row r="38" spans="1:21" s="1" customFormat="1" ht="13.5" x14ac:dyDescent="0.25">
      <c r="G38" s="46"/>
      <c r="I38" s="8"/>
      <c r="J38" s="3"/>
      <c r="M38" s="63"/>
      <c r="N38" s="63"/>
      <c r="O38" s="63"/>
      <c r="P38" s="63"/>
      <c r="Q38" s="63"/>
      <c r="R38" s="63"/>
      <c r="S38" s="63"/>
      <c r="T38" s="63"/>
      <c r="U38" s="62"/>
    </row>
    <row r="39" spans="1:21" s="1" customFormat="1" ht="13.5" x14ac:dyDescent="0.25">
      <c r="A39" s="47" t="s">
        <v>26</v>
      </c>
      <c r="I39" s="8"/>
      <c r="J39" s="3"/>
      <c r="M39" s="63"/>
      <c r="N39" s="63"/>
      <c r="O39" s="63"/>
      <c r="P39" s="63"/>
      <c r="Q39" s="63"/>
      <c r="R39" s="63"/>
      <c r="S39" s="63"/>
      <c r="T39" s="63"/>
      <c r="U39" s="62"/>
    </row>
    <row r="40" spans="1:21" s="1" customFormat="1" ht="34.5" customHeight="1" x14ac:dyDescent="0.2">
      <c r="A40" s="104" t="s">
        <v>104</v>
      </c>
      <c r="B40" s="104"/>
      <c r="C40" s="104"/>
      <c r="D40" s="104"/>
      <c r="E40" s="104"/>
      <c r="F40" s="104"/>
      <c r="G40" s="104"/>
      <c r="H40" s="104"/>
      <c r="I40" s="104"/>
      <c r="J40" s="3"/>
      <c r="M40" s="31"/>
      <c r="N40" s="31"/>
      <c r="O40" s="31"/>
      <c r="P40" s="31"/>
      <c r="Q40" s="31"/>
      <c r="R40" s="31"/>
      <c r="S40" s="31"/>
      <c r="T40" s="31"/>
      <c r="U40" s="31"/>
    </row>
    <row r="41" spans="1:21" s="1" customFormat="1" ht="59.25" customHeight="1" x14ac:dyDescent="0.2">
      <c r="A41" s="106" t="s">
        <v>105</v>
      </c>
      <c r="B41" s="106"/>
      <c r="C41" s="106"/>
      <c r="D41" s="106"/>
      <c r="E41" s="106"/>
      <c r="F41" s="106"/>
      <c r="G41" s="106"/>
      <c r="H41" s="106"/>
      <c r="I41" s="106"/>
      <c r="J41" s="3"/>
      <c r="M41" s="31"/>
      <c r="N41" s="31"/>
      <c r="O41" s="31"/>
      <c r="P41" s="31"/>
      <c r="Q41" s="31"/>
      <c r="R41" s="31"/>
      <c r="S41" s="31"/>
      <c r="T41" s="31"/>
      <c r="U41" s="31"/>
    </row>
    <row r="42" spans="1:21" s="1" customFormat="1" ht="19.899999999999999" customHeight="1" x14ac:dyDescent="0.2">
      <c r="A42" s="102" t="s">
        <v>107</v>
      </c>
      <c r="B42" s="103"/>
      <c r="C42" s="103"/>
      <c r="D42" s="103"/>
      <c r="E42" s="103"/>
      <c r="F42" s="103"/>
      <c r="G42" s="103"/>
      <c r="H42" s="103"/>
      <c r="I42" s="103"/>
      <c r="J42" s="9"/>
      <c r="M42" s="31"/>
      <c r="N42" s="31"/>
      <c r="O42" s="31"/>
      <c r="P42" s="31"/>
      <c r="Q42" s="31"/>
      <c r="R42" s="31"/>
      <c r="S42" s="31"/>
      <c r="T42" s="31"/>
      <c r="U42" s="31"/>
    </row>
    <row r="43" spans="1:21" s="1" customFormat="1" ht="19.899999999999999" customHeight="1" x14ac:dyDescent="0.2">
      <c r="A43" s="102" t="s">
        <v>108</v>
      </c>
      <c r="B43" s="103"/>
      <c r="C43" s="103"/>
      <c r="D43" s="103"/>
      <c r="E43" s="103"/>
      <c r="F43" s="103"/>
      <c r="G43" s="103"/>
      <c r="H43" s="103"/>
      <c r="I43" s="103"/>
      <c r="J43" s="9"/>
      <c r="M43" s="31"/>
      <c r="N43" s="31"/>
      <c r="O43" s="31"/>
      <c r="P43" s="31"/>
      <c r="Q43" s="31"/>
      <c r="R43" s="31"/>
      <c r="S43" s="31"/>
      <c r="T43" s="31"/>
      <c r="U43" s="31"/>
    </row>
    <row r="44" spans="1:21" s="1" customFormat="1" ht="19.899999999999999" customHeight="1" x14ac:dyDescent="0.2">
      <c r="A44" s="102" t="s">
        <v>109</v>
      </c>
      <c r="B44" s="103"/>
      <c r="C44" s="103"/>
      <c r="D44" s="103"/>
      <c r="E44" s="103"/>
      <c r="F44" s="103"/>
      <c r="G44" s="103"/>
      <c r="H44" s="103"/>
      <c r="I44" s="103"/>
      <c r="J44" s="9"/>
      <c r="M44" s="31"/>
      <c r="N44" s="31"/>
      <c r="O44" s="31"/>
      <c r="P44" s="31"/>
      <c r="Q44" s="31"/>
      <c r="R44" s="31"/>
      <c r="S44" s="31"/>
      <c r="T44" s="31"/>
      <c r="U44" s="31"/>
    </row>
    <row r="45" spans="1:21" s="1" customFormat="1" ht="19.899999999999999" customHeight="1" x14ac:dyDescent="0.2">
      <c r="A45" s="102" t="s">
        <v>110</v>
      </c>
      <c r="B45" s="103"/>
      <c r="C45" s="103"/>
      <c r="D45" s="103"/>
      <c r="E45" s="103"/>
      <c r="F45" s="103"/>
      <c r="G45" s="103"/>
      <c r="H45" s="103"/>
      <c r="I45" s="103"/>
      <c r="J45" s="9"/>
      <c r="M45" s="31"/>
      <c r="N45" s="31"/>
      <c r="O45" s="31"/>
      <c r="P45" s="31"/>
      <c r="Q45" s="31"/>
      <c r="R45" s="31"/>
      <c r="S45" s="31"/>
      <c r="T45" s="31"/>
      <c r="U45" s="31"/>
    </row>
    <row r="46" spans="1:21" s="1" customFormat="1" ht="19.899999999999999" customHeight="1" x14ac:dyDescent="0.2">
      <c r="A46" s="102" t="s">
        <v>111</v>
      </c>
      <c r="B46" s="103"/>
      <c r="C46" s="103"/>
      <c r="D46" s="103"/>
      <c r="E46" s="103"/>
      <c r="F46" s="103"/>
      <c r="G46" s="103"/>
      <c r="H46" s="103"/>
      <c r="I46" s="103"/>
      <c r="J46" s="9"/>
      <c r="M46" s="31"/>
      <c r="N46" s="31"/>
      <c r="O46" s="31"/>
      <c r="P46" s="31"/>
      <c r="Q46" s="31"/>
      <c r="R46" s="31"/>
      <c r="S46" s="31"/>
      <c r="T46" s="31"/>
      <c r="U46" s="31"/>
    </row>
    <row r="47" spans="1:21" s="1" customFormat="1" ht="19.899999999999999" customHeight="1" x14ac:dyDescent="0.2">
      <c r="A47" s="102" t="s">
        <v>117</v>
      </c>
      <c r="B47" s="103"/>
      <c r="C47" s="103"/>
      <c r="D47" s="103"/>
      <c r="E47" s="103"/>
      <c r="F47" s="103"/>
      <c r="G47" s="103"/>
      <c r="H47" s="103"/>
      <c r="I47" s="103"/>
      <c r="J47" s="9"/>
      <c r="M47" s="31"/>
      <c r="N47" s="31"/>
      <c r="O47" s="31"/>
      <c r="P47" s="31"/>
      <c r="Q47" s="31"/>
      <c r="R47" s="31"/>
      <c r="S47" s="31"/>
      <c r="T47" s="31"/>
      <c r="U47" s="31"/>
    </row>
    <row r="48" spans="1:21" s="1" customFormat="1" ht="19.899999999999999" customHeight="1" x14ac:dyDescent="0.2">
      <c r="A48" s="102" t="s">
        <v>118</v>
      </c>
      <c r="B48" s="103"/>
      <c r="C48" s="103"/>
      <c r="D48" s="103"/>
      <c r="E48" s="103"/>
      <c r="F48" s="103"/>
      <c r="G48" s="103"/>
      <c r="H48" s="103"/>
      <c r="I48" s="103"/>
      <c r="J48" s="9"/>
      <c r="M48" s="31"/>
      <c r="N48" s="31"/>
      <c r="O48" s="31"/>
      <c r="P48" s="31"/>
      <c r="Q48" s="31"/>
      <c r="R48" s="31"/>
      <c r="S48" s="31"/>
      <c r="T48" s="31"/>
      <c r="U48" s="31"/>
    </row>
    <row r="49" spans="1:21" s="1" customFormat="1" ht="19.899999999999999" customHeight="1" x14ac:dyDescent="0.2">
      <c r="A49" s="102" t="s">
        <v>112</v>
      </c>
      <c r="B49" s="103"/>
      <c r="C49" s="103"/>
      <c r="D49" s="103"/>
      <c r="E49" s="103"/>
      <c r="F49" s="103"/>
      <c r="G49" s="103"/>
      <c r="H49" s="103"/>
      <c r="I49" s="103"/>
      <c r="J49" s="9"/>
      <c r="M49" s="31"/>
      <c r="N49" s="31"/>
      <c r="O49" s="31"/>
      <c r="P49" s="31"/>
      <c r="Q49" s="31"/>
      <c r="R49" s="31"/>
      <c r="S49" s="31"/>
      <c r="T49" s="31"/>
      <c r="U49" s="31"/>
    </row>
    <row r="50" spans="1:21" s="1" customFormat="1" ht="19.899999999999999" customHeight="1" x14ac:dyDescent="0.2">
      <c r="A50" s="102" t="s">
        <v>113</v>
      </c>
      <c r="B50" s="103"/>
      <c r="C50" s="103"/>
      <c r="D50" s="103"/>
      <c r="E50" s="103"/>
      <c r="F50" s="103"/>
      <c r="G50" s="103"/>
      <c r="H50" s="103"/>
      <c r="I50" s="103"/>
      <c r="J50" s="9"/>
      <c r="M50" s="31"/>
      <c r="N50" s="31"/>
      <c r="O50" s="31"/>
      <c r="P50" s="31"/>
      <c r="Q50" s="31"/>
      <c r="R50" s="31"/>
      <c r="S50" s="31"/>
      <c r="T50" s="31"/>
      <c r="U50" s="31"/>
    </row>
    <row r="51" spans="1:21" s="1" customFormat="1" ht="19.899999999999999" customHeight="1" x14ac:dyDescent="0.2">
      <c r="A51" s="102" t="s">
        <v>114</v>
      </c>
      <c r="B51" s="103"/>
      <c r="C51" s="103"/>
      <c r="D51" s="103"/>
      <c r="E51" s="103"/>
      <c r="F51" s="103"/>
      <c r="G51" s="103"/>
      <c r="H51" s="103"/>
      <c r="I51" s="103"/>
      <c r="J51" s="9"/>
      <c r="M51" s="31"/>
      <c r="N51" s="31"/>
      <c r="O51" s="31"/>
      <c r="P51" s="31"/>
      <c r="Q51" s="31"/>
      <c r="R51" s="31"/>
      <c r="S51" s="31"/>
      <c r="T51" s="31"/>
      <c r="U51" s="31"/>
    </row>
    <row r="52" spans="1:21" s="1" customFormat="1" ht="19.899999999999999" customHeight="1" x14ac:dyDescent="0.2">
      <c r="A52" s="102" t="s">
        <v>116</v>
      </c>
      <c r="B52" s="103"/>
      <c r="C52" s="103"/>
      <c r="D52" s="103"/>
      <c r="E52" s="103"/>
      <c r="F52" s="103"/>
      <c r="G52" s="103"/>
      <c r="H52" s="103"/>
      <c r="I52" s="103"/>
      <c r="J52" s="3"/>
      <c r="M52" s="31"/>
      <c r="N52" s="31"/>
      <c r="O52" s="31"/>
      <c r="P52" s="31"/>
      <c r="Q52" s="31"/>
      <c r="R52" s="31"/>
      <c r="S52" s="31"/>
      <c r="T52" s="31"/>
      <c r="U52" s="31"/>
    </row>
    <row r="53" spans="1:21" s="1" customFormat="1" ht="19.899999999999999" customHeight="1" x14ac:dyDescent="0.2">
      <c r="A53" s="102" t="s">
        <v>115</v>
      </c>
      <c r="B53" s="103"/>
      <c r="C53" s="103"/>
      <c r="D53" s="103"/>
      <c r="E53" s="103"/>
      <c r="F53" s="103"/>
      <c r="G53" s="103"/>
      <c r="H53" s="103"/>
      <c r="I53" s="103"/>
      <c r="J53" s="95"/>
      <c r="M53" s="31"/>
      <c r="N53" s="31"/>
      <c r="O53" s="31"/>
      <c r="P53" s="31"/>
      <c r="Q53" s="31"/>
      <c r="R53" s="31"/>
      <c r="S53" s="31"/>
      <c r="T53" s="31"/>
      <c r="U53" s="31"/>
    </row>
    <row r="54" spans="1:21" x14ac:dyDescent="0.25">
      <c r="A54" s="17"/>
    </row>
    <row r="56" spans="1:21" ht="15.75" x14ac:dyDescent="0.25">
      <c r="A56" s="68"/>
      <c r="B56" s="68"/>
      <c r="C56" s="68"/>
    </row>
    <row r="57" spans="1:21" ht="15.75" x14ac:dyDescent="0.25">
      <c r="A57" s="68"/>
      <c r="B57" s="68"/>
      <c r="C57" s="68"/>
    </row>
    <row r="58" spans="1:21" ht="15.75" x14ac:dyDescent="0.25">
      <c r="A58" s="68"/>
      <c r="B58" s="68"/>
      <c r="C58" s="68"/>
    </row>
    <row r="59" spans="1:21" ht="15.75" x14ac:dyDescent="0.25">
      <c r="A59" s="69"/>
      <c r="B59" s="69"/>
      <c r="C59" s="69"/>
    </row>
    <row r="60" spans="1:21" ht="15.75" x14ac:dyDescent="0.25">
      <c r="A60" s="68"/>
      <c r="B60" s="68"/>
      <c r="C60" s="68"/>
    </row>
    <row r="61" spans="1:21" ht="15.75" x14ac:dyDescent="0.25">
      <c r="A61" s="68"/>
      <c r="B61" s="68"/>
      <c r="C61" s="68"/>
    </row>
    <row r="62" spans="1:21" ht="15.75" x14ac:dyDescent="0.25">
      <c r="A62" s="69"/>
      <c r="B62" s="69"/>
      <c r="C62" s="69"/>
    </row>
    <row r="63" spans="1:21" ht="15.75" x14ac:dyDescent="0.25">
      <c r="A63" s="69"/>
      <c r="B63" s="69"/>
      <c r="C63" s="69"/>
    </row>
    <row r="64" spans="1:21" ht="15.75" customHeight="1" x14ac:dyDescent="0.25">
      <c r="A64" s="68"/>
      <c r="B64" s="68"/>
      <c r="C64" s="68"/>
    </row>
    <row r="65" spans="1:3" ht="15" customHeight="1" x14ac:dyDescent="0.25">
      <c r="A65" s="68"/>
      <c r="B65" s="68"/>
      <c r="C65" s="68"/>
    </row>
    <row r="66" spans="1:3" ht="15.75" x14ac:dyDescent="0.25">
      <c r="A66" s="68"/>
      <c r="B66" s="68"/>
      <c r="C66" s="68"/>
    </row>
    <row r="67" spans="1:3" ht="15.75" x14ac:dyDescent="0.25">
      <c r="A67" s="69"/>
      <c r="B67" s="69"/>
      <c r="C67" s="69"/>
    </row>
    <row r="68" spans="1:3" ht="15.75" x14ac:dyDescent="0.25">
      <c r="A68" s="69"/>
      <c r="B68" s="68"/>
      <c r="C68" s="68"/>
    </row>
    <row r="69" spans="1:3" ht="15.75" x14ac:dyDescent="0.25">
      <c r="A69" s="68"/>
      <c r="B69" s="68"/>
      <c r="C69" s="68"/>
    </row>
    <row r="70" spans="1:3" ht="15.75" x14ac:dyDescent="0.25">
      <c r="A70" s="69"/>
      <c r="B70" s="68"/>
      <c r="C70" s="68"/>
    </row>
  </sheetData>
  <sortState xmlns:xlrd2="http://schemas.microsoft.com/office/spreadsheetml/2017/richdata2" ref="A55:C70">
    <sortCondition ref="C55:C70"/>
  </sortState>
  <mergeCells count="29">
    <mergeCell ref="A44:I44"/>
    <mergeCell ref="A50:I50"/>
    <mergeCell ref="A51:I51"/>
    <mergeCell ref="A45:I45"/>
    <mergeCell ref="A46:I46"/>
    <mergeCell ref="A47:I47"/>
    <mergeCell ref="A48:I48"/>
    <mergeCell ref="A49:I49"/>
    <mergeCell ref="B28:C28"/>
    <mergeCell ref="B29:C29"/>
    <mergeCell ref="A42:I42"/>
    <mergeCell ref="A43:I43"/>
    <mergeCell ref="B27:C27"/>
    <mergeCell ref="A52:I52"/>
    <mergeCell ref="A53:I53"/>
    <mergeCell ref="A40:I40"/>
    <mergeCell ref="K4:L4"/>
    <mergeCell ref="A41:I41"/>
    <mergeCell ref="A24:E24"/>
    <mergeCell ref="F24:H24"/>
    <mergeCell ref="B34:E34"/>
    <mergeCell ref="B35:E35"/>
    <mergeCell ref="B36:H36"/>
    <mergeCell ref="B37:H37"/>
    <mergeCell ref="F34:H34"/>
    <mergeCell ref="F35:H35"/>
    <mergeCell ref="B13:C13"/>
    <mergeCell ref="B14:C14"/>
    <mergeCell ref="B26:C26"/>
  </mergeCells>
  <phoneticPr fontId="24"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37"/>
  <sheetViews>
    <sheetView topLeftCell="A11" zoomScaleNormal="100" workbookViewId="0">
      <selection activeCell="L16" sqref="L16"/>
    </sheetView>
  </sheetViews>
  <sheetFormatPr defaultRowHeight="15" x14ac:dyDescent="0.25"/>
  <cols>
    <col min="1" max="1" width="37.5703125" customWidth="1"/>
    <col min="2" max="2" width="11.7109375" customWidth="1"/>
    <col min="3" max="3" width="12.5703125" customWidth="1"/>
    <col min="4" max="8" width="11.7109375" customWidth="1"/>
    <col min="9" max="9" width="13.28515625" customWidth="1"/>
    <col min="10" max="10" width="8.140625" customWidth="1"/>
    <col min="11" max="11" width="11.85546875" customWidth="1"/>
  </cols>
  <sheetData>
    <row r="1" spans="1:12" ht="15.75" x14ac:dyDescent="0.25">
      <c r="A1" s="37" t="s">
        <v>63</v>
      </c>
      <c r="B1" s="1"/>
      <c r="C1" s="1"/>
      <c r="D1" s="1"/>
      <c r="E1" s="1"/>
      <c r="F1" s="1"/>
      <c r="G1" s="1"/>
      <c r="H1" s="1"/>
      <c r="I1" s="1"/>
    </row>
    <row r="2" spans="1:12" x14ac:dyDescent="0.25">
      <c r="A2" s="1"/>
      <c r="B2" s="1"/>
      <c r="C2" s="1"/>
      <c r="D2" s="1"/>
      <c r="E2" s="1"/>
      <c r="F2" s="7"/>
      <c r="G2" s="7"/>
      <c r="H2" s="7"/>
      <c r="I2" s="7"/>
    </row>
    <row r="3" spans="1:12" ht="76.5" x14ac:dyDescent="0.25">
      <c r="A3" s="35" t="s">
        <v>27</v>
      </c>
      <c r="B3" s="78" t="s">
        <v>28</v>
      </c>
      <c r="C3" s="78" t="s">
        <v>29</v>
      </c>
      <c r="D3" s="78" t="s">
        <v>30</v>
      </c>
      <c r="E3" s="78" t="s">
        <v>31</v>
      </c>
      <c r="F3" s="78" t="s">
        <v>13</v>
      </c>
      <c r="G3" s="78" t="s">
        <v>32</v>
      </c>
      <c r="H3" s="78" t="s">
        <v>33</v>
      </c>
      <c r="I3" s="78" t="s">
        <v>34</v>
      </c>
      <c r="J3" s="1"/>
      <c r="K3" s="1"/>
      <c r="L3" s="1"/>
    </row>
    <row r="4" spans="1:12" x14ac:dyDescent="0.25">
      <c r="A4" s="94" t="s">
        <v>119</v>
      </c>
      <c r="B4" s="10"/>
      <c r="C4" s="10"/>
      <c r="D4" s="10"/>
      <c r="E4" s="10"/>
      <c r="F4" s="10"/>
      <c r="G4" s="10"/>
      <c r="H4" s="10"/>
      <c r="I4" s="11"/>
      <c r="J4" s="1"/>
      <c r="K4" s="105" t="s">
        <v>18</v>
      </c>
      <c r="L4" s="105"/>
    </row>
    <row r="5" spans="1:12" x14ac:dyDescent="0.25">
      <c r="A5" s="94" t="s">
        <v>120</v>
      </c>
      <c r="B5" s="19">
        <v>40</v>
      </c>
      <c r="C5" s="19">
        <v>1</v>
      </c>
      <c r="D5" s="19">
        <f>B5*C5</f>
        <v>40</v>
      </c>
      <c r="E5" s="19">
        <v>0</v>
      </c>
      <c r="F5" s="35">
        <f t="shared" ref="F5:F16" si="0">D5*E5</f>
        <v>0</v>
      </c>
      <c r="G5" s="35">
        <f t="shared" ref="G5" si="1">F5*0.05</f>
        <v>0</v>
      </c>
      <c r="H5" s="35">
        <f t="shared" ref="H5" si="2">F5*0.1</f>
        <v>0</v>
      </c>
      <c r="I5" s="92">
        <f>F5*$L$6+G5*$L$5+H5*$L$7</f>
        <v>0</v>
      </c>
      <c r="J5" s="1"/>
      <c r="K5" s="13" t="s">
        <v>19</v>
      </c>
      <c r="L5" s="32">
        <v>73.459999999999994</v>
      </c>
    </row>
    <row r="6" spans="1:12" x14ac:dyDescent="0.25">
      <c r="A6" s="94" t="s">
        <v>121</v>
      </c>
      <c r="B6" s="19"/>
      <c r="C6" s="19"/>
      <c r="D6" s="19"/>
      <c r="E6" s="19"/>
      <c r="F6" s="35">
        <f t="shared" si="0"/>
        <v>0</v>
      </c>
      <c r="G6" s="35">
        <f t="shared" ref="G6:G17" si="3">F6*0.05</f>
        <v>0</v>
      </c>
      <c r="H6" s="35">
        <f t="shared" ref="H6:H17" si="4">F6*0.1</f>
        <v>0</v>
      </c>
      <c r="I6" s="92">
        <f t="shared" ref="I6:I16" si="5">F6*$L$6+G6*$L$5+H6*$L$7</f>
        <v>0</v>
      </c>
      <c r="J6" s="1"/>
      <c r="K6" s="13" t="s">
        <v>35</v>
      </c>
      <c r="L6" s="32">
        <v>54.51</v>
      </c>
    </row>
    <row r="7" spans="1:12" x14ac:dyDescent="0.25">
      <c r="A7" s="94" t="s">
        <v>120</v>
      </c>
      <c r="B7" s="19">
        <v>40</v>
      </c>
      <c r="C7" s="19">
        <v>0.2</v>
      </c>
      <c r="D7" s="19">
        <f t="shared" ref="D7:D17" si="6">B7*C7</f>
        <v>8</v>
      </c>
      <c r="E7" s="19">
        <v>0</v>
      </c>
      <c r="F7" s="35">
        <f t="shared" si="0"/>
        <v>0</v>
      </c>
      <c r="G7" s="35">
        <f t="shared" si="3"/>
        <v>0</v>
      </c>
      <c r="H7" s="35">
        <f t="shared" si="4"/>
        <v>0</v>
      </c>
      <c r="I7" s="92">
        <f t="shared" si="5"/>
        <v>0</v>
      </c>
      <c r="J7" s="1"/>
      <c r="K7" s="13" t="s">
        <v>21</v>
      </c>
      <c r="L7" s="32">
        <v>29.5</v>
      </c>
    </row>
    <row r="8" spans="1:12" x14ac:dyDescent="0.25">
      <c r="A8" s="94" t="s">
        <v>122</v>
      </c>
      <c r="B8" s="19"/>
      <c r="C8" s="19"/>
      <c r="D8" s="19"/>
      <c r="E8" s="41"/>
      <c r="F8" s="35">
        <f t="shared" si="0"/>
        <v>0</v>
      </c>
      <c r="G8" s="35">
        <f t="shared" si="3"/>
        <v>0</v>
      </c>
      <c r="H8" s="35">
        <f t="shared" si="4"/>
        <v>0</v>
      </c>
      <c r="I8" s="92">
        <f t="shared" si="5"/>
        <v>0</v>
      </c>
      <c r="J8" s="1"/>
      <c r="K8" s="89"/>
      <c r="L8" s="90"/>
    </row>
    <row r="9" spans="1:12" x14ac:dyDescent="0.25">
      <c r="A9" s="94" t="s">
        <v>120</v>
      </c>
      <c r="B9" s="19"/>
      <c r="C9" s="19"/>
      <c r="D9" s="19"/>
      <c r="E9" s="41"/>
      <c r="F9" s="35">
        <f t="shared" si="0"/>
        <v>0</v>
      </c>
      <c r="G9" s="35">
        <f t="shared" si="3"/>
        <v>0</v>
      </c>
      <c r="H9" s="35">
        <f t="shared" si="4"/>
        <v>0</v>
      </c>
      <c r="I9" s="92">
        <f t="shared" si="5"/>
        <v>0</v>
      </c>
      <c r="J9" s="1"/>
      <c r="K9" s="89"/>
      <c r="L9" s="90"/>
    </row>
    <row r="10" spans="1:12" ht="25.5" x14ac:dyDescent="0.25">
      <c r="A10" s="36" t="s">
        <v>123</v>
      </c>
      <c r="B10" s="19">
        <v>2</v>
      </c>
      <c r="C10" s="19">
        <v>1</v>
      </c>
      <c r="D10" s="19">
        <f t="shared" ref="D10:D15" si="7">B10*C10</f>
        <v>2</v>
      </c>
      <c r="E10" s="19">
        <v>0</v>
      </c>
      <c r="F10" s="35">
        <f t="shared" si="0"/>
        <v>0</v>
      </c>
      <c r="G10" s="35">
        <f t="shared" si="3"/>
        <v>0</v>
      </c>
      <c r="H10" s="35">
        <f t="shared" si="4"/>
        <v>0</v>
      </c>
      <c r="I10" s="92">
        <f t="shared" si="5"/>
        <v>0</v>
      </c>
      <c r="J10" s="1"/>
      <c r="K10" s="89"/>
      <c r="L10" s="90"/>
    </row>
    <row r="11" spans="1:12" x14ac:dyDescent="0.25">
      <c r="A11" s="94" t="s">
        <v>124</v>
      </c>
      <c r="B11" s="19">
        <v>2</v>
      </c>
      <c r="C11" s="19">
        <v>1</v>
      </c>
      <c r="D11" s="19">
        <f t="shared" si="7"/>
        <v>2</v>
      </c>
      <c r="E11" s="19">
        <v>0</v>
      </c>
      <c r="F11" s="35">
        <f t="shared" si="0"/>
        <v>0</v>
      </c>
      <c r="G11" s="35">
        <f t="shared" si="3"/>
        <v>0</v>
      </c>
      <c r="H11" s="35">
        <f t="shared" si="4"/>
        <v>0</v>
      </c>
      <c r="I11" s="92">
        <f t="shared" si="5"/>
        <v>0</v>
      </c>
      <c r="J11" s="1"/>
      <c r="K11" s="89"/>
      <c r="L11" s="90"/>
    </row>
    <row r="12" spans="1:12" x14ac:dyDescent="0.25">
      <c r="A12" s="94" t="s">
        <v>125</v>
      </c>
      <c r="B12" s="19">
        <v>2</v>
      </c>
      <c r="C12" s="19">
        <v>1</v>
      </c>
      <c r="D12" s="19">
        <f t="shared" si="7"/>
        <v>2</v>
      </c>
      <c r="E12" s="19">
        <v>0</v>
      </c>
      <c r="F12" s="35">
        <f t="shared" si="0"/>
        <v>0</v>
      </c>
      <c r="G12" s="35">
        <f t="shared" si="3"/>
        <v>0</v>
      </c>
      <c r="H12" s="35">
        <f t="shared" si="4"/>
        <v>0</v>
      </c>
      <c r="I12" s="92">
        <f t="shared" si="5"/>
        <v>0</v>
      </c>
      <c r="J12" s="1"/>
      <c r="K12" s="89"/>
      <c r="L12" s="90"/>
    </row>
    <row r="13" spans="1:12" ht="13.15" customHeight="1" x14ac:dyDescent="0.25">
      <c r="A13" s="94" t="s">
        <v>126</v>
      </c>
      <c r="B13" s="19">
        <v>2</v>
      </c>
      <c r="C13" s="19">
        <v>1</v>
      </c>
      <c r="D13" s="19">
        <f t="shared" si="7"/>
        <v>2</v>
      </c>
      <c r="E13" s="19">
        <v>1</v>
      </c>
      <c r="F13" s="35">
        <f t="shared" si="0"/>
        <v>2</v>
      </c>
      <c r="G13" s="35">
        <f t="shared" si="3"/>
        <v>0.1</v>
      </c>
      <c r="H13" s="35">
        <f t="shared" si="4"/>
        <v>0.2</v>
      </c>
      <c r="I13" s="93">
        <f>F13*$L$6+G13*$L$5+H13*$L$7</f>
        <v>122.26600000000001</v>
      </c>
      <c r="J13" s="12"/>
      <c r="K13" s="12"/>
      <c r="L13" s="1"/>
    </row>
    <row r="14" spans="1:12" ht="19.5" customHeight="1" x14ac:dyDescent="0.25">
      <c r="A14" s="94" t="s">
        <v>127</v>
      </c>
      <c r="B14" s="19">
        <v>2</v>
      </c>
      <c r="C14" s="19">
        <v>1</v>
      </c>
      <c r="D14" s="19">
        <f t="shared" si="7"/>
        <v>2</v>
      </c>
      <c r="E14" s="19">
        <v>0</v>
      </c>
      <c r="F14" s="35">
        <f t="shared" si="0"/>
        <v>0</v>
      </c>
      <c r="G14" s="35">
        <f t="shared" si="3"/>
        <v>0</v>
      </c>
      <c r="H14" s="35">
        <f t="shared" si="4"/>
        <v>0</v>
      </c>
      <c r="I14" s="92">
        <f t="shared" si="5"/>
        <v>0</v>
      </c>
      <c r="J14" s="12"/>
      <c r="K14" s="12"/>
      <c r="L14" s="3"/>
    </row>
    <row r="15" spans="1:12" ht="15.75" x14ac:dyDescent="0.25">
      <c r="A15" s="94" t="s">
        <v>128</v>
      </c>
      <c r="B15" s="19">
        <v>4</v>
      </c>
      <c r="C15" s="19">
        <v>1</v>
      </c>
      <c r="D15" s="19">
        <f t="shared" si="7"/>
        <v>4</v>
      </c>
      <c r="E15" s="19">
        <v>0</v>
      </c>
      <c r="F15" s="35">
        <f t="shared" si="0"/>
        <v>0</v>
      </c>
      <c r="G15" s="35">
        <f t="shared" si="3"/>
        <v>0</v>
      </c>
      <c r="H15" s="35">
        <f t="shared" si="4"/>
        <v>0</v>
      </c>
      <c r="I15" s="92">
        <f t="shared" si="5"/>
        <v>0</v>
      </c>
      <c r="J15" s="14"/>
      <c r="K15" s="14"/>
      <c r="L15" s="50"/>
    </row>
    <row r="16" spans="1:12" ht="15.75" x14ac:dyDescent="0.25">
      <c r="A16" s="94" t="s">
        <v>129</v>
      </c>
      <c r="B16" s="19">
        <v>8</v>
      </c>
      <c r="C16" s="19">
        <v>1.2</v>
      </c>
      <c r="D16" s="19">
        <f t="shared" si="6"/>
        <v>9.6</v>
      </c>
      <c r="E16" s="19">
        <v>0</v>
      </c>
      <c r="F16" s="35">
        <f t="shared" si="0"/>
        <v>0</v>
      </c>
      <c r="G16" s="35">
        <f t="shared" si="3"/>
        <v>0</v>
      </c>
      <c r="H16" s="35">
        <f t="shared" si="4"/>
        <v>0</v>
      </c>
      <c r="I16" s="92">
        <f t="shared" si="5"/>
        <v>0</v>
      </c>
      <c r="J16" s="14"/>
      <c r="K16" s="14"/>
      <c r="L16" s="50"/>
    </row>
    <row r="17" spans="1:12" ht="18.600000000000001" customHeight="1" x14ac:dyDescent="0.25">
      <c r="A17" s="94" t="s">
        <v>130</v>
      </c>
      <c r="B17" s="19">
        <v>8</v>
      </c>
      <c r="C17" s="19">
        <v>2</v>
      </c>
      <c r="D17" s="19">
        <f t="shared" si="6"/>
        <v>16</v>
      </c>
      <c r="E17" s="19">
        <f>'Table 1'!E23</f>
        <v>167</v>
      </c>
      <c r="F17" s="19">
        <f t="shared" ref="F17" si="8">D17*E17</f>
        <v>2672</v>
      </c>
      <c r="G17" s="19">
        <f t="shared" si="3"/>
        <v>133.6</v>
      </c>
      <c r="H17" s="19">
        <f t="shared" si="4"/>
        <v>267.2</v>
      </c>
      <c r="I17" s="93">
        <f>F17*$L$6+G17*$L$5+H17*$L$7</f>
        <v>163347.37599999999</v>
      </c>
      <c r="J17" s="1"/>
      <c r="K17" s="1"/>
      <c r="L17" s="1"/>
    </row>
    <row r="18" spans="1:12" ht="16.5" x14ac:dyDescent="0.25">
      <c r="A18" s="49" t="s">
        <v>138</v>
      </c>
      <c r="B18" s="124"/>
      <c r="C18" s="124"/>
      <c r="D18" s="124"/>
      <c r="E18" s="124"/>
      <c r="F18" s="125">
        <f>ROUND(SUM(F4:H17), -1)</f>
        <v>3080</v>
      </c>
      <c r="G18" s="125"/>
      <c r="H18" s="125"/>
      <c r="I18" s="80">
        <f>ROUND(SUM(I4:I17), -3)</f>
        <v>163000</v>
      </c>
      <c r="J18" s="1"/>
      <c r="K18" s="1"/>
      <c r="L18" s="1"/>
    </row>
    <row r="19" spans="1:12" x14ac:dyDescent="0.25">
      <c r="A19" s="127"/>
      <c r="B19" s="127"/>
      <c r="C19" s="127"/>
      <c r="D19" s="127"/>
      <c r="E19" s="127"/>
      <c r="F19" s="127"/>
      <c r="G19" s="127"/>
      <c r="H19" s="127"/>
      <c r="I19" s="127"/>
      <c r="J19" s="1"/>
      <c r="K19" s="1"/>
      <c r="L19" s="1"/>
    </row>
    <row r="20" spans="1:12" x14ac:dyDescent="0.25">
      <c r="A20" s="126" t="s">
        <v>26</v>
      </c>
      <c r="B20" s="126"/>
      <c r="C20" s="126"/>
      <c r="D20" s="126"/>
      <c r="E20" s="126"/>
      <c r="F20" s="126"/>
      <c r="G20" s="126"/>
      <c r="H20" s="126"/>
      <c r="I20" s="126"/>
      <c r="J20" s="1"/>
      <c r="K20" s="1"/>
      <c r="L20" s="1"/>
    </row>
    <row r="21" spans="1:12" ht="31.15" customHeight="1" x14ac:dyDescent="0.25">
      <c r="A21" s="123" t="s">
        <v>131</v>
      </c>
      <c r="B21" s="123"/>
      <c r="C21" s="123"/>
      <c r="D21" s="123"/>
      <c r="E21" s="123"/>
      <c r="F21" s="123"/>
      <c r="G21" s="123"/>
      <c r="H21" s="123"/>
      <c r="I21" s="87"/>
      <c r="J21" s="1"/>
      <c r="K21" s="1"/>
      <c r="L21" s="1"/>
    </row>
    <row r="22" spans="1:12" ht="66.75" customHeight="1" x14ac:dyDescent="0.25">
      <c r="A22" s="123" t="s">
        <v>132</v>
      </c>
      <c r="B22" s="123"/>
      <c r="C22" s="123"/>
      <c r="D22" s="123"/>
      <c r="E22" s="123"/>
      <c r="F22" s="123"/>
      <c r="G22" s="123"/>
      <c r="H22" s="123"/>
      <c r="I22" s="87"/>
      <c r="J22" s="1"/>
      <c r="K22" s="1"/>
      <c r="L22" s="1"/>
    </row>
    <row r="23" spans="1:12" ht="15.6" customHeight="1" x14ac:dyDescent="0.25">
      <c r="A23" s="123" t="s">
        <v>133</v>
      </c>
      <c r="B23" s="123"/>
      <c r="C23" s="123"/>
      <c r="D23" s="123"/>
      <c r="E23" s="123"/>
      <c r="F23" s="123"/>
      <c r="G23" s="123"/>
      <c r="H23" s="123"/>
      <c r="I23" s="86"/>
      <c r="J23" s="1"/>
      <c r="K23" s="1"/>
      <c r="L23" s="1"/>
    </row>
    <row r="24" spans="1:12" ht="19.899999999999999" customHeight="1" x14ac:dyDescent="0.25">
      <c r="A24" s="91" t="s">
        <v>134</v>
      </c>
      <c r="B24" s="86"/>
      <c r="C24" s="86"/>
      <c r="D24" s="86"/>
      <c r="E24" s="86"/>
      <c r="F24" s="86"/>
      <c r="G24" s="86"/>
      <c r="H24" s="86"/>
      <c r="I24" s="86"/>
      <c r="J24" s="1"/>
      <c r="K24" s="1"/>
      <c r="L24" s="1"/>
    </row>
    <row r="25" spans="1:12" ht="16.5" x14ac:dyDescent="0.25">
      <c r="A25" s="123" t="s">
        <v>135</v>
      </c>
      <c r="B25" s="123"/>
      <c r="C25" s="123"/>
      <c r="D25" s="123"/>
      <c r="E25" s="123"/>
      <c r="F25" s="123"/>
      <c r="G25" s="123"/>
      <c r="H25" s="123"/>
      <c r="I25" s="86"/>
      <c r="J25" s="1"/>
      <c r="K25" s="1"/>
      <c r="L25" s="1"/>
    </row>
    <row r="26" spans="1:12" ht="16.5" x14ac:dyDescent="0.25">
      <c r="A26" s="91" t="s">
        <v>137</v>
      </c>
      <c r="B26" s="86"/>
      <c r="C26" s="86"/>
      <c r="D26" s="86"/>
      <c r="E26" s="86"/>
      <c r="F26" s="86"/>
      <c r="G26" s="86"/>
      <c r="H26" s="86"/>
      <c r="I26" s="86"/>
      <c r="J26" s="1"/>
      <c r="K26" s="1"/>
      <c r="L26" s="1"/>
    </row>
    <row r="27" spans="1:12" ht="16.5" x14ac:dyDescent="0.25">
      <c r="A27" s="91" t="s">
        <v>136</v>
      </c>
      <c r="B27" s="86"/>
      <c r="C27" s="86"/>
      <c r="D27" s="86"/>
      <c r="E27" s="95"/>
      <c r="F27" s="86"/>
      <c r="G27" s="86"/>
      <c r="H27" s="86"/>
      <c r="I27" s="86"/>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85"/>
      <c r="C31" s="85"/>
      <c r="D31" s="1"/>
      <c r="E31" s="1"/>
      <c r="F31" s="1"/>
      <c r="G31" s="1"/>
      <c r="H31" s="1"/>
      <c r="I31" s="1"/>
      <c r="J31" s="1"/>
      <c r="K31" s="1"/>
      <c r="L31" s="1"/>
    </row>
    <row r="32" spans="1:12" x14ac:dyDescent="0.25">
      <c r="A32" s="1"/>
      <c r="B32" s="85"/>
      <c r="C32" s="85"/>
      <c r="D32" s="1"/>
      <c r="E32" s="1"/>
      <c r="F32" s="1"/>
      <c r="G32" s="1"/>
      <c r="H32" s="1"/>
      <c r="I32" s="1"/>
      <c r="J32" s="1"/>
      <c r="K32" s="1"/>
      <c r="L32" s="1"/>
    </row>
    <row r="33" spans="1:12" x14ac:dyDescent="0.25">
      <c r="A33" s="1"/>
      <c r="B33" s="85"/>
      <c r="C33" s="85"/>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row>
  </sheetData>
  <mergeCells count="9">
    <mergeCell ref="A23:H23"/>
    <mergeCell ref="A25:H25"/>
    <mergeCell ref="A21:H21"/>
    <mergeCell ref="A22:H22"/>
    <mergeCell ref="K4:L4"/>
    <mergeCell ref="B18:E18"/>
    <mergeCell ref="F18:H18"/>
    <mergeCell ref="A20:I20"/>
    <mergeCell ref="A19:I19"/>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K9"/>
  <sheetViews>
    <sheetView zoomScaleNormal="100" workbookViewId="0">
      <selection activeCell="A9" sqref="A9:G9"/>
    </sheetView>
  </sheetViews>
  <sheetFormatPr defaultColWidth="22" defaultRowHeight="12.75" x14ac:dyDescent="0.2"/>
  <cols>
    <col min="1" max="1" width="22" style="17"/>
    <col min="2" max="2" width="17.5703125" style="17" customWidth="1"/>
    <col min="3" max="3" width="17.28515625" style="17" customWidth="1"/>
    <col min="4" max="4" width="22" style="17"/>
    <col min="5" max="5" width="19.85546875" style="17" customWidth="1"/>
    <col min="6" max="7" width="16.85546875" style="17" customWidth="1"/>
    <col min="8" max="8" width="6" style="17" customWidth="1"/>
    <col min="9" max="16384" width="22" style="17"/>
  </cols>
  <sheetData>
    <row r="1" spans="1:11" x14ac:dyDescent="0.2">
      <c r="A1" s="5"/>
      <c r="B1" s="6"/>
      <c r="C1" s="6"/>
    </row>
    <row r="2" spans="1:11" x14ac:dyDescent="0.2">
      <c r="A2" s="128" t="s">
        <v>36</v>
      </c>
      <c r="B2" s="128"/>
      <c r="C2" s="128"/>
      <c r="D2" s="128"/>
      <c r="E2" s="128"/>
      <c r="F2" s="128"/>
      <c r="G2" s="129"/>
      <c r="H2" s="26"/>
    </row>
    <row r="3" spans="1:11" x14ac:dyDescent="0.2">
      <c r="A3" s="22" t="s">
        <v>37</v>
      </c>
      <c r="B3" s="22" t="s">
        <v>38</v>
      </c>
      <c r="C3" s="22" t="s">
        <v>39</v>
      </c>
      <c r="D3" s="22" t="s">
        <v>40</v>
      </c>
      <c r="E3" s="22" t="s">
        <v>41</v>
      </c>
      <c r="F3" s="22" t="s">
        <v>42</v>
      </c>
      <c r="G3" s="22" t="s">
        <v>43</v>
      </c>
      <c r="H3" s="26"/>
      <c r="J3" s="17" t="s">
        <v>142</v>
      </c>
      <c r="K3" s="17" t="s">
        <v>143</v>
      </c>
    </row>
    <row r="4" spans="1:11" ht="46.5" customHeight="1" x14ac:dyDescent="0.2">
      <c r="A4" s="22" t="s">
        <v>44</v>
      </c>
      <c r="B4" s="22" t="s">
        <v>146</v>
      </c>
      <c r="C4" s="22" t="s">
        <v>65</v>
      </c>
      <c r="D4" s="22" t="s">
        <v>45</v>
      </c>
      <c r="E4" s="22" t="s">
        <v>148</v>
      </c>
      <c r="F4" s="22" t="s">
        <v>147</v>
      </c>
      <c r="G4" s="22" t="s">
        <v>46</v>
      </c>
      <c r="H4" s="26"/>
      <c r="J4" s="100">
        <v>575.4</v>
      </c>
      <c r="K4" s="100">
        <v>816</v>
      </c>
    </row>
    <row r="5" spans="1:11" ht="36.75" customHeight="1" x14ac:dyDescent="0.2">
      <c r="A5" s="33" t="s">
        <v>64</v>
      </c>
      <c r="B5" s="34">
        <f>4000*(K4/J4)</f>
        <v>5672.5755995828986</v>
      </c>
      <c r="C5" s="35">
        <v>0</v>
      </c>
      <c r="D5" s="23">
        <f>B5*C5</f>
        <v>0</v>
      </c>
      <c r="E5" s="23">
        <f>650*(K4/J4)</f>
        <v>921.79353493222106</v>
      </c>
      <c r="F5" s="35">
        <v>167</v>
      </c>
      <c r="G5" s="23">
        <f>ROUND(E5*F5,-3)</f>
        <v>154000</v>
      </c>
      <c r="H5" s="27"/>
    </row>
    <row r="6" spans="1:11" ht="15.75" x14ac:dyDescent="0.2">
      <c r="A6" s="24" t="s">
        <v>144</v>
      </c>
      <c r="B6" s="19"/>
      <c r="C6" s="19"/>
      <c r="D6" s="25">
        <f>ROUND(SUM(D5:D5), -3)</f>
        <v>0</v>
      </c>
      <c r="E6" s="19"/>
      <c r="F6" s="19"/>
      <c r="G6" s="25">
        <f>+G5</f>
        <v>154000</v>
      </c>
      <c r="I6" s="72">
        <f>D6+G6</f>
        <v>154000</v>
      </c>
    </row>
    <row r="7" spans="1:11" ht="5.45" customHeight="1" x14ac:dyDescent="0.2">
      <c r="A7" s="70"/>
      <c r="B7" s="71"/>
      <c r="C7" s="71"/>
      <c r="D7" s="28"/>
      <c r="E7" s="71"/>
      <c r="F7" s="71"/>
      <c r="G7" s="28"/>
    </row>
    <row r="8" spans="1:11" ht="18.600000000000001" customHeight="1" x14ac:dyDescent="0.2">
      <c r="A8" s="130" t="s">
        <v>149</v>
      </c>
      <c r="B8" s="130"/>
      <c r="C8" s="130"/>
      <c r="D8" s="130"/>
      <c r="E8" s="130"/>
      <c r="F8" s="130"/>
      <c r="G8" s="130"/>
    </row>
    <row r="9" spans="1:11" ht="18.75" customHeight="1" x14ac:dyDescent="0.2">
      <c r="A9" s="103" t="s">
        <v>145</v>
      </c>
      <c r="B9" s="103"/>
      <c r="C9" s="103"/>
      <c r="D9" s="103"/>
      <c r="E9" s="103"/>
      <c r="F9" s="103"/>
      <c r="G9" s="103"/>
    </row>
  </sheetData>
  <mergeCells count="3">
    <mergeCell ref="A9:G9"/>
    <mergeCell ref="A2:G2"/>
    <mergeCell ref="A8:G8"/>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F13"/>
  <sheetViews>
    <sheetView topLeftCell="A3" zoomScale="90" zoomScaleNormal="90" workbookViewId="0">
      <selection activeCell="B7" sqref="B7"/>
    </sheetView>
  </sheetViews>
  <sheetFormatPr defaultRowHeight="15" x14ac:dyDescent="0.25"/>
  <cols>
    <col min="1" max="1" width="22.28515625" bestFit="1" customWidth="1"/>
    <col min="2" max="2" width="11.85546875" customWidth="1"/>
    <col min="3" max="3" width="12.7109375" customWidth="1"/>
    <col min="4" max="4" width="11.42578125" customWidth="1"/>
    <col min="5" max="5" width="14.7109375" customWidth="1"/>
  </cols>
  <sheetData>
    <row r="1" spans="1:6" s="17" customFormat="1" ht="15.75" x14ac:dyDescent="0.2">
      <c r="A1" s="131" t="s">
        <v>6</v>
      </c>
      <c r="B1" s="131"/>
      <c r="C1" s="131"/>
      <c r="D1" s="131"/>
      <c r="E1" s="131"/>
    </row>
    <row r="2" spans="1:6" s="17" customFormat="1" ht="12.75" x14ac:dyDescent="0.2">
      <c r="A2" s="18" t="s">
        <v>37</v>
      </c>
      <c r="B2" s="18" t="s">
        <v>38</v>
      </c>
      <c r="C2" s="18" t="s">
        <v>39</v>
      </c>
      <c r="D2" s="18" t="s">
        <v>40</v>
      </c>
      <c r="E2" s="18" t="s">
        <v>41</v>
      </c>
    </row>
    <row r="3" spans="1:6" s="17" customFormat="1" ht="102" x14ac:dyDescent="0.2">
      <c r="A3" s="18" t="s">
        <v>47</v>
      </c>
      <c r="B3" s="18" t="s">
        <v>2</v>
      </c>
      <c r="C3" s="18" t="s">
        <v>48</v>
      </c>
      <c r="D3" s="18" t="s">
        <v>49</v>
      </c>
      <c r="E3" s="18" t="s">
        <v>50</v>
      </c>
    </row>
    <row r="4" spans="1:6" s="17" customFormat="1" ht="38.25" x14ac:dyDescent="0.2">
      <c r="A4" s="21" t="s">
        <v>66</v>
      </c>
      <c r="B4" s="19">
        <v>0</v>
      </c>
      <c r="C4" s="19">
        <v>0</v>
      </c>
      <c r="D4" s="19">
        <v>0</v>
      </c>
      <c r="E4" s="19">
        <f t="shared" ref="E4:E10" si="0">+B4*C4</f>
        <v>0</v>
      </c>
    </row>
    <row r="5" spans="1:6" s="17" customFormat="1" ht="25.5" x14ac:dyDescent="0.2">
      <c r="A5" s="21" t="s">
        <v>67</v>
      </c>
      <c r="B5" s="19">
        <v>0</v>
      </c>
      <c r="C5" s="19">
        <v>0</v>
      </c>
      <c r="D5" s="19">
        <v>0</v>
      </c>
      <c r="E5" s="19">
        <f t="shared" si="0"/>
        <v>0</v>
      </c>
    </row>
    <row r="6" spans="1:6" s="17" customFormat="1" ht="25.5" x14ac:dyDescent="0.2">
      <c r="A6" s="21" t="s">
        <v>68</v>
      </c>
      <c r="B6" s="19">
        <v>0</v>
      </c>
      <c r="C6" s="19">
        <v>0</v>
      </c>
      <c r="D6" s="19">
        <v>0</v>
      </c>
      <c r="E6" s="19">
        <f t="shared" si="0"/>
        <v>0</v>
      </c>
    </row>
    <row r="7" spans="1:6" s="17" customFormat="1" ht="25.5" x14ac:dyDescent="0.2">
      <c r="A7" s="21" t="s">
        <v>69</v>
      </c>
      <c r="B7" s="19">
        <v>1</v>
      </c>
      <c r="C7" s="19">
        <v>1</v>
      </c>
      <c r="D7" s="19">
        <v>0</v>
      </c>
      <c r="E7" s="19">
        <f t="shared" si="0"/>
        <v>1</v>
      </c>
    </row>
    <row r="8" spans="1:6" s="17" customFormat="1" ht="25.5" x14ac:dyDescent="0.2">
      <c r="A8" s="21" t="s">
        <v>70</v>
      </c>
      <c r="B8" s="19">
        <v>0</v>
      </c>
      <c r="C8" s="19">
        <v>0</v>
      </c>
      <c r="D8" s="19">
        <v>0</v>
      </c>
      <c r="E8" s="19">
        <f t="shared" si="0"/>
        <v>0</v>
      </c>
      <c r="F8" s="3"/>
    </row>
    <row r="9" spans="1:6" s="17" customFormat="1" ht="28.5" customHeight="1" x14ac:dyDescent="0.2">
      <c r="A9" s="21" t="s">
        <v>71</v>
      </c>
      <c r="B9" s="19">
        <v>0</v>
      </c>
      <c r="C9" s="19">
        <v>0</v>
      </c>
      <c r="D9" s="19">
        <v>0</v>
      </c>
      <c r="E9" s="19">
        <f t="shared" si="0"/>
        <v>0</v>
      </c>
    </row>
    <row r="10" spans="1:6" s="17" customFormat="1" ht="28.5" customHeight="1" x14ac:dyDescent="0.2">
      <c r="A10" s="21" t="s">
        <v>72</v>
      </c>
      <c r="B10" s="19">
        <v>0</v>
      </c>
      <c r="C10" s="19">
        <v>0</v>
      </c>
      <c r="D10" s="19">
        <v>0</v>
      </c>
      <c r="E10" s="19">
        <f t="shared" si="0"/>
        <v>0</v>
      </c>
    </row>
    <row r="11" spans="1:6" s="17" customFormat="1" ht="28.5" customHeight="1" x14ac:dyDescent="0.2">
      <c r="A11" s="21" t="s">
        <v>73</v>
      </c>
      <c r="B11" s="19">
        <v>167</v>
      </c>
      <c r="C11" s="19">
        <v>2</v>
      </c>
      <c r="D11" s="19">
        <v>0</v>
      </c>
      <c r="E11" s="19">
        <f>+B11*C11</f>
        <v>334</v>
      </c>
    </row>
    <row r="12" spans="1:6" s="17" customFormat="1" ht="29.25" customHeight="1" x14ac:dyDescent="0.2">
      <c r="A12" s="21"/>
      <c r="B12" s="19"/>
      <c r="C12" s="19"/>
      <c r="D12" s="19" t="s">
        <v>51</v>
      </c>
      <c r="E12" s="19">
        <f>SUM(E4:E11)</f>
        <v>335</v>
      </c>
    </row>
    <row r="13" spans="1:6" s="17" customFormat="1" ht="9.75" customHeight="1" x14ac:dyDescent="0.2">
      <c r="A13" s="73"/>
      <c r="B13" s="74"/>
      <c r="C13" s="74"/>
      <c r="D13" s="75"/>
      <c r="E13" s="76"/>
    </row>
  </sheetData>
  <mergeCells count="1">
    <mergeCell ref="A1:E1"/>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90" zoomScaleNormal="90" workbookViewId="0">
      <selection activeCell="B11" sqref="B11"/>
    </sheetView>
  </sheetViews>
  <sheetFormatPr defaultColWidth="17.7109375" defaultRowHeight="31.9" customHeight="1" x14ac:dyDescent="0.25"/>
  <sheetData>
    <row r="1" spans="1:6" s="17" customFormat="1" ht="31.9" customHeight="1" x14ac:dyDescent="0.2">
      <c r="A1" s="131" t="s">
        <v>2</v>
      </c>
      <c r="B1" s="131"/>
      <c r="C1" s="131"/>
      <c r="D1" s="131"/>
      <c r="E1" s="131"/>
      <c r="F1" s="131"/>
    </row>
    <row r="2" spans="1:6" s="17" customFormat="1" ht="12.75" x14ac:dyDescent="0.2">
      <c r="A2" s="29"/>
      <c r="B2" s="132" t="s">
        <v>52</v>
      </c>
      <c r="C2" s="132"/>
      <c r="D2" s="133" t="s">
        <v>53</v>
      </c>
      <c r="E2" s="134"/>
      <c r="F2" s="135"/>
    </row>
    <row r="3" spans="1:6" s="17" customFormat="1" ht="12.75" x14ac:dyDescent="0.2">
      <c r="A3" s="29"/>
      <c r="B3" s="30" t="s">
        <v>37</v>
      </c>
      <c r="C3" s="30" t="s">
        <v>38</v>
      </c>
      <c r="D3" s="30" t="s">
        <v>39</v>
      </c>
      <c r="E3" s="30" t="s">
        <v>40</v>
      </c>
      <c r="F3" s="30" t="s">
        <v>41</v>
      </c>
    </row>
    <row r="4" spans="1:6" s="17" customFormat="1" ht="51" x14ac:dyDescent="0.2">
      <c r="A4" s="30" t="s">
        <v>54</v>
      </c>
      <c r="B4" s="29" t="s">
        <v>55</v>
      </c>
      <c r="C4" s="29" t="s">
        <v>56</v>
      </c>
      <c r="D4" s="29" t="s">
        <v>57</v>
      </c>
      <c r="E4" s="29" t="s">
        <v>58</v>
      </c>
      <c r="F4" s="29" t="s">
        <v>59</v>
      </c>
    </row>
    <row r="5" spans="1:6" s="17" customFormat="1" ht="12.75" x14ac:dyDescent="0.2">
      <c r="A5" s="18">
        <v>1</v>
      </c>
      <c r="B5" s="19">
        <v>0</v>
      </c>
      <c r="C5" s="19">
        <v>167</v>
      </c>
      <c r="D5" s="19">
        <v>0</v>
      </c>
      <c r="E5" s="19">
        <v>0</v>
      </c>
      <c r="F5" s="19">
        <f>B5+C5+D5-E5</f>
        <v>167</v>
      </c>
    </row>
    <row r="6" spans="1:6" s="17" customFormat="1" ht="12.75" x14ac:dyDescent="0.2">
      <c r="A6" s="18">
        <v>2</v>
      </c>
      <c r="B6" s="19">
        <v>0</v>
      </c>
      <c r="C6" s="19">
        <v>167</v>
      </c>
      <c r="D6" s="19">
        <v>0</v>
      </c>
      <c r="E6" s="19">
        <v>0</v>
      </c>
      <c r="F6" s="19">
        <f>B6+C6+D6-E6</f>
        <v>167</v>
      </c>
    </row>
    <row r="7" spans="1:6" s="17" customFormat="1" ht="12.75" x14ac:dyDescent="0.2">
      <c r="A7" s="18">
        <v>3</v>
      </c>
      <c r="B7" s="19">
        <v>0</v>
      </c>
      <c r="C7" s="19">
        <v>167</v>
      </c>
      <c r="D7" s="19">
        <v>0</v>
      </c>
      <c r="E7" s="19">
        <v>0</v>
      </c>
      <c r="F7" s="19">
        <f>B7+C7+D7-E7</f>
        <v>167</v>
      </c>
    </row>
    <row r="8" spans="1:6" s="17" customFormat="1" ht="12.75" x14ac:dyDescent="0.2">
      <c r="A8" s="18" t="s">
        <v>60</v>
      </c>
      <c r="B8" s="19">
        <f>AVERAGE(B5:B7)</f>
        <v>0</v>
      </c>
      <c r="C8" s="19">
        <f>AVERAGE(C5:C7)</f>
        <v>167</v>
      </c>
      <c r="D8" s="19">
        <v>0</v>
      </c>
      <c r="E8" s="19">
        <v>0</v>
      </c>
      <c r="F8" s="22">
        <f>AVERAGE(F5:F7)</f>
        <v>167</v>
      </c>
    </row>
    <row r="9" spans="1:6" s="17" customFormat="1" ht="15.75" x14ac:dyDescent="0.2">
      <c r="A9" s="20" t="s">
        <v>61</v>
      </c>
    </row>
  </sheetData>
  <mergeCells count="3">
    <mergeCell ref="A1:F1"/>
    <mergeCell ref="B2:C2"/>
    <mergeCell ref="D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2024-10-23T20:37:14+00:00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1788708A-52BB-4D0F-B232-80F9E123F193}">
  <ds:schemaRefs>
    <ds:schemaRef ds:uri="http://purl.org/dc/terms/"/>
    <ds:schemaRef ds:uri="4d6aed1e-57d3-46e3-9aba-f706adbce63b"/>
    <ds:schemaRef ds:uri="http://purl.org/dc/elements/1.1/"/>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1891fcec-84c2-4840-9468-b51a784ab0d1"/>
    <ds:schemaRef ds:uri="http://purl.org/dc/dcmitype/"/>
  </ds:schemaRefs>
</ds:datastoreItem>
</file>

<file path=customXml/itemProps2.xml><?xml version="1.0" encoding="utf-8"?>
<ds:datastoreItem xmlns:ds="http://schemas.openxmlformats.org/officeDocument/2006/customXml" ds:itemID="{2335A08A-C9A8-4AFD-B213-57E4DBA9E595}"/>
</file>

<file path=customXml/itemProps3.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4.xml><?xml version="1.0" encoding="utf-8"?>
<ds:datastoreItem xmlns:ds="http://schemas.openxmlformats.org/officeDocument/2006/customXml" ds:itemID="{A1B66A2E-A141-45F5-A9E6-B65A0E009B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ERG</cp:lastModifiedBy>
  <cp:revision/>
  <dcterms:created xsi:type="dcterms:W3CDTF">2018-07-19T14:57:42Z</dcterms:created>
  <dcterms:modified xsi:type="dcterms:W3CDTF">2023-10-19T03:21:13Z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ies>
</file>