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S:\Tracy\ICRs - SPPD\FY2024\1131.14 Glass Manufacturing Plants NSPS\Send to EPA\"/>
    </mc:Choice>
  </mc:AlternateContent>
  <xr:revisionPtr revIDLastSave="0" documentId="8_{EF1A5880-D14E-4990-BC32-92E96C85F080}"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4" i="1" l="1"/>
  <c r="I35" i="1"/>
  <c r="I20" i="2" l="1"/>
  <c r="F20" i="2"/>
  <c r="I19" i="2"/>
  <c r="I18" i="2"/>
  <c r="I17" i="2"/>
  <c r="I15" i="2"/>
  <c r="I14" i="2"/>
  <c r="I13" i="2"/>
  <c r="I12" i="2"/>
  <c r="I11" i="2"/>
  <c r="I10" i="2"/>
  <c r="I7" i="2"/>
  <c r="I5" i="2"/>
  <c r="I7" i="1"/>
  <c r="G18" i="2"/>
  <c r="B5" i="3" l="1"/>
  <c r="E5" i="3"/>
  <c r="D19" i="2"/>
  <c r="F19" i="2" s="1"/>
  <c r="D18" i="2"/>
  <c r="F18" i="2" s="1"/>
  <c r="D17" i="2"/>
  <c r="F17" i="2" s="1"/>
  <c r="D15" i="2"/>
  <c r="F15" i="2" s="1"/>
  <c r="D14" i="2"/>
  <c r="F14" i="2" s="1"/>
  <c r="D13" i="2"/>
  <c r="F13" i="2" s="1"/>
  <c r="D12" i="2"/>
  <c r="F12" i="2" s="1"/>
  <c r="D11" i="2"/>
  <c r="F11" i="2" s="1"/>
  <c r="H11" i="2" s="1"/>
  <c r="D10" i="2"/>
  <c r="F10" i="2" s="1"/>
  <c r="F7" i="2"/>
  <c r="G7" i="2" s="1"/>
  <c r="D7" i="2"/>
  <c r="D5" i="2"/>
  <c r="F5" i="2" s="1"/>
  <c r="H12" i="2" l="1"/>
  <c r="G12" i="2"/>
  <c r="H18" i="2"/>
  <c r="H7" i="2"/>
  <c r="G5" i="2"/>
  <c r="H5" i="2"/>
  <c r="H19" i="2"/>
  <c r="G19" i="2"/>
  <c r="H13" i="2"/>
  <c r="G13" i="2"/>
  <c r="H14" i="2"/>
  <c r="G14" i="2"/>
  <c r="H10" i="2"/>
  <c r="G10" i="2"/>
  <c r="H15" i="2"/>
  <c r="G15" i="2"/>
  <c r="H17" i="2"/>
  <c r="G17" i="2"/>
  <c r="G11" i="2"/>
  <c r="G6" i="3" l="1"/>
  <c r="D6" i="3"/>
  <c r="E5" i="5"/>
  <c r="E6" i="5"/>
  <c r="E7" i="5"/>
  <c r="E8" i="5"/>
  <c r="E9" i="5"/>
  <c r="E10" i="5"/>
  <c r="E11" i="5"/>
  <c r="E4" i="5"/>
  <c r="E12" i="5" s="1"/>
  <c r="D23" i="1"/>
  <c r="F23" i="1" s="1"/>
  <c r="D22" i="1"/>
  <c r="F22" i="1" s="1"/>
  <c r="D21" i="1"/>
  <c r="F21" i="1" s="1"/>
  <c r="D18" i="1"/>
  <c r="F18" i="1" s="1"/>
  <c r="D17" i="1"/>
  <c r="F17" i="1" s="1"/>
  <c r="D16" i="1"/>
  <c r="F16" i="1" s="1"/>
  <c r="D15" i="1"/>
  <c r="F15" i="1" s="1"/>
  <c r="D14" i="1"/>
  <c r="F14" i="1" s="1"/>
  <c r="D10" i="1"/>
  <c r="F10" i="1" s="1"/>
  <c r="D9" i="1"/>
  <c r="F9" i="1" s="1"/>
  <c r="D7" i="1"/>
  <c r="F7" i="1" s="1"/>
  <c r="K35" i="1" l="1"/>
  <c r="B7" i="6"/>
  <c r="H14" i="1"/>
  <c r="G14" i="1"/>
  <c r="H16" i="1"/>
  <c r="G16" i="1"/>
  <c r="H18" i="1"/>
  <c r="G18" i="1"/>
  <c r="I18" i="1" s="1"/>
  <c r="H7" i="1"/>
  <c r="G7" i="1"/>
  <c r="H21" i="1"/>
  <c r="G21" i="1"/>
  <c r="I21" i="1" s="1"/>
  <c r="H15" i="1"/>
  <c r="G15" i="1"/>
  <c r="H17" i="1"/>
  <c r="G17" i="1"/>
  <c r="H9" i="1"/>
  <c r="G9" i="1"/>
  <c r="H22" i="1"/>
  <c r="G22" i="1"/>
  <c r="H10" i="1"/>
  <c r="G10" i="1"/>
  <c r="H23" i="1"/>
  <c r="G23" i="1"/>
  <c r="F24" i="1" l="1"/>
  <c r="F34" i="1" s="1"/>
  <c r="K34" i="1" s="1"/>
  <c r="B4" i="6" s="1"/>
  <c r="C8" i="4" l="1"/>
  <c r="B8" i="4"/>
  <c r="F8" i="4"/>
  <c r="B3" i="6" s="1"/>
  <c r="I16" i="1" l="1"/>
  <c r="I17" i="1" l="1"/>
  <c r="I15" i="1"/>
  <c r="I14" i="1"/>
  <c r="B6" i="6" l="1"/>
  <c r="I6" i="3" l="1"/>
  <c r="I10" i="1" l="1"/>
  <c r="I22" i="1" l="1"/>
  <c r="I24" i="1" s="1"/>
  <c r="I36" i="1" s="1"/>
  <c r="I23" i="1"/>
  <c r="I9" i="1"/>
  <c r="B5" i="6" l="1"/>
  <c r="B2" i="6"/>
</calcChain>
</file>

<file path=xl/sharedStrings.xml><?xml version="1.0" encoding="utf-8"?>
<sst xmlns="http://schemas.openxmlformats.org/spreadsheetml/2006/main" count="179" uniqueCount="145">
  <si>
    <t>ICR Summary Information</t>
  </si>
  <si>
    <t>Hours per Response</t>
  </si>
  <si>
    <t>Number of Respondents</t>
  </si>
  <si>
    <t>Total Estimated Burden Hours</t>
  </si>
  <si>
    <t>Total Estimated Costs</t>
  </si>
  <si>
    <t>Annualized Capital O&amp;M</t>
  </si>
  <si>
    <t>Total Annual Responses</t>
  </si>
  <si>
    <t>Form Number</t>
  </si>
  <si>
    <t>Not Applicable</t>
  </si>
  <si>
    <t>Table 1: Annual Respondent Burden and Cost – NSPS for Glass Manufacturing Plants (40 CFR Part 60, Subpart CC) (Renewal)</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</si>
  <si>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</si>
  <si>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</si>
  <si>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</si>
  <si>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</si>
  <si>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</si>
  <si>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</si>
  <si>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</si>
  <si>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</si>
  <si>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</si>
  <si>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1.  Applications</t>
  </si>
  <si>
    <t>N/A</t>
  </si>
  <si>
    <t>Labor Rates</t>
  </si>
  <si>
    <t>2.  Survey and Studies</t>
  </si>
  <si>
    <t>Management</t>
  </si>
  <si>
    <t xml:space="preserve">3.  Reporting Requirements </t>
  </si>
  <si>
    <t>Technical</t>
  </si>
  <si>
    <r>
      <t xml:space="preserve">A.  Familiarization with rule requirements </t>
    </r>
    <r>
      <rPr>
        <vertAlign val="superscript"/>
        <sz val="10"/>
        <color rgb="FF000000"/>
        <rFont val="Times New Roman"/>
        <family val="1"/>
      </rPr>
      <t>c</t>
    </r>
  </si>
  <si>
    <t>Clerical</t>
  </si>
  <si>
    <r>
      <t>B.  Required Activities</t>
    </r>
    <r>
      <rPr>
        <vertAlign val="superscript"/>
        <sz val="10"/>
        <color rgb="FF000000"/>
        <rFont val="Times New Roman"/>
        <family val="1"/>
      </rPr>
      <t xml:space="preserve">  </t>
    </r>
  </si>
  <si>
    <r>
      <t xml:space="preserve">Initial performance test </t>
    </r>
    <r>
      <rPr>
        <vertAlign val="superscript"/>
        <sz val="10"/>
        <color rgb="FF000000"/>
        <rFont val="Times New Roman"/>
        <family val="1"/>
      </rPr>
      <t>d</t>
    </r>
  </si>
  <si>
    <r>
      <t xml:space="preserve">Repeat of performance test </t>
    </r>
    <r>
      <rPr>
        <vertAlign val="superscript"/>
        <sz val="10"/>
        <color rgb="FF000000"/>
        <rFont val="Times New Roman"/>
        <family val="1"/>
      </rPr>
      <t>e</t>
    </r>
  </si>
  <si>
    <t>C.  Create Information</t>
  </si>
  <si>
    <t>See 3B</t>
  </si>
  <si>
    <t>D.  Gather existing information</t>
  </si>
  <si>
    <t>E.  Write report</t>
  </si>
  <si>
    <t>Notification of construction/ reconstruction or modification</t>
  </si>
  <si>
    <r>
      <t xml:space="preserve">Notification of actual startup </t>
    </r>
    <r>
      <rPr>
        <vertAlign val="superscript"/>
        <sz val="10"/>
        <color rgb="FF000000"/>
        <rFont val="Times New Roman"/>
        <family val="1"/>
      </rPr>
      <t>f</t>
    </r>
  </si>
  <si>
    <t>Notification of demonstration of CMS</t>
  </si>
  <si>
    <r>
      <t xml:space="preserve">Notification of physical or operation change </t>
    </r>
    <r>
      <rPr>
        <vertAlign val="superscript"/>
        <sz val="10"/>
        <color rgb="FF000000"/>
        <rFont val="Times New Roman"/>
        <family val="1"/>
      </rPr>
      <t>g</t>
    </r>
  </si>
  <si>
    <t>Notification of initial performance test</t>
  </si>
  <si>
    <t>Performance test report</t>
  </si>
  <si>
    <t>Demonstration of CMS</t>
  </si>
  <si>
    <t>Request for alternative CMS</t>
  </si>
  <si>
    <r>
      <t xml:space="preserve">Routine maintenance report </t>
    </r>
    <r>
      <rPr>
        <vertAlign val="superscript"/>
        <sz val="10"/>
        <color rgb="FF000000"/>
        <rFont val="Times New Roman"/>
        <family val="1"/>
      </rPr>
      <t>h</t>
    </r>
  </si>
  <si>
    <t>Semiannual report</t>
  </si>
  <si>
    <t>Subtotal for Reporting Requirements</t>
  </si>
  <si>
    <t xml:space="preserve"> 4.  Recordkeeping requirements </t>
  </si>
  <si>
    <t>A.  Familiarization with rule requirements</t>
  </si>
  <si>
    <t>See 3A</t>
  </si>
  <si>
    <t>B.  Plan activities</t>
  </si>
  <si>
    <t>C.  Implement activities</t>
  </si>
  <si>
    <t>D.  Develop record system</t>
  </si>
  <si>
    <t>E.  Time to enter information</t>
  </si>
  <si>
    <t>See 3E</t>
  </si>
  <si>
    <t>F.  Train personnel</t>
  </si>
  <si>
    <t>G.  Audits</t>
  </si>
  <si>
    <t>Subtotal for Recordkeeping Requirements</t>
  </si>
  <si>
    <r>
      <t xml:space="preserve"> TOTAL LABOR  BURDEN AND COST (rounded) </t>
    </r>
    <r>
      <rPr>
        <b/>
        <vertAlign val="superscript"/>
        <sz val="10"/>
        <color rgb="FF000000"/>
        <rFont val="Times New Roman"/>
        <family val="1"/>
      </rPr>
      <t>i</t>
    </r>
  </si>
  <si>
    <r>
      <t xml:space="preserve">TOTAL CAPITAL AND O&amp;M COST (rounded) </t>
    </r>
    <r>
      <rPr>
        <b/>
        <vertAlign val="superscript"/>
        <sz val="10"/>
        <color rgb="FF000000"/>
        <rFont val="Times New Roman"/>
        <family val="1"/>
      </rPr>
      <t>i</t>
    </r>
  </si>
  <si>
    <t>hr/response</t>
  </si>
  <si>
    <r>
      <t xml:space="preserve">GRAND TOTAL (rounded) </t>
    </r>
    <r>
      <rPr>
        <b/>
        <vertAlign val="superscript"/>
        <sz val="10"/>
        <color rgb="FF000000"/>
        <rFont val="Times New Roman"/>
        <family val="1"/>
      </rPr>
      <t>i</t>
    </r>
  </si>
  <si>
    <t>Assumptions:</t>
  </si>
  <si>
    <r>
      <t>a</t>
    </r>
    <r>
      <rPr>
        <sz val="10"/>
        <color theme="1"/>
        <rFont val="Times New Roman"/>
        <family val="1"/>
      </rPr>
      <t xml:space="preserve">  We have assumed that the number of existing respondents is 41, and that no additional new sources will become subject to the rule over the three-year period of this ICR.</t>
    </r>
  </si>
  <si>
    <r>
      <t>b</t>
    </r>
    <r>
      <rPr>
        <sz val="10"/>
        <rFont val="Times New Roman"/>
        <family val="1"/>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</si>
  <si>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color theme="1"/>
        <rFont val="Times New Roman"/>
        <family val="1"/>
      </rPr>
      <t xml:space="preserve">  We have assumed that it will take one hour for all existing respondents to familiarize with regulatory requirements.</t>
    </r>
  </si>
  <si>
    <r>
      <t>d</t>
    </r>
    <r>
      <rPr>
        <sz val="10"/>
        <color theme="1"/>
        <rFont val="Times New Roman"/>
        <family val="1"/>
      </rPr>
      <t xml:space="preserve">  We have assumed that it will take 160 hours to complete a performance test.</t>
    </r>
  </si>
  <si>
    <r>
      <t>e</t>
    </r>
    <r>
      <rPr>
        <sz val="10"/>
        <color theme="1"/>
        <rFont val="Times New Roman"/>
        <family val="1"/>
      </rPr>
      <t xml:space="preserve">  We have assumed that 20 percent will fail the performance tests.</t>
    </r>
  </si>
  <si>
    <r>
      <t>f</t>
    </r>
    <r>
      <rPr>
        <sz val="10"/>
        <color theme="1"/>
        <rFont val="Times New Roman"/>
        <family val="1"/>
      </rPr>
      <t xml:space="preserve">  We have assumed that it will take two hours to write notification of actual startup report.</t>
    </r>
  </si>
  <si>
    <r>
      <t>g</t>
    </r>
    <r>
      <rPr>
        <sz val="10"/>
        <color theme="1"/>
        <rFont val="Times New Roman"/>
        <family val="1"/>
      </rPr>
      <t xml:space="preserve">  We have assumed that it will take two hours to write notification report of physical or operation change.</t>
    </r>
  </si>
  <si>
    <r>
      <t>h</t>
    </r>
    <r>
      <rPr>
        <sz val="10"/>
        <color theme="1"/>
        <rFont val="Times New Roman"/>
        <family val="1"/>
      </rPr>
      <t xml:space="preserve">  We have assumed that 50 percent of respondents will submit routine maintenance reports (41 x 50% = 20.5, rounded to 21).</t>
    </r>
  </si>
  <si>
    <r>
      <t xml:space="preserve">i  </t>
    </r>
    <r>
      <rPr>
        <sz val="10"/>
        <color theme="1"/>
        <rFont val="Times New Roman"/>
        <family val="1"/>
      </rPr>
      <t xml:space="preserve">Totals have been rounded to 3 significant figures. Figures may not add exactly due to rounding. </t>
    </r>
  </si>
  <si>
    <t>Table 2: Average Annual EPA Burden and Cost – NSPS for Glass Manufacturing Plants (40 CFR Part 60, Subpart CC) (Renewal)</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</si>
  <si>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</si>
  <si>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</si>
  <si>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</si>
  <si>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</si>
  <si>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</si>
  <si>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</si>
  <si>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</si>
  <si>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</si>
  <si>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Initial performance tests</t>
  </si>
  <si>
    <r>
      <t xml:space="preserve">New or modified facility </t>
    </r>
    <r>
      <rPr>
        <vertAlign val="superscript"/>
        <sz val="10"/>
        <color rgb="FF000000"/>
        <rFont val="Times New Roman"/>
        <family val="1"/>
      </rPr>
      <t>c</t>
    </r>
  </si>
  <si>
    <t>Repeat performance test</t>
  </si>
  <si>
    <t xml:space="preserve">Technical </t>
  </si>
  <si>
    <r>
      <t xml:space="preserve">New or modified facility </t>
    </r>
    <r>
      <rPr>
        <vertAlign val="superscript"/>
        <sz val="10"/>
        <color rgb="FF000000"/>
        <rFont val="Times New Roman"/>
        <family val="1"/>
      </rPr>
      <t>c, d</t>
    </r>
  </si>
  <si>
    <t>Report review</t>
  </si>
  <si>
    <t>New or Modified Facility</t>
  </si>
  <si>
    <t xml:space="preserve"> </t>
  </si>
  <si>
    <r>
      <t xml:space="preserve">Modification of  construction/ reconstruction or modification </t>
    </r>
    <r>
      <rPr>
        <vertAlign val="superscript"/>
        <sz val="10"/>
        <color rgb="FF000000"/>
        <rFont val="Times New Roman"/>
        <family val="1"/>
      </rPr>
      <t>e</t>
    </r>
  </si>
  <si>
    <r>
      <t xml:space="preserve">Notification of demonstration of CMS </t>
    </r>
    <r>
      <rPr>
        <vertAlign val="superscript"/>
        <sz val="10"/>
        <color rgb="FF000000"/>
        <rFont val="Times New Roman"/>
        <family val="1"/>
      </rPr>
      <t>f</t>
    </r>
  </si>
  <si>
    <r>
      <t>Notification of physical or operational change</t>
    </r>
    <r>
      <rPr>
        <vertAlign val="superscript"/>
        <sz val="10"/>
        <color rgb="FF000000"/>
        <rFont val="Times New Roman"/>
        <family val="1"/>
      </rPr>
      <t xml:space="preserve"> f</t>
    </r>
  </si>
  <si>
    <r>
      <t xml:space="preserve">Notification of initial performance test </t>
    </r>
    <r>
      <rPr>
        <vertAlign val="superscript"/>
        <sz val="10"/>
        <color rgb="FF000000"/>
        <rFont val="Times New Roman"/>
        <family val="1"/>
      </rPr>
      <t>f</t>
    </r>
  </si>
  <si>
    <r>
      <t xml:space="preserve">Review of performance test results </t>
    </r>
    <r>
      <rPr>
        <vertAlign val="superscript"/>
        <sz val="10"/>
        <color rgb="FF000000"/>
        <rFont val="Times New Roman"/>
        <family val="1"/>
      </rPr>
      <t>g</t>
    </r>
  </si>
  <si>
    <t>Review demonstration of CMS</t>
  </si>
  <si>
    <t>See "Review of performance test results"</t>
  </si>
  <si>
    <t>Review request for alternative CMS</t>
  </si>
  <si>
    <r>
      <t xml:space="preserve">Review of routine maintenance report </t>
    </r>
    <r>
      <rPr>
        <vertAlign val="superscript"/>
        <sz val="10"/>
        <color rgb="FF000000"/>
        <rFont val="Times New Roman"/>
        <family val="1"/>
      </rPr>
      <t>h</t>
    </r>
  </si>
  <si>
    <t>Review of semiannual reports</t>
  </si>
  <si>
    <r>
      <t xml:space="preserve">TOTAL LABOR BURDEN AND COST (rounded) </t>
    </r>
    <r>
      <rPr>
        <b/>
        <vertAlign val="superscript"/>
        <sz val="10"/>
        <color rgb="FF000000"/>
        <rFont val="Times New Roman"/>
        <family val="1"/>
      </rPr>
      <t>i</t>
    </r>
  </si>
  <si>
    <r>
      <t>a</t>
    </r>
    <r>
      <rPr>
        <sz val="10"/>
        <color theme="1"/>
        <rFont val="Times New Roman"/>
        <family val="1"/>
      </rPr>
      <t xml:space="preserve">  We have assumed that the average number of existing respondents is 41, and that no additional new sources will become subject to the rule over the three-year period of this ICR.</t>
    </r>
  </si>
  <si>
    <r>
      <t>b</t>
    </r>
    <r>
      <rPr>
        <sz val="10"/>
        <rFont val="Times New Roman"/>
        <family val="1"/>
      </rPr>
      <t xml:space="preserve">  This cost is based on the average hourly labor rate as follows: Managerial $73.46 (GS-13, Step 5, $45.91 + 60%); Technical $54.51 (GS-12, Step 1, $34.07 + 60%); and Clerical $29.50 (GS-6, Step 3, $18.44 + 60%). These rates are from the Office of Personnel Management (OPM), 2023 General Schedule, which excludes locality rates of pay. The rates have been increased by 60 percent to account for the benefit packages available to government employees.</t>
    </r>
  </si>
  <si>
    <r>
      <t>c</t>
    </r>
    <r>
      <rPr>
        <sz val="10"/>
        <color theme="1"/>
        <rFont val="Times New Roman"/>
        <family val="1"/>
      </rPr>
      <t xml:space="preserve">  We have assumed that it will take 40 hours to participate with the performance tests.</t>
    </r>
  </si>
  <si>
    <r>
      <t>d</t>
    </r>
    <r>
      <rPr>
        <sz val="10"/>
        <color theme="1"/>
        <rFont val="Times New Roman"/>
        <family val="1"/>
      </rPr>
      <t xml:space="preserve">  We have assumed that 20 percent of respondents will repeat performance tests because of failure.</t>
    </r>
  </si>
  <si>
    <r>
      <t>e</t>
    </r>
    <r>
      <rPr>
        <sz val="10"/>
        <color theme="1"/>
        <rFont val="Times New Roman"/>
        <family val="1"/>
      </rPr>
      <t xml:space="preserve">  We have assumed that it will take two hours to review construction report.</t>
    </r>
  </si>
  <si>
    <r>
      <t>f</t>
    </r>
    <r>
      <rPr>
        <sz val="10"/>
        <color theme="1"/>
        <rFont val="Times New Roman"/>
        <family val="1"/>
      </rPr>
      <t xml:space="preserve">  It will take each respondent 0.5 hours to review actual startup report, CMS report, physical or operational change report, and initial performance test report.</t>
    </r>
  </si>
  <si>
    <r>
      <t>g</t>
    </r>
    <r>
      <rPr>
        <sz val="10"/>
        <color theme="1"/>
        <rFont val="Times New Roman"/>
        <family val="1"/>
      </rPr>
      <t xml:space="preserve">  We have assumed that it will take eight hours to review performance test results. </t>
    </r>
  </si>
  <si>
    <r>
      <t>Capital/Startup vs. Operation and Maintenance (O&amp;M) Costs</t>
    </r>
    <r>
      <rPr>
        <sz val="10"/>
        <color theme="1"/>
        <rFont val="Times New Roman"/>
        <family val="1"/>
      </rPr>
      <t> </t>
    </r>
  </si>
  <si>
    <t>(A)</t>
  </si>
  <si>
    <t>(B)</t>
  </si>
  <si>
    <t>(C)</t>
  </si>
  <si>
    <t>(D)</t>
  </si>
  <si>
    <t>(E)</t>
  </si>
  <si>
    <t>(F)</t>
  </si>
  <si>
    <t>(G)</t>
  </si>
  <si>
    <t>Continuous Monitoring Device</t>
  </si>
  <si>
    <r>
      <t xml:space="preserve">Capital/Startup Cost for One Respondent </t>
    </r>
    <r>
      <rPr>
        <b/>
        <vertAlign val="superscript"/>
        <sz val="10"/>
        <color theme="1"/>
        <rFont val="Times New Roman"/>
        <family val="1"/>
      </rPr>
      <t>a</t>
    </r>
  </si>
  <si>
    <t xml:space="preserve">Number of New  Respondents </t>
  </si>
  <si>
    <t>Total Capital/Startup Cost,  (B X C)</t>
  </si>
  <si>
    <r>
      <t xml:space="preserve">Annual O&amp;M Costs for One Respondent </t>
    </r>
    <r>
      <rPr>
        <b/>
        <vertAlign val="superscript"/>
        <sz val="10"/>
        <color theme="1"/>
        <rFont val="Times New Roman"/>
        <family val="1"/>
      </rPr>
      <t>a</t>
    </r>
  </si>
  <si>
    <r>
      <t>Number of Respondents with O&amp;M</t>
    </r>
    <r>
      <rPr>
        <b/>
        <vertAlign val="superscript"/>
        <sz val="10"/>
        <color theme="1"/>
        <rFont val="Times New Roman"/>
        <family val="1"/>
      </rPr>
      <t xml:space="preserve"> </t>
    </r>
  </si>
  <si>
    <t>Total O&amp;M, 
(E X F)</t>
  </si>
  <si>
    <t>Continuous Opacity Monitors</t>
  </si>
  <si>
    <r>
      <t>Totals</t>
    </r>
    <r>
      <rPr>
        <sz val="10"/>
        <color theme="1"/>
        <rFont val="Times New Roman"/>
        <family val="1"/>
      </rPr>
      <t xml:space="preserve"> (rounded)</t>
    </r>
    <r>
      <rPr>
        <b/>
        <vertAlign val="superscript"/>
        <sz val="10"/>
        <color theme="1"/>
        <rFont val="Times New Roman"/>
        <family val="1"/>
      </rPr>
      <t xml:space="preserve"> b</t>
    </r>
  </si>
  <si>
    <t>Assumptions</t>
  </si>
  <si>
    <r>
      <t>a</t>
    </r>
    <r>
      <rPr>
        <sz val="10"/>
        <rFont val="Times New Roman"/>
        <family val="1"/>
      </rPr>
      <t xml:space="preserve">  Costs have been increased from 2008 to 2022 $ using the CEPCI Equipment Cost Index.</t>
    </r>
  </si>
  <si>
    <r>
      <t>b</t>
    </r>
    <r>
      <rPr>
        <sz val="10"/>
        <rFont val="Times New Roman"/>
        <family val="1"/>
      </rPr>
      <t xml:space="preserve">  Totals have been rounded to 3 significant figures. Figures may not add exactly due to rounding. </t>
    </r>
  </si>
  <si>
    <t>Information Collection Activity</t>
  </si>
  <si>
    <t>Number of Responses</t>
  </si>
  <si>
    <t>Number of Existing Respondents That Keep Records But Do Not Submit Reports</t>
  </si>
  <si>
    <t>Total Annual Responses E=(BxC)+D</t>
  </si>
  <si>
    <t>Notification of construction/reconstruction or modification</t>
  </si>
  <si>
    <t>Notification of actual startup</t>
  </si>
  <si>
    <t>Notification of physical or operation change</t>
  </si>
  <si>
    <t>Routine maintenance report</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</si>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</sst>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 numFmtId="168" formatCode="_(&quot;$&quot;* #,##0_);_(&quot;$&quot;* \(#,##0\);_(&quot;$&quot;* &quot;-&quot;??_);_(@_)"/>
  </numFmts>
  <fonts count="28">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color theme="1"/>
      <name val="Times New Roman"/>
      <family val="1"/>
    </font>
    <font>
      <sz val="12"/>
      <color rgb="FF000000"/>
      <name val="Times New Roman"/>
      <family val="1"/>
    </font>
    <font>
      <sz val="11"/>
      <color rgb="FFFF0000"/>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164" fontId="11" fillId="0" borderId="0"/>
  </cellStyleXfs>
  <cellXfs count="114">
    <xf numFmtId="0" fontId="0" fillId="0" borderId="0" xfId="0"/>
    <xf numFmtId="0" fontId="2" fillId="0" borderId="0" xfId="0" applyFont="1"/>
    <xf numFmtId="0" fontId="9" fillId="0" borderId="0" xfId="0" applyFont="1"/>
    <xf numFmtId="164" fontId="13" fillId="0" borderId="0" xfId="1" applyFont="1" applyAlignment="1">
      <alignment horizontal="center" vertical="center" wrapText="1"/>
    </xf>
    <xf numFmtId="164" fontId="10" fillId="0" borderId="0" xfId="1" applyFont="1" applyAlignment="1">
      <alignment horizontal="center" vertical="center" wrapText="1"/>
    </xf>
    <xf numFmtId="165" fontId="10" fillId="0" borderId="0" xfId="1" applyNumberFormat="1" applyFont="1" applyAlignment="1">
      <alignment horizontal="right" wrapText="1"/>
    </xf>
    <xf numFmtId="0" fontId="10" fillId="0" borderId="0" xfId="0" applyFont="1"/>
    <xf numFmtId="0" fontId="2" fillId="0" borderId="0" xfId="0" applyFont="1" applyAlignment="1">
      <alignment horizontal="right"/>
    </xf>
    <xf numFmtId="0" fontId="9" fillId="0" borderId="0" xfId="0" applyFont="1" applyAlignment="1">
      <alignment wrapText="1"/>
    </xf>
    <xf numFmtId="0" fontId="10" fillId="0" borderId="1" xfId="0" applyFont="1" applyBorder="1" applyAlignment="1">
      <alignment horizontal="center" wrapText="1"/>
    </xf>
    <xf numFmtId="8" fontId="10" fillId="0" borderId="1" xfId="0" applyNumberFormat="1" applyFont="1" applyBorder="1" applyAlignment="1">
      <alignment horizontal="right" wrapText="1"/>
    </xf>
    <xf numFmtId="0" fontId="18" fillId="0" borderId="0" xfId="0" applyFont="1"/>
    <xf numFmtId="0" fontId="15" fillId="0" borderId="1" xfId="0" applyFont="1" applyBorder="1"/>
    <xf numFmtId="41" fontId="18" fillId="0" borderId="0" xfId="0" applyNumberFormat="1" applyFont="1"/>
    <xf numFmtId="164" fontId="13" fillId="0" borderId="0" xfId="1" applyFont="1" applyAlignment="1">
      <alignment wrapText="1"/>
    </xf>
    <xf numFmtId="0" fontId="22"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1"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6" fillId="0" borderId="1" xfId="0" applyFont="1" applyBorder="1" applyAlignment="1">
      <alignment horizontal="center" vertical="center" wrapText="1"/>
    </xf>
    <xf numFmtId="0" fontId="15" fillId="0" borderId="0" xfId="0" applyFont="1" applyAlignment="1">
      <alignment vertical="top" wrapText="1"/>
    </xf>
    <xf numFmtId="165" fontId="10" fillId="0" borderId="1" xfId="0" applyNumberFormat="1" applyFont="1" applyBorder="1"/>
    <xf numFmtId="0" fontId="10" fillId="0" borderId="1" xfId="0" applyFont="1" applyBorder="1" applyAlignment="1">
      <alignment horizontal="left" vertical="center" wrapText="1"/>
    </xf>
    <xf numFmtId="6"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 fillId="0" borderId="0" xfId="0" applyFont="1"/>
    <xf numFmtId="0" fontId="2" fillId="0" borderId="1" xfId="0" applyFont="1" applyBorder="1" applyAlignment="1">
      <alignment horizontal="right" wrapText="1"/>
    </xf>
    <xf numFmtId="8" fontId="2" fillId="0" borderId="1" xfId="0" applyNumberFormat="1" applyFont="1" applyBorder="1" applyAlignment="1">
      <alignment horizontal="right" vertical="center" wrapText="1"/>
    </xf>
    <xf numFmtId="6" fontId="7" fillId="0" borderId="1" xfId="0" applyNumberFormat="1" applyFont="1" applyBorder="1" applyAlignment="1">
      <alignment horizontal="right" wrapText="1"/>
    </xf>
    <xf numFmtId="8" fontId="2" fillId="0" borderId="1" xfId="0" applyNumberFormat="1" applyFont="1" applyBorder="1" applyAlignment="1">
      <alignment horizontal="right" wrapText="1"/>
    </xf>
    <xf numFmtId="0" fontId="10" fillId="0" borderId="1" xfId="0" applyFont="1" applyBorder="1" applyAlignment="1">
      <alignment horizontal="right" wrapText="1"/>
    </xf>
    <xf numFmtId="3" fontId="2" fillId="0" borderId="0" xfId="0" applyNumberFormat="1" applyFont="1"/>
    <xf numFmtId="0" fontId="3" fillId="0" borderId="0" xfId="0" applyFont="1"/>
    <xf numFmtId="0" fontId="23" fillId="0" borderId="0" xfId="0" applyFont="1" applyAlignment="1">
      <alignment vertical="top" wrapText="1"/>
    </xf>
    <xf numFmtId="41" fontId="10" fillId="0" borderId="0" xfId="0" applyNumberFormat="1" applyFont="1"/>
    <xf numFmtId="3" fontId="9" fillId="0" borderId="0" xfId="0" applyNumberFormat="1" applyFont="1"/>
    <xf numFmtId="0" fontId="20"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8" fillId="0" borderId="0" xfId="0" applyFont="1" applyAlignment="1">
      <alignment vertical="top" wrapText="1"/>
    </xf>
    <xf numFmtId="3" fontId="7" fillId="0" borderId="0" xfId="0" applyNumberFormat="1" applyFont="1" applyAlignment="1">
      <alignment wrapText="1"/>
    </xf>
    <xf numFmtId="6" fontId="7" fillId="0" borderId="0" xfId="0" applyNumberFormat="1" applyFont="1" applyAlignment="1">
      <alignment horizontal="right" wrapText="1"/>
    </xf>
    <xf numFmtId="0" fontId="3" fillId="0" borderId="0" xfId="0" applyFont="1" applyAlignment="1">
      <alignment wrapText="1"/>
    </xf>
    <xf numFmtId="3" fontId="10" fillId="0" borderId="1" xfId="0" applyNumberFormat="1" applyFont="1" applyBorder="1" applyAlignment="1">
      <alignment horizontal="center" wrapText="1"/>
    </xf>
    <xf numFmtId="164" fontId="9" fillId="0" borderId="0" xfId="1" applyFont="1" applyAlignment="1">
      <alignment vertical="center"/>
    </xf>
    <xf numFmtId="164" fontId="9" fillId="0" borderId="0" xfId="1" applyFont="1"/>
    <xf numFmtId="0" fontId="25" fillId="0" borderId="0" xfId="0" applyFont="1" applyAlignment="1">
      <alignment vertical="center" wrapText="1"/>
    </xf>
    <xf numFmtId="0" fontId="26"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2" fillId="0" borderId="0" xfId="0" applyNumberFormat="1" applyFont="1"/>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1" fontId="3" fillId="0" borderId="3" xfId="0" applyNumberFormat="1" applyFont="1" applyBorder="1" applyAlignment="1">
      <alignment horizontal="center" vertical="center" wrapText="1"/>
    </xf>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164" fontId="9" fillId="0" borderId="0" xfId="1" applyFont="1" applyAlignment="1">
      <alignment horizontal="left" vertical="center"/>
    </xf>
    <xf numFmtId="1" fontId="0" fillId="0" borderId="0" xfId="0" applyNumberFormat="1"/>
    <xf numFmtId="8" fontId="2" fillId="0" borderId="0" xfId="0" applyNumberFormat="1" applyFont="1"/>
    <xf numFmtId="0" fontId="10" fillId="0" borderId="0" xfId="0" applyFont="1" applyAlignment="1">
      <alignment horizontal="left" vertical="top" wrapText="1"/>
    </xf>
    <xf numFmtId="0" fontId="15" fillId="0" borderId="1" xfId="0" applyFont="1" applyBorder="1" applyAlignment="1">
      <alignment vertical="center"/>
    </xf>
    <xf numFmtId="0" fontId="15" fillId="0" borderId="1" xfId="0" applyFont="1" applyBorder="1" applyAlignment="1">
      <alignment horizontal="center" vertical="center"/>
    </xf>
    <xf numFmtId="0" fontId="2" fillId="0" borderId="1" xfId="0" applyFont="1" applyBorder="1" applyAlignment="1">
      <alignment vertical="center"/>
    </xf>
    <xf numFmtId="0" fontId="15" fillId="0" borderId="1" xfId="0" applyFont="1" applyBorder="1" applyAlignment="1">
      <alignment horizontal="left" vertical="center" indent="1"/>
    </xf>
    <xf numFmtId="0" fontId="15" fillId="0" borderId="1" xfId="0" applyFont="1" applyBorder="1" applyAlignment="1">
      <alignment horizontal="left" vertical="center" indent="2"/>
    </xf>
    <xf numFmtId="6" fontId="3" fillId="0" borderId="1" xfId="0" applyNumberFormat="1" applyFont="1" applyBorder="1" applyAlignment="1">
      <alignment horizontal="right" vertical="center"/>
    </xf>
    <xf numFmtId="0" fontId="6" fillId="0" borderId="1" xfId="0" applyFont="1" applyBorder="1" applyAlignment="1">
      <alignment vertical="center"/>
    </xf>
    <xf numFmtId="6" fontId="16" fillId="0" borderId="1" xfId="0" applyNumberFormat="1" applyFont="1" applyBorder="1" applyAlignment="1">
      <alignment horizontal="right" vertical="center"/>
    </xf>
    <xf numFmtId="0" fontId="16" fillId="0" borderId="1" xfId="0" applyFont="1" applyBorder="1" applyAlignment="1">
      <alignment vertical="center"/>
    </xf>
    <xf numFmtId="0" fontId="15" fillId="0" borderId="1" xfId="0" applyFont="1" applyBorder="1" applyAlignment="1">
      <alignment vertical="center" wrapText="1"/>
    </xf>
    <xf numFmtId="0" fontId="5" fillId="0" borderId="0" xfId="0" applyFont="1" applyAlignment="1">
      <alignment vertical="center"/>
    </xf>
    <xf numFmtId="1" fontId="10" fillId="0" borderId="0" xfId="0" applyNumberFormat="1" applyFont="1"/>
    <xf numFmtId="168" fontId="0" fillId="0" borderId="0" xfId="0" applyNumberFormat="1"/>
    <xf numFmtId="0" fontId="15" fillId="0" borderId="0" xfId="0" applyFont="1"/>
    <xf numFmtId="165" fontId="10" fillId="0" borderId="0" xfId="0" applyNumberFormat="1" applyFont="1"/>
    <xf numFmtId="0" fontId="15" fillId="0" borderId="1" xfId="0" applyFont="1" applyBorder="1" applyAlignment="1">
      <alignment horizontal="right" vertical="center"/>
    </xf>
    <xf numFmtId="6" fontId="15" fillId="0" borderId="1" xfId="0" applyNumberFormat="1" applyFont="1" applyBorder="1" applyAlignment="1">
      <alignment horizontal="right" vertical="center"/>
    </xf>
    <xf numFmtId="0" fontId="23" fillId="0" borderId="0" xfId="0" applyFont="1" applyAlignment="1">
      <alignment horizontal="left" vertical="top" indent="1"/>
    </xf>
    <xf numFmtId="0" fontId="23" fillId="0" borderId="0" xfId="0" applyFont="1"/>
    <xf numFmtId="0" fontId="27" fillId="0" borderId="0" xfId="0" applyFont="1"/>
    <xf numFmtId="0" fontId="19" fillId="0" borderId="0" xfId="0" applyFont="1" applyAlignment="1">
      <alignment vertical="center" wrapText="1"/>
    </xf>
    <xf numFmtId="165" fontId="18" fillId="0" borderId="0" xfId="0" applyNumberFormat="1" applyFont="1"/>
    <xf numFmtId="6" fontId="2" fillId="0" borderId="1" xfId="0" applyNumberFormat="1" applyFont="1" applyBorder="1" applyAlignment="1">
      <alignment horizontal="center" vertical="center" wrapText="1"/>
    </xf>
    <xf numFmtId="0" fontId="19" fillId="0" borderId="0" xfId="0" applyFont="1" applyAlignment="1">
      <alignment vertical="center"/>
    </xf>
    <xf numFmtId="0" fontId="16" fillId="0" borderId="1" xfId="0" applyFont="1" applyBorder="1" applyAlignment="1">
      <alignment horizontal="center" vertical="center"/>
    </xf>
    <xf numFmtId="0" fontId="3" fillId="0" borderId="1" xfId="0" applyFont="1" applyBorder="1" applyAlignment="1">
      <alignment horizontal="center" vertical="center" wrapText="1"/>
    </xf>
    <xf numFmtId="0" fontId="16" fillId="0" borderId="1" xfId="0" applyFont="1" applyBorder="1" applyAlignment="1">
      <alignment vertical="center" wrapText="1"/>
    </xf>
    <xf numFmtId="0" fontId="0" fillId="0" borderId="0" xfId="0" applyAlignment="1">
      <alignment horizontal="center"/>
    </xf>
    <xf numFmtId="0" fontId="15" fillId="0" borderId="1" xfId="0" applyFont="1" applyBorder="1" applyAlignment="1">
      <alignment horizontal="center"/>
    </xf>
    <xf numFmtId="0" fontId="19" fillId="0" borderId="0" xfId="0" applyFont="1" applyAlignment="1">
      <alignment horizontal="left" vertical="top" wrapText="1"/>
    </xf>
    <xf numFmtId="1"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2" fillId="0" borderId="0" xfId="0" applyFont="1" applyAlignment="1">
      <alignment horizontal="left"/>
    </xf>
    <xf numFmtId="0" fontId="10" fillId="0" borderId="3" xfId="0" applyFont="1" applyBorder="1" applyAlignment="1">
      <alignment horizontal="left" vertical="top"/>
    </xf>
    <xf numFmtId="0" fontId="5" fillId="0" borderId="0" xfId="0" applyFont="1" applyAlignment="1">
      <alignment horizontal="left" vertical="center"/>
    </xf>
    <xf numFmtId="0" fontId="19" fillId="0" borderId="0" xfId="0" applyFont="1" applyAlignment="1">
      <alignment horizontal="left" wrapText="1"/>
    </xf>
    <xf numFmtId="0" fontId="5"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10" sqref="A10"/>
    </sheetView>
  </sheetViews>
  <sheetFormatPr defaultRowHeight="15"/>
  <cols>
    <col min="1" max="1" width="27.85546875" bestFit="1" customWidth="1"/>
    <col min="2" max="2" width="12.85546875" bestFit="1" customWidth="1"/>
  </cols>
  <sheetData>
    <row r="1" spans="1:2">
      <c r="A1" s="100" t="s">
        <v>0</v>
      </c>
      <c r="B1" s="100"/>
    </row>
    <row r="2" spans="1:2">
      <c r="A2" t="s">
        <v>1</v>
      </c>
      <c r="B2" s="70">
        <f>'Table 1'!K35</f>
        <v>8.2524271844660202</v>
      </c>
    </row>
    <row r="3" spans="1:2">
      <c r="A3" t="s">
        <v>2</v>
      </c>
      <c r="B3" s="70">
        <f>Respondents!F8</f>
        <v>41</v>
      </c>
    </row>
    <row r="4" spans="1:2">
      <c r="A4" t="s">
        <v>3</v>
      </c>
      <c r="B4" s="70">
        <f>'Table 1'!K34</f>
        <v>850</v>
      </c>
    </row>
    <row r="5" spans="1:2">
      <c r="A5" t="s">
        <v>4</v>
      </c>
      <c r="B5" s="85">
        <f>'Table 1'!I36</f>
        <v>345000</v>
      </c>
    </row>
    <row r="6" spans="1:2">
      <c r="A6" t="s">
        <v>5</v>
      </c>
      <c r="B6" s="85">
        <f>'Capital O&amp;M'!D6+'Capital O&amp;M'!G6</f>
        <v>238000</v>
      </c>
    </row>
    <row r="7" spans="1:2">
      <c r="A7" t="s">
        <v>6</v>
      </c>
      <c r="B7" s="70">
        <f>Responses!E12</f>
        <v>103</v>
      </c>
    </row>
    <row r="8" spans="1:2">
      <c r="A8" t="s">
        <v>7</v>
      </c>
      <c r="B8" t="s">
        <v>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60"/>
  <sheetViews>
    <sheetView zoomScale="87" zoomScaleNormal="87" workbookViewId="0">
      <selection activeCell="A2" sqref="A2"/>
    </sheetView>
  </sheetViews>
  <sheetFormatPr defaultRowHeight="15"/>
  <cols>
    <col min="1" max="1" width="44.14062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c r="A1" s="31" t="s">
        <v>9</v>
      </c>
      <c r="B1" s="1"/>
      <c r="C1" s="1"/>
      <c r="D1" s="1"/>
      <c r="E1" s="1"/>
      <c r="F1" s="1"/>
      <c r="G1" s="1"/>
      <c r="H1" s="1"/>
      <c r="I1" s="7"/>
      <c r="J1" s="1"/>
      <c r="K1" s="1"/>
      <c r="L1" s="1"/>
      <c r="M1" s="42"/>
      <c r="N1" s="11"/>
    </row>
    <row r="2" spans="1:21" s="1" customFormat="1" ht="12.75">
      <c r="F2" s="6"/>
      <c r="G2" s="6"/>
      <c r="H2" s="6"/>
      <c r="I2" s="7"/>
      <c r="J2" s="2"/>
    </row>
    <row r="3" spans="1:21" s="1" customFormat="1" ht="76.5">
      <c r="A3" s="17" t="s">
        <v>10</v>
      </c>
      <c r="B3" s="67" t="s">
        <v>11</v>
      </c>
      <c r="C3" s="67" t="s">
        <v>12</v>
      </c>
      <c r="D3" s="67" t="s">
        <v>13</v>
      </c>
      <c r="E3" s="67" t="s">
        <v>14</v>
      </c>
      <c r="F3" s="67" t="s">
        <v>15</v>
      </c>
      <c r="G3" s="67" t="s">
        <v>16</v>
      </c>
      <c r="H3" s="67" t="s">
        <v>17</v>
      </c>
      <c r="I3" s="67" t="s">
        <v>18</v>
      </c>
      <c r="J3" s="2"/>
      <c r="M3" s="43"/>
      <c r="N3" s="43"/>
      <c r="O3" s="43"/>
      <c r="P3" s="43"/>
      <c r="Q3" s="43"/>
      <c r="R3" s="43"/>
      <c r="S3" s="43"/>
      <c r="T3" s="43"/>
      <c r="U3" s="43"/>
    </row>
    <row r="4" spans="1:21" s="1" customFormat="1" ht="12.75">
      <c r="A4" s="73" t="s">
        <v>19</v>
      </c>
      <c r="B4" s="74" t="s">
        <v>20</v>
      </c>
      <c r="C4" s="75"/>
      <c r="D4" s="75"/>
      <c r="E4" s="75"/>
      <c r="F4" s="75"/>
      <c r="G4" s="75"/>
      <c r="H4" s="75"/>
      <c r="I4" s="32"/>
      <c r="J4" s="2"/>
      <c r="K4" s="101" t="s">
        <v>21</v>
      </c>
      <c r="L4" s="101"/>
      <c r="O4" s="45"/>
      <c r="P4" s="45"/>
      <c r="Q4" s="45"/>
      <c r="R4" s="45"/>
      <c r="S4" s="45"/>
      <c r="T4" s="45"/>
      <c r="U4" s="46"/>
    </row>
    <row r="5" spans="1:21" s="1" customFormat="1" ht="12.75">
      <c r="A5" s="73" t="s">
        <v>22</v>
      </c>
      <c r="B5" s="74" t="s">
        <v>20</v>
      </c>
      <c r="C5" s="75"/>
      <c r="D5" s="75"/>
      <c r="E5" s="75"/>
      <c r="F5" s="75"/>
      <c r="G5" s="75"/>
      <c r="H5" s="75"/>
      <c r="I5" s="33"/>
      <c r="J5" s="8"/>
      <c r="K5" s="12" t="s">
        <v>23</v>
      </c>
      <c r="L5" s="27">
        <v>163.16999999999999</v>
      </c>
      <c r="M5" s="90"/>
      <c r="N5" s="45"/>
      <c r="O5" s="45"/>
      <c r="P5" s="45"/>
      <c r="Q5" s="45"/>
      <c r="R5" s="47"/>
      <c r="S5" s="45"/>
      <c r="T5" s="45"/>
      <c r="U5" s="48"/>
    </row>
    <row r="6" spans="1:21" s="1" customFormat="1" ht="12.75">
      <c r="A6" s="73" t="s">
        <v>24</v>
      </c>
      <c r="B6" s="75"/>
      <c r="C6" s="75"/>
      <c r="D6" s="75"/>
      <c r="E6" s="75"/>
      <c r="F6" s="75"/>
      <c r="G6" s="75"/>
      <c r="H6" s="75"/>
      <c r="I6" s="33"/>
      <c r="J6" s="2"/>
      <c r="K6" s="12" t="s">
        <v>25</v>
      </c>
      <c r="L6" s="27">
        <v>130.28</v>
      </c>
      <c r="M6" s="44"/>
      <c r="N6" s="45"/>
      <c r="O6" s="45"/>
      <c r="P6" s="45"/>
      <c r="Q6" s="45"/>
      <c r="R6" s="45"/>
      <c r="S6" s="45"/>
      <c r="T6" s="45"/>
      <c r="U6" s="48"/>
    </row>
    <row r="7" spans="1:21" s="1" customFormat="1" ht="15.75">
      <c r="A7" s="76" t="s">
        <v>26</v>
      </c>
      <c r="B7" s="74">
        <v>1</v>
      </c>
      <c r="C7" s="74">
        <v>1</v>
      </c>
      <c r="D7" s="74">
        <f>B7*C7</f>
        <v>1</v>
      </c>
      <c r="E7" s="74">
        <v>41</v>
      </c>
      <c r="F7" s="74">
        <f>D7*E7</f>
        <v>41</v>
      </c>
      <c r="G7" s="74">
        <f>F7*0.05</f>
        <v>2.0500000000000003</v>
      </c>
      <c r="H7" s="74">
        <f>F7*0.1</f>
        <v>4.1000000000000005</v>
      </c>
      <c r="I7" s="33">
        <f>F7*$L$6+G7*$L$5+H7*$L$7</f>
        <v>5945.3895000000002</v>
      </c>
      <c r="J7" s="2"/>
      <c r="K7" s="12" t="s">
        <v>27</v>
      </c>
      <c r="L7" s="27">
        <v>65.709999999999994</v>
      </c>
      <c r="M7" s="44"/>
      <c r="N7" s="45"/>
      <c r="O7" s="45"/>
      <c r="P7" s="45"/>
      <c r="Q7" s="45"/>
      <c r="R7" s="45"/>
      <c r="S7" s="45"/>
      <c r="T7" s="45"/>
      <c r="U7" s="48"/>
    </row>
    <row r="8" spans="1:21" s="1" customFormat="1" ht="15.75">
      <c r="A8" s="76" t="s">
        <v>28</v>
      </c>
      <c r="B8" s="75"/>
      <c r="C8" s="75"/>
      <c r="D8" s="74"/>
      <c r="E8" s="75"/>
      <c r="F8" s="75"/>
      <c r="G8" s="75"/>
      <c r="H8" s="75"/>
      <c r="I8" s="33"/>
      <c r="J8" s="2"/>
      <c r="K8" s="57"/>
      <c r="L8" s="14"/>
      <c r="M8" s="44"/>
      <c r="N8" s="45"/>
      <c r="O8" s="45"/>
      <c r="P8" s="45"/>
      <c r="Q8" s="49"/>
      <c r="R8" s="49"/>
      <c r="S8" s="49"/>
      <c r="T8" s="49"/>
      <c r="U8" s="48"/>
    </row>
    <row r="9" spans="1:21" s="1" customFormat="1" ht="15.75">
      <c r="A9" s="77" t="s">
        <v>29</v>
      </c>
      <c r="B9" s="74">
        <v>160</v>
      </c>
      <c r="C9" s="74">
        <v>1</v>
      </c>
      <c r="D9" s="74">
        <f t="shared" ref="D9:D23" si="0">B9*C9</f>
        <v>160</v>
      </c>
      <c r="E9" s="74">
        <v>0</v>
      </c>
      <c r="F9" s="74">
        <f t="shared" ref="F9:F23" si="1">D9*E9</f>
        <v>0</v>
      </c>
      <c r="G9" s="74">
        <f t="shared" ref="G9:G23" si="2">F9*0.05</f>
        <v>0</v>
      </c>
      <c r="H9" s="74">
        <f t="shared" ref="H9:H23" si="3">F9*0.1</f>
        <v>0</v>
      </c>
      <c r="I9" s="33">
        <f>F9*$L$6+G9*$L$5+H9*$L$7</f>
        <v>0</v>
      </c>
      <c r="J9" s="2"/>
      <c r="K9" s="69"/>
      <c r="L9" s="3"/>
      <c r="M9" s="44"/>
      <c r="N9" s="45"/>
      <c r="O9" s="45"/>
      <c r="P9" s="45"/>
      <c r="Q9" s="49"/>
      <c r="R9" s="49"/>
      <c r="S9" s="49"/>
      <c r="T9" s="49"/>
      <c r="U9" s="48"/>
    </row>
    <row r="10" spans="1:21" s="1" customFormat="1" ht="15.75">
      <c r="A10" s="77" t="s">
        <v>30</v>
      </c>
      <c r="B10" s="74">
        <v>160</v>
      </c>
      <c r="C10" s="74">
        <v>0.2</v>
      </c>
      <c r="D10" s="74">
        <f t="shared" si="0"/>
        <v>32</v>
      </c>
      <c r="E10" s="74">
        <v>0</v>
      </c>
      <c r="F10" s="74">
        <f t="shared" si="1"/>
        <v>0</v>
      </c>
      <c r="G10" s="74">
        <f t="shared" si="2"/>
        <v>0</v>
      </c>
      <c r="H10" s="74">
        <f t="shared" si="3"/>
        <v>0</v>
      </c>
      <c r="I10" s="33">
        <f>F10*$L$6+G10*$L$5+H10*$L$7</f>
        <v>0</v>
      </c>
      <c r="J10" s="2"/>
      <c r="K10" s="3"/>
      <c r="L10" s="3"/>
      <c r="M10" s="44"/>
      <c r="N10" s="45"/>
      <c r="O10" s="45"/>
      <c r="P10" s="45"/>
      <c r="Q10" s="49"/>
      <c r="R10" s="49"/>
      <c r="S10" s="49"/>
      <c r="T10" s="49"/>
      <c r="U10" s="48"/>
    </row>
    <row r="11" spans="1:21" s="1" customFormat="1" ht="12.75">
      <c r="A11" s="76" t="s">
        <v>31</v>
      </c>
      <c r="B11" s="74" t="s">
        <v>32</v>
      </c>
      <c r="C11" s="75"/>
      <c r="D11" s="74"/>
      <c r="E11" s="75"/>
      <c r="F11" s="75"/>
      <c r="G11" s="75"/>
      <c r="H11" s="75"/>
      <c r="I11" s="33"/>
      <c r="J11" s="2"/>
      <c r="K11" s="4"/>
      <c r="L11" s="5"/>
      <c r="M11" s="44"/>
      <c r="N11" s="45"/>
      <c r="O11" s="45"/>
      <c r="P11" s="45"/>
      <c r="Q11" s="49"/>
      <c r="R11" s="49"/>
      <c r="S11" s="50"/>
      <c r="T11" s="50"/>
      <c r="U11" s="48"/>
    </row>
    <row r="12" spans="1:21" s="1" customFormat="1" ht="12.75">
      <c r="A12" s="76" t="s">
        <v>33</v>
      </c>
      <c r="B12" s="74" t="s">
        <v>32</v>
      </c>
      <c r="C12" s="75"/>
      <c r="D12" s="74"/>
      <c r="E12" s="75"/>
      <c r="F12" s="75"/>
      <c r="G12" s="75"/>
      <c r="H12" s="75"/>
      <c r="I12" s="33"/>
      <c r="J12" s="2"/>
      <c r="K12" s="4"/>
      <c r="L12" s="5"/>
      <c r="M12" s="44"/>
      <c r="N12" s="45"/>
      <c r="O12" s="45"/>
      <c r="P12" s="45"/>
      <c r="Q12" s="49"/>
      <c r="R12" s="49"/>
      <c r="S12" s="50"/>
      <c r="T12" s="50"/>
      <c r="U12" s="48"/>
    </row>
    <row r="13" spans="1:21" s="1" customFormat="1" ht="12.75">
      <c r="A13" s="76" t="s">
        <v>34</v>
      </c>
      <c r="B13" s="75"/>
      <c r="C13" s="75"/>
      <c r="D13" s="74"/>
      <c r="E13" s="75"/>
      <c r="F13" s="75"/>
      <c r="G13" s="75"/>
      <c r="H13" s="75"/>
      <c r="I13" s="33"/>
      <c r="J13" s="2"/>
      <c r="K13" s="4"/>
      <c r="L13" s="5"/>
      <c r="M13" s="44"/>
      <c r="N13" s="45"/>
      <c r="O13" s="45"/>
      <c r="P13" s="45"/>
      <c r="Q13" s="45"/>
      <c r="R13" s="45"/>
      <c r="S13" s="45"/>
      <c r="T13" s="45"/>
      <c r="U13" s="48"/>
    </row>
    <row r="14" spans="1:21" s="1" customFormat="1" ht="18" customHeight="1">
      <c r="A14" s="77" t="s">
        <v>35</v>
      </c>
      <c r="B14" s="74">
        <v>2</v>
      </c>
      <c r="C14" s="74">
        <v>1</v>
      </c>
      <c r="D14" s="74">
        <f t="shared" si="0"/>
        <v>2</v>
      </c>
      <c r="E14" s="74">
        <v>0</v>
      </c>
      <c r="F14" s="74">
        <f t="shared" si="1"/>
        <v>0</v>
      </c>
      <c r="G14" s="74">
        <f t="shared" si="2"/>
        <v>0</v>
      </c>
      <c r="H14" s="74">
        <f t="shared" si="3"/>
        <v>0</v>
      </c>
      <c r="I14" s="33">
        <f t="shared" ref="I14:I18" si="4">F14*$L$6+G14*$L$5+H14*$L$7</f>
        <v>0</v>
      </c>
      <c r="J14" s="8"/>
      <c r="K14" s="56"/>
      <c r="L14" s="5"/>
      <c r="M14" s="44"/>
      <c r="N14" s="45"/>
      <c r="O14" s="45"/>
      <c r="P14" s="45"/>
      <c r="Q14" s="45"/>
      <c r="R14" s="45"/>
      <c r="S14" s="45"/>
      <c r="T14" s="45"/>
      <c r="U14" s="48"/>
    </row>
    <row r="15" spans="1:21" s="1" customFormat="1" ht="15.75">
      <c r="A15" s="77" t="s">
        <v>36</v>
      </c>
      <c r="B15" s="74">
        <v>2</v>
      </c>
      <c r="C15" s="74">
        <v>1</v>
      </c>
      <c r="D15" s="74">
        <f t="shared" si="0"/>
        <v>2</v>
      </c>
      <c r="E15" s="74">
        <v>0</v>
      </c>
      <c r="F15" s="74">
        <f t="shared" si="1"/>
        <v>0</v>
      </c>
      <c r="G15" s="74">
        <f t="shared" si="2"/>
        <v>0</v>
      </c>
      <c r="H15" s="74">
        <f t="shared" si="3"/>
        <v>0</v>
      </c>
      <c r="I15" s="33">
        <f t="shared" si="4"/>
        <v>0</v>
      </c>
      <c r="J15" s="2"/>
      <c r="K15" s="56"/>
      <c r="M15" s="44"/>
      <c r="N15" s="45"/>
      <c r="O15" s="45"/>
      <c r="P15" s="45"/>
      <c r="Q15" s="45"/>
      <c r="R15" s="45"/>
      <c r="S15" s="45"/>
      <c r="T15" s="45"/>
      <c r="U15" s="48"/>
    </row>
    <row r="16" spans="1:21" s="1" customFormat="1" ht="27.75" customHeight="1">
      <c r="A16" s="77" t="s">
        <v>37</v>
      </c>
      <c r="B16" s="74">
        <v>2</v>
      </c>
      <c r="C16" s="74">
        <v>1</v>
      </c>
      <c r="D16" s="74">
        <f t="shared" si="0"/>
        <v>2</v>
      </c>
      <c r="E16" s="74">
        <v>0</v>
      </c>
      <c r="F16" s="74">
        <f t="shared" si="1"/>
        <v>0</v>
      </c>
      <c r="G16" s="74">
        <f t="shared" si="2"/>
        <v>0</v>
      </c>
      <c r="H16" s="74">
        <f t="shared" si="3"/>
        <v>0</v>
      </c>
      <c r="I16" s="33">
        <f t="shared" si="4"/>
        <v>0</v>
      </c>
      <c r="J16" s="2"/>
      <c r="K16" s="56"/>
      <c r="M16" s="44"/>
      <c r="N16" s="45"/>
      <c r="O16" s="45"/>
      <c r="P16" s="45"/>
      <c r="Q16" s="45"/>
      <c r="R16" s="45"/>
      <c r="S16" s="45"/>
      <c r="T16" s="45"/>
      <c r="U16" s="48"/>
    </row>
    <row r="17" spans="1:21" s="1" customFormat="1" ht="15.75">
      <c r="A17" s="77" t="s">
        <v>38</v>
      </c>
      <c r="B17" s="74">
        <v>2</v>
      </c>
      <c r="C17" s="74">
        <v>1</v>
      </c>
      <c r="D17" s="74">
        <f t="shared" si="0"/>
        <v>2</v>
      </c>
      <c r="E17" s="74">
        <v>0</v>
      </c>
      <c r="F17" s="74">
        <f t="shared" si="1"/>
        <v>0</v>
      </c>
      <c r="G17" s="74">
        <f t="shared" si="2"/>
        <v>0</v>
      </c>
      <c r="H17" s="74">
        <f t="shared" si="3"/>
        <v>0</v>
      </c>
      <c r="I17" s="33">
        <f t="shared" si="4"/>
        <v>0</v>
      </c>
      <c r="J17" s="2"/>
      <c r="K17" s="56"/>
      <c r="M17" s="44"/>
      <c r="N17" s="45"/>
      <c r="O17" s="45"/>
      <c r="P17" s="45"/>
      <c r="Q17" s="45"/>
      <c r="R17" s="45"/>
      <c r="S17" s="45"/>
      <c r="T17" s="45"/>
      <c r="U17" s="48"/>
    </row>
    <row r="18" spans="1:21" s="1" customFormat="1" ht="19.5" customHeight="1">
      <c r="A18" s="77" t="s">
        <v>39</v>
      </c>
      <c r="B18" s="74">
        <v>2</v>
      </c>
      <c r="C18" s="74">
        <v>1</v>
      </c>
      <c r="D18" s="74">
        <f t="shared" si="0"/>
        <v>2</v>
      </c>
      <c r="E18" s="74">
        <v>0</v>
      </c>
      <c r="F18" s="74">
        <f t="shared" si="1"/>
        <v>0</v>
      </c>
      <c r="G18" s="74">
        <f t="shared" si="2"/>
        <v>0</v>
      </c>
      <c r="H18" s="74">
        <f t="shared" si="3"/>
        <v>0</v>
      </c>
      <c r="I18" s="33">
        <f t="shared" si="4"/>
        <v>0</v>
      </c>
      <c r="J18" s="2"/>
      <c r="K18" s="56"/>
      <c r="M18" s="44"/>
      <c r="N18" s="45"/>
      <c r="O18" s="45"/>
      <c r="P18" s="45"/>
      <c r="Q18" s="45"/>
      <c r="R18" s="45"/>
      <c r="S18" s="45"/>
      <c r="T18" s="45"/>
      <c r="U18" s="48"/>
    </row>
    <row r="19" spans="1:21" s="1" customFormat="1" ht="16.5" customHeight="1">
      <c r="A19" s="77" t="s">
        <v>40</v>
      </c>
      <c r="B19" s="74" t="s">
        <v>32</v>
      </c>
      <c r="C19" s="75"/>
      <c r="D19" s="74"/>
      <c r="E19" s="75"/>
      <c r="F19" s="75"/>
      <c r="G19" s="75"/>
      <c r="H19" s="75"/>
      <c r="I19" s="33"/>
      <c r="J19" s="2"/>
      <c r="K19" s="2"/>
      <c r="M19" s="44"/>
      <c r="N19" s="45"/>
      <c r="O19" s="45"/>
      <c r="P19" s="45"/>
      <c r="Q19" s="45"/>
      <c r="R19" s="45"/>
      <c r="S19" s="45"/>
      <c r="T19" s="45"/>
      <c r="U19" s="48"/>
    </row>
    <row r="20" spans="1:21" s="1" customFormat="1" ht="13.5">
      <c r="A20" s="77" t="s">
        <v>41</v>
      </c>
      <c r="B20" s="74" t="s">
        <v>32</v>
      </c>
      <c r="C20" s="75"/>
      <c r="D20" s="74"/>
      <c r="E20" s="75"/>
      <c r="F20" s="75"/>
      <c r="G20" s="75"/>
      <c r="H20" s="75"/>
      <c r="I20" s="34"/>
      <c r="J20" s="2"/>
      <c r="M20" s="44"/>
      <c r="N20" s="45"/>
      <c r="O20" s="45"/>
      <c r="P20" s="45"/>
      <c r="Q20" s="45"/>
      <c r="R20" s="45"/>
      <c r="S20" s="45"/>
      <c r="T20" s="45"/>
      <c r="U20" s="48"/>
    </row>
    <row r="21" spans="1:21" s="1" customFormat="1" ht="12.75">
      <c r="A21" s="77" t="s">
        <v>42</v>
      </c>
      <c r="B21" s="74">
        <v>4</v>
      </c>
      <c r="C21" s="74">
        <v>1</v>
      </c>
      <c r="D21" s="74">
        <f t="shared" si="0"/>
        <v>4</v>
      </c>
      <c r="E21" s="74">
        <v>0</v>
      </c>
      <c r="F21" s="74">
        <f t="shared" si="1"/>
        <v>0</v>
      </c>
      <c r="G21" s="74">
        <f t="shared" si="2"/>
        <v>0</v>
      </c>
      <c r="H21" s="74">
        <f t="shared" si="3"/>
        <v>0</v>
      </c>
      <c r="I21" s="35">
        <f>F21*$L$6+G21*$L$5+H21*$L$7</f>
        <v>0</v>
      </c>
      <c r="J21" s="2"/>
      <c r="M21" s="44"/>
      <c r="N21" s="45"/>
      <c r="O21" s="45"/>
      <c r="P21" s="45"/>
      <c r="Q21" s="45"/>
      <c r="R21" s="47"/>
      <c r="S21" s="45"/>
      <c r="T21" s="45"/>
      <c r="U21" s="48"/>
    </row>
    <row r="22" spans="1:21" s="1" customFormat="1" ht="15.75">
      <c r="A22" s="77" t="s">
        <v>43</v>
      </c>
      <c r="B22" s="74">
        <v>2</v>
      </c>
      <c r="C22" s="74">
        <v>1</v>
      </c>
      <c r="D22" s="74">
        <f t="shared" si="0"/>
        <v>2</v>
      </c>
      <c r="E22" s="74">
        <v>21</v>
      </c>
      <c r="F22" s="74">
        <f t="shared" si="1"/>
        <v>42</v>
      </c>
      <c r="G22" s="74">
        <f t="shared" si="2"/>
        <v>2.1</v>
      </c>
      <c r="H22" s="74">
        <f t="shared" si="3"/>
        <v>4.2</v>
      </c>
      <c r="I22" s="35">
        <f>F22*$L$6+G22*$L$5+H22*$L$7</f>
        <v>6090.3990000000003</v>
      </c>
      <c r="J22" s="2"/>
      <c r="K22" s="2"/>
      <c r="M22" s="51"/>
      <c r="N22" s="51"/>
      <c r="O22" s="51"/>
      <c r="P22" s="51"/>
      <c r="Q22" s="51"/>
      <c r="R22" s="52"/>
      <c r="S22" s="52"/>
      <c r="T22" s="52"/>
      <c r="U22" s="53"/>
    </row>
    <row r="23" spans="1:21" s="1" customFormat="1" ht="12.75">
      <c r="A23" s="77" t="s">
        <v>44</v>
      </c>
      <c r="B23" s="74">
        <v>8</v>
      </c>
      <c r="C23" s="74">
        <v>2</v>
      </c>
      <c r="D23" s="74">
        <f t="shared" si="0"/>
        <v>16</v>
      </c>
      <c r="E23" s="74">
        <v>41</v>
      </c>
      <c r="F23" s="74">
        <f t="shared" si="1"/>
        <v>656</v>
      </c>
      <c r="G23" s="74">
        <f t="shared" si="2"/>
        <v>32.800000000000004</v>
      </c>
      <c r="H23" s="74">
        <f t="shared" si="3"/>
        <v>65.600000000000009</v>
      </c>
      <c r="I23" s="10">
        <f>F23*$L$6+G23*$L$5+H23*$L$7</f>
        <v>95126.232000000004</v>
      </c>
      <c r="J23" s="2"/>
      <c r="K23" s="2"/>
      <c r="M23" s="44"/>
      <c r="N23" s="45"/>
      <c r="O23" s="45"/>
      <c r="P23" s="45"/>
      <c r="Q23" s="45"/>
      <c r="R23" s="45"/>
      <c r="S23" s="45"/>
      <c r="T23" s="45"/>
      <c r="U23" s="46"/>
    </row>
    <row r="24" spans="1:21" s="1" customFormat="1" ht="13.5">
      <c r="A24" s="79" t="s">
        <v>45</v>
      </c>
      <c r="B24" s="75"/>
      <c r="C24" s="9"/>
      <c r="D24" s="9"/>
      <c r="E24" s="9"/>
      <c r="F24" s="103">
        <f>SUM(F4:H23)</f>
        <v>849.85</v>
      </c>
      <c r="G24" s="103"/>
      <c r="H24" s="103"/>
      <c r="I24" s="78">
        <f>SUM(I4:I23)</f>
        <v>107162.0205</v>
      </c>
      <c r="J24" s="2"/>
      <c r="K24" s="2"/>
      <c r="M24" s="44"/>
      <c r="N24" s="45"/>
      <c r="O24" s="45"/>
      <c r="P24" s="45"/>
      <c r="Q24" s="45"/>
      <c r="R24" s="45"/>
      <c r="S24" s="45"/>
      <c r="T24" s="45"/>
      <c r="U24" s="48"/>
    </row>
    <row r="25" spans="1:21" s="1" customFormat="1" ht="12.75">
      <c r="A25" s="73" t="s">
        <v>46</v>
      </c>
      <c r="B25" s="75"/>
      <c r="C25" s="9"/>
      <c r="D25" s="9"/>
      <c r="E25" s="9"/>
      <c r="F25" s="9"/>
      <c r="G25" s="9"/>
      <c r="H25" s="9"/>
      <c r="I25" s="36"/>
      <c r="J25" s="2"/>
      <c r="M25" s="44"/>
      <c r="N25" s="45"/>
      <c r="O25" s="45"/>
      <c r="P25" s="45"/>
      <c r="Q25" s="45"/>
      <c r="R25" s="45"/>
      <c r="S25" s="45"/>
      <c r="T25" s="45"/>
      <c r="U25" s="48"/>
    </row>
    <row r="26" spans="1:21" s="1" customFormat="1" ht="12.75">
      <c r="A26" s="76" t="s">
        <v>47</v>
      </c>
      <c r="B26" s="74" t="s">
        <v>48</v>
      </c>
      <c r="C26" s="9"/>
      <c r="D26" s="9"/>
      <c r="E26" s="9"/>
      <c r="F26" s="9"/>
      <c r="G26" s="9"/>
      <c r="H26" s="9"/>
      <c r="I26" s="10"/>
      <c r="J26" s="2"/>
      <c r="K26" s="2"/>
      <c r="M26" s="44"/>
      <c r="N26" s="45"/>
      <c r="O26" s="45"/>
      <c r="P26" s="45"/>
      <c r="Q26" s="45"/>
      <c r="R26" s="47"/>
      <c r="S26" s="45"/>
      <c r="T26" s="45"/>
      <c r="U26" s="48"/>
    </row>
    <row r="27" spans="1:21" s="1" customFormat="1" ht="18" customHeight="1">
      <c r="A27" s="76" t="s">
        <v>49</v>
      </c>
      <c r="B27" s="74" t="s">
        <v>32</v>
      </c>
      <c r="C27" s="9"/>
      <c r="D27" s="9"/>
      <c r="E27" s="9"/>
      <c r="F27" s="9"/>
      <c r="G27" s="9"/>
      <c r="H27" s="9"/>
      <c r="I27" s="10"/>
      <c r="J27" s="2"/>
      <c r="K27" s="2"/>
      <c r="M27" s="44"/>
      <c r="N27" s="45"/>
      <c r="O27" s="45"/>
      <c r="P27" s="45"/>
      <c r="Q27" s="45"/>
      <c r="R27" s="45"/>
      <c r="S27" s="45"/>
      <c r="T27" s="45"/>
      <c r="U27" s="48"/>
    </row>
    <row r="28" spans="1:21" s="1" customFormat="1" ht="12.75">
      <c r="A28" s="76" t="s">
        <v>50</v>
      </c>
      <c r="B28" s="74" t="s">
        <v>32</v>
      </c>
      <c r="C28" s="9"/>
      <c r="D28" s="9"/>
      <c r="E28" s="9"/>
      <c r="F28" s="9"/>
      <c r="G28" s="9"/>
      <c r="H28" s="9"/>
      <c r="I28" s="36"/>
      <c r="J28" s="2"/>
      <c r="K28" s="2"/>
      <c r="M28" s="44"/>
      <c r="N28" s="45"/>
      <c r="O28" s="45"/>
      <c r="P28" s="45"/>
      <c r="Q28" s="45"/>
      <c r="R28" s="45"/>
      <c r="S28" s="45"/>
      <c r="T28" s="45"/>
      <c r="U28" s="48"/>
    </row>
    <row r="29" spans="1:21" s="1" customFormat="1" ht="12.75">
      <c r="A29" s="76" t="s">
        <v>51</v>
      </c>
      <c r="B29" s="74" t="s">
        <v>20</v>
      </c>
      <c r="C29" s="9"/>
      <c r="D29" s="9"/>
      <c r="E29" s="9"/>
      <c r="F29" s="9"/>
      <c r="G29" s="9"/>
      <c r="H29" s="9"/>
      <c r="I29" s="10"/>
      <c r="J29" s="2"/>
      <c r="K29" s="2"/>
      <c r="M29" s="44"/>
      <c r="N29" s="45"/>
      <c r="O29" s="45"/>
      <c r="P29" s="45"/>
      <c r="Q29" s="45"/>
      <c r="R29" s="45"/>
      <c r="S29" s="45"/>
      <c r="T29" s="45"/>
      <c r="U29" s="48"/>
    </row>
    <row r="30" spans="1:21" s="1" customFormat="1" ht="12.75">
      <c r="A30" s="76" t="s">
        <v>52</v>
      </c>
      <c r="B30" s="74" t="s">
        <v>53</v>
      </c>
      <c r="C30" s="9"/>
      <c r="D30" s="9"/>
      <c r="E30" s="9"/>
      <c r="F30" s="9"/>
      <c r="G30" s="9"/>
      <c r="H30" s="9"/>
      <c r="I30" s="10"/>
      <c r="J30" s="2"/>
      <c r="K30" s="2"/>
      <c r="M30" s="44"/>
      <c r="N30" s="45"/>
      <c r="O30" s="45"/>
      <c r="P30" s="45"/>
      <c r="Q30" s="45"/>
      <c r="R30" s="45"/>
      <c r="S30" s="45"/>
      <c r="T30" s="45"/>
      <c r="U30" s="48"/>
    </row>
    <row r="31" spans="1:21" s="1" customFormat="1" ht="12.75">
      <c r="A31" s="76" t="s">
        <v>54</v>
      </c>
      <c r="B31" s="74" t="s">
        <v>20</v>
      </c>
      <c r="C31" s="9"/>
      <c r="D31" s="9"/>
      <c r="E31" s="9"/>
      <c r="F31" s="9"/>
      <c r="G31" s="9"/>
      <c r="H31" s="9"/>
      <c r="I31" s="36"/>
      <c r="J31" s="2"/>
      <c r="K31" s="2"/>
      <c r="M31" s="44"/>
      <c r="N31" s="45"/>
      <c r="O31" s="45"/>
      <c r="P31" s="45"/>
      <c r="Q31" s="45"/>
      <c r="R31" s="45"/>
      <c r="S31" s="45"/>
      <c r="T31" s="45"/>
      <c r="U31" s="48"/>
    </row>
    <row r="32" spans="1:21" s="1" customFormat="1" ht="12.75">
      <c r="A32" s="76" t="s">
        <v>55</v>
      </c>
      <c r="B32" s="74" t="s">
        <v>20</v>
      </c>
      <c r="C32" s="9"/>
      <c r="D32" s="9"/>
      <c r="E32" s="9"/>
      <c r="F32" s="55"/>
      <c r="G32" s="9"/>
      <c r="H32" s="9"/>
      <c r="I32" s="10"/>
      <c r="J32" s="2"/>
      <c r="K32" s="2"/>
      <c r="M32" s="44"/>
      <c r="N32" s="45"/>
      <c r="O32" s="45"/>
      <c r="P32" s="45"/>
      <c r="Q32" s="45"/>
      <c r="R32" s="45"/>
      <c r="S32" s="45"/>
      <c r="T32" s="45"/>
      <c r="U32" s="48"/>
    </row>
    <row r="33" spans="1:21" s="1" customFormat="1" ht="19.5" customHeight="1">
      <c r="A33" s="79" t="s">
        <v>56</v>
      </c>
      <c r="B33" s="75"/>
      <c r="C33" s="75"/>
      <c r="D33" s="75"/>
      <c r="E33" s="75"/>
      <c r="F33" s="104">
        <v>0</v>
      </c>
      <c r="G33" s="104"/>
      <c r="H33" s="104"/>
      <c r="I33" s="80">
        <v>0</v>
      </c>
      <c r="J33" s="2"/>
      <c r="K33" s="2"/>
      <c r="M33" s="44"/>
      <c r="N33" s="45"/>
      <c r="O33" s="45"/>
      <c r="P33" s="45"/>
      <c r="Q33" s="45"/>
      <c r="R33" s="45"/>
      <c r="S33" s="45"/>
      <c r="T33" s="45"/>
      <c r="U33" s="48"/>
    </row>
    <row r="34" spans="1:21" s="1" customFormat="1" ht="19.899999999999999" customHeight="1">
      <c r="A34" s="81" t="s">
        <v>57</v>
      </c>
      <c r="B34" s="75"/>
      <c r="C34" s="75"/>
      <c r="D34" s="75"/>
      <c r="E34" s="75"/>
      <c r="F34" s="103">
        <f>ROUND(F24+F33,0)</f>
        <v>850</v>
      </c>
      <c r="G34" s="104"/>
      <c r="H34" s="104"/>
      <c r="I34" s="80">
        <f>ROUND(I24+I33,-3)</f>
        <v>107000</v>
      </c>
      <c r="J34" s="2"/>
      <c r="K34" s="84">
        <f>F34</f>
        <v>850</v>
      </c>
      <c r="M34" s="44"/>
      <c r="N34" s="45"/>
      <c r="O34" s="45"/>
      <c r="P34" s="45"/>
      <c r="Q34" s="45"/>
      <c r="R34" s="47"/>
      <c r="S34" s="45"/>
      <c r="T34" s="45"/>
      <c r="U34" s="48"/>
    </row>
    <row r="35" spans="1:21" s="1" customFormat="1" ht="15.75">
      <c r="A35" s="81" t="s">
        <v>58</v>
      </c>
      <c r="B35" s="74"/>
      <c r="C35" s="74"/>
      <c r="D35" s="74"/>
      <c r="E35" s="74"/>
      <c r="F35" s="74"/>
      <c r="G35" s="74"/>
      <c r="H35" s="74"/>
      <c r="I35" s="80">
        <f>'Capital O&amp;M'!D6+'Capital O&amp;M'!G6</f>
        <v>238000</v>
      </c>
      <c r="J35" s="2"/>
      <c r="K35" s="40">
        <f>F34/Responses!E12</f>
        <v>8.2524271844660202</v>
      </c>
      <c r="L35" s="40" t="s">
        <v>59</v>
      </c>
      <c r="M35" s="44"/>
      <c r="N35" s="45"/>
      <c r="O35" s="45"/>
      <c r="P35" s="45"/>
      <c r="Q35" s="45"/>
      <c r="R35" s="45"/>
      <c r="S35" s="45"/>
      <c r="T35" s="45"/>
      <c r="U35" s="48"/>
    </row>
    <row r="36" spans="1:21" s="1" customFormat="1" ht="18.75" customHeight="1">
      <c r="A36" s="81" t="s">
        <v>60</v>
      </c>
      <c r="B36" s="74"/>
      <c r="C36" s="74"/>
      <c r="D36" s="74"/>
      <c r="E36" s="74"/>
      <c r="F36" s="97"/>
      <c r="G36" s="97"/>
      <c r="H36" s="97"/>
      <c r="I36" s="80">
        <f>ROUND(I34+I35,-3)</f>
        <v>345000</v>
      </c>
      <c r="J36" s="2"/>
      <c r="K36" s="2"/>
      <c r="M36" s="44"/>
      <c r="N36" s="45"/>
      <c r="O36" s="45"/>
      <c r="P36" s="45"/>
      <c r="Q36" s="45"/>
      <c r="R36" s="45"/>
      <c r="S36" s="45"/>
      <c r="T36" s="45"/>
      <c r="U36" s="48"/>
    </row>
    <row r="37" spans="1:21" s="1" customFormat="1" ht="13.5">
      <c r="G37" s="37"/>
      <c r="I37" s="7"/>
      <c r="J37" s="2"/>
      <c r="M37" s="54"/>
      <c r="N37" s="54"/>
      <c r="O37" s="54"/>
      <c r="P37" s="54"/>
      <c r="Q37" s="54"/>
      <c r="R37" s="54"/>
      <c r="S37" s="54"/>
      <c r="T37" s="54"/>
      <c r="U37" s="53"/>
    </row>
    <row r="38" spans="1:21" s="1" customFormat="1" ht="13.5">
      <c r="A38" s="38" t="s">
        <v>61</v>
      </c>
      <c r="I38" s="7"/>
      <c r="J38" s="2"/>
      <c r="M38" s="54"/>
      <c r="N38" s="54"/>
      <c r="O38" s="54"/>
      <c r="P38" s="54"/>
      <c r="Q38" s="54"/>
      <c r="R38" s="54"/>
      <c r="S38" s="54"/>
      <c r="T38" s="54"/>
      <c r="U38" s="53"/>
    </row>
    <row r="39" spans="1:21" s="1" customFormat="1" ht="15.75">
      <c r="A39" s="83" t="s">
        <v>62</v>
      </c>
      <c r="B39" s="72"/>
      <c r="C39" s="72"/>
      <c r="D39" s="72"/>
      <c r="E39" s="72"/>
      <c r="F39" s="72"/>
      <c r="G39" s="72"/>
      <c r="H39" s="72"/>
      <c r="I39" s="72"/>
      <c r="J39" s="2"/>
      <c r="M39" s="26"/>
      <c r="N39" s="26"/>
      <c r="O39" s="26"/>
      <c r="P39" s="26"/>
      <c r="Q39" s="26"/>
      <c r="R39" s="26"/>
      <c r="S39" s="26"/>
      <c r="T39" s="26"/>
      <c r="U39" s="26"/>
    </row>
    <row r="40" spans="1:21" s="1" customFormat="1" ht="63.75" customHeight="1">
      <c r="A40" s="102" t="s">
        <v>63</v>
      </c>
      <c r="B40" s="102"/>
      <c r="C40" s="102"/>
      <c r="D40" s="102"/>
      <c r="E40" s="102"/>
      <c r="F40" s="102"/>
      <c r="G40" s="102"/>
      <c r="H40" s="102"/>
      <c r="I40" s="102"/>
      <c r="J40" s="2"/>
      <c r="M40" s="26"/>
      <c r="N40" s="26"/>
      <c r="O40" s="26"/>
      <c r="P40" s="26"/>
      <c r="Q40" s="26"/>
      <c r="R40" s="26"/>
      <c r="S40" s="26"/>
      <c r="T40" s="26"/>
      <c r="U40" s="26"/>
    </row>
    <row r="41" spans="1:21" ht="15.75">
      <c r="A41" s="83" t="s">
        <v>64</v>
      </c>
    </row>
    <row r="42" spans="1:21" ht="15.75">
      <c r="A42" s="83" t="s">
        <v>65</v>
      </c>
    </row>
    <row r="43" spans="1:21" ht="15.75">
      <c r="A43" s="83" t="s">
        <v>66</v>
      </c>
    </row>
    <row r="44" spans="1:21" ht="15.75">
      <c r="A44" s="83" t="s">
        <v>67</v>
      </c>
    </row>
    <row r="45" spans="1:21" ht="15.75">
      <c r="A45" s="83" t="s">
        <v>68</v>
      </c>
    </row>
    <row r="46" spans="1:21" ht="15.75">
      <c r="A46" s="83" t="s">
        <v>69</v>
      </c>
      <c r="B46" s="58"/>
      <c r="C46" s="58"/>
      <c r="E46" s="92"/>
    </row>
    <row r="47" spans="1:21" ht="15.75">
      <c r="A47" s="83" t="s">
        <v>70</v>
      </c>
      <c r="B47" s="58"/>
      <c r="C47" s="58"/>
    </row>
    <row r="48" spans="1:21" ht="15.75">
      <c r="A48" s="58"/>
      <c r="B48" s="58"/>
      <c r="C48" s="58"/>
    </row>
    <row r="49" spans="1:3" ht="15.75">
      <c r="A49" s="59"/>
      <c r="B49" s="59"/>
      <c r="C49" s="59"/>
    </row>
    <row r="50" spans="1:3" ht="15.75">
      <c r="A50" s="58"/>
      <c r="B50" s="58"/>
      <c r="C50" s="58"/>
    </row>
    <row r="51" spans="1:3" ht="15.75">
      <c r="A51" s="58"/>
      <c r="B51" s="58"/>
      <c r="C51" s="58"/>
    </row>
    <row r="52" spans="1:3" ht="15.75">
      <c r="A52" s="59"/>
      <c r="B52" s="59"/>
      <c r="C52" s="59"/>
    </row>
    <row r="53" spans="1:3" ht="15.75">
      <c r="A53" s="59"/>
      <c r="B53" s="59"/>
      <c r="C53" s="59"/>
    </row>
    <row r="54" spans="1:3" ht="15.75" customHeight="1">
      <c r="A54" s="58"/>
      <c r="B54" s="58"/>
      <c r="C54" s="58"/>
    </row>
    <row r="55" spans="1:3" ht="15" customHeight="1">
      <c r="A55" s="58"/>
      <c r="B55" s="58"/>
      <c r="C55" s="58"/>
    </row>
    <row r="56" spans="1:3" ht="15.75">
      <c r="A56" s="58"/>
      <c r="B56" s="58"/>
      <c r="C56" s="58"/>
    </row>
    <row r="57" spans="1:3" ht="15.75">
      <c r="A57" s="59"/>
      <c r="B57" s="59"/>
      <c r="C57" s="59"/>
    </row>
    <row r="58" spans="1:3" ht="15.75">
      <c r="A58" s="59"/>
      <c r="B58" s="58"/>
      <c r="C58" s="58"/>
    </row>
    <row r="59" spans="1:3" ht="15.75">
      <c r="A59" s="58"/>
      <c r="B59" s="58"/>
      <c r="C59" s="58"/>
    </row>
    <row r="60" spans="1:3" ht="15.75">
      <c r="A60" s="59"/>
      <c r="B60" s="58"/>
      <c r="C60" s="58"/>
    </row>
  </sheetData>
  <sortState xmlns:xlrd2="http://schemas.microsoft.com/office/spreadsheetml/2017/richdata2" ref="A45:C60">
    <sortCondition ref="C45:C60"/>
  </sortState>
  <mergeCells count="5">
    <mergeCell ref="K4:L4"/>
    <mergeCell ref="A40:I40"/>
    <mergeCell ref="F24:H24"/>
    <mergeCell ref="F33:H33"/>
    <mergeCell ref="F34:H34"/>
  </mergeCells>
  <phoneticPr fontId="24"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40"/>
  <sheetViews>
    <sheetView workbookViewId="0">
      <selection activeCell="A2" sqref="A2"/>
    </sheetView>
  </sheetViews>
  <sheetFormatPr defaultRowHeight="15"/>
  <cols>
    <col min="1" max="1" width="54.7109375" customWidth="1"/>
    <col min="2" max="9" width="11.7109375" customWidth="1"/>
    <col min="10" max="10" width="8.140625" customWidth="1"/>
    <col min="11" max="11" width="11.85546875" customWidth="1"/>
  </cols>
  <sheetData>
    <row r="1" spans="1:12" ht="15.75">
      <c r="A1" s="31" t="s">
        <v>71</v>
      </c>
      <c r="B1" s="1"/>
      <c r="C1" s="1"/>
      <c r="D1" s="1"/>
      <c r="E1" s="1"/>
      <c r="F1" s="1"/>
      <c r="G1" s="1"/>
      <c r="H1" s="1"/>
      <c r="I1" s="1"/>
    </row>
    <row r="2" spans="1:12">
      <c r="A2" s="1"/>
      <c r="B2" s="1"/>
      <c r="C2" s="1"/>
      <c r="D2" s="1"/>
      <c r="E2" s="1"/>
      <c r="F2" s="6"/>
      <c r="G2" s="6"/>
      <c r="H2" s="6"/>
      <c r="I2" s="6"/>
    </row>
    <row r="3" spans="1:12" ht="76.5">
      <c r="A3" s="30" t="s">
        <v>72</v>
      </c>
      <c r="B3" s="68" t="s">
        <v>73</v>
      </c>
      <c r="C3" s="68" t="s">
        <v>74</v>
      </c>
      <c r="D3" s="68" t="s">
        <v>75</v>
      </c>
      <c r="E3" s="68" t="s">
        <v>76</v>
      </c>
      <c r="F3" s="68" t="s">
        <v>15</v>
      </c>
      <c r="G3" s="68" t="s">
        <v>77</v>
      </c>
      <c r="H3" s="68" t="s">
        <v>78</v>
      </c>
      <c r="I3" s="68" t="s">
        <v>79</v>
      </c>
      <c r="J3" s="1"/>
      <c r="K3" s="1"/>
      <c r="L3" s="1"/>
    </row>
    <row r="4" spans="1:12">
      <c r="A4" s="73" t="s">
        <v>80</v>
      </c>
      <c r="B4" s="75"/>
      <c r="C4" s="75"/>
      <c r="D4" s="75"/>
      <c r="E4" s="75"/>
      <c r="F4" s="75"/>
      <c r="G4" s="75"/>
      <c r="H4" s="75"/>
      <c r="I4" s="88"/>
      <c r="J4" s="1"/>
      <c r="K4" s="101" t="s">
        <v>21</v>
      </c>
      <c r="L4" s="101"/>
    </row>
    <row r="5" spans="1:12" ht="15.75">
      <c r="A5" s="76" t="s">
        <v>81</v>
      </c>
      <c r="B5" s="74">
        <v>40</v>
      </c>
      <c r="C5" s="74">
        <v>1</v>
      </c>
      <c r="D5" s="74">
        <f>B5*C5</f>
        <v>40</v>
      </c>
      <c r="E5" s="74">
        <v>0</v>
      </c>
      <c r="F5" s="74">
        <f>D5*E5</f>
        <v>0</v>
      </c>
      <c r="G5" s="74">
        <f>F5*0.05</f>
        <v>0</v>
      </c>
      <c r="H5" s="74">
        <f>F5*0.1</f>
        <v>0</v>
      </c>
      <c r="I5" s="89">
        <f>$L$6*F5+$L$5*G5+$L$7*H5</f>
        <v>0</v>
      </c>
      <c r="J5" s="1"/>
      <c r="K5" s="12" t="s">
        <v>23</v>
      </c>
      <c r="L5" s="27">
        <v>73.459999999999994</v>
      </c>
    </row>
    <row r="6" spans="1:12">
      <c r="A6" s="73" t="s">
        <v>82</v>
      </c>
      <c r="B6" s="75"/>
      <c r="C6" s="75"/>
      <c r="D6" s="74"/>
      <c r="E6" s="75"/>
      <c r="F6" s="74"/>
      <c r="G6" s="74"/>
      <c r="H6" s="74"/>
      <c r="I6" s="89"/>
      <c r="J6" s="1"/>
      <c r="K6" s="12" t="s">
        <v>83</v>
      </c>
      <c r="L6" s="27">
        <v>54.51</v>
      </c>
    </row>
    <row r="7" spans="1:12" ht="15.75">
      <c r="A7" s="76" t="s">
        <v>84</v>
      </c>
      <c r="B7" s="74">
        <v>40</v>
      </c>
      <c r="C7" s="74">
        <v>0.2</v>
      </c>
      <c r="D7" s="74">
        <f t="shared" ref="D7:D19" si="0">B7*C7</f>
        <v>8</v>
      </c>
      <c r="E7" s="74">
        <v>0</v>
      </c>
      <c r="F7" s="74">
        <f t="shared" ref="F7:F15" si="1">D7*E7</f>
        <v>0</v>
      </c>
      <c r="G7" s="74">
        <f t="shared" ref="G7:G19" si="2">F7*0.05</f>
        <v>0</v>
      </c>
      <c r="H7" s="74">
        <f t="shared" ref="H7:H15" si="3">F7*0.1</f>
        <v>0</v>
      </c>
      <c r="I7" s="89">
        <f>$L$6*F7+$L$5*G7+$L$7*H7</f>
        <v>0</v>
      </c>
      <c r="J7" s="1"/>
      <c r="K7" s="12" t="s">
        <v>27</v>
      </c>
      <c r="L7" s="27">
        <v>29.5</v>
      </c>
    </row>
    <row r="8" spans="1:12">
      <c r="A8" s="73" t="s">
        <v>85</v>
      </c>
      <c r="B8" s="75"/>
      <c r="C8" s="75"/>
      <c r="D8" s="74"/>
      <c r="E8" s="75"/>
      <c r="F8" s="74"/>
      <c r="G8" s="74"/>
      <c r="H8" s="74"/>
      <c r="I8" s="89"/>
      <c r="J8" s="1"/>
      <c r="K8" s="86"/>
      <c r="L8" s="87"/>
    </row>
    <row r="9" spans="1:12">
      <c r="A9" s="76" t="s">
        <v>86</v>
      </c>
      <c r="B9" s="75"/>
      <c r="C9" s="74" t="s">
        <v>87</v>
      </c>
      <c r="D9" s="74"/>
      <c r="E9" s="75"/>
      <c r="F9" s="74"/>
      <c r="G9" s="74"/>
      <c r="H9" s="74"/>
      <c r="I9" s="89"/>
      <c r="J9" s="1"/>
      <c r="K9" s="86"/>
      <c r="L9" s="87"/>
    </row>
    <row r="10" spans="1:12" ht="15.75">
      <c r="A10" s="77" t="s">
        <v>88</v>
      </c>
      <c r="B10" s="74">
        <v>2</v>
      </c>
      <c r="C10" s="74">
        <v>1</v>
      </c>
      <c r="D10" s="74">
        <f t="shared" si="0"/>
        <v>2</v>
      </c>
      <c r="E10" s="74">
        <v>0</v>
      </c>
      <c r="F10" s="74">
        <f t="shared" si="1"/>
        <v>0</v>
      </c>
      <c r="G10" s="74">
        <f t="shared" si="2"/>
        <v>0</v>
      </c>
      <c r="H10" s="74">
        <f t="shared" si="3"/>
        <v>0</v>
      </c>
      <c r="I10" s="89">
        <f t="shared" ref="I10:I15" si="4">$L$6*F10+$L$5*G10+$L$7*H10</f>
        <v>0</v>
      </c>
      <c r="J10" s="1"/>
      <c r="K10" s="86"/>
      <c r="L10" s="87"/>
    </row>
    <row r="11" spans="1:12" ht="15.75">
      <c r="A11" s="77" t="s">
        <v>36</v>
      </c>
      <c r="B11" s="74">
        <v>0.5</v>
      </c>
      <c r="C11" s="74">
        <v>1</v>
      </c>
      <c r="D11" s="74">
        <f t="shared" si="0"/>
        <v>0.5</v>
      </c>
      <c r="E11" s="74">
        <v>0</v>
      </c>
      <c r="F11" s="74">
        <f t="shared" si="1"/>
        <v>0</v>
      </c>
      <c r="G11" s="74">
        <f t="shared" si="2"/>
        <v>0</v>
      </c>
      <c r="H11" s="74">
        <f t="shared" si="3"/>
        <v>0</v>
      </c>
      <c r="I11" s="89">
        <f t="shared" si="4"/>
        <v>0</v>
      </c>
      <c r="J11" s="1"/>
      <c r="K11" s="86"/>
      <c r="L11" s="87"/>
    </row>
    <row r="12" spans="1:12" ht="15.75">
      <c r="A12" s="77" t="s">
        <v>89</v>
      </c>
      <c r="B12" s="74">
        <v>0.5</v>
      </c>
      <c r="C12" s="74">
        <v>1</v>
      </c>
      <c r="D12" s="74">
        <f t="shared" si="0"/>
        <v>0.5</v>
      </c>
      <c r="E12" s="74">
        <v>0</v>
      </c>
      <c r="F12" s="74">
        <f t="shared" si="1"/>
        <v>0</v>
      </c>
      <c r="G12" s="74">
        <f t="shared" si="2"/>
        <v>0</v>
      </c>
      <c r="H12" s="74">
        <f t="shared" si="3"/>
        <v>0</v>
      </c>
      <c r="I12" s="89">
        <f t="shared" si="4"/>
        <v>0</v>
      </c>
      <c r="J12" s="1"/>
      <c r="K12" s="86"/>
      <c r="L12" s="87"/>
    </row>
    <row r="13" spans="1:12" ht="15.75">
      <c r="A13" s="77" t="s">
        <v>90</v>
      </c>
      <c r="B13" s="74">
        <v>0.5</v>
      </c>
      <c r="C13" s="74">
        <v>1</v>
      </c>
      <c r="D13" s="74">
        <f t="shared" si="0"/>
        <v>0.5</v>
      </c>
      <c r="E13" s="74">
        <v>0</v>
      </c>
      <c r="F13" s="74">
        <f t="shared" si="1"/>
        <v>0</v>
      </c>
      <c r="G13" s="74">
        <f t="shared" si="2"/>
        <v>0</v>
      </c>
      <c r="H13" s="74">
        <f t="shared" si="3"/>
        <v>0</v>
      </c>
      <c r="I13" s="89">
        <f t="shared" si="4"/>
        <v>0</v>
      </c>
      <c r="J13" s="1"/>
      <c r="K13" s="86"/>
      <c r="L13" s="87"/>
    </row>
    <row r="14" spans="1:12" ht="15.75">
      <c r="A14" s="77" t="s">
        <v>91</v>
      </c>
      <c r="B14" s="74">
        <v>0.5</v>
      </c>
      <c r="C14" s="74">
        <v>1.2</v>
      </c>
      <c r="D14" s="74">
        <f t="shared" si="0"/>
        <v>0.6</v>
      </c>
      <c r="E14" s="74">
        <v>0</v>
      </c>
      <c r="F14" s="74">
        <f t="shared" si="1"/>
        <v>0</v>
      </c>
      <c r="G14" s="74">
        <f t="shared" si="2"/>
        <v>0</v>
      </c>
      <c r="H14" s="74">
        <f t="shared" si="3"/>
        <v>0</v>
      </c>
      <c r="I14" s="89">
        <f t="shared" si="4"/>
        <v>0</v>
      </c>
      <c r="J14" s="1"/>
      <c r="K14" s="86"/>
      <c r="L14" s="87"/>
    </row>
    <row r="15" spans="1:12" ht="15.75">
      <c r="A15" s="77" t="s">
        <v>92</v>
      </c>
      <c r="B15" s="74">
        <v>8</v>
      </c>
      <c r="C15" s="74">
        <v>1.2</v>
      </c>
      <c r="D15" s="74">
        <f t="shared" si="0"/>
        <v>9.6</v>
      </c>
      <c r="E15" s="74">
        <v>0</v>
      </c>
      <c r="F15" s="74">
        <f t="shared" si="1"/>
        <v>0</v>
      </c>
      <c r="G15" s="74">
        <f t="shared" si="2"/>
        <v>0</v>
      </c>
      <c r="H15" s="74">
        <f t="shared" si="3"/>
        <v>0</v>
      </c>
      <c r="I15" s="89">
        <f t="shared" si="4"/>
        <v>0</v>
      </c>
      <c r="J15" s="1"/>
      <c r="K15" s="86"/>
      <c r="L15" s="87"/>
    </row>
    <row r="16" spans="1:12">
      <c r="A16" s="77" t="s">
        <v>93</v>
      </c>
      <c r="B16" s="73" t="s">
        <v>94</v>
      </c>
      <c r="C16" s="73"/>
      <c r="D16" s="73"/>
      <c r="E16" s="73"/>
      <c r="F16" s="73"/>
      <c r="G16" s="73"/>
      <c r="H16" s="73"/>
      <c r="I16" s="73"/>
      <c r="J16" s="1"/>
      <c r="K16" s="86"/>
      <c r="L16" s="87"/>
    </row>
    <row r="17" spans="1:12">
      <c r="A17" s="77" t="s">
        <v>95</v>
      </c>
      <c r="B17" s="74">
        <v>4</v>
      </c>
      <c r="C17" s="74">
        <v>1</v>
      </c>
      <c r="D17" s="74">
        <f t="shared" si="0"/>
        <v>4</v>
      </c>
      <c r="E17" s="74">
        <v>0</v>
      </c>
      <c r="F17" s="74">
        <f t="shared" ref="F17:F19" si="5">D17*E17</f>
        <v>0</v>
      </c>
      <c r="G17" s="74">
        <f t="shared" si="2"/>
        <v>0</v>
      </c>
      <c r="H17" s="74">
        <f t="shared" ref="H17:H19" si="6">F17*0.1</f>
        <v>0</v>
      </c>
      <c r="I17" s="89">
        <f>$L$6*F17+$L$5*G17+$L$7*H17</f>
        <v>0</v>
      </c>
      <c r="J17" s="1"/>
      <c r="K17" s="86"/>
      <c r="L17" s="87"/>
    </row>
    <row r="18" spans="1:12" ht="15.75">
      <c r="A18" s="77" t="s">
        <v>96</v>
      </c>
      <c r="B18" s="74">
        <v>2</v>
      </c>
      <c r="C18" s="74">
        <v>1</v>
      </c>
      <c r="D18" s="74">
        <f t="shared" si="0"/>
        <v>2</v>
      </c>
      <c r="E18" s="74">
        <v>21</v>
      </c>
      <c r="F18" s="74">
        <f t="shared" si="5"/>
        <v>42</v>
      </c>
      <c r="G18" s="74">
        <f>F18*0.05</f>
        <v>2.1</v>
      </c>
      <c r="H18" s="74">
        <f t="shared" si="6"/>
        <v>4.2</v>
      </c>
      <c r="I18" s="89">
        <f t="shared" ref="I18:I19" si="7">$L$6*F18+$L$5*G18+$L$7*H18</f>
        <v>2567.5860000000002</v>
      </c>
      <c r="J18" s="11"/>
      <c r="K18" s="94"/>
      <c r="L18" s="1"/>
    </row>
    <row r="19" spans="1:12" ht="19.5" customHeight="1">
      <c r="A19" s="77" t="s">
        <v>97</v>
      </c>
      <c r="B19" s="74">
        <v>4</v>
      </c>
      <c r="C19" s="74">
        <v>2</v>
      </c>
      <c r="D19" s="74">
        <f t="shared" si="0"/>
        <v>8</v>
      </c>
      <c r="E19" s="74">
        <v>41</v>
      </c>
      <c r="F19" s="74">
        <f t="shared" si="5"/>
        <v>328</v>
      </c>
      <c r="G19" s="74">
        <f t="shared" si="2"/>
        <v>16.400000000000002</v>
      </c>
      <c r="H19" s="74">
        <f t="shared" si="6"/>
        <v>32.800000000000004</v>
      </c>
      <c r="I19" s="89">
        <f t="shared" si="7"/>
        <v>20051.623999999996</v>
      </c>
      <c r="J19" s="11"/>
      <c r="K19" s="11"/>
      <c r="L19" s="2"/>
    </row>
    <row r="20" spans="1:12" ht="15.75">
      <c r="A20" s="81" t="s">
        <v>98</v>
      </c>
      <c r="B20" s="75"/>
      <c r="C20" s="75"/>
      <c r="D20" s="75"/>
      <c r="E20" s="75"/>
      <c r="F20" s="104">
        <f>ROUND(SUM(F4:H19),0)</f>
        <v>426</v>
      </c>
      <c r="G20" s="104"/>
      <c r="H20" s="104"/>
      <c r="I20" s="80">
        <f>ROUND(SUM(I4:I19),-2)</f>
        <v>22600</v>
      </c>
      <c r="J20" s="13"/>
      <c r="K20" s="13"/>
      <c r="L20" s="41"/>
    </row>
    <row r="21" spans="1:12" ht="9.75" customHeight="1">
      <c r="A21" s="106"/>
      <c r="B21" s="106"/>
      <c r="C21" s="106"/>
      <c r="D21" s="106"/>
      <c r="E21" s="106"/>
      <c r="F21" s="106"/>
      <c r="G21" s="106"/>
      <c r="H21" s="106"/>
      <c r="I21" s="106"/>
      <c r="J21" s="1"/>
      <c r="K21" s="1"/>
      <c r="L21" s="1"/>
    </row>
    <row r="22" spans="1:12" ht="18.75" customHeight="1">
      <c r="A22" s="105" t="s">
        <v>61</v>
      </c>
      <c r="B22" s="105"/>
      <c r="C22" s="105"/>
      <c r="D22" s="105"/>
      <c r="E22" s="105"/>
      <c r="F22" s="105"/>
      <c r="G22" s="105"/>
      <c r="H22" s="105"/>
      <c r="I22" s="105"/>
      <c r="J22" s="1"/>
      <c r="K22" s="1"/>
      <c r="L22" s="1"/>
    </row>
    <row r="23" spans="1:12" ht="32.25" customHeight="1">
      <c r="A23" s="109" t="s">
        <v>99</v>
      </c>
      <c r="B23" s="109"/>
      <c r="C23" s="109"/>
      <c r="D23" s="109"/>
      <c r="E23" s="109"/>
      <c r="F23" s="109"/>
      <c r="G23" s="109"/>
      <c r="H23" s="109"/>
      <c r="I23" s="109"/>
      <c r="J23" s="1"/>
      <c r="K23" s="1"/>
      <c r="L23" s="1"/>
    </row>
    <row r="24" spans="1:12" ht="49.5" customHeight="1">
      <c r="A24" s="108" t="s">
        <v>100</v>
      </c>
      <c r="B24" s="108"/>
      <c r="C24" s="108"/>
      <c r="D24" s="108"/>
      <c r="E24" s="108"/>
      <c r="F24" s="108"/>
      <c r="G24" s="108"/>
      <c r="H24" s="108"/>
      <c r="I24" s="108"/>
      <c r="J24" s="91"/>
      <c r="K24" s="1"/>
      <c r="L24" s="1"/>
    </row>
    <row r="25" spans="1:12" ht="15.75">
      <c r="A25" s="109" t="s">
        <v>101</v>
      </c>
      <c r="B25" s="109"/>
      <c r="C25" s="109"/>
      <c r="D25" s="109"/>
      <c r="E25" s="109"/>
      <c r="F25" s="109"/>
      <c r="G25" s="109"/>
      <c r="H25" s="109"/>
      <c r="I25" s="109"/>
      <c r="J25" s="1"/>
      <c r="K25" s="1"/>
      <c r="L25" s="1"/>
    </row>
    <row r="26" spans="1:12" ht="15" customHeight="1">
      <c r="A26" s="109" t="s">
        <v>102</v>
      </c>
      <c r="B26" s="109"/>
      <c r="C26" s="109"/>
      <c r="D26" s="109"/>
      <c r="E26" s="109"/>
      <c r="F26" s="109"/>
      <c r="G26" s="109"/>
      <c r="H26" s="109"/>
      <c r="I26" s="109"/>
      <c r="J26" s="1"/>
      <c r="K26" s="1"/>
      <c r="L26" s="1"/>
    </row>
    <row r="27" spans="1:12" ht="15.75">
      <c r="A27" s="107" t="s">
        <v>103</v>
      </c>
      <c r="B27" s="107"/>
      <c r="C27" s="107"/>
      <c r="D27" s="107"/>
      <c r="E27" s="107"/>
      <c r="F27" s="107"/>
      <c r="G27" s="107"/>
      <c r="H27" s="107"/>
      <c r="I27" s="107"/>
      <c r="J27" s="91"/>
      <c r="K27" s="1"/>
      <c r="L27" s="1"/>
    </row>
    <row r="28" spans="1:12" ht="15" customHeight="1">
      <c r="A28" s="107" t="s">
        <v>104</v>
      </c>
      <c r="B28" s="107"/>
      <c r="C28" s="107"/>
      <c r="D28" s="107"/>
      <c r="E28" s="107"/>
      <c r="F28" s="107"/>
      <c r="G28" s="107"/>
      <c r="H28" s="107"/>
      <c r="I28" s="107"/>
      <c r="J28" s="91"/>
      <c r="K28" s="1"/>
      <c r="L28" s="1"/>
    </row>
    <row r="29" spans="1:12" ht="15" customHeight="1">
      <c r="A29" s="107" t="s">
        <v>105</v>
      </c>
      <c r="B29" s="107"/>
      <c r="C29" s="107"/>
      <c r="D29" s="107"/>
      <c r="E29" s="107"/>
      <c r="F29" s="107"/>
      <c r="G29" s="107"/>
      <c r="H29" s="107"/>
      <c r="I29" s="107"/>
      <c r="J29" s="91"/>
      <c r="K29" s="1"/>
      <c r="L29" s="1"/>
    </row>
    <row r="30" spans="1:12" ht="15" customHeight="1">
      <c r="A30" s="83" t="s">
        <v>69</v>
      </c>
      <c r="B30" s="93"/>
      <c r="C30" s="93"/>
      <c r="D30" s="93"/>
      <c r="E30" s="93"/>
      <c r="F30" s="93"/>
      <c r="G30" s="93"/>
      <c r="H30" s="93"/>
      <c r="I30" s="93"/>
      <c r="J30" s="91"/>
      <c r="K30" s="1"/>
      <c r="L30" s="1"/>
    </row>
    <row r="31" spans="1:12" ht="15.75">
      <c r="A31" s="83" t="s">
        <v>70</v>
      </c>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71"/>
      <c r="C34" s="71"/>
      <c r="D34" s="1"/>
      <c r="E34" s="1"/>
      <c r="F34" s="1"/>
      <c r="G34" s="1"/>
      <c r="H34" s="1"/>
      <c r="I34" s="1"/>
      <c r="J34" s="1"/>
      <c r="K34" s="1"/>
      <c r="L34" s="1"/>
    </row>
    <row r="35" spans="1:12">
      <c r="A35" s="1"/>
      <c r="B35" s="71"/>
      <c r="C35" s="71"/>
      <c r="D35" s="1"/>
      <c r="E35" s="1"/>
      <c r="F35" s="1"/>
      <c r="G35" s="1"/>
      <c r="H35" s="1"/>
      <c r="I35" s="1"/>
      <c r="J35" s="1"/>
      <c r="K35" s="1"/>
      <c r="L35" s="1"/>
    </row>
    <row r="36" spans="1:12">
      <c r="A36" s="1"/>
      <c r="B36" s="71"/>
      <c r="C36" s="71"/>
      <c r="D36" s="1"/>
      <c r="E36" s="1"/>
      <c r="F36" s="1"/>
      <c r="G36" s="1"/>
      <c r="H36" s="1"/>
      <c r="I36" s="1"/>
      <c r="J36" s="1"/>
      <c r="K36" s="1"/>
      <c r="L36" s="1"/>
    </row>
    <row r="37" spans="1:12">
      <c r="A37" s="1"/>
      <c r="B37" s="1"/>
      <c r="C37" s="1"/>
      <c r="D37" s="1"/>
      <c r="E37" s="1"/>
      <c r="F37" s="1"/>
      <c r="G37" s="1"/>
      <c r="H37" s="1"/>
      <c r="I37" s="1"/>
      <c r="J37" s="1"/>
      <c r="K37" s="1"/>
      <c r="L37" s="1"/>
    </row>
    <row r="38" spans="1:12">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sheetData>
  <mergeCells count="11">
    <mergeCell ref="A29:I29"/>
    <mergeCell ref="A24:I24"/>
    <mergeCell ref="A23:I23"/>
    <mergeCell ref="A25:I25"/>
    <mergeCell ref="A26:I26"/>
    <mergeCell ref="A27:I27"/>
    <mergeCell ref="K4:L4"/>
    <mergeCell ref="A22:I22"/>
    <mergeCell ref="A21:I21"/>
    <mergeCell ref="F20:H20"/>
    <mergeCell ref="A28:I28"/>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I9"/>
  <sheetViews>
    <sheetView zoomScale="90" zoomScaleNormal="90" workbookViewId="0"/>
  </sheetViews>
  <sheetFormatPr defaultColWidth="22" defaultRowHeight="12.75"/>
  <cols>
    <col min="1" max="1" width="13.140625" style="15" customWidth="1"/>
    <col min="2" max="2" width="16" style="15" customWidth="1"/>
    <col min="3" max="7" width="13.140625" style="15" customWidth="1"/>
    <col min="8" max="8" width="6" style="15" customWidth="1"/>
    <col min="9" max="16384" width="22" style="15"/>
  </cols>
  <sheetData>
    <row r="1" spans="1:9">
      <c r="A1" s="4"/>
      <c r="B1" s="5"/>
      <c r="C1" s="5"/>
    </row>
    <row r="2" spans="1:9">
      <c r="A2" s="110" t="s">
        <v>106</v>
      </c>
      <c r="B2" s="110"/>
      <c r="C2" s="110"/>
      <c r="D2" s="110"/>
      <c r="E2" s="110"/>
      <c r="F2" s="110"/>
      <c r="G2" s="111"/>
      <c r="H2" s="22"/>
    </row>
    <row r="3" spans="1:9">
      <c r="A3" s="98" t="s">
        <v>107</v>
      </c>
      <c r="B3" s="98" t="s">
        <v>108</v>
      </c>
      <c r="C3" s="98" t="s">
        <v>109</v>
      </c>
      <c r="D3" s="98" t="s">
        <v>110</v>
      </c>
      <c r="E3" s="98" t="s">
        <v>111</v>
      </c>
      <c r="F3" s="98" t="s">
        <v>112</v>
      </c>
      <c r="G3" s="98" t="s">
        <v>113</v>
      </c>
      <c r="H3" s="22"/>
    </row>
    <row r="4" spans="1:9" ht="46.5" customHeight="1">
      <c r="A4" s="98" t="s">
        <v>114</v>
      </c>
      <c r="B4" s="98" t="s">
        <v>115</v>
      </c>
      <c r="C4" s="98" t="s">
        <v>116</v>
      </c>
      <c r="D4" s="98" t="s">
        <v>117</v>
      </c>
      <c r="E4" s="98" t="s">
        <v>118</v>
      </c>
      <c r="F4" s="98" t="s">
        <v>119</v>
      </c>
      <c r="G4" s="98" t="s">
        <v>120</v>
      </c>
      <c r="H4" s="22"/>
    </row>
    <row r="5" spans="1:9" ht="38.25">
      <c r="A5" s="28" t="s">
        <v>121</v>
      </c>
      <c r="B5" s="29">
        <f>15000*(816/575.4)</f>
        <v>21272.158498435871</v>
      </c>
      <c r="C5" s="30">
        <v>0</v>
      </c>
      <c r="D5" s="95">
        <v>0</v>
      </c>
      <c r="E5" s="29">
        <f>5800*(816/575.4)</f>
        <v>8225.2346193952035</v>
      </c>
      <c r="F5" s="30">
        <v>41</v>
      </c>
      <c r="G5" s="29">
        <v>237800</v>
      </c>
      <c r="H5" s="23"/>
    </row>
    <row r="6" spans="1:9" ht="28.5">
      <c r="A6" s="20" t="s">
        <v>122</v>
      </c>
      <c r="B6" s="17"/>
      <c r="C6" s="17"/>
      <c r="D6" s="21">
        <f>SUM(D5)</f>
        <v>0</v>
      </c>
      <c r="E6" s="17"/>
      <c r="F6" s="17"/>
      <c r="G6" s="21">
        <f>ROUND(SUM(G5),-3)</f>
        <v>238000</v>
      </c>
      <c r="I6" s="62">
        <f>D6+G6</f>
        <v>238000</v>
      </c>
    </row>
    <row r="7" spans="1:9">
      <c r="A7" s="60" t="s">
        <v>123</v>
      </c>
      <c r="B7" s="61"/>
      <c r="C7" s="61"/>
      <c r="D7" s="24"/>
      <c r="E7" s="61"/>
      <c r="F7" s="61"/>
      <c r="G7" s="24"/>
    </row>
    <row r="8" spans="1:9" ht="15.75">
      <c r="A8" s="96" t="s">
        <v>124</v>
      </c>
      <c r="B8" s="39"/>
      <c r="C8" s="39"/>
      <c r="D8" s="39"/>
      <c r="E8" s="39"/>
      <c r="F8" s="39"/>
      <c r="G8" s="39"/>
    </row>
    <row r="9" spans="1:9" ht="15.75">
      <c r="A9" s="96" t="s">
        <v>125</v>
      </c>
    </row>
  </sheetData>
  <mergeCells count="1">
    <mergeCell ref="A2:G2"/>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3"/>
  <sheetViews>
    <sheetView zoomScale="90" zoomScaleNormal="90" workbookViewId="0">
      <selection activeCell="G32" sqref="G32"/>
    </sheetView>
  </sheetViews>
  <sheetFormatPr defaultRowHeight="15"/>
  <cols>
    <col min="1" max="1" width="22.28515625" bestFit="1" customWidth="1"/>
    <col min="2" max="2" width="11.85546875" customWidth="1"/>
    <col min="3" max="3" width="12.7109375" customWidth="1"/>
    <col min="4" max="4" width="11.42578125" customWidth="1"/>
    <col min="5" max="5" width="14.7109375" customWidth="1"/>
  </cols>
  <sheetData>
    <row r="1" spans="1:6" s="15" customFormat="1" ht="15.75">
      <c r="A1" s="112" t="s">
        <v>6</v>
      </c>
      <c r="B1" s="112"/>
      <c r="C1" s="112"/>
      <c r="D1" s="112"/>
      <c r="E1" s="112"/>
    </row>
    <row r="2" spans="1:6" s="15" customFormat="1" ht="12.75">
      <c r="A2" s="16" t="s">
        <v>107</v>
      </c>
      <c r="B2" s="16" t="s">
        <v>108</v>
      </c>
      <c r="C2" s="16" t="s">
        <v>109</v>
      </c>
      <c r="D2" s="16" t="s">
        <v>110</v>
      </c>
      <c r="E2" s="16" t="s">
        <v>111</v>
      </c>
    </row>
    <row r="3" spans="1:6" s="15" customFormat="1" ht="102">
      <c r="A3" s="16" t="s">
        <v>126</v>
      </c>
      <c r="B3" s="16" t="s">
        <v>2</v>
      </c>
      <c r="C3" s="16" t="s">
        <v>127</v>
      </c>
      <c r="D3" s="16" t="s">
        <v>128</v>
      </c>
      <c r="E3" s="16" t="s">
        <v>129</v>
      </c>
    </row>
    <row r="4" spans="1:6" s="15" customFormat="1" ht="38.25">
      <c r="A4" s="19" t="s">
        <v>130</v>
      </c>
      <c r="B4" s="17">
        <v>0</v>
      </c>
      <c r="C4" s="17">
        <v>1</v>
      </c>
      <c r="D4" s="17">
        <v>0</v>
      </c>
      <c r="E4" s="17">
        <f>(B4*C4)+D4</f>
        <v>0</v>
      </c>
    </row>
    <row r="5" spans="1:6" s="15" customFormat="1" ht="25.5">
      <c r="A5" s="19" t="s">
        <v>131</v>
      </c>
      <c r="B5" s="17">
        <v>0</v>
      </c>
      <c r="C5" s="17">
        <v>1</v>
      </c>
      <c r="D5" s="17">
        <v>0</v>
      </c>
      <c r="E5" s="17">
        <f t="shared" ref="E5:E11" si="0">(B5*C5)+D5</f>
        <v>0</v>
      </c>
    </row>
    <row r="6" spans="1:6" s="15" customFormat="1" ht="25.5">
      <c r="A6" s="19" t="s">
        <v>37</v>
      </c>
      <c r="B6" s="17">
        <v>0</v>
      </c>
      <c r="C6" s="17">
        <v>1</v>
      </c>
      <c r="D6" s="17">
        <v>0</v>
      </c>
      <c r="E6" s="17">
        <f t="shared" si="0"/>
        <v>0</v>
      </c>
    </row>
    <row r="7" spans="1:6" s="15" customFormat="1" ht="25.5">
      <c r="A7" s="19" t="s">
        <v>132</v>
      </c>
      <c r="B7" s="17">
        <v>0</v>
      </c>
      <c r="C7" s="17">
        <v>1</v>
      </c>
      <c r="D7" s="17">
        <v>0</v>
      </c>
      <c r="E7" s="17">
        <f t="shared" si="0"/>
        <v>0</v>
      </c>
    </row>
    <row r="8" spans="1:6" s="15" customFormat="1" ht="25.5">
      <c r="A8" s="19" t="s">
        <v>39</v>
      </c>
      <c r="B8" s="17">
        <v>0</v>
      </c>
      <c r="C8" s="17">
        <v>1</v>
      </c>
      <c r="D8" s="17">
        <v>0</v>
      </c>
      <c r="E8" s="17">
        <f t="shared" si="0"/>
        <v>0</v>
      </c>
      <c r="F8" s="2"/>
    </row>
    <row r="9" spans="1:6" s="15" customFormat="1" ht="28.5" customHeight="1">
      <c r="A9" s="19" t="s">
        <v>42</v>
      </c>
      <c r="B9" s="17">
        <v>0</v>
      </c>
      <c r="C9" s="17">
        <v>1</v>
      </c>
      <c r="D9" s="17">
        <v>0</v>
      </c>
      <c r="E9" s="17">
        <f t="shared" si="0"/>
        <v>0</v>
      </c>
    </row>
    <row r="10" spans="1:6" s="15" customFormat="1" ht="28.5" customHeight="1">
      <c r="A10" s="19" t="s">
        <v>133</v>
      </c>
      <c r="B10" s="17">
        <v>21</v>
      </c>
      <c r="C10" s="17">
        <v>1</v>
      </c>
      <c r="D10" s="17">
        <v>0</v>
      </c>
      <c r="E10" s="17">
        <f t="shared" si="0"/>
        <v>21</v>
      </c>
    </row>
    <row r="11" spans="1:6" s="15" customFormat="1" ht="28.5" customHeight="1">
      <c r="A11" s="19" t="s">
        <v>44</v>
      </c>
      <c r="B11" s="17">
        <v>41</v>
      </c>
      <c r="C11" s="17">
        <v>2</v>
      </c>
      <c r="D11" s="17">
        <v>0</v>
      </c>
      <c r="E11" s="17">
        <f t="shared" si="0"/>
        <v>82</v>
      </c>
    </row>
    <row r="12" spans="1:6" s="15" customFormat="1" ht="29.25" customHeight="1">
      <c r="A12" s="82"/>
      <c r="B12" s="16"/>
      <c r="C12" s="16"/>
      <c r="D12" s="25" t="s">
        <v>134</v>
      </c>
      <c r="E12" s="98">
        <f>SUM(E4:E11)</f>
        <v>103</v>
      </c>
    </row>
    <row r="13" spans="1:6" s="15" customFormat="1" ht="9.75" customHeight="1">
      <c r="A13" s="63"/>
      <c r="B13" s="64"/>
      <c r="C13" s="64"/>
      <c r="D13" s="65"/>
      <c r="E13" s="66"/>
    </row>
  </sheetData>
  <mergeCells count="1">
    <mergeCell ref="A1:E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C9" sqref="C9"/>
    </sheetView>
  </sheetViews>
  <sheetFormatPr defaultColWidth="17.7109375" defaultRowHeight="31.9" customHeight="1"/>
  <sheetData>
    <row r="1" spans="1:6" s="15" customFormat="1" ht="31.9" customHeight="1">
      <c r="A1" s="112" t="s">
        <v>2</v>
      </c>
      <c r="B1" s="112"/>
      <c r="C1" s="112"/>
      <c r="D1" s="112"/>
      <c r="E1" s="112"/>
      <c r="F1" s="112"/>
    </row>
    <row r="2" spans="1:6" s="15" customFormat="1" ht="31.9" customHeight="1">
      <c r="A2" s="99"/>
      <c r="B2" s="113" t="s">
        <v>135</v>
      </c>
      <c r="C2" s="113"/>
      <c r="D2" s="99" t="s">
        <v>136</v>
      </c>
      <c r="E2" s="113"/>
      <c r="F2" s="113"/>
    </row>
    <row r="3" spans="1:6" s="15" customFormat="1" ht="31.9" customHeight="1">
      <c r="A3" s="99"/>
      <c r="B3" s="25" t="s">
        <v>107</v>
      </c>
      <c r="C3" s="25" t="s">
        <v>108</v>
      </c>
      <c r="D3" s="25" t="s">
        <v>109</v>
      </c>
      <c r="E3" s="25" t="s">
        <v>110</v>
      </c>
      <c r="F3" s="25" t="s">
        <v>111</v>
      </c>
    </row>
    <row r="4" spans="1:6" s="15" customFormat="1" ht="70.900000000000006" customHeight="1">
      <c r="A4" s="25" t="s">
        <v>137</v>
      </c>
      <c r="B4" s="99" t="s">
        <v>138</v>
      </c>
      <c r="C4" s="99" t="s">
        <v>139</v>
      </c>
      <c r="D4" s="99" t="s">
        <v>140</v>
      </c>
      <c r="E4" s="99" t="s">
        <v>141</v>
      </c>
      <c r="F4" s="99" t="s">
        <v>142</v>
      </c>
    </row>
    <row r="5" spans="1:6" s="15" customFormat="1" ht="31.9" customHeight="1">
      <c r="A5" s="16">
        <v>1</v>
      </c>
      <c r="B5" s="17">
        <v>0</v>
      </c>
      <c r="C5" s="17">
        <v>41</v>
      </c>
      <c r="D5" s="17">
        <v>0</v>
      </c>
      <c r="E5" s="17">
        <v>0</v>
      </c>
      <c r="F5" s="17">
        <v>41</v>
      </c>
    </row>
    <row r="6" spans="1:6" s="15" customFormat="1" ht="31.9" customHeight="1">
      <c r="A6" s="16">
        <v>2</v>
      </c>
      <c r="B6" s="17">
        <v>0</v>
      </c>
      <c r="C6" s="17">
        <v>41</v>
      </c>
      <c r="D6" s="17">
        <v>0</v>
      </c>
      <c r="E6" s="17">
        <v>0</v>
      </c>
      <c r="F6" s="17">
        <v>41</v>
      </c>
    </row>
    <row r="7" spans="1:6" s="15" customFormat="1" ht="31.9" customHeight="1">
      <c r="A7" s="16">
        <v>3</v>
      </c>
      <c r="B7" s="17">
        <v>0</v>
      </c>
      <c r="C7" s="17">
        <v>41</v>
      </c>
      <c r="D7" s="17">
        <v>0</v>
      </c>
      <c r="E7" s="17">
        <v>0</v>
      </c>
      <c r="F7" s="17">
        <v>41</v>
      </c>
    </row>
    <row r="8" spans="1:6" s="15" customFormat="1" ht="31.9" customHeight="1">
      <c r="A8" s="16" t="s">
        <v>143</v>
      </c>
      <c r="B8" s="17">
        <f>AVERAGE(B5:B7)</f>
        <v>0</v>
      </c>
      <c r="C8" s="17">
        <f>AVERAGE(C5:C7)</f>
        <v>41</v>
      </c>
      <c r="D8" s="17">
        <v>0</v>
      </c>
      <c r="E8" s="17">
        <v>0</v>
      </c>
      <c r="F8" s="98">
        <f>AVERAGE(F5:F7)</f>
        <v>41</v>
      </c>
    </row>
    <row r="9" spans="1:6" s="15" customFormat="1" ht="20.45" customHeight="1">
      <c r="A9" s="18" t="s">
        <v>144</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2024-10-23T17:57:30+00:00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7986AD-AA78-4610-9871-4251A50CCA24}"/>
</file>

<file path=customXml/itemProps2.xml><?xml version="1.0" encoding="utf-8"?>
<ds:datastoreItem xmlns:ds="http://schemas.openxmlformats.org/officeDocument/2006/customXml" ds:itemID="{1788708A-52BB-4D0F-B232-80F9E123F193}"/>
</file>

<file path=customXml/itemProps3.xml><?xml version="1.0" encoding="utf-8"?>
<ds:datastoreItem xmlns:ds="http://schemas.openxmlformats.org/officeDocument/2006/customXml" ds:itemID="{8DCED415-8393-4634-9968-A495AFA0611E}"/>
</file>

<file path=customXml/itemProps4.xml><?xml version="1.0" encoding="utf-8"?>
<ds:datastoreItem xmlns:ds="http://schemas.openxmlformats.org/officeDocument/2006/customXml" ds:itemID="{B354EE7F-396C-4EA9-8101-F0631B91B7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
  <cp:revision/>
  <dcterms:created xsi:type="dcterms:W3CDTF">2018-07-19T14:57:42Z</dcterms:created>
  <dcterms:modified xsi:type="dcterms:W3CDTF">2024-12-17T02:04:32Z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