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S:\Tracy\ICRs - SPPD\FY2024\1054.15 Petroleum Refineries NSPS\Drafts\Send to EPA\"/>
    </mc:Choice>
  </mc:AlternateContent>
  <xr:revisionPtr revIDLastSave="0" documentId="13_ncr:1_{8DDA9CA0-1127-4C1F-8935-4453372E4F3B}" xr6:coauthVersionLast="47" xr6:coauthVersionMax="47" xr10:uidLastSave="{00000000-0000-0000-0000-000000000000}"/>
  <bookViews>
    <workbookView xWindow="-28920" yWindow="-3765" windowWidth="29040" windowHeight="16440" xr2:uid="{D855CF00-F869-48B3-9963-4AD001D31E8A}"/>
  </bookViews>
  <sheets>
    <sheet name="Summary" sheetId="6" r:id="rId1"/>
    <sheet name="Table 1" sheetId="8" r:id="rId2"/>
    <sheet name="Table 2" sheetId="9" r:id="rId3"/>
    <sheet name="Capital O&amp;M" sheetId="10"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 i="5" l="1"/>
  <c r="G9" i="10"/>
  <c r="G8" i="10"/>
  <c r="G7" i="10"/>
  <c r="G6" i="10"/>
  <c r="G5" i="10"/>
  <c r="B7" i="10"/>
  <c r="B6" i="10"/>
  <c r="B5" i="10"/>
  <c r="I8" i="9"/>
  <c r="F8" i="9"/>
  <c r="F7" i="9"/>
  <c r="L31" i="8"/>
  <c r="I30" i="8"/>
  <c r="I29" i="8"/>
  <c r="I19" i="8"/>
  <c r="I26" i="8"/>
  <c r="I18" i="8"/>
  <c r="I7" i="8"/>
  <c r="F30" i="8"/>
  <c r="F29" i="8"/>
  <c r="F19" i="8"/>
  <c r="F26" i="8"/>
  <c r="F18" i="8"/>
  <c r="I7" i="9" l="1"/>
  <c r="I4" i="8"/>
  <c r="E5" i="10" l="1"/>
  <c r="D5" i="10"/>
  <c r="B4" i="6"/>
  <c r="B2" i="6"/>
  <c r="E7" i="9"/>
  <c r="K31" i="8" l="1"/>
  <c r="E26" i="8"/>
  <c r="E18" i="8"/>
  <c r="E7" i="8"/>
  <c r="B7" i="5"/>
  <c r="F8" i="10"/>
  <c r="F7" i="10"/>
  <c r="F6" i="10"/>
  <c r="F5" i="10"/>
  <c r="F6" i="4"/>
  <c r="F7" i="4"/>
  <c r="F5" i="4"/>
  <c r="E8" i="4"/>
  <c r="D8" i="4"/>
  <c r="C8" i="4"/>
  <c r="B8" i="4"/>
  <c r="F8" i="4"/>
  <c r="E6" i="5"/>
  <c r="E5" i="5"/>
  <c r="E4" i="5"/>
  <c r="E8" i="10"/>
  <c r="B8" i="10"/>
  <c r="D8" i="10" s="1"/>
  <c r="E7" i="10"/>
  <c r="D7" i="10"/>
  <c r="E6" i="10"/>
  <c r="D6" i="10"/>
  <c r="D7" i="9"/>
  <c r="F6" i="9"/>
  <c r="G6" i="9" s="1"/>
  <c r="D6" i="9"/>
  <c r="D5" i="9"/>
  <c r="F5" i="9" s="1"/>
  <c r="D26" i="8"/>
  <c r="D18" i="8"/>
  <c r="F17" i="8"/>
  <c r="D17" i="8"/>
  <c r="D16" i="8"/>
  <c r="F16" i="8" s="1"/>
  <c r="D15" i="8"/>
  <c r="F15" i="8" s="1"/>
  <c r="D11" i="8"/>
  <c r="F11" i="8" s="1"/>
  <c r="D10" i="8"/>
  <c r="F10" i="8" s="1"/>
  <c r="I9" i="8"/>
  <c r="I8" i="8"/>
  <c r="D7" i="8"/>
  <c r="I6" i="8"/>
  <c r="I5" i="8"/>
  <c r="H5" i="9" l="1"/>
  <c r="G5" i="9"/>
  <c r="H10" i="8"/>
  <c r="G10" i="8"/>
  <c r="I10" i="8" s="1"/>
  <c r="G15" i="8"/>
  <c r="H15" i="8"/>
  <c r="I15" i="8" s="1"/>
  <c r="H16" i="8"/>
  <c r="G16" i="8"/>
  <c r="I16" i="8" s="1"/>
  <c r="D9" i="10"/>
  <c r="H11" i="8"/>
  <c r="G11" i="8"/>
  <c r="I11" i="8" s="1"/>
  <c r="H17" i="8"/>
  <c r="F7" i="8"/>
  <c r="G17" i="8"/>
  <c r="I17" i="8" s="1"/>
  <c r="H6" i="9"/>
  <c r="I6" i="9" s="1"/>
  <c r="G26" i="8" l="1"/>
  <c r="H26" i="8"/>
  <c r="I31" i="8"/>
  <c r="I32" i="8" s="1"/>
  <c r="G18" i="8"/>
  <c r="H18" i="8"/>
  <c r="H7" i="8"/>
  <c r="G7" i="8"/>
  <c r="G7" i="9"/>
  <c r="H7" i="9"/>
  <c r="I5" i="9"/>
  <c r="B6" i="6" l="1"/>
  <c r="B5" i="6" l="1"/>
  <c r="B3" i="6" l="1"/>
  <c r="E8" i="5" l="1"/>
  <c r="B7" i="6" l="1"/>
</calcChain>
</file>

<file path=xl/sharedStrings.xml><?xml version="1.0" encoding="utf-8"?>
<sst xmlns="http://schemas.openxmlformats.org/spreadsheetml/2006/main" count="162" uniqueCount="135">
  <si>
    <t>ICR Summary Information</t>
  </si>
  <si>
    <t>Hours per Response</t>
  </si>
  <si>
    <t>Number of Respondents</t>
  </si>
  <si>
    <t>Total Estimated Burden Hours</t>
  </si>
  <si>
    <t>Total Estimated Costs</t>
  </si>
  <si>
    <t>Annualized Capital O&amp;M</t>
  </si>
  <si>
    <t>Total Annual Responses</t>
  </si>
  <si>
    <t>Form Number</t>
  </si>
  <si>
    <t>(E) 
Technical person- hours per year (E=CxD)</t>
  </si>
  <si>
    <t>Labor Rates</t>
  </si>
  <si>
    <t>Management</t>
  </si>
  <si>
    <t>Technical</t>
  </si>
  <si>
    <t>Clerical</t>
  </si>
  <si>
    <t>Assumptions:</t>
  </si>
  <si>
    <t>Burden item</t>
  </si>
  <si>
    <t>(B) 
No. of occurrences per respondent per year</t>
  </si>
  <si>
    <t>(C) 
Person hours per respondent per year (C=AxB)</t>
  </si>
  <si>
    <t>(F) 
Management person hours per year (Ex0.05)</t>
  </si>
  <si>
    <t>(G) 
Clerical person hours per year (Ex0.1)</t>
  </si>
  <si>
    <t xml:space="preserve">Technical </t>
  </si>
  <si>
    <t>(A)</t>
  </si>
  <si>
    <t>(B)</t>
  </si>
  <si>
    <t>(C)</t>
  </si>
  <si>
    <t>(D)</t>
  </si>
  <si>
    <t>(E)</t>
  </si>
  <si>
    <t>(F)</t>
  </si>
  <si>
    <t>(G)</t>
  </si>
  <si>
    <t>Continuous Monitoring Device</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</si>
  <si>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</si>
  <si>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</si>
  <si>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</si>
  <si>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</si>
  <si>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</si>
  <si>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Notification of performance test</t>
  </si>
  <si>
    <t>Semiannual report</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</si>
  <si>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</si>
  <si>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</si>
  <si>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</si>
  <si>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</si>
  <si>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</si>
  <si>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</si>
  <si>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</si>
  <si>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</si>
  <si>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</si>
  <si>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</si>
  <si>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Table 1: Annual Respondent Burden and Cost – NSPS for Petroleum Refineries (40 CFR Part 60, Subpart J) (Renewal)</t>
  </si>
  <si>
    <t>(A) 
Person hours per occurrence</t>
  </si>
  <si>
    <r>
      <t xml:space="preserve">(D) 
Respondents per year  </t>
    </r>
    <r>
      <rPr>
        <b/>
        <vertAlign val="superscript"/>
        <sz val="10"/>
        <color theme="1"/>
        <rFont val="Times New Roman"/>
        <family val="1"/>
      </rPr>
      <t>a</t>
    </r>
  </si>
  <si>
    <r>
      <t xml:space="preserve">(H) 
Total Cost per year </t>
    </r>
    <r>
      <rPr>
        <b/>
        <vertAlign val="superscript"/>
        <sz val="10"/>
        <color theme="1"/>
        <rFont val="Times New Roman"/>
        <family val="1"/>
      </rPr>
      <t>b</t>
    </r>
  </si>
  <si>
    <t>1.  Applications</t>
  </si>
  <si>
    <t>N/A</t>
  </si>
  <si>
    <t>2.  Survey and Studies</t>
  </si>
  <si>
    <t>3.  Reporting requirements</t>
  </si>
  <si>
    <r>
      <t xml:space="preserve">A.  Familiarize with Regulatory Requirements </t>
    </r>
    <r>
      <rPr>
        <vertAlign val="superscript"/>
        <sz val="10"/>
        <color theme="1"/>
        <rFont val="Times New Roman"/>
        <family val="1"/>
      </rPr>
      <t>c</t>
    </r>
  </si>
  <si>
    <t>B.  Required activities</t>
  </si>
  <si>
    <t>Performance Tests</t>
  </si>
  <si>
    <r>
      <t xml:space="preserve">a. Relative Accuracy Test Audit </t>
    </r>
    <r>
      <rPr>
        <vertAlign val="superscript"/>
        <sz val="10"/>
        <color theme="1"/>
        <rFont val="Times New Roman"/>
        <family val="1"/>
      </rPr>
      <t>d</t>
    </r>
  </si>
  <si>
    <r>
      <t xml:space="preserve">b. CEMS audits (RAA or CGA) </t>
    </r>
    <r>
      <rPr>
        <vertAlign val="superscript"/>
        <sz val="10"/>
        <color theme="1"/>
        <rFont val="Times New Roman"/>
        <family val="1"/>
      </rPr>
      <t>e</t>
    </r>
  </si>
  <si>
    <t>C.  Create information</t>
  </si>
  <si>
    <t>See 3B</t>
  </si>
  <si>
    <t>D.  Gather existing information</t>
  </si>
  <si>
    <t>E.   Write Reports</t>
  </si>
  <si>
    <r>
      <t xml:space="preserve">i. Notification of construction /reconstruction </t>
    </r>
    <r>
      <rPr>
        <vertAlign val="superscript"/>
        <sz val="10"/>
        <color theme="1"/>
        <rFont val="Times New Roman"/>
        <family val="1"/>
      </rPr>
      <t>f</t>
    </r>
  </si>
  <si>
    <r>
      <t xml:space="preserve">ii   Notification of performance test </t>
    </r>
    <r>
      <rPr>
        <vertAlign val="superscript"/>
        <sz val="10"/>
        <color theme="1"/>
        <rFont val="Times New Roman"/>
        <family val="1"/>
      </rPr>
      <t>f</t>
    </r>
  </si>
  <si>
    <r>
      <t xml:space="preserve">iii. Report of performance test </t>
    </r>
    <r>
      <rPr>
        <vertAlign val="superscript"/>
        <sz val="10"/>
        <color theme="1"/>
        <rFont val="Times New Roman"/>
        <family val="1"/>
      </rPr>
      <t>f</t>
    </r>
  </si>
  <si>
    <r>
      <t xml:space="preserve">iv.  Semiannual emission reports </t>
    </r>
    <r>
      <rPr>
        <vertAlign val="superscript"/>
        <sz val="10"/>
        <color theme="1"/>
        <rFont val="Times New Roman"/>
        <family val="1"/>
      </rPr>
      <t>g</t>
    </r>
  </si>
  <si>
    <t>Subtotal  for Reporting  Requirements</t>
  </si>
  <si>
    <t>4.  Recordkeeping requirements</t>
  </si>
  <si>
    <t>A.  Familiarize with Regulatory Requirements</t>
  </si>
  <si>
    <t>See 3A</t>
  </si>
  <si>
    <t>B.  Plan activities</t>
  </si>
  <si>
    <t xml:space="preserve">C.  Implement Activities </t>
  </si>
  <si>
    <t>D.  Develop record system</t>
  </si>
  <si>
    <t>E.  Time to enter information</t>
  </si>
  <si>
    <r>
      <t xml:space="preserve">Records of Operating Parameters </t>
    </r>
    <r>
      <rPr>
        <vertAlign val="superscript"/>
        <sz val="10"/>
        <color theme="1"/>
        <rFont val="Times New Roman"/>
        <family val="1"/>
      </rPr>
      <t>h</t>
    </r>
  </si>
  <si>
    <t xml:space="preserve">F.  Time to train personnel </t>
  </si>
  <si>
    <t>G.  Time for audits</t>
  </si>
  <si>
    <t xml:space="preserve">Subtotal  for Recordkeeping Requirements  </t>
  </si>
  <si>
    <r>
      <t xml:space="preserve">TOTAL LABOR BURDEN AND COSTS (rounded) </t>
    </r>
    <r>
      <rPr>
        <b/>
        <vertAlign val="superscript"/>
        <sz val="10"/>
        <color theme="1"/>
        <rFont val="Times New Roman"/>
        <family val="1"/>
      </rPr>
      <t>i</t>
    </r>
  </si>
  <si>
    <t># Responses</t>
  </si>
  <si>
    <t>Hrs/response</t>
  </si>
  <si>
    <r>
      <t xml:space="preserve">TOTAL CAPITAL AND O&amp;M COST (rounded) </t>
    </r>
    <r>
      <rPr>
        <b/>
        <vertAlign val="superscript"/>
        <sz val="10"/>
        <color rgb="FF000000"/>
        <rFont val="Times New Roman"/>
        <family val="1"/>
      </rPr>
      <t>i</t>
    </r>
  </si>
  <si>
    <r>
      <t xml:space="preserve">GRAND TOTAL (rounded) </t>
    </r>
    <r>
      <rPr>
        <b/>
        <vertAlign val="superscript"/>
        <sz val="10"/>
        <color rgb="FF000000"/>
        <rFont val="Times New Roman"/>
        <family val="1"/>
      </rPr>
      <t>i</t>
    </r>
  </si>
  <si>
    <r>
      <t>a</t>
    </r>
    <r>
      <rPr>
        <sz val="10"/>
        <color theme="1"/>
        <rFont val="Times New Roman"/>
        <family val="1"/>
      </rPr>
      <t xml:space="preserve">  We have assumed that there are approximately 130 respondents, with no additional new, modified or reconstructed sources becoming subject to NSPS Subpart J over the next three years since any of these events would trigger NSPS Subpart Ja applicability. In addition, we have assumed that there is an average of one affected facility subject to Subpart J at each petroleum refinery plant. </t>
    </r>
  </si>
  <si>
    <r>
      <t>c</t>
    </r>
    <r>
      <rPr>
        <sz val="10"/>
        <color theme="1"/>
        <rFont val="Times New Roman"/>
        <family val="1"/>
      </rPr>
      <t xml:space="preserve">  We have assumed each respondent will have to familiarize with the regulatory requirements each year. This is estimated to take one hour.</t>
    </r>
  </si>
  <si>
    <r>
      <t>d</t>
    </r>
    <r>
      <rPr>
        <sz val="10"/>
        <color theme="1"/>
        <rFont val="Times New Roman"/>
        <family val="1"/>
      </rPr>
      <t xml:space="preserve">  We have assumed that the CEMS accuracy assessment (i.e., relative accuracy test or RATA) are conducted twice a year and take 146 hours per response. It is assumed that the RATA are typically conducted at the same time as the CGA to save costs. However, all respondents are estimated to comply with the CEMS requirements of 40 CFR Part 60, Subpart Ja and therefore there is no burden associated with this requirement under Subpart J.</t>
    </r>
  </si>
  <si>
    <r>
      <t>e</t>
    </r>
    <r>
      <rPr>
        <sz val="10"/>
        <color theme="1"/>
        <rFont val="Times New Roman"/>
        <family val="1"/>
      </rPr>
      <t xml:space="preserve">  We have assumed that CEMS audits (Relative Accuracy Audits or Cylinder Gas Audits) are conducted three times per year (Appendix F of Part 60 allows for 3 of 4 quarters, but no more than three quarters in succession) and will take 160 hours per occurrence. We have assumed that each respondent has at least one monitor for each parameter requiring monitoring under the standards. However, all respondents are estimated to comply with the CEMS requirements of 40 CFR Part 60, Subpart Ja and therefore there is no burden associated with this requirement under Subpart J.</t>
    </r>
  </si>
  <si>
    <r>
      <t>f</t>
    </r>
    <r>
      <rPr>
        <sz val="10"/>
        <color theme="1"/>
        <rFont val="Times New Roman"/>
        <family val="1"/>
      </rPr>
      <t xml:space="preserve">  One-time requirement. Not applicable during this year.</t>
    </r>
  </si>
  <si>
    <r>
      <t>g</t>
    </r>
    <r>
      <rPr>
        <sz val="10"/>
        <color theme="1"/>
        <rFont val="Times New Roman"/>
        <family val="1"/>
      </rPr>
      <t xml:space="preserve">  We have assumed that it will take  two hours for each  respondent to write semiannual emissions reports twice per year.</t>
    </r>
  </si>
  <si>
    <r>
      <t xml:space="preserve">h  </t>
    </r>
    <r>
      <rPr>
        <sz val="10"/>
        <color theme="1"/>
        <rFont val="Times New Roman"/>
        <family val="1"/>
      </rPr>
      <t>We have assumed that each respondent will take 0.25 hours per day, and an estimated operational schedule of 350 days per year to enter records of operating parameters.</t>
    </r>
  </si>
  <si>
    <r>
      <rPr>
        <vertAlign val="superscript"/>
        <sz val="10"/>
        <color theme="1"/>
        <rFont val="Times New Roman"/>
        <family val="1"/>
      </rPr>
      <t xml:space="preserve">i </t>
    </r>
    <r>
      <rPr>
        <sz val="10"/>
        <color theme="1"/>
        <rFont val="Times New Roman"/>
        <family val="1"/>
      </rPr>
      <t xml:space="preserve">  Totals have been rounded to 3 significant figures. Figures may not add exactly due to rounding.</t>
    </r>
  </si>
  <si>
    <t>Table 2: Average Annual EPA Burden and Cost – NSPS for Petroleum Refineries (40 CFR Part 60, Subpart J) (Renewal)</t>
  </si>
  <si>
    <t>Activity</t>
  </si>
  <si>
    <t>(A) 
EPA person-hours per occurrence</t>
  </si>
  <si>
    <t>(B) 
No. of occurrences per plant per year</t>
  </si>
  <si>
    <t>(C) 
EPA person hours per plant per year (AxB)</t>
  </si>
  <si>
    <r>
      <t xml:space="preserve">(D) 
Plants per year </t>
    </r>
    <r>
      <rPr>
        <b/>
        <vertAlign val="superscript"/>
        <sz val="10"/>
        <color theme="1"/>
        <rFont val="Times New Roman"/>
        <family val="1"/>
      </rPr>
      <t>a</t>
    </r>
    <r>
      <rPr>
        <b/>
        <sz val="10"/>
        <color theme="1"/>
        <rFont val="Times New Roman"/>
        <family val="1"/>
      </rPr>
      <t xml:space="preserve">  </t>
    </r>
  </si>
  <si>
    <t>(E) 
Technical person-hours per year (CxD)</t>
  </si>
  <si>
    <t>(F) 
Management person-hours per year (Ex0.05)</t>
  </si>
  <si>
    <t>(G) 
Clerical person-hours per year (Ex0.1)</t>
  </si>
  <si>
    <r>
      <t xml:space="preserve">(H) 
Cost, $ </t>
    </r>
    <r>
      <rPr>
        <b/>
        <vertAlign val="superscript"/>
        <sz val="10"/>
        <color theme="1"/>
        <rFont val="Times New Roman"/>
        <family val="1"/>
      </rPr>
      <t>b</t>
    </r>
  </si>
  <si>
    <t>1.  Review reports</t>
  </si>
  <si>
    <r>
      <t xml:space="preserve">a. Notification of construction/reconstruction </t>
    </r>
    <r>
      <rPr>
        <vertAlign val="superscript"/>
        <sz val="10"/>
        <color theme="1"/>
        <rFont val="Times New Roman"/>
        <family val="1"/>
      </rPr>
      <t>c</t>
    </r>
    <r>
      <rPr>
        <sz val="10"/>
        <color theme="1"/>
        <rFont val="Times New Roman"/>
        <family val="1"/>
      </rPr>
      <t xml:space="preserve">     </t>
    </r>
  </si>
  <si>
    <r>
      <t xml:space="preserve">b. Notification of performance test </t>
    </r>
    <r>
      <rPr>
        <vertAlign val="superscript"/>
        <sz val="10"/>
        <color theme="1"/>
        <rFont val="Times New Roman"/>
        <family val="1"/>
      </rPr>
      <t>d</t>
    </r>
  </si>
  <si>
    <r>
      <t xml:space="preserve">c. Semiannual emission reports </t>
    </r>
    <r>
      <rPr>
        <vertAlign val="superscript"/>
        <sz val="10"/>
        <color theme="1"/>
        <rFont val="Times New Roman"/>
        <family val="1"/>
      </rPr>
      <t>e</t>
    </r>
  </si>
  <si>
    <r>
      <t xml:space="preserve">TOTAL (rounded) </t>
    </r>
    <r>
      <rPr>
        <b/>
        <vertAlign val="superscript"/>
        <sz val="10"/>
        <color theme="1"/>
        <rFont val="Times New Roman"/>
        <family val="1"/>
      </rPr>
      <t>f</t>
    </r>
  </si>
  <si>
    <r>
      <t>a</t>
    </r>
    <r>
      <rPr>
        <sz val="10"/>
        <color theme="1"/>
        <rFont val="Times New Roman"/>
        <family val="1"/>
      </rPr>
      <t xml:space="preserve">  We have assumed that there are approximately 130 respondents, with no additional new or reconstructed sources becoming subject to the rule over the next three years. In addition, we have assumed that there is an average one affected facility subject to Subpart J at each petroleum refinery plant. </t>
    </r>
  </si>
  <si>
    <r>
      <t>c</t>
    </r>
    <r>
      <rPr>
        <sz val="10"/>
        <color theme="1"/>
        <rFont val="Times New Roman"/>
        <family val="1"/>
      </rPr>
      <t xml:space="preserve">  We have assumed that it will take 0.5 hours once a year to review report from new sources; however there are no new sources estimated.</t>
    </r>
  </si>
  <si>
    <r>
      <t>d</t>
    </r>
    <r>
      <rPr>
        <sz val="10"/>
        <color theme="1"/>
        <rFont val="Times New Roman"/>
        <family val="1"/>
      </rPr>
      <t xml:space="preserve">  We have assumed that it will take 0.5 hours once a year to review performance test report from new sources; however there are no new sources estimated.</t>
    </r>
  </si>
  <si>
    <r>
      <t>e</t>
    </r>
    <r>
      <rPr>
        <sz val="10"/>
        <color theme="1"/>
        <rFont val="Times New Roman"/>
        <family val="1"/>
      </rPr>
      <t xml:space="preserve">  We have assumed that it will take 1.5 hours, twice per year, to review the excess emission reports.</t>
    </r>
  </si>
  <si>
    <r>
      <rPr>
        <vertAlign val="superscript"/>
        <sz val="10"/>
        <color theme="1"/>
        <rFont val="Times New Roman"/>
        <family val="1"/>
      </rPr>
      <t xml:space="preserve">f  </t>
    </r>
    <r>
      <rPr>
        <sz val="10"/>
        <color theme="1"/>
        <rFont val="Times New Roman"/>
        <family val="1"/>
      </rPr>
      <t xml:space="preserve"> Totals have been rounded to 3 significant figures. Figures may not add exactly due to rounding.</t>
    </r>
  </si>
  <si>
    <t>Capital/Startup vs. Operation and Maintenance (O&amp;M) Costs</t>
  </si>
  <si>
    <t xml:space="preserve">Number of New Respondents </t>
  </si>
  <si>
    <t>Total Capital/Startup Cost, (B X C)</t>
  </si>
  <si>
    <t>Number of Respondents with O&amp;M</t>
  </si>
  <si>
    <t>Total O&amp;M, (ExF)</t>
  </si>
  <si>
    <t>CEPCI values</t>
  </si>
  <si>
    <t>Device</t>
  </si>
  <si>
    <t>Capital/Startup Cost for One Respondent (Year 2000)</t>
  </si>
  <si>
    <t>Annual O&amp;M Costs for One Respondent (Year 2000)</t>
  </si>
  <si>
    <t>Opacity</t>
  </si>
  <si>
    <t>CO</t>
  </si>
  <si>
    <r>
      <t>SO</t>
    </r>
    <r>
      <rPr>
        <vertAlign val="subscript"/>
        <sz val="10"/>
        <color theme="1"/>
        <rFont val="Times New Roman"/>
        <family val="1"/>
      </rPr>
      <t>2</t>
    </r>
    <r>
      <rPr>
        <sz val="10"/>
        <color theme="1"/>
        <rFont val="Times New Roman"/>
        <family val="1"/>
      </rPr>
      <t>/H</t>
    </r>
    <r>
      <rPr>
        <vertAlign val="subscript"/>
        <sz val="10"/>
        <color theme="1"/>
        <rFont val="Times New Roman"/>
        <family val="1"/>
      </rPr>
      <t>2</t>
    </r>
    <r>
      <rPr>
        <sz val="10"/>
        <color theme="1"/>
        <rFont val="Times New Roman"/>
        <family val="1"/>
      </rPr>
      <t>S</t>
    </r>
    <r>
      <rPr>
        <vertAlign val="subscript"/>
        <sz val="10"/>
        <color theme="1"/>
        <rFont val="Times New Roman"/>
        <family val="1"/>
      </rPr>
      <t xml:space="preserve"> </t>
    </r>
    <r>
      <rPr>
        <vertAlign val="subscript"/>
        <sz val="11"/>
        <color theme="1"/>
        <rFont val="Times New Roman"/>
        <family val="1"/>
      </rPr>
      <t xml:space="preserve">    </t>
    </r>
  </si>
  <si>
    <r>
      <t>O</t>
    </r>
    <r>
      <rPr>
        <vertAlign val="subscript"/>
        <sz val="10"/>
        <color theme="1"/>
        <rFont val="Times New Roman"/>
        <family val="1"/>
      </rPr>
      <t xml:space="preserve">2 </t>
    </r>
  </si>
  <si>
    <t>Notification of construction or modification</t>
  </si>
  <si>
    <t>Report of performance test</t>
  </si>
  <si>
    <r>
      <t xml:space="preserve">a </t>
    </r>
    <r>
      <rPr>
        <sz val="10"/>
        <color rgb="FF000000"/>
        <rFont val="Times New Roman"/>
        <family val="1"/>
      </rPr>
      <t xml:space="preserve">  New respondents include sources with constructed, reconstructed, and modified affected facilities.</t>
    </r>
  </si>
  <si>
    <t>Not Applicable</t>
  </si>
  <si>
    <r>
      <t>b</t>
    </r>
    <r>
      <rPr>
        <sz val="10"/>
        <color theme="1"/>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</si>
  <si>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 xml:space="preserve">Capital/Startup Cost for One Respondent </t>
    </r>
    <r>
      <rPr>
        <vertAlign val="superscript"/>
        <sz val="10"/>
        <color rgb="FF000000"/>
        <rFont val="Times New Roman"/>
        <family val="1"/>
      </rPr>
      <t>a</t>
    </r>
  </si>
  <si>
    <r>
      <t xml:space="preserve">Annual O&amp;M Costs for One Respondent </t>
    </r>
    <r>
      <rPr>
        <vertAlign val="superscript"/>
        <sz val="10"/>
        <color rgb="FF000000"/>
        <rFont val="Times New Roman"/>
        <family val="1"/>
      </rPr>
      <t>a</t>
    </r>
  </si>
  <si>
    <r>
      <t>b</t>
    </r>
    <r>
      <rPr>
        <sz val="10"/>
        <color theme="1"/>
        <rFont val="Times New Roman"/>
        <family val="1"/>
      </rPr>
      <t xml:space="preserve">  Totals have been rounded to 3 significant figures. Figures may not add exactly due to rounding.</t>
    </r>
  </si>
  <si>
    <r>
      <t xml:space="preserve">Total </t>
    </r>
    <r>
      <rPr>
        <b/>
        <vertAlign val="superscript"/>
        <sz val="10"/>
        <color theme="1"/>
        <rFont val="Times New Roman"/>
        <family val="1"/>
      </rPr>
      <t>b</t>
    </r>
  </si>
  <si>
    <r>
      <t>a</t>
    </r>
    <r>
      <rPr>
        <sz val="10"/>
        <color theme="1"/>
        <rFont val="Times New Roman"/>
        <family val="1"/>
      </rPr>
      <t xml:space="preserve"> Costs are based on the EPA Cost Control Manual (Sixth Edition, EPA/452/B-02-001), adjusted using the </t>
    </r>
    <r>
      <rPr>
        <i/>
        <sz val="10"/>
        <color theme="1"/>
        <rFont val="Times New Roman"/>
        <family val="1"/>
      </rPr>
      <t>Chemical Engineering Index</t>
    </r>
    <r>
      <rPr>
        <sz val="10"/>
        <color theme="1"/>
        <rFont val="Times New Roman"/>
        <family val="1"/>
      </rPr>
      <t xml:space="preserve"> for process instruments from 2005 to 2022.</t>
    </r>
  </si>
  <si>
    <r>
      <t>b</t>
    </r>
    <r>
      <rPr>
        <sz val="10"/>
        <color theme="1"/>
        <rFont val="Times New Roman"/>
        <family val="1"/>
      </rPr>
      <t xml:space="preserve">  The cost is based on the following labor rates: Managerial rate of $73.456 (GS-13, Step 5, $45.91 + 60%), Technical rate of $54.512 (GS-12, Step 1, $34.07 + 60%), and Clerical rate of $29.50 (GS-6, Step 3, $18.44 + 60%).  These rates are from the Office of Personnel Management (OPM), 2023 General Schedule, which excludes locality, rates of pay. The rates have been increased by 60 percent to account for the benefit packages available to government employees.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</si>
</sst>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164" formatCode="General_)"/>
    <numFmt numFmtId="165" formatCode="&quot;$&quot;#,##0.00"/>
    <numFmt numFmtId="166" formatCode="&quot;$&quot;#,##0"/>
    <numFmt numFmtId="167" formatCode="#,##0.0"/>
  </numFmts>
  <fonts count="24" x14ac:knownFonts="1">
    <font>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color rgb="FF000000"/>
      <name val="Times New Roman"/>
      <family val="1"/>
    </font>
    <font>
      <sz val="10"/>
      <color theme="1"/>
      <name val="Calibri"/>
      <family val="2"/>
      <scheme val="minor"/>
    </font>
    <font>
      <sz val="12"/>
      <color rgb="FF000000"/>
      <name val="Times New Roman"/>
      <family val="1"/>
    </font>
    <font>
      <sz val="11"/>
      <color theme="1"/>
      <name val="Calibri"/>
      <family val="2"/>
      <scheme val="minor"/>
    </font>
    <font>
      <b/>
      <sz val="12"/>
      <name val="Times New Roman"/>
      <family val="1"/>
    </font>
    <font>
      <sz val="11"/>
      <name val="Times New Roman"/>
      <family val="1"/>
    </font>
    <font>
      <sz val="11"/>
      <color theme="1"/>
      <name val="Times New Roman"/>
      <family val="1"/>
    </font>
    <font>
      <sz val="11"/>
      <color rgb="FF000000"/>
      <name val="Calibri"/>
      <family val="2"/>
      <scheme val="minor"/>
    </font>
    <font>
      <vertAlign val="subscript"/>
      <sz val="10"/>
      <color theme="1"/>
      <name val="Times New Roman"/>
      <family val="1"/>
    </font>
    <font>
      <vertAlign val="subscript"/>
      <sz val="11"/>
      <color theme="1"/>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164" fontId="9" fillId="0" borderId="0"/>
    <xf numFmtId="44" fontId="17" fillId="0" borderId="0" applyFont="0" applyFill="0" applyBorder="0" applyAlignment="0" applyProtection="0"/>
  </cellStyleXfs>
  <cellXfs count="119">
    <xf numFmtId="0" fontId="0" fillId="0" borderId="0" xfId="0"/>
    <xf numFmtId="0" fontId="1" fillId="0" borderId="0" xfId="0" applyFont="1"/>
    <xf numFmtId="0" fontId="7" fillId="0" borderId="0" xfId="0" applyFont="1"/>
    <xf numFmtId="0" fontId="11" fillId="0" borderId="1" xfId="0" applyFont="1" applyBorder="1"/>
    <xf numFmtId="0" fontId="15" fillId="0" borderId="0" xfId="0" applyFont="1"/>
    <xf numFmtId="0" fontId="1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4" fillId="0" borderId="0" xfId="0" applyFont="1" applyAlignment="1">
      <alignment vertical="center"/>
    </xf>
    <xf numFmtId="0" fontId="1" fillId="0" borderId="1" xfId="0" applyFont="1" applyBorder="1" applyAlignment="1">
      <alignment vertical="center" wrapText="1"/>
    </xf>
    <xf numFmtId="0" fontId="2" fillId="0" borderId="1" xfId="0" applyFont="1" applyBorder="1" applyAlignment="1">
      <alignment horizontal="center" vertical="center" wrapText="1"/>
    </xf>
    <xf numFmtId="6" fontId="1" fillId="0" borderId="1" xfId="0" applyNumberFormat="1" applyFont="1" applyBorder="1" applyAlignment="1">
      <alignment horizontal="center" vertical="center" wrapText="1"/>
    </xf>
    <xf numFmtId="0" fontId="2" fillId="0" borderId="1" xfId="0" applyFont="1" applyBorder="1" applyAlignment="1">
      <alignment vertical="center" wrapText="1"/>
    </xf>
    <xf numFmtId="6" fontId="2"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3" fontId="1" fillId="0" borderId="0" xfId="0" applyNumberFormat="1" applyFont="1"/>
    <xf numFmtId="0" fontId="11" fillId="0" borderId="0" xfId="0" applyFont="1" applyAlignment="1">
      <alignment vertical="top"/>
    </xf>
    <xf numFmtId="3" fontId="1" fillId="0" borderId="1" xfId="0" applyNumberFormat="1" applyFont="1" applyBorder="1" applyAlignment="1">
      <alignment horizontal="center" vertical="center" wrapText="1"/>
    </xf>
    <xf numFmtId="0" fontId="16" fillId="0" borderId="0" xfId="0" applyFont="1" applyAlignment="1">
      <alignment vertical="center" wrapText="1"/>
    </xf>
    <xf numFmtId="1" fontId="2" fillId="0" borderId="1" xfId="0" applyNumberFormat="1" applyFont="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41" fontId="0" fillId="0" borderId="0" xfId="0" applyNumberFormat="1"/>
    <xf numFmtId="3" fontId="0" fillId="0" borderId="0" xfId="0" applyNumberFormat="1"/>
    <xf numFmtId="6" fontId="0" fillId="0" borderId="0" xfId="0" applyNumberFormat="1"/>
    <xf numFmtId="1" fontId="0" fillId="0" borderId="0" xfId="0" applyNumberFormat="1"/>
    <xf numFmtId="0" fontId="19" fillId="0" borderId="0" xfId="0" applyFont="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1" xfId="0" applyFont="1" applyFill="1" applyBorder="1" applyAlignment="1">
      <alignment horizontal="left" vertical="top"/>
    </xf>
    <xf numFmtId="0" fontId="1" fillId="2" borderId="1" xfId="0" applyFont="1" applyFill="1" applyBorder="1" applyAlignment="1">
      <alignment horizontal="center" vertical="top"/>
    </xf>
    <xf numFmtId="0" fontId="1" fillId="2" borderId="2" xfId="0" applyFont="1" applyFill="1" applyBorder="1" applyAlignment="1">
      <alignment horizontal="center" vertical="top"/>
    </xf>
    <xf numFmtId="6" fontId="1" fillId="2" borderId="1" xfId="0" applyNumberFormat="1" applyFont="1" applyFill="1" applyBorder="1" applyAlignment="1">
      <alignment horizontal="right" vertical="top"/>
    </xf>
    <xf numFmtId="0" fontId="1" fillId="2" borderId="1" xfId="0" applyFont="1" applyFill="1" applyBorder="1" applyAlignment="1">
      <alignment horizontal="left" vertical="top" indent="1"/>
    </xf>
    <xf numFmtId="0" fontId="1" fillId="0" borderId="1" xfId="0" applyFont="1" applyBorder="1" applyAlignment="1">
      <alignment horizontal="center" vertical="top"/>
    </xf>
    <xf numFmtId="8" fontId="1" fillId="2" borderId="1" xfId="0" applyNumberFormat="1" applyFont="1" applyFill="1" applyBorder="1" applyAlignment="1">
      <alignment horizontal="right" vertical="top"/>
    </xf>
    <xf numFmtId="0" fontId="1" fillId="2" borderId="1" xfId="0" applyFont="1" applyFill="1" applyBorder="1" applyAlignment="1">
      <alignment horizontal="left" vertical="top" indent="2"/>
    </xf>
    <xf numFmtId="0" fontId="1" fillId="2" borderId="1" xfId="0" applyFont="1" applyFill="1" applyBorder="1" applyAlignment="1">
      <alignment horizontal="left" vertical="top" indent="3"/>
    </xf>
    <xf numFmtId="0" fontId="1" fillId="2" borderId="1" xfId="0" applyFont="1" applyFill="1" applyBorder="1" applyAlignment="1">
      <alignment horizontal="right" vertical="top"/>
    </xf>
    <xf numFmtId="0" fontId="5" fillId="2" borderId="1" xfId="0" applyFont="1" applyFill="1" applyBorder="1" applyAlignment="1">
      <alignment horizontal="left" vertical="top"/>
    </xf>
    <xf numFmtId="166" fontId="5" fillId="2" borderId="1" xfId="0" applyNumberFormat="1" applyFont="1" applyFill="1" applyBorder="1" applyAlignment="1">
      <alignment horizontal="right" vertical="top"/>
    </xf>
    <xf numFmtId="3" fontId="1" fillId="2" borderId="1" xfId="0" applyNumberFormat="1" applyFont="1" applyFill="1" applyBorder="1" applyAlignment="1">
      <alignment horizontal="center" vertical="top"/>
    </xf>
    <xf numFmtId="0" fontId="8" fillId="2" borderId="1" xfId="0" applyFont="1" applyFill="1" applyBorder="1" applyAlignment="1">
      <alignment horizontal="center" vertical="top"/>
    </xf>
    <xf numFmtId="167" fontId="1" fillId="2" borderId="1" xfId="0" applyNumberFormat="1" applyFont="1" applyFill="1" applyBorder="1" applyAlignment="1">
      <alignment horizontal="center" vertical="top"/>
    </xf>
    <xf numFmtId="165" fontId="1" fillId="2" borderId="1" xfId="0" applyNumberFormat="1" applyFont="1" applyFill="1" applyBorder="1" applyAlignment="1">
      <alignment horizontal="right" vertical="top"/>
    </xf>
    <xf numFmtId="0" fontId="1" fillId="2" borderId="6" xfId="0" applyFont="1" applyFill="1" applyBorder="1" applyAlignment="1">
      <alignment horizontal="center" vertical="top"/>
    </xf>
    <xf numFmtId="166" fontId="5" fillId="2" borderId="6" xfId="0" applyNumberFormat="1" applyFont="1" applyFill="1" applyBorder="1" applyAlignment="1">
      <alignment horizontal="right" vertical="top"/>
    </xf>
    <xf numFmtId="0" fontId="2" fillId="2" borderId="2" xfId="0" applyFont="1" applyFill="1" applyBorder="1" applyAlignment="1">
      <alignment vertical="top"/>
    </xf>
    <xf numFmtId="0" fontId="1" fillId="2" borderId="1" xfId="0" applyFont="1" applyFill="1" applyBorder="1" applyAlignment="1">
      <alignment vertical="top"/>
    </xf>
    <xf numFmtId="6" fontId="2" fillId="2" borderId="1" xfId="0" applyNumberFormat="1" applyFont="1" applyFill="1" applyBorder="1" applyAlignment="1">
      <alignment vertical="top"/>
    </xf>
    <xf numFmtId="0" fontId="12" fillId="2" borderId="1" xfId="0" applyFont="1" applyFill="1" applyBorder="1" applyAlignment="1">
      <alignment horizontal="left"/>
    </xf>
    <xf numFmtId="0" fontId="1" fillId="2" borderId="1" xfId="0" applyFont="1" applyFill="1" applyBorder="1"/>
    <xf numFmtId="5" fontId="2" fillId="2" borderId="1" xfId="2" applyNumberFormat="1" applyFont="1" applyFill="1" applyBorder="1"/>
    <xf numFmtId="1" fontId="1" fillId="0" borderId="0" xfId="0" applyNumberFormat="1" applyFont="1" applyAlignment="1">
      <alignment horizontal="center"/>
    </xf>
    <xf numFmtId="0" fontId="12" fillId="2" borderId="6" xfId="0" applyFont="1" applyFill="1" applyBorder="1" applyAlignment="1">
      <alignment horizontal="left"/>
    </xf>
    <xf numFmtId="0" fontId="1" fillId="2" borderId="6" xfId="0" applyFont="1" applyFill="1" applyBorder="1"/>
    <xf numFmtId="6" fontId="2" fillId="2" borderId="6" xfId="2" applyNumberFormat="1" applyFont="1" applyFill="1" applyBorder="1"/>
    <xf numFmtId="0" fontId="1" fillId="2" borderId="5" xfId="0" applyFont="1" applyFill="1" applyBorder="1"/>
    <xf numFmtId="0" fontId="1" fillId="0" borderId="5" xfId="0" applyFont="1" applyBorder="1"/>
    <xf numFmtId="0" fontId="2" fillId="2" borderId="0" xfId="0" applyFont="1" applyFill="1"/>
    <xf numFmtId="0" fontId="1" fillId="2" borderId="0" xfId="0" applyFont="1" applyFill="1"/>
    <xf numFmtId="0" fontId="20" fillId="0" borderId="0" xfId="0" applyFont="1"/>
    <xf numFmtId="0" fontId="1" fillId="0" borderId="0" xfId="0" applyFont="1" applyAlignment="1">
      <alignment wrapText="1"/>
    </xf>
    <xf numFmtId="0" fontId="2" fillId="0" borderId="0" xfId="0" applyFont="1" applyAlignment="1">
      <alignment horizontal="left" vertical="center"/>
    </xf>
    <xf numFmtId="0" fontId="1" fillId="0" borderId="1" xfId="0" applyFont="1" applyBorder="1" applyAlignment="1">
      <alignment horizontal="left" vertical="top"/>
    </xf>
    <xf numFmtId="0" fontId="1" fillId="0" borderId="1" xfId="0" applyFont="1" applyBorder="1" applyAlignment="1">
      <alignment horizontal="left" vertical="top" indent="1"/>
    </xf>
    <xf numFmtId="0" fontId="1" fillId="0" borderId="6" xfId="0" applyFont="1" applyBorder="1" applyAlignment="1">
      <alignment horizontal="center" vertical="top"/>
    </xf>
    <xf numFmtId="6" fontId="1" fillId="0" borderId="1" xfId="0" applyNumberFormat="1" applyFont="1" applyBorder="1" applyAlignment="1">
      <alignment horizontal="right" vertical="top"/>
    </xf>
    <xf numFmtId="165" fontId="1" fillId="0" borderId="1" xfId="0" applyNumberFormat="1" applyFont="1" applyBorder="1"/>
    <xf numFmtId="0" fontId="8" fillId="0" borderId="1" xfId="0" applyFont="1" applyBorder="1" applyAlignment="1">
      <alignment horizontal="center" vertical="top"/>
    </xf>
    <xf numFmtId="8" fontId="1" fillId="0" borderId="1" xfId="0" applyNumberFormat="1" applyFont="1" applyBorder="1" applyAlignment="1">
      <alignment horizontal="right" vertical="top"/>
    </xf>
    <xf numFmtId="0" fontId="2" fillId="0" borderId="1" xfId="0" applyFont="1" applyBorder="1" applyAlignment="1">
      <alignment vertical="top"/>
    </xf>
    <xf numFmtId="0" fontId="1" fillId="0" borderId="1" xfId="0" applyFont="1" applyBorder="1" applyAlignment="1">
      <alignment vertical="top"/>
    </xf>
    <xf numFmtId="6" fontId="2" fillId="0" borderId="1" xfId="0" applyNumberFormat="1" applyFont="1" applyBorder="1" applyAlignment="1">
      <alignment vertical="top"/>
    </xf>
    <xf numFmtId="0" fontId="2" fillId="0" borderId="0" xfId="0" applyFont="1" applyAlignment="1">
      <alignment vertical="center"/>
    </xf>
    <xf numFmtId="0" fontId="20" fillId="0" borderId="0" xfId="0" applyFont="1" applyAlignment="1">
      <alignment wrapText="1"/>
    </xf>
    <xf numFmtId="0" fontId="11" fillId="0" borderId="1"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0" fillId="0" borderId="12" xfId="0" applyBorder="1" applyAlignment="1">
      <alignment horizontal="right" vertical="center"/>
    </xf>
    <xf numFmtId="0" fontId="0" fillId="0" borderId="2" xfId="0" applyBorder="1"/>
    <xf numFmtId="0" fontId="1" fillId="0" borderId="12" xfId="0" applyFont="1" applyBorder="1" applyAlignment="1">
      <alignment vertical="center" wrapText="1"/>
    </xf>
    <xf numFmtId="6" fontId="1" fillId="0" borderId="13"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0" fontId="21" fillId="0" borderId="14" xfId="0" applyFont="1" applyBorder="1" applyAlignment="1">
      <alignment horizontal="right"/>
    </xf>
    <xf numFmtId="0" fontId="0" fillId="0" borderId="15" xfId="0" applyBorder="1"/>
    <xf numFmtId="0" fontId="1" fillId="0" borderId="14" xfId="0" applyFont="1" applyBorder="1" applyAlignment="1">
      <alignment vertical="center" wrapText="1"/>
    </xf>
    <xf numFmtId="3" fontId="1" fillId="0" borderId="16" xfId="0" applyNumberFormat="1" applyFont="1" applyBorder="1" applyAlignment="1">
      <alignment horizontal="center" vertical="center" wrapText="1"/>
    </xf>
    <xf numFmtId="6" fontId="1" fillId="0" borderId="17" xfId="0" applyNumberFormat="1" applyFont="1" applyBorder="1" applyAlignment="1">
      <alignment horizontal="center" vertical="center" wrapText="1"/>
    </xf>
    <xf numFmtId="6" fontId="12" fillId="0" borderId="1" xfId="0" applyNumberFormat="1" applyFont="1" applyBorder="1" applyAlignment="1">
      <alignment horizontal="center" vertical="center" wrapText="1"/>
    </xf>
    <xf numFmtId="0" fontId="4" fillId="0" borderId="0" xfId="0" applyFont="1" applyAlignment="1">
      <alignment vertical="center"/>
    </xf>
    <xf numFmtId="0" fontId="16" fillId="0" borderId="0" xfId="0" applyFont="1" applyAlignment="1">
      <alignment vertical="center"/>
    </xf>
    <xf numFmtId="164" fontId="8" fillId="0" borderId="0" xfId="1" applyFont="1" applyAlignment="1">
      <alignment vertical="top"/>
    </xf>
    <xf numFmtId="0" fontId="4" fillId="0" borderId="0" xfId="0" applyFont="1" applyAlignment="1">
      <alignment horizontal="left" vertical="center"/>
    </xf>
    <xf numFmtId="0" fontId="0" fillId="0" borderId="0" xfId="0" applyAlignment="1">
      <alignment horizontal="center"/>
    </xf>
    <xf numFmtId="0" fontId="4" fillId="0" borderId="0" xfId="0" applyFont="1" applyAlignment="1">
      <alignment horizontal="left" vertical="top" wrapText="1"/>
    </xf>
    <xf numFmtId="0" fontId="1" fillId="0" borderId="0" xfId="0" applyFont="1" applyAlignment="1">
      <alignment horizontal="left" vertical="top" wrapText="1"/>
    </xf>
    <xf numFmtId="0" fontId="4" fillId="2" borderId="0" xfId="0" applyFont="1" applyFill="1" applyAlignment="1">
      <alignment horizontal="left" vertical="top" wrapText="1"/>
    </xf>
    <xf numFmtId="0" fontId="18" fillId="0" borderId="0" xfId="0" applyFont="1" applyAlignment="1">
      <alignment horizontal="left" vertical="top"/>
    </xf>
    <xf numFmtId="0" fontId="11" fillId="0" borderId="1" xfId="0" applyFont="1" applyBorder="1" applyAlignment="1">
      <alignment horizontal="center"/>
    </xf>
    <xf numFmtId="1" fontId="5" fillId="2" borderId="2" xfId="0" applyNumberFormat="1" applyFont="1" applyFill="1" applyBorder="1" applyAlignment="1">
      <alignment horizontal="center" vertical="top"/>
    </xf>
    <xf numFmtId="1" fontId="5" fillId="2" borderId="3" xfId="0" applyNumberFormat="1" applyFont="1" applyFill="1" applyBorder="1" applyAlignment="1">
      <alignment horizontal="center" vertical="top"/>
    </xf>
    <xf numFmtId="1" fontId="5" fillId="2" borderId="4" xfId="0" applyNumberFormat="1" applyFont="1" applyFill="1" applyBorder="1" applyAlignment="1">
      <alignment horizontal="center" vertical="top"/>
    </xf>
    <xf numFmtId="3" fontId="5" fillId="2" borderId="7" xfId="0" applyNumberFormat="1" applyFont="1" applyFill="1" applyBorder="1" applyAlignment="1">
      <alignment horizontal="center" vertical="top"/>
    </xf>
    <xf numFmtId="3" fontId="5" fillId="2" borderId="5" xfId="0" applyNumberFormat="1" applyFont="1" applyFill="1" applyBorder="1" applyAlignment="1">
      <alignment horizontal="center" vertical="top"/>
    </xf>
    <xf numFmtId="3" fontId="5" fillId="2" borderId="8" xfId="0" applyNumberFormat="1" applyFont="1" applyFill="1" applyBorder="1" applyAlignment="1">
      <alignment horizontal="center" vertical="top"/>
    </xf>
    <xf numFmtId="3" fontId="2" fillId="2" borderId="1" xfId="0" applyNumberFormat="1" applyFont="1" applyFill="1" applyBorder="1" applyAlignment="1">
      <alignment horizontal="center" vertical="top"/>
    </xf>
    <xf numFmtId="0" fontId="4" fillId="0" borderId="0" xfId="0" applyFont="1" applyAlignment="1">
      <alignment horizontal="left" vertical="top"/>
    </xf>
    <xf numFmtId="0" fontId="1" fillId="0" borderId="0" xfId="0" applyFont="1" applyAlignment="1">
      <alignment horizontal="left" vertical="top"/>
    </xf>
    <xf numFmtId="0" fontId="2" fillId="0" borderId="1" xfId="0" applyFont="1" applyBorder="1" applyAlignment="1">
      <alignment horizontal="center" vertical="top"/>
    </xf>
    <xf numFmtId="0" fontId="4" fillId="0" borderId="0" xfId="0" applyFont="1" applyAlignment="1">
      <alignment horizontal="left"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vertical="center" wrapText="1"/>
    </xf>
  </cellXfs>
  <cellStyles count="3">
    <cellStyle name="Currency" xfId="2" builtinId="4"/>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A9" sqref="A9"/>
    </sheetView>
  </sheetViews>
  <sheetFormatPr defaultRowHeight="15" x14ac:dyDescent="0.25"/>
  <cols>
    <col min="1" max="1" width="27.85546875" bestFit="1" customWidth="1"/>
    <col min="2" max="2" width="12.85546875" bestFit="1" customWidth="1"/>
  </cols>
  <sheetData>
    <row r="1" spans="1:2" x14ac:dyDescent="0.25">
      <c r="A1" s="98" t="s">
        <v>0</v>
      </c>
      <c r="B1" s="98"/>
    </row>
    <row r="2" spans="1:2" x14ac:dyDescent="0.25">
      <c r="A2" t="s">
        <v>1</v>
      </c>
      <c r="B2" s="24">
        <f>'Table 1'!L31</f>
        <v>53.07692307692308</v>
      </c>
    </row>
    <row r="3" spans="1:2" x14ac:dyDescent="0.25">
      <c r="A3" t="s">
        <v>2</v>
      </c>
      <c r="B3">
        <f>Respondents!F8</f>
        <v>130</v>
      </c>
    </row>
    <row r="4" spans="1:2" x14ac:dyDescent="0.25">
      <c r="A4" t="s">
        <v>3</v>
      </c>
      <c r="B4" s="25">
        <f>'Table 1'!F30</f>
        <v>13800</v>
      </c>
    </row>
    <row r="5" spans="1:2" x14ac:dyDescent="0.25">
      <c r="A5" t="s">
        <v>4</v>
      </c>
      <c r="B5" s="26">
        <f>'Table 1'!I32</f>
        <v>2830000</v>
      </c>
    </row>
    <row r="6" spans="1:2" x14ac:dyDescent="0.25">
      <c r="A6" t="s">
        <v>5</v>
      </c>
      <c r="B6" s="26">
        <f>'Capital O&amp;M'!G9</f>
        <v>1090000</v>
      </c>
    </row>
    <row r="7" spans="1:2" x14ac:dyDescent="0.25">
      <c r="A7" t="s">
        <v>6</v>
      </c>
      <c r="B7" s="27">
        <f>Responses!E8</f>
        <v>260</v>
      </c>
    </row>
    <row r="8" spans="1:2" x14ac:dyDescent="0.25">
      <c r="A8" t="s">
        <v>7</v>
      </c>
      <c r="B8" t="s">
        <v>127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EDE23-3F82-42FD-8826-13CB3FC3EA80}">
  <dimension ref="A1:L43"/>
  <sheetViews>
    <sheetView workbookViewId="0">
      <selection activeCell="A2" sqref="A2"/>
    </sheetView>
  </sheetViews>
  <sheetFormatPr defaultColWidth="9.28515625" defaultRowHeight="15" x14ac:dyDescent="0.25"/>
  <cols>
    <col min="1" max="1" width="39.7109375" style="64" customWidth="1"/>
    <col min="2" max="8" width="11.28515625" style="64" customWidth="1"/>
    <col min="9" max="9" width="14.7109375" style="64" customWidth="1"/>
    <col min="10" max="10" width="9.28515625" style="64"/>
    <col min="11" max="12" width="13.28515625" style="64" customWidth="1"/>
    <col min="13" max="16384" width="9.28515625" style="64"/>
  </cols>
  <sheetData>
    <row r="1" spans="1:12" s="28" customFormat="1" ht="15.75" x14ac:dyDescent="0.25">
      <c r="A1" s="102" t="s">
        <v>45</v>
      </c>
      <c r="B1" s="102"/>
      <c r="C1" s="102"/>
      <c r="D1" s="102"/>
      <c r="E1" s="102"/>
      <c r="F1" s="102"/>
      <c r="G1" s="102"/>
      <c r="H1" s="102"/>
      <c r="I1" s="102"/>
    </row>
    <row r="2" spans="1:12" s="1" customFormat="1" ht="12.75" x14ac:dyDescent="0.2"/>
    <row r="3" spans="1:12" s="1" customFormat="1" ht="76.5" x14ac:dyDescent="0.2">
      <c r="A3" s="29" t="s">
        <v>14</v>
      </c>
      <c r="B3" s="30" t="s">
        <v>46</v>
      </c>
      <c r="C3" s="30" t="s">
        <v>15</v>
      </c>
      <c r="D3" s="30" t="s">
        <v>16</v>
      </c>
      <c r="E3" s="30" t="s">
        <v>47</v>
      </c>
      <c r="F3" s="30" t="s">
        <v>8</v>
      </c>
      <c r="G3" s="30" t="s">
        <v>17</v>
      </c>
      <c r="H3" s="31" t="s">
        <v>18</v>
      </c>
      <c r="I3" s="30" t="s">
        <v>48</v>
      </c>
    </row>
    <row r="4" spans="1:12" s="1" customFormat="1" ht="12.75" x14ac:dyDescent="0.2">
      <c r="A4" s="32" t="s">
        <v>49</v>
      </c>
      <c r="B4" s="33" t="s">
        <v>50</v>
      </c>
      <c r="C4" s="32"/>
      <c r="D4" s="33"/>
      <c r="E4" s="33"/>
      <c r="F4" s="33"/>
      <c r="G4" s="33"/>
      <c r="H4" s="34"/>
      <c r="I4" s="35">
        <f>F4*L$6+G4*L$5+H4*L$7</f>
        <v>0</v>
      </c>
      <c r="K4" s="103" t="s">
        <v>9</v>
      </c>
      <c r="L4" s="103"/>
    </row>
    <row r="5" spans="1:12" s="1" customFormat="1" ht="12.75" x14ac:dyDescent="0.2">
      <c r="A5" s="32" t="s">
        <v>51</v>
      </c>
      <c r="B5" s="33" t="s">
        <v>50</v>
      </c>
      <c r="C5" s="32"/>
      <c r="D5" s="33"/>
      <c r="E5" s="33"/>
      <c r="F5" s="33"/>
      <c r="G5" s="33"/>
      <c r="H5" s="34"/>
      <c r="I5" s="35">
        <f t="shared" ref="I5:I11" si="0">F5*L$6+G5*L$5+H5*L$7</f>
        <v>0</v>
      </c>
      <c r="K5" s="3" t="s">
        <v>10</v>
      </c>
      <c r="L5" s="71">
        <v>163.16999999999999</v>
      </c>
    </row>
    <row r="6" spans="1:12" s="1" customFormat="1" ht="12.75" x14ac:dyDescent="0.2">
      <c r="A6" s="32" t="s">
        <v>52</v>
      </c>
      <c r="B6" s="33"/>
      <c r="C6" s="33"/>
      <c r="D6" s="33"/>
      <c r="E6" s="33"/>
      <c r="F6" s="33"/>
      <c r="G6" s="33"/>
      <c r="H6" s="34"/>
      <c r="I6" s="35">
        <f t="shared" si="0"/>
        <v>0</v>
      </c>
      <c r="K6" s="3" t="s">
        <v>11</v>
      </c>
      <c r="L6" s="71">
        <v>130.28</v>
      </c>
    </row>
    <row r="7" spans="1:12" s="1" customFormat="1" ht="15.75" x14ac:dyDescent="0.2">
      <c r="A7" s="36" t="s">
        <v>53</v>
      </c>
      <c r="B7" s="33">
        <v>1</v>
      </c>
      <c r="C7" s="33">
        <v>1</v>
      </c>
      <c r="D7" s="33">
        <f>B7*C7</f>
        <v>1</v>
      </c>
      <c r="E7" s="37">
        <f>Respondents!F8</f>
        <v>130</v>
      </c>
      <c r="F7" s="33">
        <f>D7*E7</f>
        <v>130</v>
      </c>
      <c r="G7" s="33">
        <f>F7*0.05</f>
        <v>6.5</v>
      </c>
      <c r="H7" s="34">
        <f>F7*0.1</f>
        <v>13</v>
      </c>
      <c r="I7" s="38">
        <f>F7*L$6+G7*L$5+H7*L$7</f>
        <v>18851.235000000001</v>
      </c>
      <c r="K7" s="3" t="s">
        <v>12</v>
      </c>
      <c r="L7" s="71">
        <v>65.709999999999994</v>
      </c>
    </row>
    <row r="8" spans="1:12" s="1" customFormat="1" ht="12.75" x14ac:dyDescent="0.2">
      <c r="A8" s="36" t="s">
        <v>54</v>
      </c>
      <c r="B8" s="33"/>
      <c r="C8" s="33"/>
      <c r="D8" s="33"/>
      <c r="E8" s="37"/>
      <c r="F8" s="33"/>
      <c r="G8" s="33"/>
      <c r="H8" s="34"/>
      <c r="I8" s="35">
        <f t="shared" si="0"/>
        <v>0</v>
      </c>
    </row>
    <row r="9" spans="1:12" s="1" customFormat="1" ht="12.75" x14ac:dyDescent="0.2">
      <c r="A9" s="39" t="s">
        <v>55</v>
      </c>
      <c r="B9" s="33"/>
      <c r="C9" s="33"/>
      <c r="D9" s="33"/>
      <c r="E9" s="37"/>
      <c r="F9" s="33"/>
      <c r="G9" s="33"/>
      <c r="H9" s="33"/>
      <c r="I9" s="35">
        <f t="shared" si="0"/>
        <v>0</v>
      </c>
    </row>
    <row r="10" spans="1:12" s="1" customFormat="1" ht="15.75" x14ac:dyDescent="0.2">
      <c r="A10" s="40" t="s">
        <v>56</v>
      </c>
      <c r="B10" s="33">
        <v>146</v>
      </c>
      <c r="C10" s="33">
        <v>2</v>
      </c>
      <c r="D10" s="33">
        <f>B10*C10</f>
        <v>292</v>
      </c>
      <c r="E10" s="37">
        <v>0</v>
      </c>
      <c r="F10" s="33">
        <f>D10*E10</f>
        <v>0</v>
      </c>
      <c r="G10" s="33">
        <f>F10*0.05</f>
        <v>0</v>
      </c>
      <c r="H10" s="33">
        <f>F10*0.1</f>
        <v>0</v>
      </c>
      <c r="I10" s="35">
        <f t="shared" si="0"/>
        <v>0</v>
      </c>
    </row>
    <row r="11" spans="1:12" s="1" customFormat="1" ht="15.75" x14ac:dyDescent="0.2">
      <c r="A11" s="40" t="s">
        <v>57</v>
      </c>
      <c r="B11" s="33">
        <v>160</v>
      </c>
      <c r="C11" s="33">
        <v>3</v>
      </c>
      <c r="D11" s="33">
        <f>B11*C11</f>
        <v>480</v>
      </c>
      <c r="E11" s="37">
        <v>0</v>
      </c>
      <c r="F11" s="33">
        <f>D11*E11</f>
        <v>0</v>
      </c>
      <c r="G11" s="33">
        <f>F11*0.05</f>
        <v>0</v>
      </c>
      <c r="H11" s="33">
        <f>F11*0.1</f>
        <v>0</v>
      </c>
      <c r="I11" s="35">
        <f t="shared" si="0"/>
        <v>0</v>
      </c>
    </row>
    <row r="12" spans="1:12" s="1" customFormat="1" ht="12.75" x14ac:dyDescent="0.2">
      <c r="A12" s="36" t="s">
        <v>58</v>
      </c>
      <c r="B12" s="33" t="s">
        <v>59</v>
      </c>
      <c r="C12" s="33"/>
      <c r="D12" s="33"/>
      <c r="E12" s="37"/>
      <c r="F12" s="33"/>
      <c r="G12" s="33"/>
      <c r="H12" s="33"/>
      <c r="I12" s="41"/>
    </row>
    <row r="13" spans="1:12" s="1" customFormat="1" ht="12.75" x14ac:dyDescent="0.2">
      <c r="A13" s="36" t="s">
        <v>60</v>
      </c>
      <c r="B13" s="33" t="s">
        <v>59</v>
      </c>
      <c r="C13" s="33"/>
      <c r="D13" s="33"/>
      <c r="E13" s="37"/>
      <c r="F13" s="33"/>
      <c r="G13" s="33"/>
      <c r="H13" s="33"/>
      <c r="I13" s="41"/>
    </row>
    <row r="14" spans="1:12" s="1" customFormat="1" ht="12.75" x14ac:dyDescent="0.2">
      <c r="A14" s="36" t="s">
        <v>61</v>
      </c>
      <c r="B14" s="33"/>
      <c r="C14" s="33"/>
      <c r="D14" s="33"/>
      <c r="E14" s="37"/>
      <c r="F14" s="33"/>
      <c r="G14" s="33"/>
      <c r="H14" s="33"/>
      <c r="I14" s="41"/>
    </row>
    <row r="15" spans="1:12" s="1" customFormat="1" ht="15.75" x14ac:dyDescent="0.2">
      <c r="A15" s="39" t="s">
        <v>62</v>
      </c>
      <c r="B15" s="33">
        <v>2</v>
      </c>
      <c r="C15" s="33">
        <v>1</v>
      </c>
      <c r="D15" s="33">
        <f>B15*C15</f>
        <v>2</v>
      </c>
      <c r="E15" s="37">
        <v>0</v>
      </c>
      <c r="F15" s="33">
        <f>D15*E15</f>
        <v>0</v>
      </c>
      <c r="G15" s="33">
        <f>F15*0.05</f>
        <v>0</v>
      </c>
      <c r="H15" s="33">
        <f>F15*0.1</f>
        <v>0</v>
      </c>
      <c r="I15" s="35">
        <f>F15*L$6+G15*L$5+H15*L$7</f>
        <v>0</v>
      </c>
    </row>
    <row r="16" spans="1:12" s="1" customFormat="1" ht="15.75" x14ac:dyDescent="0.2">
      <c r="A16" s="39" t="s">
        <v>63</v>
      </c>
      <c r="B16" s="33">
        <v>2</v>
      </c>
      <c r="C16" s="33">
        <v>1</v>
      </c>
      <c r="D16" s="33">
        <f>B16*C16</f>
        <v>2</v>
      </c>
      <c r="E16" s="37">
        <v>0</v>
      </c>
      <c r="F16" s="33">
        <f>D16*E16</f>
        <v>0</v>
      </c>
      <c r="G16" s="33">
        <f>F16*0.05</f>
        <v>0</v>
      </c>
      <c r="H16" s="33">
        <f>F16*0.1</f>
        <v>0</v>
      </c>
      <c r="I16" s="35">
        <f>F16*L$6+G16*L$5+H16*L$7</f>
        <v>0</v>
      </c>
    </row>
    <row r="17" spans="1:12" s="1" customFormat="1" ht="15.75" x14ac:dyDescent="0.2">
      <c r="A17" s="39" t="s">
        <v>64</v>
      </c>
      <c r="B17" s="33">
        <v>2</v>
      </c>
      <c r="C17" s="33">
        <v>1</v>
      </c>
      <c r="D17" s="33">
        <f>B17*C17</f>
        <v>2</v>
      </c>
      <c r="E17" s="37">
        <v>0</v>
      </c>
      <c r="F17" s="33">
        <f>D17*E17</f>
        <v>0</v>
      </c>
      <c r="G17" s="33">
        <f>F17*0.05</f>
        <v>0</v>
      </c>
      <c r="H17" s="33">
        <f>F17*0.1</f>
        <v>0</v>
      </c>
      <c r="I17" s="35">
        <f>F17*L$6+G17*L$5+H17*L$7</f>
        <v>0</v>
      </c>
    </row>
    <row r="18" spans="1:12" s="1" customFormat="1" ht="15.75" x14ac:dyDescent="0.2">
      <c r="A18" s="39" t="s">
        <v>65</v>
      </c>
      <c r="B18" s="33">
        <v>2</v>
      </c>
      <c r="C18" s="33">
        <v>2</v>
      </c>
      <c r="D18" s="33">
        <f>B18*C18</f>
        <v>4</v>
      </c>
      <c r="E18" s="37">
        <f>Respondents!F8</f>
        <v>130</v>
      </c>
      <c r="F18" s="33">
        <f>D18*E18</f>
        <v>520</v>
      </c>
      <c r="G18" s="33">
        <f>F18*0.05</f>
        <v>26</v>
      </c>
      <c r="H18" s="33">
        <f>F18*0.1</f>
        <v>52</v>
      </c>
      <c r="I18" s="38">
        <f>F18*L$6+G18*L$5+H18*L$7</f>
        <v>75404.94</v>
      </c>
    </row>
    <row r="19" spans="1:12" s="1" customFormat="1" ht="13.5" x14ac:dyDescent="0.2">
      <c r="A19" s="42" t="s">
        <v>66</v>
      </c>
      <c r="B19" s="33"/>
      <c r="C19" s="33"/>
      <c r="D19" s="33"/>
      <c r="E19" s="37"/>
      <c r="F19" s="104">
        <f>SUM(F4:H18)</f>
        <v>747.5</v>
      </c>
      <c r="G19" s="105"/>
      <c r="H19" s="106"/>
      <c r="I19" s="43">
        <f>SUM(I4:I18)</f>
        <v>94256.175000000003</v>
      </c>
    </row>
    <row r="20" spans="1:12" s="1" customFormat="1" ht="12.75" x14ac:dyDescent="0.2">
      <c r="A20" s="32" t="s">
        <v>67</v>
      </c>
      <c r="B20" s="33"/>
      <c r="C20" s="33"/>
      <c r="D20" s="33"/>
      <c r="E20" s="37"/>
      <c r="F20" s="33"/>
      <c r="G20" s="33"/>
      <c r="H20" s="33"/>
      <c r="I20" s="41"/>
    </row>
    <row r="21" spans="1:12" s="1" customFormat="1" ht="12.75" x14ac:dyDescent="0.2">
      <c r="A21" s="36" t="s">
        <v>68</v>
      </c>
      <c r="B21" s="33" t="s">
        <v>69</v>
      </c>
      <c r="C21" s="33"/>
      <c r="D21" s="33"/>
      <c r="E21" s="37"/>
      <c r="F21" s="33"/>
      <c r="G21" s="33"/>
      <c r="H21" s="33"/>
      <c r="I21" s="41"/>
    </row>
    <row r="22" spans="1:12" s="1" customFormat="1" ht="12.75" x14ac:dyDescent="0.2">
      <c r="A22" s="36" t="s">
        <v>70</v>
      </c>
      <c r="B22" s="33" t="s">
        <v>69</v>
      </c>
      <c r="C22" s="33"/>
      <c r="D22" s="33"/>
      <c r="E22" s="37"/>
      <c r="F22" s="33"/>
      <c r="G22" s="33"/>
      <c r="H22" s="33"/>
      <c r="I22" s="41"/>
    </row>
    <row r="23" spans="1:12" s="1" customFormat="1" ht="12.75" x14ac:dyDescent="0.2">
      <c r="A23" s="36" t="s">
        <v>71</v>
      </c>
      <c r="B23" s="33" t="s">
        <v>59</v>
      </c>
      <c r="C23" s="33"/>
      <c r="D23" s="33"/>
      <c r="E23" s="37"/>
      <c r="F23" s="33"/>
      <c r="G23" s="33"/>
      <c r="H23" s="33"/>
      <c r="I23" s="41"/>
    </row>
    <row r="24" spans="1:12" s="1" customFormat="1" ht="12.75" x14ac:dyDescent="0.2">
      <c r="A24" s="36" t="s">
        <v>72</v>
      </c>
      <c r="B24" s="33" t="s">
        <v>50</v>
      </c>
      <c r="C24" s="33"/>
      <c r="D24" s="33"/>
      <c r="E24" s="37"/>
      <c r="F24" s="33"/>
      <c r="G24" s="33"/>
      <c r="H24" s="33"/>
      <c r="I24" s="41"/>
    </row>
    <row r="25" spans="1:12" s="1" customFormat="1" ht="12.75" x14ac:dyDescent="0.2">
      <c r="A25" s="36" t="s">
        <v>73</v>
      </c>
      <c r="B25" s="33"/>
      <c r="C25" s="33"/>
      <c r="D25" s="33"/>
      <c r="E25" s="37"/>
      <c r="F25" s="33"/>
      <c r="G25" s="33"/>
      <c r="H25" s="33"/>
      <c r="I25" s="41"/>
    </row>
    <row r="26" spans="1:12" s="1" customFormat="1" ht="15.75" x14ac:dyDescent="0.2">
      <c r="A26" s="39" t="s">
        <v>74</v>
      </c>
      <c r="B26" s="33">
        <v>0.25</v>
      </c>
      <c r="C26" s="33">
        <v>350</v>
      </c>
      <c r="D26" s="33">
        <f>B26*C26</f>
        <v>87.5</v>
      </c>
      <c r="E26" s="37">
        <f>Respondents!F8</f>
        <v>130</v>
      </c>
      <c r="F26" s="44">
        <f>D26*E26</f>
        <v>11375</v>
      </c>
      <c r="G26" s="45">
        <f>F26*0.05</f>
        <v>568.75</v>
      </c>
      <c r="H26" s="46">
        <f>F26*0.1</f>
        <v>1137.5</v>
      </c>
      <c r="I26" s="38">
        <f>F26*L$6+G26*L$5+H26*L$7</f>
        <v>1649483.0625</v>
      </c>
    </row>
    <row r="27" spans="1:12" s="1" customFormat="1" ht="12.75" x14ac:dyDescent="0.2">
      <c r="A27" s="36" t="s">
        <v>75</v>
      </c>
      <c r="B27" s="33" t="s">
        <v>50</v>
      </c>
      <c r="C27" s="33"/>
      <c r="D27" s="33"/>
      <c r="E27" s="33"/>
      <c r="F27" s="33"/>
      <c r="G27" s="33"/>
      <c r="H27" s="33"/>
      <c r="I27" s="41"/>
    </row>
    <row r="28" spans="1:12" s="1" customFormat="1" ht="12.75" x14ac:dyDescent="0.2">
      <c r="A28" s="36" t="s">
        <v>76</v>
      </c>
      <c r="B28" s="33" t="s">
        <v>50</v>
      </c>
      <c r="C28" s="33"/>
      <c r="D28" s="33"/>
      <c r="E28" s="33"/>
      <c r="F28" s="33"/>
      <c r="G28" s="33"/>
      <c r="H28" s="33"/>
      <c r="I28" s="47"/>
    </row>
    <row r="29" spans="1:12" s="1" customFormat="1" ht="13.5" x14ac:dyDescent="0.2">
      <c r="A29" s="42" t="s">
        <v>77</v>
      </c>
      <c r="B29" s="48"/>
      <c r="C29" s="48"/>
      <c r="D29" s="48"/>
      <c r="E29" s="48"/>
      <c r="F29" s="107">
        <f>SUM(F20:H28)</f>
        <v>13081.25</v>
      </c>
      <c r="G29" s="108"/>
      <c r="H29" s="109"/>
      <c r="I29" s="49">
        <f>SUM(I20:I28)</f>
        <v>1649483.0625</v>
      </c>
    </row>
    <row r="30" spans="1:12" s="1" customFormat="1" ht="15.75" x14ac:dyDescent="0.2">
      <c r="A30" s="50" t="s">
        <v>78</v>
      </c>
      <c r="B30" s="51"/>
      <c r="C30" s="51"/>
      <c r="D30" s="51"/>
      <c r="E30" s="51"/>
      <c r="F30" s="110">
        <f>ROUND(F29+F19,-2)</f>
        <v>13800</v>
      </c>
      <c r="G30" s="110"/>
      <c r="H30" s="110"/>
      <c r="I30" s="52">
        <f>ROUND(I29+I19,-4)</f>
        <v>1740000</v>
      </c>
      <c r="J30" s="15"/>
      <c r="K30" s="1" t="s">
        <v>79</v>
      </c>
      <c r="L30" s="1" t="s">
        <v>80</v>
      </c>
    </row>
    <row r="31" spans="1:12" s="1" customFormat="1" ht="15.75" x14ac:dyDescent="0.2">
      <c r="A31" s="53" t="s">
        <v>81</v>
      </c>
      <c r="B31" s="54"/>
      <c r="C31" s="54"/>
      <c r="D31" s="54"/>
      <c r="E31" s="54"/>
      <c r="F31" s="54"/>
      <c r="G31" s="54"/>
      <c r="H31" s="54"/>
      <c r="I31" s="55">
        <f>ROUND('Capital O&amp;M'!G9,-4)</f>
        <v>1090000</v>
      </c>
      <c r="K31" s="56">
        <f>Responses!E8</f>
        <v>260</v>
      </c>
      <c r="L31" s="56">
        <f>F30/K31</f>
        <v>53.07692307692308</v>
      </c>
    </row>
    <row r="32" spans="1:12" s="1" customFormat="1" ht="15.75" x14ac:dyDescent="0.2">
      <c r="A32" s="57" t="s">
        <v>82</v>
      </c>
      <c r="B32" s="58"/>
      <c r="C32" s="58"/>
      <c r="D32" s="58"/>
      <c r="E32" s="58"/>
      <c r="F32" s="58"/>
      <c r="G32" s="58"/>
      <c r="H32" s="58"/>
      <c r="I32" s="59">
        <f>(ROUND(SUM(I30:I31),-4))</f>
        <v>2830000</v>
      </c>
    </row>
    <row r="33" spans="1:9" s="1" customFormat="1" ht="12.75" x14ac:dyDescent="0.2">
      <c r="A33" s="60"/>
      <c r="B33" s="60"/>
      <c r="C33" s="60"/>
      <c r="D33" s="60"/>
      <c r="E33" s="60"/>
      <c r="F33" s="60"/>
      <c r="G33" s="61"/>
      <c r="H33" s="61"/>
      <c r="I33" s="60"/>
    </row>
    <row r="34" spans="1:9" s="1" customFormat="1" ht="12.75" x14ac:dyDescent="0.2">
      <c r="A34" s="62" t="s">
        <v>13</v>
      </c>
      <c r="B34" s="63"/>
      <c r="C34" s="63"/>
      <c r="D34" s="63"/>
      <c r="E34" s="63"/>
      <c r="F34" s="63"/>
      <c r="G34" s="63"/>
      <c r="H34" s="63"/>
      <c r="I34" s="63"/>
    </row>
    <row r="35" spans="1:9" ht="48.75" customHeight="1" x14ac:dyDescent="0.25">
      <c r="A35" s="99" t="s">
        <v>83</v>
      </c>
      <c r="B35" s="99"/>
      <c r="C35" s="99"/>
      <c r="D35" s="99"/>
      <c r="E35" s="99"/>
      <c r="F35" s="99"/>
      <c r="G35" s="99"/>
      <c r="H35" s="99"/>
      <c r="I35" s="99"/>
    </row>
    <row r="36" spans="1:9" ht="69" customHeight="1" x14ac:dyDescent="0.25">
      <c r="A36" s="101" t="s">
        <v>128</v>
      </c>
      <c r="B36" s="101"/>
      <c r="C36" s="101"/>
      <c r="D36" s="101"/>
      <c r="E36" s="101"/>
      <c r="F36" s="101"/>
      <c r="G36" s="101"/>
      <c r="H36" s="101"/>
      <c r="I36" s="101"/>
    </row>
    <row r="37" spans="1:9" ht="15.75" x14ac:dyDescent="0.25">
      <c r="A37" s="101" t="s">
        <v>84</v>
      </c>
      <c r="B37" s="101"/>
      <c r="C37" s="101"/>
      <c r="D37" s="101"/>
      <c r="E37" s="101"/>
      <c r="F37" s="101"/>
      <c r="G37" s="101"/>
      <c r="H37" s="101"/>
      <c r="I37" s="101"/>
    </row>
    <row r="38" spans="1:9" ht="50.25" customHeight="1" x14ac:dyDescent="0.25">
      <c r="A38" s="101" t="s">
        <v>85</v>
      </c>
      <c r="B38" s="101"/>
      <c r="C38" s="101"/>
      <c r="D38" s="101"/>
      <c r="E38" s="101"/>
      <c r="F38" s="101"/>
      <c r="G38" s="101"/>
      <c r="H38" s="101"/>
      <c r="I38" s="101"/>
    </row>
    <row r="39" spans="1:9" ht="60" customHeight="1" x14ac:dyDescent="0.25">
      <c r="A39" s="101" t="s">
        <v>86</v>
      </c>
      <c r="B39" s="101"/>
      <c r="C39" s="101"/>
      <c r="D39" s="101"/>
      <c r="E39" s="101"/>
      <c r="F39" s="101"/>
      <c r="G39" s="101"/>
      <c r="H39" s="101"/>
      <c r="I39" s="101"/>
    </row>
    <row r="40" spans="1:9" ht="15.75" x14ac:dyDescent="0.25">
      <c r="A40" s="101" t="s">
        <v>87</v>
      </c>
      <c r="B40" s="101"/>
      <c r="C40" s="101"/>
      <c r="D40" s="101"/>
      <c r="E40" s="101"/>
      <c r="F40" s="101"/>
      <c r="G40" s="101"/>
      <c r="H40" s="101"/>
      <c r="I40" s="101"/>
    </row>
    <row r="41" spans="1:9" ht="15.75" x14ac:dyDescent="0.25">
      <c r="A41" s="101" t="s">
        <v>88</v>
      </c>
      <c r="B41" s="101"/>
      <c r="C41" s="101"/>
      <c r="D41" s="101"/>
      <c r="E41" s="101"/>
      <c r="F41" s="101"/>
      <c r="G41" s="101"/>
      <c r="H41" s="101"/>
      <c r="I41" s="101"/>
    </row>
    <row r="42" spans="1:9" ht="23.25" customHeight="1" x14ac:dyDescent="0.25">
      <c r="A42" s="99" t="s">
        <v>89</v>
      </c>
      <c r="B42" s="99"/>
      <c r="C42" s="99"/>
      <c r="D42" s="99"/>
      <c r="E42" s="99"/>
      <c r="F42" s="99"/>
      <c r="G42" s="99"/>
      <c r="H42" s="99"/>
      <c r="I42" s="99"/>
    </row>
    <row r="43" spans="1:9" ht="24.75" customHeight="1" x14ac:dyDescent="0.25">
      <c r="A43" s="100" t="s">
        <v>90</v>
      </c>
      <c r="B43" s="100"/>
      <c r="C43" s="100"/>
      <c r="D43" s="100"/>
      <c r="E43" s="100"/>
      <c r="F43" s="100"/>
      <c r="G43" s="100"/>
      <c r="H43" s="100"/>
      <c r="I43" s="100"/>
    </row>
  </sheetData>
  <mergeCells count="14">
    <mergeCell ref="A35:I35"/>
    <mergeCell ref="A1:I1"/>
    <mergeCell ref="K4:L4"/>
    <mergeCell ref="F19:H19"/>
    <mergeCell ref="F29:H29"/>
    <mergeCell ref="F30:H30"/>
    <mergeCell ref="A42:I42"/>
    <mergeCell ref="A43:I43"/>
    <mergeCell ref="A36:I36"/>
    <mergeCell ref="A37:I37"/>
    <mergeCell ref="A38:I38"/>
    <mergeCell ref="A39:I39"/>
    <mergeCell ref="A40:I40"/>
    <mergeCell ref="A41:I4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BAA46-9D7B-4914-B6B7-D0C444089493}">
  <dimension ref="A1:L17"/>
  <sheetViews>
    <sheetView workbookViewId="0">
      <selection activeCell="A2" sqref="A2"/>
    </sheetView>
  </sheetViews>
  <sheetFormatPr defaultColWidth="9.28515625" defaultRowHeight="15" x14ac:dyDescent="0.25"/>
  <cols>
    <col min="1" max="1" width="41.28515625" style="78" bestFit="1" customWidth="1"/>
    <col min="2" max="2" width="10" style="64" customWidth="1"/>
    <col min="3" max="6" width="9.28515625" style="64"/>
    <col min="7" max="7" width="11" style="64" customWidth="1"/>
    <col min="8" max="8" width="9.28515625" style="64"/>
    <col min="9" max="9" width="11.28515625" style="64" customWidth="1"/>
    <col min="10" max="10" width="9.28515625" style="64"/>
    <col min="11" max="11" width="12.7109375" style="64" customWidth="1"/>
    <col min="12" max="16384" width="9.28515625" style="64"/>
  </cols>
  <sheetData>
    <row r="1" spans="1:12" s="28" customFormat="1" ht="15.75" x14ac:dyDescent="0.25">
      <c r="A1" s="102" t="s">
        <v>91</v>
      </c>
      <c r="B1" s="102"/>
      <c r="C1" s="102"/>
      <c r="D1" s="102"/>
      <c r="E1" s="102"/>
      <c r="F1" s="102"/>
      <c r="G1" s="102"/>
      <c r="H1" s="102"/>
      <c r="I1" s="102"/>
    </row>
    <row r="2" spans="1:12" s="1" customFormat="1" ht="12.75" x14ac:dyDescent="0.2">
      <c r="A2" s="65"/>
      <c r="K2" s="2"/>
    </row>
    <row r="3" spans="1:12" s="1" customFormat="1" ht="89.25" x14ac:dyDescent="0.2">
      <c r="A3" s="9" t="s">
        <v>92</v>
      </c>
      <c r="B3" s="9" t="s">
        <v>93</v>
      </c>
      <c r="C3" s="9" t="s">
        <v>94</v>
      </c>
      <c r="D3" s="9" t="s">
        <v>95</v>
      </c>
      <c r="E3" s="9" t="s">
        <v>96</v>
      </c>
      <c r="F3" s="9" t="s">
        <v>97</v>
      </c>
      <c r="G3" s="9" t="s">
        <v>98</v>
      </c>
      <c r="H3" s="9" t="s">
        <v>99</v>
      </c>
      <c r="I3" s="9" t="s">
        <v>100</v>
      </c>
      <c r="K3" s="66"/>
    </row>
    <row r="4" spans="1:12" s="1" customFormat="1" ht="12.75" x14ac:dyDescent="0.2">
      <c r="A4" s="67" t="s">
        <v>101</v>
      </c>
      <c r="B4" s="37"/>
      <c r="C4" s="37"/>
      <c r="D4" s="37"/>
      <c r="E4" s="37"/>
      <c r="F4" s="37"/>
      <c r="G4" s="37"/>
      <c r="H4" s="37"/>
      <c r="I4" s="37"/>
      <c r="K4" s="103" t="s">
        <v>9</v>
      </c>
      <c r="L4" s="103"/>
    </row>
    <row r="5" spans="1:12" s="1" customFormat="1" ht="15.75" x14ac:dyDescent="0.2">
      <c r="A5" s="68" t="s">
        <v>102</v>
      </c>
      <c r="B5" s="37">
        <v>0.5</v>
      </c>
      <c r="C5" s="37">
        <v>1</v>
      </c>
      <c r="D5" s="69">
        <f>B5*C5</f>
        <v>0.5</v>
      </c>
      <c r="E5" s="37">
        <v>0</v>
      </c>
      <c r="F5" s="37">
        <f>D5*E5</f>
        <v>0</v>
      </c>
      <c r="G5" s="37">
        <f>F5*0.05</f>
        <v>0</v>
      </c>
      <c r="H5" s="37">
        <f>F5*0.1</f>
        <v>0</v>
      </c>
      <c r="I5" s="70">
        <f>F5*L$6+G5*L$5+H5*L$7</f>
        <v>0</v>
      </c>
      <c r="K5" s="3" t="s">
        <v>10</v>
      </c>
      <c r="L5" s="71">
        <v>73.459999999999994</v>
      </c>
    </row>
    <row r="6" spans="1:12" s="1" customFormat="1" ht="15.75" x14ac:dyDescent="0.2">
      <c r="A6" s="68" t="s">
        <v>103</v>
      </c>
      <c r="B6" s="37">
        <v>0.5</v>
      </c>
      <c r="C6" s="37">
        <v>1</v>
      </c>
      <c r="D6" s="69">
        <f>B6*C6</f>
        <v>0.5</v>
      </c>
      <c r="E6" s="37">
        <v>0</v>
      </c>
      <c r="F6" s="37">
        <f>D6*E6</f>
        <v>0</v>
      </c>
      <c r="G6" s="37">
        <f>F6*0.05</f>
        <v>0</v>
      </c>
      <c r="H6" s="37">
        <f>F6*0.1</f>
        <v>0</v>
      </c>
      <c r="I6" s="70">
        <f>F6*L$6+G6*L$5+H6*L$7</f>
        <v>0</v>
      </c>
      <c r="K6" s="3" t="s">
        <v>19</v>
      </c>
      <c r="L6" s="71">
        <v>54.51</v>
      </c>
    </row>
    <row r="7" spans="1:12" s="1" customFormat="1" ht="15.75" x14ac:dyDescent="0.2">
      <c r="A7" s="68" t="s">
        <v>104</v>
      </c>
      <c r="B7" s="37">
        <v>1.5</v>
      </c>
      <c r="C7" s="37">
        <v>2</v>
      </c>
      <c r="D7" s="69">
        <f>B7*C7</f>
        <v>3</v>
      </c>
      <c r="E7" s="37">
        <f>Respondents!F8</f>
        <v>130</v>
      </c>
      <c r="F7" s="37">
        <f>D7*E7</f>
        <v>390</v>
      </c>
      <c r="G7" s="72">
        <f>F7*0.05</f>
        <v>19.5</v>
      </c>
      <c r="H7" s="37">
        <f>F7*0.1</f>
        <v>39</v>
      </c>
      <c r="I7" s="73">
        <f>F7*L$6+G7*L$5+H7*L$7</f>
        <v>23841.87</v>
      </c>
      <c r="K7" s="3" t="s">
        <v>12</v>
      </c>
      <c r="L7" s="71">
        <v>29.5</v>
      </c>
    </row>
    <row r="8" spans="1:12" s="1" customFormat="1" ht="15.75" x14ac:dyDescent="0.2">
      <c r="A8" s="74" t="s">
        <v>105</v>
      </c>
      <c r="B8" s="75"/>
      <c r="C8" s="75"/>
      <c r="D8" s="75"/>
      <c r="E8" s="75"/>
      <c r="F8" s="113">
        <f>ROUND(SUM(F4:H7),0)</f>
        <v>449</v>
      </c>
      <c r="G8" s="113"/>
      <c r="H8" s="113"/>
      <c r="I8" s="76">
        <f>ROUND(SUM(I4:I7),-2)</f>
        <v>23800</v>
      </c>
    </row>
    <row r="9" spans="1:12" s="1" customFormat="1" ht="12.75" x14ac:dyDescent="0.2">
      <c r="A9" s="65"/>
    </row>
    <row r="10" spans="1:12" s="1" customFormat="1" ht="12.75" x14ac:dyDescent="0.2">
      <c r="A10" s="77" t="s">
        <v>13</v>
      </c>
    </row>
    <row r="11" spans="1:12" s="1" customFormat="1" ht="36" customHeight="1" x14ac:dyDescent="0.2">
      <c r="A11" s="99" t="s">
        <v>106</v>
      </c>
      <c r="B11" s="99"/>
      <c r="C11" s="99"/>
      <c r="D11" s="99"/>
      <c r="E11" s="99"/>
      <c r="F11" s="99"/>
      <c r="G11" s="99"/>
      <c r="H11" s="99"/>
      <c r="I11" s="99"/>
    </row>
    <row r="12" spans="1:12" s="1" customFormat="1" ht="60.6" customHeight="1" x14ac:dyDescent="0.2">
      <c r="A12" s="114" t="s">
        <v>134</v>
      </c>
      <c r="B12" s="114"/>
      <c r="C12" s="114"/>
      <c r="D12" s="114"/>
      <c r="E12" s="114"/>
      <c r="F12" s="114"/>
      <c r="G12" s="114"/>
      <c r="H12" s="114"/>
      <c r="I12" s="114"/>
    </row>
    <row r="13" spans="1:12" s="1" customFormat="1" ht="15.75" x14ac:dyDescent="0.2">
      <c r="A13" s="111" t="s">
        <v>107</v>
      </c>
      <c r="B13" s="111"/>
      <c r="C13" s="111"/>
      <c r="D13" s="111"/>
      <c r="E13" s="111"/>
      <c r="F13" s="111"/>
      <c r="G13" s="111"/>
      <c r="H13" s="111"/>
      <c r="I13" s="111"/>
    </row>
    <row r="14" spans="1:12" s="1" customFormat="1" ht="15.75" x14ac:dyDescent="0.2">
      <c r="A14" s="111" t="s">
        <v>108</v>
      </c>
      <c r="B14" s="111"/>
      <c r="C14" s="111"/>
      <c r="D14" s="111"/>
      <c r="E14" s="111"/>
      <c r="F14" s="111"/>
      <c r="G14" s="111"/>
      <c r="H14" s="111"/>
      <c r="I14" s="111"/>
    </row>
    <row r="15" spans="1:12" s="1" customFormat="1" ht="15.75" x14ac:dyDescent="0.2">
      <c r="A15" s="111" t="s">
        <v>109</v>
      </c>
      <c r="B15" s="111"/>
      <c r="C15" s="111"/>
      <c r="D15" s="111"/>
      <c r="E15" s="111"/>
      <c r="F15" s="111"/>
      <c r="G15" s="111"/>
      <c r="H15" s="111"/>
      <c r="I15" s="111"/>
    </row>
    <row r="16" spans="1:12" s="1" customFormat="1" ht="15.75" x14ac:dyDescent="0.2">
      <c r="A16" s="112" t="s">
        <v>110</v>
      </c>
      <c r="B16" s="112"/>
      <c r="C16" s="112"/>
      <c r="D16" s="112"/>
      <c r="E16" s="112"/>
      <c r="F16" s="112"/>
      <c r="G16" s="112"/>
      <c r="H16" s="112"/>
      <c r="I16" s="112"/>
    </row>
    <row r="17" spans="1:1" s="1" customFormat="1" ht="12.75" x14ac:dyDescent="0.2">
      <c r="A17" s="65"/>
    </row>
  </sheetData>
  <mergeCells count="9">
    <mergeCell ref="A14:I14"/>
    <mergeCell ref="A15:I15"/>
    <mergeCell ref="A16:I16"/>
    <mergeCell ref="A1:I1"/>
    <mergeCell ref="K4:L4"/>
    <mergeCell ref="F8:H8"/>
    <mergeCell ref="A11:I11"/>
    <mergeCell ref="A12:I12"/>
    <mergeCell ref="A13:I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79BC4-1D33-4DD1-BCC1-ADA035FC95DF}">
  <dimension ref="A1:M14"/>
  <sheetViews>
    <sheetView workbookViewId="0"/>
  </sheetViews>
  <sheetFormatPr defaultColWidth="9.28515625" defaultRowHeight="15" x14ac:dyDescent="0.25"/>
  <cols>
    <col min="1" max="7" width="14.7109375" customWidth="1"/>
    <col min="11" max="12" width="15.28515625" customWidth="1"/>
    <col min="13" max="13" width="13.7109375" customWidth="1"/>
  </cols>
  <sheetData>
    <row r="1" spans="1:13" ht="15.75" x14ac:dyDescent="0.25">
      <c r="A1" s="18"/>
      <c r="B1" s="18"/>
      <c r="C1" s="18"/>
      <c r="D1" s="18"/>
      <c r="E1" s="18"/>
      <c r="F1" s="18"/>
      <c r="G1" s="18"/>
    </row>
    <row r="2" spans="1:13" ht="15.75" x14ac:dyDescent="0.25">
      <c r="A2" s="117" t="s">
        <v>111</v>
      </c>
      <c r="B2" s="117"/>
      <c r="C2" s="117"/>
      <c r="D2" s="117"/>
      <c r="E2" s="117"/>
      <c r="F2" s="117"/>
      <c r="G2" s="117"/>
    </row>
    <row r="3" spans="1:13" ht="15.75" thickBot="1" x14ac:dyDescent="0.3">
      <c r="A3" s="5" t="s">
        <v>20</v>
      </c>
      <c r="B3" s="5" t="s">
        <v>21</v>
      </c>
      <c r="C3" s="5" t="s">
        <v>22</v>
      </c>
      <c r="D3" s="5" t="s">
        <v>23</v>
      </c>
      <c r="E3" s="5" t="s">
        <v>24</v>
      </c>
      <c r="F3" s="5" t="s">
        <v>25</v>
      </c>
      <c r="G3" s="5" t="s">
        <v>26</v>
      </c>
    </row>
    <row r="4" spans="1:13" ht="51" x14ac:dyDescent="0.25">
      <c r="A4" s="79" t="s">
        <v>27</v>
      </c>
      <c r="B4" s="79" t="s">
        <v>129</v>
      </c>
      <c r="C4" s="79" t="s">
        <v>112</v>
      </c>
      <c r="D4" s="79" t="s">
        <v>113</v>
      </c>
      <c r="E4" s="79" t="s">
        <v>130</v>
      </c>
      <c r="F4" s="79" t="s">
        <v>114</v>
      </c>
      <c r="G4" s="79" t="s">
        <v>115</v>
      </c>
      <c r="I4" s="115" t="s">
        <v>116</v>
      </c>
      <c r="J4" s="116"/>
      <c r="K4" s="80" t="s">
        <v>117</v>
      </c>
      <c r="L4" s="81" t="s">
        <v>118</v>
      </c>
      <c r="M4" s="82" t="s">
        <v>119</v>
      </c>
    </row>
    <row r="5" spans="1:13" x14ac:dyDescent="0.25">
      <c r="A5" s="8" t="s">
        <v>120</v>
      </c>
      <c r="B5" s="10">
        <f>26056*(816/468.2)</f>
        <v>45411.567706108501</v>
      </c>
      <c r="C5" s="6">
        <v>0</v>
      </c>
      <c r="D5" s="10">
        <f>B5*C5</f>
        <v>0</v>
      </c>
      <c r="E5" s="10">
        <f>1303*I6/I5</f>
        <v>2270.9269542930374</v>
      </c>
      <c r="F5" s="6">
        <f>Respondents!F8</f>
        <v>130</v>
      </c>
      <c r="G5" s="10">
        <f>E5*F5</f>
        <v>295220.50405809487</v>
      </c>
      <c r="I5" s="83">
        <v>468.2</v>
      </c>
      <c r="J5" s="84">
        <v>2005</v>
      </c>
      <c r="K5" s="85" t="s">
        <v>120</v>
      </c>
      <c r="L5" s="10">
        <v>26056</v>
      </c>
      <c r="M5" s="86">
        <v>1303</v>
      </c>
    </row>
    <row r="6" spans="1:13" ht="15.75" thickBot="1" x14ac:dyDescent="0.3">
      <c r="A6" s="8" t="s">
        <v>121</v>
      </c>
      <c r="B6" s="87">
        <f>8848*I6/I5</f>
        <v>15420.6920119607</v>
      </c>
      <c r="C6" s="6">
        <v>0</v>
      </c>
      <c r="D6" s="10">
        <f t="shared" ref="D6:D8" si="0">B6*C6</f>
        <v>0</v>
      </c>
      <c r="E6" s="10">
        <f>885*I6/I5</f>
        <v>1542.4177701836823</v>
      </c>
      <c r="F6" s="6">
        <f>Respondents!F8</f>
        <v>130</v>
      </c>
      <c r="G6" s="10">
        <f>E6*F6</f>
        <v>200514.31012387871</v>
      </c>
      <c r="I6" s="88">
        <v>816</v>
      </c>
      <c r="J6" s="89">
        <v>2022</v>
      </c>
      <c r="K6" s="85" t="s">
        <v>121</v>
      </c>
      <c r="L6" s="17">
        <v>8848</v>
      </c>
      <c r="M6" s="86">
        <v>885</v>
      </c>
    </row>
    <row r="7" spans="1:13" x14ac:dyDescent="0.25">
      <c r="A7" s="8" t="s">
        <v>122</v>
      </c>
      <c r="B7" s="87">
        <f>13028*I6/I5</f>
        <v>22705.78385305425</v>
      </c>
      <c r="C7" s="6">
        <v>0</v>
      </c>
      <c r="D7" s="10">
        <f t="shared" si="0"/>
        <v>0</v>
      </c>
      <c r="E7" s="10">
        <f>1303*I6/I5</f>
        <v>2270.9269542930374</v>
      </c>
      <c r="F7" s="6">
        <f>Respondents!F8</f>
        <v>130</v>
      </c>
      <c r="G7" s="10">
        <f>E7*F7</f>
        <v>295220.50405809487</v>
      </c>
      <c r="K7" s="85" t="s">
        <v>122</v>
      </c>
      <c r="L7" s="17">
        <v>13028</v>
      </c>
      <c r="M7" s="86">
        <v>1303</v>
      </c>
    </row>
    <row r="8" spans="1:13" ht="15.75" thickBot="1" x14ac:dyDescent="0.3">
      <c r="A8" s="8" t="s">
        <v>123</v>
      </c>
      <c r="B8" s="87">
        <f>6107*I6/I5</f>
        <v>10643.554036736437</v>
      </c>
      <c r="C8" s="6">
        <v>0</v>
      </c>
      <c r="D8" s="10">
        <f t="shared" si="0"/>
        <v>0</v>
      </c>
      <c r="E8" s="10">
        <f>1303*I6/I5</f>
        <v>2270.9269542930374</v>
      </c>
      <c r="F8" s="6">
        <f>Respondents!F8</f>
        <v>130</v>
      </c>
      <c r="G8" s="10">
        <f>E8*F8</f>
        <v>295220.50405809487</v>
      </c>
      <c r="K8" s="90" t="s">
        <v>123</v>
      </c>
      <c r="L8" s="91">
        <v>6107</v>
      </c>
      <c r="M8" s="92">
        <v>1303</v>
      </c>
    </row>
    <row r="9" spans="1:13" ht="15.75" x14ac:dyDescent="0.25">
      <c r="A9" s="11" t="s">
        <v>132</v>
      </c>
      <c r="B9" s="9"/>
      <c r="C9" s="9"/>
      <c r="D9" s="93">
        <f>SUM(D5:D8)</f>
        <v>0</v>
      </c>
      <c r="E9" s="9"/>
      <c r="F9" s="9"/>
      <c r="G9" s="12">
        <f>ROUND(SUM(G5:G8),-4)</f>
        <v>1090000</v>
      </c>
    </row>
    <row r="10" spans="1:13" ht="15.75" x14ac:dyDescent="0.25">
      <c r="A10" s="97" t="s">
        <v>133</v>
      </c>
    </row>
    <row r="11" spans="1:13" ht="15.75" x14ac:dyDescent="0.25">
      <c r="A11" s="94" t="s">
        <v>131</v>
      </c>
    </row>
    <row r="12" spans="1:13" ht="15.75" x14ac:dyDescent="0.25">
      <c r="A12" s="94"/>
    </row>
    <row r="13" spans="1:13" ht="15.75" x14ac:dyDescent="0.25">
      <c r="A13" s="95"/>
      <c r="B13" s="95"/>
      <c r="C13" s="95"/>
      <c r="D13" s="95"/>
      <c r="E13" s="95"/>
      <c r="F13" s="95"/>
    </row>
    <row r="14" spans="1:13" ht="15.75" x14ac:dyDescent="0.25">
      <c r="A14" s="95"/>
    </row>
  </sheetData>
  <mergeCells count="2">
    <mergeCell ref="I4:J4"/>
    <mergeCell ref="A2:G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E12"/>
  <sheetViews>
    <sheetView zoomScaleNormal="100" workbookViewId="0">
      <selection activeCell="E8" sqref="E8"/>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5" s="4" customFormat="1" ht="15.75" x14ac:dyDescent="0.2">
      <c r="A1" s="117" t="s">
        <v>6</v>
      </c>
      <c r="B1" s="117"/>
      <c r="C1" s="117"/>
      <c r="D1" s="117"/>
      <c r="E1" s="117"/>
    </row>
    <row r="2" spans="1:5" s="4" customFormat="1" ht="12.75" x14ac:dyDescent="0.2">
      <c r="A2" s="5" t="s">
        <v>20</v>
      </c>
      <c r="B2" s="5" t="s">
        <v>21</v>
      </c>
      <c r="C2" s="5" t="s">
        <v>22</v>
      </c>
      <c r="D2" s="5" t="s">
        <v>23</v>
      </c>
      <c r="E2" s="5" t="s">
        <v>24</v>
      </c>
    </row>
    <row r="3" spans="1:5" s="4" customFormat="1" ht="102" x14ac:dyDescent="0.2">
      <c r="A3" s="5" t="s">
        <v>28</v>
      </c>
      <c r="B3" s="5" t="s">
        <v>29</v>
      </c>
      <c r="C3" s="5" t="s">
        <v>30</v>
      </c>
      <c r="D3" s="5" t="s">
        <v>31</v>
      </c>
      <c r="E3" s="5" t="s">
        <v>32</v>
      </c>
    </row>
    <row r="4" spans="1:5" s="4" customFormat="1" ht="38.25" x14ac:dyDescent="0.2">
      <c r="A4" s="79" t="s">
        <v>124</v>
      </c>
      <c r="B4" s="5">
        <v>0</v>
      </c>
      <c r="C4" s="5">
        <v>1</v>
      </c>
      <c r="D4" s="5">
        <v>0</v>
      </c>
      <c r="E4" s="5">
        <f>B4*C4+D4</f>
        <v>0</v>
      </c>
    </row>
    <row r="5" spans="1:5" s="4" customFormat="1" ht="25.5" x14ac:dyDescent="0.2">
      <c r="A5" s="79" t="s">
        <v>33</v>
      </c>
      <c r="B5" s="5">
        <v>0</v>
      </c>
      <c r="C5" s="5">
        <v>1</v>
      </c>
      <c r="D5" s="5">
        <v>0</v>
      </c>
      <c r="E5" s="5">
        <f t="shared" ref="E5:E6" si="0">B5*C5+D5</f>
        <v>0</v>
      </c>
    </row>
    <row r="6" spans="1:5" s="4" customFormat="1" ht="12.75" x14ac:dyDescent="0.2">
      <c r="A6" s="79" t="s">
        <v>125</v>
      </c>
      <c r="B6" s="5">
        <v>0</v>
      </c>
      <c r="C6" s="5">
        <v>1</v>
      </c>
      <c r="D6" s="5">
        <v>0</v>
      </c>
      <c r="E6" s="5">
        <f t="shared" si="0"/>
        <v>0</v>
      </c>
    </row>
    <row r="7" spans="1:5" s="4" customFormat="1" ht="12.75" x14ac:dyDescent="0.2">
      <c r="A7" s="79" t="s">
        <v>34</v>
      </c>
      <c r="B7" s="5">
        <f>Respondents!F8</f>
        <v>130</v>
      </c>
      <c r="C7" s="5">
        <v>2</v>
      </c>
      <c r="D7" s="5">
        <v>0</v>
      </c>
      <c r="E7" s="5">
        <f>B7*C7+D7</f>
        <v>260</v>
      </c>
    </row>
    <row r="8" spans="1:5" s="4" customFormat="1" ht="12.75" x14ac:dyDescent="0.2">
      <c r="A8" s="8"/>
      <c r="B8" s="6"/>
      <c r="C8" s="6"/>
      <c r="D8" s="9" t="s">
        <v>35</v>
      </c>
      <c r="E8" s="19">
        <f>SUM(E4:E7)</f>
        <v>260</v>
      </c>
    </row>
    <row r="9" spans="1:5" s="4" customFormat="1" ht="12.75" x14ac:dyDescent="0.2">
      <c r="A9" s="20"/>
      <c r="B9" s="21"/>
      <c r="C9" s="21"/>
      <c r="D9" s="22"/>
      <c r="E9" s="23"/>
    </row>
    <row r="10" spans="1:5" s="4" customFormat="1" ht="12.75" x14ac:dyDescent="0.2">
      <c r="A10" s="16"/>
      <c r="B10" s="16"/>
      <c r="C10" s="16"/>
      <c r="D10" s="16"/>
      <c r="E10" s="16"/>
    </row>
    <row r="11" spans="1:5" s="4" customFormat="1" ht="12.75" x14ac:dyDescent="0.2">
      <c r="A11" s="16"/>
      <c r="B11" s="16"/>
      <c r="C11" s="16"/>
      <c r="D11" s="16"/>
      <c r="E11" s="16"/>
    </row>
    <row r="12" spans="1:5" s="4" customFormat="1" ht="12.75" x14ac:dyDescent="0.2">
      <c r="A12" s="96"/>
      <c r="B12" s="96"/>
      <c r="C12" s="96"/>
      <c r="D12" s="96"/>
      <c r="E12" s="96"/>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activeCell="D11" sqref="D11"/>
    </sheetView>
  </sheetViews>
  <sheetFormatPr defaultColWidth="17.7109375" defaultRowHeight="31.9" customHeight="1" x14ac:dyDescent="0.25"/>
  <sheetData>
    <row r="1" spans="1:6" s="4" customFormat="1" ht="31.9" customHeight="1" x14ac:dyDescent="0.2">
      <c r="A1" s="117" t="s">
        <v>2</v>
      </c>
      <c r="B1" s="117"/>
      <c r="C1" s="117"/>
      <c r="D1" s="117"/>
      <c r="E1" s="117"/>
      <c r="F1" s="117"/>
    </row>
    <row r="2" spans="1:6" s="4" customFormat="1" ht="31.9" customHeight="1" x14ac:dyDescent="0.2">
      <c r="A2" s="13"/>
      <c r="B2" s="118" t="s">
        <v>36</v>
      </c>
      <c r="C2" s="118"/>
      <c r="D2" s="13" t="s">
        <v>37</v>
      </c>
      <c r="E2" s="118"/>
      <c r="F2" s="118"/>
    </row>
    <row r="3" spans="1:6" s="4" customFormat="1" ht="31.9" customHeight="1" x14ac:dyDescent="0.2">
      <c r="A3" s="13"/>
      <c r="B3" s="14" t="s">
        <v>20</v>
      </c>
      <c r="C3" s="14" t="s">
        <v>21</v>
      </c>
      <c r="D3" s="14" t="s">
        <v>22</v>
      </c>
      <c r="E3" s="14" t="s">
        <v>23</v>
      </c>
      <c r="F3" s="14" t="s">
        <v>24</v>
      </c>
    </row>
    <row r="4" spans="1:6" s="4" customFormat="1" ht="70.900000000000006" customHeight="1" x14ac:dyDescent="0.2">
      <c r="A4" s="14" t="s">
        <v>38</v>
      </c>
      <c r="B4" s="13" t="s">
        <v>39</v>
      </c>
      <c r="C4" s="13" t="s">
        <v>40</v>
      </c>
      <c r="D4" s="13" t="s">
        <v>41</v>
      </c>
      <c r="E4" s="13" t="s">
        <v>42</v>
      </c>
      <c r="F4" s="13" t="s">
        <v>43</v>
      </c>
    </row>
    <row r="5" spans="1:6" s="4" customFormat="1" ht="31.9" customHeight="1" x14ac:dyDescent="0.2">
      <c r="A5" s="5">
        <v>1</v>
      </c>
      <c r="B5" s="6">
        <v>0</v>
      </c>
      <c r="C5" s="6">
        <v>130</v>
      </c>
      <c r="D5" s="6">
        <v>0</v>
      </c>
      <c r="E5" s="6">
        <v>0</v>
      </c>
      <c r="F5" s="6">
        <f>B5+C5+D5-E5</f>
        <v>130</v>
      </c>
    </row>
    <row r="6" spans="1:6" s="4" customFormat="1" ht="31.9" customHeight="1" x14ac:dyDescent="0.2">
      <c r="A6" s="5">
        <v>2</v>
      </c>
      <c r="B6" s="6">
        <v>0</v>
      </c>
      <c r="C6" s="6">
        <v>130</v>
      </c>
      <c r="D6" s="6">
        <v>0</v>
      </c>
      <c r="E6" s="6">
        <v>0</v>
      </c>
      <c r="F6" s="6">
        <f t="shared" ref="F6:F7" si="0">B6+C6+D6-E6</f>
        <v>130</v>
      </c>
    </row>
    <row r="7" spans="1:6" s="4" customFormat="1" ht="31.9" customHeight="1" x14ac:dyDescent="0.2">
      <c r="A7" s="5">
        <v>3</v>
      </c>
      <c r="B7" s="6">
        <v>0</v>
      </c>
      <c r="C7" s="6">
        <v>130</v>
      </c>
      <c r="D7" s="6">
        <v>0</v>
      </c>
      <c r="E7" s="6">
        <v>0</v>
      </c>
      <c r="F7" s="6">
        <f t="shared" si="0"/>
        <v>130</v>
      </c>
    </row>
    <row r="8" spans="1:6" s="4" customFormat="1" ht="31.9" customHeight="1" x14ac:dyDescent="0.2">
      <c r="A8" s="5" t="s">
        <v>44</v>
      </c>
      <c r="B8" s="9">
        <f t="shared" ref="B8:E8" si="1">AVERAGE(B5:B7)</f>
        <v>0</v>
      </c>
      <c r="C8" s="9">
        <f t="shared" si="1"/>
        <v>130</v>
      </c>
      <c r="D8" s="9">
        <f t="shared" si="1"/>
        <v>0</v>
      </c>
      <c r="E8" s="9">
        <f t="shared" si="1"/>
        <v>0</v>
      </c>
      <c r="F8" s="9">
        <f>AVERAGE(F5:F7)</f>
        <v>130</v>
      </c>
    </row>
    <row r="9" spans="1:6" s="4" customFormat="1" ht="20.45" customHeight="1" x14ac:dyDescent="0.2">
      <c r="A9" s="7" t="s">
        <v>126</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2024-10-23T17:06:06+00:00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3DC232D-4B5B-46C4-89EC-5B026F5B9CA8}"/>
</file>

<file path=customXml/itemProps2.xml><?xml version="1.0" encoding="utf-8"?>
<ds:datastoreItem xmlns:ds="http://schemas.openxmlformats.org/officeDocument/2006/customXml" ds:itemID="{1788708A-52BB-4D0F-B232-80F9E123F19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4.xml><?xml version="1.0" encoding="utf-8"?>
<ds:datastoreItem xmlns:ds="http://schemas.openxmlformats.org/officeDocument/2006/customXml" ds:itemID="{367752F3-A363-490D-91C8-6B82AF6C8C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2023-11-16T18:04:56Z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ies>
</file>