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S:\Tracy\ICRs - SPPD\FY2024\1053.14 Electric Utility Steam Generating NSPS\Send to EPA\"/>
    </mc:Choice>
  </mc:AlternateContent>
  <xr:revisionPtr revIDLastSave="1" documentId="13_ncr:1_{6C435D20-3696-4BA2-BB1E-F68047DF577E}" xr6:coauthVersionLast="47" xr6:coauthVersionMax="47" xr10:uidLastSave="{30C77968-DE3E-4959-BA51-C7F9F79F0CD8}"/>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6" l="1"/>
  <c r="E10" i="5"/>
  <c r="E9" i="5"/>
  <c r="E8" i="5"/>
  <c r="G5" i="3" l="1"/>
  <c r="G6" i="3"/>
  <c r="D5" i="3"/>
  <c r="I15" i="2"/>
  <c r="F15" i="2"/>
  <c r="I14" i="2"/>
  <c r="I13" i="2"/>
  <c r="I11" i="2"/>
  <c r="I10" i="2"/>
  <c r="I9" i="2"/>
  <c r="I8" i="2"/>
  <c r="I6" i="2"/>
  <c r="I5" i="2"/>
  <c r="F13" i="2"/>
  <c r="D13" i="2"/>
  <c r="E14" i="2"/>
  <c r="E13" i="2"/>
  <c r="F22" i="1"/>
  <c r="E21" i="1" l="1"/>
  <c r="E20" i="1"/>
  <c r="I28" i="1"/>
  <c r="I21" i="1"/>
  <c r="I20" i="1"/>
  <c r="I18" i="1"/>
  <c r="I17" i="1"/>
  <c r="I16" i="1"/>
  <c r="I15" i="1"/>
  <c r="I11" i="1"/>
  <c r="I10" i="1"/>
  <c r="I9" i="1"/>
  <c r="I7" i="1"/>
  <c r="E5" i="3" l="1"/>
  <c r="B5" i="3" l="1"/>
  <c r="D20" i="1" l="1"/>
  <c r="I33" i="1"/>
  <c r="D6" i="3"/>
  <c r="B7" i="6"/>
  <c r="B3" i="6"/>
  <c r="E5" i="5"/>
  <c r="E6" i="5"/>
  <c r="E7" i="5"/>
  <c r="E4" i="5"/>
  <c r="D28" i="1"/>
  <c r="F28" i="1" s="1"/>
  <c r="G28" i="1" s="1"/>
  <c r="D21" i="1"/>
  <c r="D18" i="1"/>
  <c r="F18" i="1" s="1"/>
  <c r="D17" i="1"/>
  <c r="F17" i="1" s="1"/>
  <c r="D16" i="1"/>
  <c r="F16" i="1" s="1"/>
  <c r="D15" i="1"/>
  <c r="F15" i="1" s="1"/>
  <c r="D11" i="1"/>
  <c r="F11" i="1" s="1"/>
  <c r="D10" i="1"/>
  <c r="F10" i="1" s="1"/>
  <c r="D9" i="1"/>
  <c r="F9" i="1" s="1"/>
  <c r="D7" i="1"/>
  <c r="F7" i="1" s="1"/>
  <c r="F14" i="2"/>
  <c r="H14" i="2" s="1"/>
  <c r="D14" i="2"/>
  <c r="D11" i="2"/>
  <c r="F11" i="2" s="1"/>
  <c r="G10" i="2"/>
  <c r="F10" i="2"/>
  <c r="D10" i="2"/>
  <c r="D9" i="2"/>
  <c r="F9" i="2" s="1"/>
  <c r="D8" i="2"/>
  <c r="F8" i="2" s="1"/>
  <c r="D6" i="2"/>
  <c r="F6" i="2" s="1"/>
  <c r="D5" i="2"/>
  <c r="F5" i="2" s="1"/>
  <c r="H5" i="2" s="1"/>
  <c r="B6" i="6" l="1"/>
  <c r="I34" i="1"/>
  <c r="G13" i="2"/>
  <c r="F21" i="1"/>
  <c r="G17" i="1"/>
  <c r="H17" i="1"/>
  <c r="F20" i="1"/>
  <c r="H28" i="1"/>
  <c r="F31" i="1" s="1"/>
  <c r="H15" i="1"/>
  <c r="G15" i="1"/>
  <c r="H21" i="1"/>
  <c r="G21" i="1"/>
  <c r="H10" i="1"/>
  <c r="G10" i="1"/>
  <c r="H11" i="1"/>
  <c r="G11" i="1"/>
  <c r="H20" i="1"/>
  <c r="G20" i="1"/>
  <c r="H16" i="1"/>
  <c r="G16" i="1"/>
  <c r="H9" i="1"/>
  <c r="G9" i="1"/>
  <c r="G7" i="1"/>
  <c r="I31" i="1"/>
  <c r="H7" i="1"/>
  <c r="G18" i="1"/>
  <c r="H18" i="1"/>
  <c r="H11" i="2"/>
  <c r="G11" i="2"/>
  <c r="H6" i="2"/>
  <c r="G6" i="2"/>
  <c r="H8" i="2"/>
  <c r="G8" i="2"/>
  <c r="H9" i="2"/>
  <c r="G9" i="2"/>
  <c r="G5" i="2"/>
  <c r="G14" i="2"/>
  <c r="H10" i="2"/>
  <c r="H13" i="2" l="1"/>
  <c r="F32" i="1"/>
  <c r="M31" i="1" s="1"/>
  <c r="I22" i="1"/>
  <c r="I32" i="1" s="1"/>
  <c r="B5" i="6" s="1"/>
  <c r="I6" i="3" l="1"/>
  <c r="B2" i="6" l="1"/>
</calcChain>
</file>

<file path=xl/sharedStrings.xml><?xml version="1.0" encoding="utf-8"?>
<sst xmlns="http://schemas.openxmlformats.org/spreadsheetml/2006/main" count="163" uniqueCount="138">
  <si>
    <t>ICR Summary Information</t>
  </si>
  <si>
    <t>Hours per Response</t>
  </si>
  <si>
    <t>Number of Respondents</t>
  </si>
  <si>
    <t>Total Estimated Burden Hours</t>
  </si>
  <si>
    <t>Total Estimated Costs</t>
  </si>
  <si>
    <t>Annualized Capital O&amp;M</t>
  </si>
  <si>
    <t>Total Annual Responses</t>
  </si>
  <si>
    <t>Form Number</t>
  </si>
  <si>
    <t>Not Applicable</t>
  </si>
  <si>
    <t>Table 1: Annual Respondent Burden and Cost –  NSPS for Electric Utility Steam Generating Units (40 CFR Part 60, Subpart Da) (Renewal)</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</si>
  <si>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</si>
  <si>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</si>
  <si>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</si>
  <si>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</si>
  <si>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</si>
  <si>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</si>
  <si>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</si>
  <si>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</si>
  <si>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</si>
  <si>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1.  Applications</t>
  </si>
  <si>
    <t>N/A</t>
  </si>
  <si>
    <t>Labor Rates</t>
  </si>
  <si>
    <t>2.  Survey and Studies</t>
  </si>
  <si>
    <t>Management</t>
  </si>
  <si>
    <t>3.  Reporting requirements</t>
  </si>
  <si>
    <t>Technical</t>
  </si>
  <si>
    <r>
      <t xml:space="preserve">A.  Familiarize with regulatory requirements </t>
    </r>
    <r>
      <rPr>
        <vertAlign val="superscript"/>
        <sz val="10"/>
        <color theme="1"/>
        <rFont val="Times New Roman"/>
        <family val="1"/>
      </rPr>
      <t>c</t>
    </r>
  </si>
  <si>
    <t>Clerical</t>
  </si>
  <si>
    <t>B.  Required activities</t>
  </si>
  <si>
    <t>Initial emissions tests</t>
  </si>
  <si>
    <t>Reference Method 9</t>
  </si>
  <si>
    <r>
      <t xml:space="preserve">Repeat performance test </t>
    </r>
    <r>
      <rPr>
        <vertAlign val="superscript"/>
        <sz val="10"/>
        <color theme="1"/>
        <rFont val="Times New Roman"/>
        <family val="1"/>
      </rPr>
      <t>d</t>
    </r>
  </si>
  <si>
    <t>C.  Create information</t>
  </si>
  <si>
    <t>See 3B</t>
  </si>
  <si>
    <t>D.  Gather existing information</t>
  </si>
  <si>
    <t>See 3E</t>
  </si>
  <si>
    <t>E.  Write report</t>
  </si>
  <si>
    <t>Notification of  construction/reconstruction</t>
  </si>
  <si>
    <t>Notification of actual startup</t>
  </si>
  <si>
    <t>Notification of initial performance test</t>
  </si>
  <si>
    <t>Notification of demonstration of CMS</t>
  </si>
  <si>
    <t>Report of performance test</t>
  </si>
  <si>
    <r>
      <t xml:space="preserve">Semiannual report </t>
    </r>
    <r>
      <rPr>
        <vertAlign val="superscript"/>
        <sz val="10"/>
        <color theme="1"/>
        <rFont val="Times New Roman"/>
        <family val="1"/>
      </rPr>
      <t>e</t>
    </r>
  </si>
  <si>
    <r>
      <t xml:space="preserve">Quarterly report </t>
    </r>
    <r>
      <rPr>
        <vertAlign val="superscript"/>
        <sz val="10"/>
        <color theme="1"/>
        <rFont val="Times New Roman"/>
        <family val="1"/>
      </rPr>
      <t>f</t>
    </r>
  </si>
  <si>
    <t>Subtotal for Reporting Requirements</t>
  </si>
  <si>
    <t>4.  Recordkeeping requirements</t>
  </si>
  <si>
    <t>A.  Familiarize with regulatory requirements</t>
  </si>
  <si>
    <t>See 3A</t>
  </si>
  <si>
    <t>B.  Plan activities</t>
  </si>
  <si>
    <t>See 4C</t>
  </si>
  <si>
    <t>Implement activities</t>
  </si>
  <si>
    <t>Develop record system</t>
  </si>
  <si>
    <r>
      <t xml:space="preserve">C.  Time to check computer system and calibrate continuous monitor </t>
    </r>
    <r>
      <rPr>
        <vertAlign val="superscript"/>
        <sz val="10"/>
        <color theme="1"/>
        <rFont val="Times New Roman"/>
        <family val="1"/>
      </rPr>
      <t>g</t>
    </r>
  </si>
  <si>
    <t>D.  Train personnel</t>
  </si>
  <si>
    <t>E.  Audits</t>
  </si>
  <si>
    <t>Subtotal for Recordkeeping Requirements</t>
  </si>
  <si>
    <t>hr/response</t>
  </si>
  <si>
    <r>
      <t xml:space="preserve">TOTAL LABOR BURDEN AND COSTS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</si>
  <si>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</si>
  <si>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GRAND TOTAL (rounded) </t>
    </r>
    <r>
      <rPr>
        <b/>
        <vertAlign val="superscript"/>
        <sz val="10"/>
        <color theme="1"/>
        <rFont val="Times New Roman"/>
        <family val="1"/>
      </rPr>
      <t>h</t>
    </r>
  </si>
  <si>
    <t>Assumptions:</t>
  </si>
  <si>
    <r>
      <t xml:space="preserve">a </t>
    </r>
    <r>
      <rPr>
        <sz val="10"/>
        <rFont val="Times New Roman"/>
        <family val="1"/>
      </rPr>
      <t xml:space="preserve"> We have assumed that there are an average of 732 existing respondents subject to the rule and no new sources that will become subject to the rule over the three-year period of this ICR.</t>
    </r>
  </si>
  <si>
    <r>
      <t>b</t>
    </r>
    <r>
      <rPr>
        <sz val="10"/>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</si>
  <si>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10"/>
        <color theme="1"/>
        <rFont val="Times New Roman"/>
        <family val="1"/>
      </rPr>
      <t xml:space="preserve">We have assumed that all respondents will have to familiarize with the regulatory requirements each year. </t>
    </r>
  </si>
  <si>
    <r>
      <t xml:space="preserve">d </t>
    </r>
    <r>
      <rPr>
        <sz val="10"/>
        <color theme="1"/>
        <rFont val="Times New Roman"/>
        <family val="1"/>
      </rPr>
      <t xml:space="preserve"> We have assumed that 20 percent of initial performance tests will be repeated due to failure.</t>
    </r>
  </si>
  <si>
    <r>
      <t xml:space="preserve">e </t>
    </r>
    <r>
      <rPr>
        <sz val="10"/>
        <color theme="1"/>
        <rFont val="Times New Roman"/>
        <family val="1"/>
      </rPr>
      <t xml:space="preserve"> We have assumed that 80 percent of respondents will each take 8 hours two times per year to write the semiannual report.</t>
    </r>
  </si>
  <si>
    <r>
      <t xml:space="preserve">f </t>
    </r>
    <r>
      <rPr>
        <sz val="10"/>
        <color theme="1"/>
        <rFont val="Times New Roman"/>
        <family val="1"/>
      </rPr>
      <t xml:space="preserve"> We have assumed that 20 percent of respondents will each take 8 hours four times per year to write the quarterly report.</t>
    </r>
  </si>
  <si>
    <r>
      <t xml:space="preserve">g </t>
    </r>
    <r>
      <rPr>
        <sz val="10"/>
        <color theme="1"/>
        <rFont val="Times New Roman"/>
        <family val="1"/>
      </rPr>
      <t xml:space="preserve"> We have assumed that each respondent will take 30 minutes each day to check computer system and calibrate continuous monitors.</t>
    </r>
  </si>
  <si>
    <r>
      <t xml:space="preserve">h  </t>
    </r>
    <r>
      <rPr>
        <sz val="10"/>
        <color theme="1"/>
        <rFont val="Times New Roman"/>
        <family val="1"/>
      </rPr>
      <t>Totals have been rounded to 3 significant figures. Figures may not add exactly due to rounding.</t>
    </r>
  </si>
  <si>
    <t>Table 2: Average Annual EPA Burden and Cost – NSPS for Electric Utility Steam Generating Units (40 CFR Part 60, Subpart Da) (Renewal)</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</si>
  <si>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</si>
  <si>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</si>
  <si>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</si>
  <si>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</si>
  <si>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</si>
  <si>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</si>
  <si>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</si>
  <si>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</si>
  <si>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Performance tests</t>
  </si>
  <si>
    <t xml:space="preserve">  </t>
  </si>
  <si>
    <t>New plants</t>
  </si>
  <si>
    <r>
      <t xml:space="preserve">Review startup report </t>
    </r>
    <r>
      <rPr>
        <vertAlign val="superscript"/>
        <sz val="10"/>
        <color theme="1"/>
        <rFont val="Times New Roman"/>
        <family val="1"/>
      </rPr>
      <t>c</t>
    </r>
  </si>
  <si>
    <t xml:space="preserve">Technical </t>
  </si>
  <si>
    <t>Report Review</t>
  </si>
  <si>
    <t>Notification of construction/reconstruction</t>
  </si>
  <si>
    <t>Notification of initial test</t>
  </si>
  <si>
    <t>Notification of CMS demonstration</t>
  </si>
  <si>
    <t>Review excess emissions reports</t>
  </si>
  <si>
    <r>
      <t xml:space="preserve">Semiannual </t>
    </r>
    <r>
      <rPr>
        <vertAlign val="superscript"/>
        <sz val="10"/>
        <color theme="1"/>
        <rFont val="Times New Roman"/>
        <family val="1"/>
      </rPr>
      <t>d</t>
    </r>
  </si>
  <si>
    <r>
      <t xml:space="preserve">Quarterly </t>
    </r>
    <r>
      <rPr>
        <vertAlign val="superscript"/>
        <sz val="10"/>
        <color theme="1"/>
        <rFont val="Times New Roman"/>
        <family val="1"/>
      </rPr>
      <t>e</t>
    </r>
  </si>
  <si>
    <r>
      <t xml:space="preserve">TOTAL (rounded) </t>
    </r>
    <r>
      <rPr>
        <b/>
        <vertAlign val="superscript"/>
        <sz val="10"/>
        <color theme="1"/>
        <rFont val="Times New Roman"/>
        <family val="1"/>
      </rPr>
      <t>f</t>
    </r>
  </si>
  <si>
    <r>
      <t xml:space="preserve"> </t>
    </r>
    <r>
      <rPr>
        <b/>
        <sz val="10"/>
        <color theme="1"/>
        <rFont val="Times New Roman"/>
        <family val="1"/>
      </rPr>
      <t>Assumptions:</t>
    </r>
  </si>
  <si>
    <r>
      <t>a</t>
    </r>
    <r>
      <rPr>
        <sz val="10"/>
        <color theme="1"/>
        <rFont val="Times New Roman"/>
        <family val="1"/>
      </rPr>
      <t xml:space="preserve">  We have assumed that there are an average of 732 existing respondents subject to the rule and no new sources that will become subject to the rule over the three-year period of this ICR.</t>
    </r>
  </si>
  <si>
    <r>
      <t>b</t>
    </r>
    <r>
      <rPr>
        <sz val="10"/>
        <rFont val="Times New Roman"/>
        <family val="1"/>
      </rPr>
      <t xml:space="preserve">  This cost is based on the average hourly labor rate as follows: Managerial $73.46 (GS-13, Step 5, $45.91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</si>
  <si>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r>
      <t xml:space="preserve">c </t>
    </r>
    <r>
      <rPr>
        <sz val="10"/>
        <color theme="1"/>
        <rFont val="Times New Roman"/>
        <family val="1"/>
      </rPr>
      <t xml:space="preserve"> We have assumed that it will take 40 hours to review each startup report.</t>
    </r>
  </si>
  <si>
    <r>
      <t xml:space="preserve">d </t>
    </r>
    <r>
      <rPr>
        <sz val="10"/>
        <color theme="1"/>
        <rFont val="Times New Roman"/>
        <family val="1"/>
      </rPr>
      <t xml:space="preserve"> We have assumed that it will take 8 hours two times per year to review each semiannual report.</t>
    </r>
  </si>
  <si>
    <r>
      <t xml:space="preserve">e </t>
    </r>
    <r>
      <rPr>
        <sz val="10"/>
        <color theme="1"/>
        <rFont val="Times New Roman"/>
        <family val="1"/>
      </rPr>
      <t xml:space="preserve"> We have assumed that it will take 8 hours four times per year to review each the quarterly report.</t>
    </r>
  </si>
  <si>
    <r>
      <t xml:space="preserve">f  </t>
    </r>
    <r>
      <rPr>
        <sz val="10"/>
        <color theme="1"/>
        <rFont val="Times New Roman"/>
        <family val="1"/>
      </rPr>
      <t>Totals have been rounded to 3 significant figures. Figures may not add exactly due to rounding.</t>
    </r>
  </si>
  <si>
    <r>
      <t>Capital/Startup vs. Operation and Maintenance (O&amp;M) Costs</t>
    </r>
    <r>
      <rPr>
        <sz val="10"/>
        <color theme="1"/>
        <rFont val="Times New Roman"/>
        <family val="1"/>
      </rPr>
      <t> </t>
    </r>
  </si>
  <si>
    <t>(A)</t>
  </si>
  <si>
    <t>(B)</t>
  </si>
  <si>
    <t>(C)</t>
  </si>
  <si>
    <t>(D)</t>
  </si>
  <si>
    <t>(E)</t>
  </si>
  <si>
    <t>(F)</t>
  </si>
  <si>
    <t>(G)</t>
  </si>
  <si>
    <t>Continuous Monitoring Device</t>
  </si>
  <si>
    <r>
      <t>Capital/Startup Cost for One Respondent</t>
    </r>
    <r>
      <rPr>
        <b/>
        <vertAlign val="superscript"/>
        <sz val="10"/>
        <color theme="1"/>
        <rFont val="Times New Roman"/>
        <family val="1"/>
      </rPr>
      <t xml:space="preserve"> a</t>
    </r>
  </si>
  <si>
    <t xml:space="preserve">Number of New  Respondents </t>
  </si>
  <si>
    <t>Total Capital/Startup Cost,  (B X C)</t>
  </si>
  <si>
    <r>
      <t xml:space="preserve">Annual O&amp;M Costs for One Respondent </t>
    </r>
    <r>
      <rPr>
        <b/>
        <vertAlign val="superscript"/>
        <sz val="10"/>
        <color theme="1"/>
        <rFont val="Times New Roman"/>
        <family val="1"/>
      </rPr>
      <t>a</t>
    </r>
  </si>
  <si>
    <r>
      <t>Number of Respondents with O&amp;M</t>
    </r>
    <r>
      <rPr>
        <b/>
        <vertAlign val="superscript"/>
        <sz val="10"/>
        <color theme="1"/>
        <rFont val="Times New Roman"/>
        <family val="1"/>
      </rPr>
      <t xml:space="preserve"> </t>
    </r>
  </si>
  <si>
    <t>Total O&amp;M, 
(E X F)</t>
  </si>
  <si>
    <t xml:space="preserve">SO2, PM, and NOx </t>
  </si>
  <si>
    <r>
      <t>Total (rounded)</t>
    </r>
    <r>
      <rPr>
        <b/>
        <vertAlign val="superscript"/>
        <sz val="10"/>
        <color theme="1"/>
        <rFont val="Times New Roman"/>
        <family val="1"/>
      </rPr>
      <t xml:space="preserve"> b</t>
    </r>
  </si>
  <si>
    <t>Assumptions</t>
  </si>
  <si>
    <r>
      <t>a</t>
    </r>
    <r>
      <rPr>
        <sz val="10"/>
        <rFont val="Times New Roman"/>
        <family val="1"/>
      </rPr>
      <t xml:space="preserve">  Costs have been increased from 2008 to 2022 $ using the CEPCI Equipment Cost Index.</t>
    </r>
  </si>
  <si>
    <r>
      <t>b</t>
    </r>
    <r>
      <rPr>
        <sz val="10"/>
        <rFont val="Times New Roman"/>
        <family val="1"/>
      </rPr>
      <t xml:space="preserve">  Totals have been rounded to 3 significant figures. Figures may not add exactly due to rounding.</t>
    </r>
  </si>
  <si>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</si>
  <si>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</si>
  <si>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</si>
  <si>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</si>
  <si>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</si>
  <si>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construction/ reconstruction</t>
  </si>
  <si>
    <t>Notify of initial performance test</t>
  </si>
  <si>
    <t>Semiannual report</t>
  </si>
  <si>
    <t>Quarterly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</si>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</sst>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8">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sz val="9"/>
      <color theme="1"/>
      <name val="Times New Roman"/>
      <family val="1"/>
    </font>
    <font>
      <b/>
      <sz val="9"/>
      <color theme="1"/>
      <name val="Times New Roman"/>
      <family val="1"/>
    </font>
    <font>
      <b/>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164" fontId="10" fillId="0" borderId="0"/>
  </cellStyleXfs>
  <cellXfs count="113">
    <xf numFmtId="0" fontId="0" fillId="0" borderId="0" xfId="0"/>
    <xf numFmtId="0" fontId="2" fillId="0" borderId="0" xfId="0" applyFont="1"/>
    <xf numFmtId="0" fontId="8" fillId="0" borderId="0" xfId="0" applyFont="1"/>
    <xf numFmtId="164" fontId="11"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16" fillId="0" borderId="0" xfId="0" applyFont="1"/>
    <xf numFmtId="0" fontId="13" fillId="0" borderId="1" xfId="0" applyFont="1" applyBorder="1"/>
    <xf numFmtId="41" fontId="16" fillId="0" borderId="0" xfId="0" applyNumberFormat="1" applyFont="1"/>
    <xf numFmtId="164" fontId="11" fillId="0" borderId="0" xfId="1" applyFont="1" applyAlignment="1">
      <alignment wrapText="1"/>
    </xf>
    <xf numFmtId="0" fontId="20" fillId="0" borderId="0" xfId="0" applyFont="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9"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4" fillId="0" borderId="1" xfId="0" applyFont="1" applyBorder="1" applyAlignment="1">
      <alignment horizontal="center" vertical="center" wrapText="1"/>
    </xf>
    <xf numFmtId="0" fontId="13"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left" vertical="center" wrapText="1"/>
    </xf>
    <xf numFmtId="6"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left" vertical="center" wrapText="1" indent="2"/>
    </xf>
    <xf numFmtId="0" fontId="1" fillId="0" borderId="0" xfId="0" applyFont="1"/>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 fontId="2" fillId="0" borderId="1" xfId="0" applyNumberFormat="1" applyFont="1" applyBorder="1" applyAlignment="1">
      <alignment horizontal="center" vertical="center" wrapText="1"/>
    </xf>
    <xf numFmtId="3" fontId="2" fillId="0" borderId="0" xfId="0" applyNumberFormat="1" applyFont="1"/>
    <xf numFmtId="0" fontId="3" fillId="0" borderId="0" xfId="0" applyFont="1"/>
    <xf numFmtId="0" fontId="21" fillId="0" borderId="0" xfId="0" applyFont="1" applyAlignment="1">
      <alignment vertical="top" wrapText="1"/>
    </xf>
    <xf numFmtId="41" fontId="9" fillId="0" borderId="0" xfId="0" applyNumberFormat="1" applyFont="1"/>
    <xf numFmtId="0" fontId="18"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13" fillId="0" borderId="0" xfId="0" applyFont="1" applyAlignment="1">
      <alignment vertical="top"/>
    </xf>
    <xf numFmtId="3" fontId="2" fillId="0" borderId="1" xfId="0" applyNumberFormat="1" applyFont="1" applyBorder="1" applyAlignment="1">
      <alignment horizontal="center" vertical="center" wrapText="1"/>
    </xf>
    <xf numFmtId="164" fontId="8" fillId="0" borderId="0" xfId="1" applyFont="1" applyAlignment="1">
      <alignment vertical="center"/>
    </xf>
    <xf numFmtId="164" fontId="8" fillId="0" borderId="0" xfId="1" applyFont="1"/>
    <xf numFmtId="0" fontId="23" fillId="0" borderId="0" xfId="0" applyFont="1" applyAlignment="1">
      <alignment vertical="center" wrapText="1"/>
    </xf>
    <xf numFmtId="0" fontId="24" fillId="0" borderId="0" xfId="0" applyFont="1" applyAlignment="1">
      <alignment vertical="center" wrapText="1"/>
    </xf>
    <xf numFmtId="0" fontId="2" fillId="0" borderId="0" xfId="0" applyFont="1" applyAlignment="1">
      <alignment horizontal="center" vertical="center" wrapText="1"/>
    </xf>
    <xf numFmtId="6" fontId="20" fillId="0" borderId="0" xfId="0" applyNumberFormat="1" applyFont="1"/>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3" fontId="0" fillId="0" borderId="0" xfId="0" applyNumberFormat="1"/>
    <xf numFmtId="6" fontId="0" fillId="0" borderId="0" xfId="0" applyNumberFormat="1"/>
    <xf numFmtId="1" fontId="0" fillId="0" borderId="0" xfId="0" applyNumberFormat="1"/>
    <xf numFmtId="8" fontId="2" fillId="0" borderId="0" xfId="0" applyNumberFormat="1" applyFont="1"/>
    <xf numFmtId="0" fontId="23" fillId="0" borderId="0" xfId="0" applyFont="1" applyAlignment="1">
      <alignment vertical="center"/>
    </xf>
    <xf numFmtId="0" fontId="23" fillId="0" borderId="0" xfId="0" applyFont="1" applyAlignment="1">
      <alignment horizontal="left" vertical="center" indent="5"/>
    </xf>
    <xf numFmtId="0" fontId="2" fillId="0" borderId="1" xfId="0" applyFont="1" applyBorder="1" applyAlignment="1">
      <alignment vertical="top" wrapText="1"/>
    </xf>
    <xf numFmtId="6" fontId="2" fillId="0" borderId="1" xfId="0" applyNumberFormat="1" applyFont="1" applyBorder="1" applyAlignment="1">
      <alignment horizontal="right" vertical="center" wrapText="1"/>
    </xf>
    <xf numFmtId="1" fontId="2" fillId="0" borderId="1" xfId="0" applyNumberFormat="1" applyFont="1" applyBorder="1" applyAlignment="1">
      <alignment vertical="top" wrapText="1"/>
    </xf>
    <xf numFmtId="6" fontId="3" fillId="0" borderId="1" xfId="0" applyNumberFormat="1" applyFont="1" applyBorder="1" applyAlignment="1">
      <alignment horizontal="right" vertical="center" wrapText="1"/>
    </xf>
    <xf numFmtId="0" fontId="24" fillId="0" borderId="0" xfId="0" applyFont="1" applyAlignment="1">
      <alignment horizontal="left" vertical="center" indent="10"/>
    </xf>
    <xf numFmtId="0" fontId="6" fillId="0" borderId="1" xfId="0" applyFont="1" applyBorder="1" applyAlignment="1">
      <alignment vertical="center" wrapText="1"/>
    </xf>
    <xf numFmtId="0" fontId="0" fillId="0" borderId="1" xfId="0" applyBorder="1"/>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2" fillId="0" borderId="0" xfId="0" applyNumberFormat="1" applyFont="1" applyAlignment="1">
      <alignment horizontal="left" vertical="top" wrapText="1" indent="1"/>
    </xf>
    <xf numFmtId="0" fontId="21" fillId="0" borderId="0" xfId="0" applyFont="1" applyAlignment="1">
      <alignment horizontal="left" vertical="top" wrapText="1" indent="1"/>
    </xf>
    <xf numFmtId="0" fontId="21" fillId="0" borderId="0" xfId="0" applyFont="1"/>
    <xf numFmtId="0" fontId="3" fillId="0" borderId="0" xfId="0" applyFont="1" applyAlignment="1">
      <alignment vertical="center" wrapText="1"/>
    </xf>
    <xf numFmtId="0" fontId="17" fillId="0" borderId="0" xfId="0" applyFont="1" applyAlignment="1">
      <alignment vertical="center" wrapText="1"/>
    </xf>
    <xf numFmtId="0" fontId="9" fillId="0" borderId="0" xfId="0" applyFont="1" applyAlignment="1">
      <alignment wrapText="1"/>
    </xf>
    <xf numFmtId="165" fontId="24" fillId="0" borderId="0" xfId="0" applyNumberFormat="1" applyFont="1" applyAlignment="1">
      <alignment horizontal="left" vertical="center" indent="10"/>
    </xf>
    <xf numFmtId="8" fontId="9" fillId="0" borderId="1" xfId="0" applyNumberFormat="1" applyFont="1" applyBorder="1" applyAlignment="1">
      <alignment horizontal="right" vertical="center" wrapText="1"/>
    </xf>
    <xf numFmtId="6" fontId="9" fillId="0" borderId="1" xfId="0" applyNumberFormat="1" applyFont="1" applyBorder="1" applyAlignment="1">
      <alignment horizontal="right" vertical="center" wrapText="1"/>
    </xf>
    <xf numFmtId="6" fontId="27" fillId="0" borderId="1" xfId="0" applyNumberFormat="1" applyFont="1" applyBorder="1" applyAlignment="1">
      <alignment horizontal="right" vertical="center" wrapText="1"/>
    </xf>
    <xf numFmtId="0" fontId="1" fillId="0" borderId="3" xfId="0" applyFont="1" applyBorder="1" applyAlignment="1">
      <alignment horizontal="left"/>
    </xf>
    <xf numFmtId="0" fontId="0" fillId="0" borderId="3" xfId="0" applyBorder="1"/>
    <xf numFmtId="0" fontId="17" fillId="0" borderId="0" xfId="0" applyFont="1" applyAlignment="1">
      <alignment vertical="center"/>
    </xf>
    <xf numFmtId="3" fontId="2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vertical="center" wrapText="1"/>
    </xf>
    <xf numFmtId="0" fontId="0" fillId="0" borderId="0" xfId="0" applyAlignment="1">
      <alignment horizontal="center"/>
    </xf>
    <xf numFmtId="0" fontId="17" fillId="0" borderId="0" xfId="0" applyFont="1" applyAlignment="1">
      <alignment horizontal="left" vertical="top" wrapText="1"/>
    </xf>
    <xf numFmtId="0" fontId="9" fillId="0" borderId="0" xfId="0" applyFont="1" applyAlignment="1">
      <alignment horizontal="left" vertical="top" wrapText="1"/>
    </xf>
    <xf numFmtId="0" fontId="13" fillId="0" borderId="1" xfId="0" applyFont="1" applyBorder="1" applyAlignment="1">
      <alignment horizontal="center"/>
    </xf>
    <xf numFmtId="3" fontId="3" fillId="0" borderId="1" xfId="0" applyNumberFormat="1"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left" vertical="center" wrapText="1"/>
    </xf>
    <xf numFmtId="0" fontId="17" fillId="0" borderId="0" xfId="0" applyFont="1" applyAlignment="1">
      <alignment horizontal="lef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G9" sqref="G9"/>
    </sheetView>
  </sheetViews>
  <sheetFormatPr defaultRowHeight="15"/>
  <cols>
    <col min="1" max="1" width="27.85546875" bestFit="1" customWidth="1"/>
    <col min="2" max="2" width="16.5703125" customWidth="1"/>
  </cols>
  <sheetData>
    <row r="1" spans="1:2">
      <c r="A1" s="100" t="s">
        <v>0</v>
      </c>
      <c r="B1" s="100"/>
    </row>
    <row r="2" spans="1:2">
      <c r="A2" t="s">
        <v>1</v>
      </c>
      <c r="B2" s="69">
        <f>'Table 1'!M31</f>
        <v>97.380410022779046</v>
      </c>
    </row>
    <row r="3" spans="1:2">
      <c r="A3" t="s">
        <v>2</v>
      </c>
      <c r="B3">
        <f>Respondents!F8</f>
        <v>732</v>
      </c>
    </row>
    <row r="4" spans="1:2">
      <c r="A4" t="s">
        <v>3</v>
      </c>
      <c r="B4" s="67">
        <f>'Table 1'!F32</f>
        <v>171000</v>
      </c>
    </row>
    <row r="5" spans="1:2">
      <c r="A5" t="s">
        <v>4</v>
      </c>
      <c r="B5" s="68">
        <f>'Table 1'!I34</f>
        <v>37100000</v>
      </c>
    </row>
    <row r="6" spans="1:2">
      <c r="A6" t="s">
        <v>5</v>
      </c>
      <c r="B6" s="68">
        <f>'Table 1'!I33</f>
        <v>15600000</v>
      </c>
    </row>
    <row r="7" spans="1:2">
      <c r="A7" t="s">
        <v>6</v>
      </c>
      <c r="B7" s="69">
        <f>Responses!E10</f>
        <v>1756</v>
      </c>
    </row>
    <row r="8" spans="1:2">
      <c r="A8" t="s">
        <v>7</v>
      </c>
      <c r="B8" t="s">
        <v>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59"/>
  <sheetViews>
    <sheetView topLeftCell="A10" zoomScaleNormal="100" workbookViewId="0">
      <selection activeCell="I28" sqref="I28"/>
    </sheetView>
  </sheetViews>
  <sheetFormatPr defaultRowHeight="15"/>
  <cols>
    <col min="1" max="1" width="45.28515625" customWidth="1"/>
    <col min="2" max="8" width="11" customWidth="1"/>
    <col min="9" max="9" width="14.140625" customWidth="1"/>
    <col min="10" max="10" width="6.7109375" customWidth="1"/>
    <col min="11" max="11" width="11.42578125" customWidth="1"/>
    <col min="12" max="12" width="12.42578125" customWidth="1"/>
    <col min="13" max="13" width="47.85546875" customWidth="1"/>
    <col min="14" max="14" width="12.140625" customWidth="1"/>
    <col min="21" max="21" width="11.7109375" customWidth="1"/>
  </cols>
  <sheetData>
    <row r="1" spans="1:21" ht="20.25">
      <c r="A1" s="30" t="s">
        <v>9</v>
      </c>
      <c r="B1" s="1"/>
      <c r="C1" s="1"/>
      <c r="D1" s="1"/>
      <c r="E1" s="1"/>
      <c r="F1" s="1"/>
      <c r="G1" s="1"/>
      <c r="H1" s="1"/>
      <c r="I1" s="7"/>
      <c r="J1" s="1"/>
      <c r="K1" s="1"/>
      <c r="L1" s="1"/>
      <c r="M1" s="39"/>
      <c r="N1" s="9"/>
    </row>
    <row r="2" spans="1:21" s="1" customFormat="1" ht="12.75">
      <c r="F2" s="6"/>
      <c r="G2" s="6"/>
      <c r="H2" s="6"/>
      <c r="I2" s="7"/>
      <c r="J2" s="2"/>
    </row>
    <row r="3" spans="1:21" s="1" customFormat="1" ht="82.15" customHeight="1">
      <c r="A3" s="15" t="s">
        <v>10</v>
      </c>
      <c r="B3" s="64" t="s">
        <v>11</v>
      </c>
      <c r="C3" s="64" t="s">
        <v>12</v>
      </c>
      <c r="D3" s="64" t="s">
        <v>13</v>
      </c>
      <c r="E3" s="64" t="s">
        <v>14</v>
      </c>
      <c r="F3" s="64" t="s">
        <v>15</v>
      </c>
      <c r="G3" s="64" t="s">
        <v>16</v>
      </c>
      <c r="H3" s="64" t="s">
        <v>17</v>
      </c>
      <c r="I3" s="64" t="s">
        <v>18</v>
      </c>
      <c r="J3" s="2"/>
      <c r="M3" s="40"/>
      <c r="N3" s="40"/>
      <c r="O3" s="40"/>
      <c r="P3" s="40"/>
      <c r="Q3" s="40"/>
      <c r="R3" s="40"/>
      <c r="S3" s="40"/>
      <c r="T3" s="40"/>
      <c r="U3" s="40"/>
    </row>
    <row r="4" spans="1:21" s="1" customFormat="1" ht="12.75">
      <c r="A4" s="17" t="s">
        <v>19</v>
      </c>
      <c r="B4" s="15" t="s">
        <v>20</v>
      </c>
      <c r="C4" s="73"/>
      <c r="D4" s="73"/>
      <c r="E4" s="73"/>
      <c r="F4" s="73"/>
      <c r="G4" s="73"/>
      <c r="H4" s="73"/>
      <c r="I4" s="33"/>
      <c r="J4" s="2"/>
      <c r="K4" s="103" t="s">
        <v>21</v>
      </c>
      <c r="L4" s="103"/>
      <c r="O4" s="42"/>
      <c r="P4" s="42"/>
      <c r="Q4" s="42"/>
      <c r="R4" s="42"/>
      <c r="S4" s="42"/>
      <c r="T4" s="42"/>
      <c r="U4" s="43"/>
    </row>
    <row r="5" spans="1:21" s="1" customFormat="1" ht="12.75">
      <c r="A5" s="17" t="s">
        <v>22</v>
      </c>
      <c r="B5" s="15" t="s">
        <v>20</v>
      </c>
      <c r="C5" s="73"/>
      <c r="D5" s="73"/>
      <c r="E5" s="73"/>
      <c r="F5" s="73"/>
      <c r="G5" s="73"/>
      <c r="H5" s="73"/>
      <c r="I5" s="33"/>
      <c r="J5" s="8"/>
      <c r="K5" s="10" t="s">
        <v>23</v>
      </c>
      <c r="L5" s="25">
        <v>163.16999999999999</v>
      </c>
      <c r="M5" s="85"/>
      <c r="N5" s="42"/>
      <c r="O5" s="42"/>
      <c r="P5" s="42"/>
      <c r="Q5" s="42"/>
      <c r="R5" s="44"/>
      <c r="S5" s="42"/>
      <c r="T5" s="42"/>
      <c r="U5" s="45"/>
    </row>
    <row r="6" spans="1:21" s="1" customFormat="1" ht="12.75">
      <c r="A6" s="17" t="s">
        <v>24</v>
      </c>
      <c r="B6" s="73"/>
      <c r="C6" s="73"/>
      <c r="D6" s="73"/>
      <c r="E6" s="73"/>
      <c r="F6" s="73"/>
      <c r="G6" s="73"/>
      <c r="H6" s="73"/>
      <c r="I6" s="33"/>
      <c r="J6" s="2"/>
      <c r="K6" s="10" t="s">
        <v>25</v>
      </c>
      <c r="L6" s="25">
        <v>130.28</v>
      </c>
      <c r="M6" s="41"/>
      <c r="N6" s="42"/>
      <c r="O6" s="42"/>
      <c r="P6" s="42"/>
      <c r="Q6" s="42"/>
      <c r="R6" s="42"/>
      <c r="S6" s="42"/>
      <c r="T6" s="42"/>
      <c r="U6" s="45"/>
    </row>
    <row r="7" spans="1:21" s="1" customFormat="1" ht="15.75">
      <c r="A7" s="31" t="s">
        <v>26</v>
      </c>
      <c r="B7" s="15">
        <v>1</v>
      </c>
      <c r="C7" s="15">
        <v>1</v>
      </c>
      <c r="D7" s="15">
        <f>B7*C7</f>
        <v>1</v>
      </c>
      <c r="E7" s="15">
        <v>732</v>
      </c>
      <c r="F7" s="15">
        <f>D7*E7</f>
        <v>732</v>
      </c>
      <c r="G7" s="15">
        <f>+F7*0.05</f>
        <v>36.6</v>
      </c>
      <c r="H7" s="15">
        <f>+F7*0.1</f>
        <v>73.2</v>
      </c>
      <c r="I7" s="91">
        <f>+$L$5*G7+$L$6*F7+$L$7*H7</f>
        <v>106146.954</v>
      </c>
      <c r="J7" s="2"/>
      <c r="K7" s="10" t="s">
        <v>27</v>
      </c>
      <c r="L7" s="25">
        <v>65.709999999999994</v>
      </c>
      <c r="M7" s="41"/>
      <c r="N7" s="42"/>
      <c r="O7" s="42"/>
      <c r="P7" s="42"/>
      <c r="Q7" s="42"/>
      <c r="R7" s="42"/>
      <c r="S7" s="42"/>
      <c r="T7" s="42"/>
      <c r="U7" s="45"/>
    </row>
    <row r="8" spans="1:21" s="1" customFormat="1" ht="15.75">
      <c r="A8" s="31" t="s">
        <v>28</v>
      </c>
      <c r="B8" s="73"/>
      <c r="C8" s="73"/>
      <c r="D8" s="15"/>
      <c r="E8" s="73"/>
      <c r="F8" s="73"/>
      <c r="G8" s="73"/>
      <c r="H8" s="73"/>
      <c r="I8" s="32"/>
      <c r="J8" s="2"/>
      <c r="K8" s="55"/>
      <c r="L8" s="12"/>
      <c r="M8" s="77"/>
      <c r="N8" s="77"/>
      <c r="O8" s="42"/>
      <c r="P8" s="42"/>
      <c r="Q8" s="46"/>
      <c r="R8" s="46"/>
      <c r="S8" s="46"/>
      <c r="T8" s="46"/>
      <c r="U8" s="45"/>
    </row>
    <row r="9" spans="1:21" s="1" customFormat="1" ht="15.75">
      <c r="A9" s="29" t="s">
        <v>29</v>
      </c>
      <c r="B9" s="15">
        <v>160</v>
      </c>
      <c r="C9" s="15">
        <v>1</v>
      </c>
      <c r="D9" s="15">
        <f t="shared" ref="D9:D28" si="0">B9*C9</f>
        <v>160</v>
      </c>
      <c r="E9" s="15">
        <v>0</v>
      </c>
      <c r="F9" s="53">
        <f t="shared" ref="F9:F21" si="1">D9*E9</f>
        <v>0</v>
      </c>
      <c r="G9" s="15">
        <f t="shared" ref="G9:G21" si="2">+F9*0.05</f>
        <v>0</v>
      </c>
      <c r="H9" s="15">
        <f t="shared" ref="H9:H21" si="3">+F9*0.1</f>
        <v>0</v>
      </c>
      <c r="I9" s="91">
        <f t="shared" ref="I9:I11" si="4">+$L$5*G9+$L$6*F9+$L$7*H9</f>
        <v>0</v>
      </c>
      <c r="J9" s="2"/>
      <c r="K9" s="66"/>
      <c r="L9" s="3"/>
      <c r="M9" s="77"/>
      <c r="N9" s="77"/>
      <c r="O9" s="42"/>
      <c r="P9" s="42"/>
      <c r="Q9" s="46"/>
      <c r="R9" s="46"/>
      <c r="S9" s="46"/>
      <c r="T9" s="46"/>
      <c r="U9" s="45"/>
    </row>
    <row r="10" spans="1:21" s="1" customFormat="1" ht="15.75">
      <c r="A10" s="29" t="s">
        <v>30</v>
      </c>
      <c r="B10" s="15">
        <v>4</v>
      </c>
      <c r="C10" s="15">
        <v>30</v>
      </c>
      <c r="D10" s="15">
        <f t="shared" si="0"/>
        <v>120</v>
      </c>
      <c r="E10" s="15">
        <v>0</v>
      </c>
      <c r="F10" s="53">
        <f t="shared" si="1"/>
        <v>0</v>
      </c>
      <c r="G10" s="15">
        <f t="shared" si="2"/>
        <v>0</v>
      </c>
      <c r="H10" s="15">
        <f t="shared" si="3"/>
        <v>0</v>
      </c>
      <c r="I10" s="91">
        <f t="shared" si="4"/>
        <v>0</v>
      </c>
      <c r="J10" s="2"/>
      <c r="K10" s="3"/>
      <c r="L10" s="3"/>
      <c r="M10" s="90"/>
      <c r="N10" s="77"/>
      <c r="O10" s="42"/>
      <c r="P10" s="42"/>
      <c r="Q10" s="46"/>
      <c r="R10" s="46"/>
      <c r="S10" s="46"/>
      <c r="T10" s="46"/>
      <c r="U10" s="45"/>
    </row>
    <row r="11" spans="1:21" s="1" customFormat="1" ht="15.75">
      <c r="A11" s="29" t="s">
        <v>31</v>
      </c>
      <c r="B11" s="15">
        <v>60</v>
      </c>
      <c r="C11" s="15">
        <v>0.2</v>
      </c>
      <c r="D11" s="15">
        <f t="shared" si="0"/>
        <v>12</v>
      </c>
      <c r="E11" s="15">
        <v>0</v>
      </c>
      <c r="F11" s="15">
        <f t="shared" si="1"/>
        <v>0</v>
      </c>
      <c r="G11" s="15">
        <f t="shared" si="2"/>
        <v>0</v>
      </c>
      <c r="H11" s="15">
        <f t="shared" si="3"/>
        <v>0</v>
      </c>
      <c r="I11" s="91">
        <f t="shared" si="4"/>
        <v>0</v>
      </c>
      <c r="J11" s="2"/>
      <c r="K11" s="4"/>
      <c r="L11" s="5"/>
      <c r="M11" s="41"/>
      <c r="N11" s="42"/>
      <c r="O11" s="42"/>
      <c r="P11" s="42"/>
      <c r="Q11" s="46"/>
      <c r="R11" s="46"/>
      <c r="S11" s="47"/>
      <c r="T11" s="47"/>
      <c r="U11" s="45"/>
    </row>
    <row r="12" spans="1:21" s="1" customFormat="1" ht="12.75">
      <c r="A12" s="31" t="s">
        <v>32</v>
      </c>
      <c r="B12" s="15" t="s">
        <v>33</v>
      </c>
      <c r="C12" s="73"/>
      <c r="D12" s="15"/>
      <c r="E12" s="73"/>
      <c r="F12" s="73"/>
      <c r="G12" s="73"/>
      <c r="H12" s="73"/>
      <c r="I12" s="74"/>
      <c r="J12" s="2"/>
      <c r="K12" s="4"/>
      <c r="L12" s="5"/>
      <c r="M12" s="41"/>
      <c r="N12" s="42"/>
      <c r="O12" s="42"/>
      <c r="P12" s="42"/>
      <c r="Q12" s="46"/>
      <c r="R12" s="46"/>
      <c r="S12" s="47"/>
      <c r="T12" s="47"/>
      <c r="U12" s="45"/>
    </row>
    <row r="13" spans="1:21" s="1" customFormat="1" ht="12.75">
      <c r="A13" s="31" t="s">
        <v>34</v>
      </c>
      <c r="B13" s="15" t="s">
        <v>35</v>
      </c>
      <c r="C13" s="73"/>
      <c r="D13" s="15"/>
      <c r="E13" s="73"/>
      <c r="F13" s="73"/>
      <c r="G13" s="73"/>
      <c r="H13" s="73"/>
      <c r="I13" s="74"/>
      <c r="J13" s="2"/>
      <c r="K13" s="4"/>
      <c r="L13" s="5"/>
      <c r="M13" s="41"/>
      <c r="N13" s="42"/>
      <c r="O13" s="42"/>
      <c r="P13" s="42"/>
      <c r="Q13" s="42"/>
      <c r="R13" s="42"/>
      <c r="S13" s="42"/>
      <c r="T13" s="42"/>
      <c r="U13" s="45"/>
    </row>
    <row r="14" spans="1:21" s="1" customFormat="1" ht="18" customHeight="1">
      <c r="A14" s="31" t="s">
        <v>36</v>
      </c>
      <c r="B14" s="73"/>
      <c r="C14" s="73"/>
      <c r="D14" s="15"/>
      <c r="E14" s="73"/>
      <c r="F14" s="73"/>
      <c r="G14" s="73"/>
      <c r="H14" s="73"/>
      <c r="I14" s="74"/>
      <c r="J14" s="8"/>
      <c r="K14" s="54"/>
      <c r="L14" s="5"/>
      <c r="M14" s="41"/>
      <c r="N14" s="42"/>
      <c r="O14" s="42"/>
      <c r="P14" s="42"/>
      <c r="Q14" s="42"/>
      <c r="R14" s="42"/>
      <c r="S14" s="42"/>
      <c r="T14" s="42"/>
      <c r="U14" s="45"/>
    </row>
    <row r="15" spans="1:21" s="1" customFormat="1" ht="12.75">
      <c r="A15" s="29" t="s">
        <v>37</v>
      </c>
      <c r="B15" s="15">
        <v>2</v>
      </c>
      <c r="C15" s="15">
        <v>1</v>
      </c>
      <c r="D15" s="15">
        <f t="shared" si="0"/>
        <v>2</v>
      </c>
      <c r="E15" s="15">
        <v>0</v>
      </c>
      <c r="F15" s="15">
        <f t="shared" si="1"/>
        <v>0</v>
      </c>
      <c r="G15" s="15">
        <f t="shared" si="2"/>
        <v>0</v>
      </c>
      <c r="H15" s="15">
        <f t="shared" si="3"/>
        <v>0</v>
      </c>
      <c r="I15" s="91">
        <f>+$L$5*G15+$L$6*F15+$L$7*H15</f>
        <v>0</v>
      </c>
      <c r="J15" s="2"/>
      <c r="K15" s="54"/>
      <c r="M15" s="41"/>
      <c r="N15" s="42"/>
      <c r="O15" s="42"/>
      <c r="P15" s="42"/>
      <c r="Q15" s="42"/>
      <c r="R15" s="42"/>
      <c r="S15" s="42"/>
      <c r="T15" s="42"/>
      <c r="U15" s="45"/>
    </row>
    <row r="16" spans="1:21" s="1" customFormat="1" ht="27.75" customHeight="1">
      <c r="A16" s="29" t="s">
        <v>38</v>
      </c>
      <c r="B16" s="15">
        <v>2</v>
      </c>
      <c r="C16" s="15">
        <v>1</v>
      </c>
      <c r="D16" s="15">
        <f t="shared" si="0"/>
        <v>2</v>
      </c>
      <c r="E16" s="15">
        <v>0</v>
      </c>
      <c r="F16" s="15">
        <f t="shared" si="1"/>
        <v>0</v>
      </c>
      <c r="G16" s="15">
        <f t="shared" si="2"/>
        <v>0</v>
      </c>
      <c r="H16" s="15">
        <f t="shared" si="3"/>
        <v>0</v>
      </c>
      <c r="I16" s="91">
        <f>+$L$5*G16+$L$6*F16+$L$7*H16</f>
        <v>0</v>
      </c>
      <c r="J16" s="2"/>
      <c r="K16" s="54"/>
      <c r="M16" s="41"/>
      <c r="N16" s="42"/>
      <c r="O16" s="42"/>
      <c r="P16" s="42"/>
      <c r="Q16" s="42"/>
      <c r="R16" s="42"/>
      <c r="S16" s="42"/>
      <c r="T16" s="42"/>
      <c r="U16" s="45"/>
    </row>
    <row r="17" spans="1:21" s="1" customFormat="1" ht="12.75">
      <c r="A17" s="29" t="s">
        <v>39</v>
      </c>
      <c r="B17" s="15">
        <v>2</v>
      </c>
      <c r="C17" s="15">
        <v>1.2</v>
      </c>
      <c r="D17" s="15">
        <f t="shared" si="0"/>
        <v>2.4</v>
      </c>
      <c r="E17" s="15">
        <v>0</v>
      </c>
      <c r="F17" s="15">
        <f t="shared" si="1"/>
        <v>0</v>
      </c>
      <c r="G17" s="15">
        <f t="shared" si="2"/>
        <v>0</v>
      </c>
      <c r="H17" s="15">
        <f t="shared" si="3"/>
        <v>0</v>
      </c>
      <c r="I17" s="91">
        <f t="shared" ref="I17:I18" si="5">+$L$5*G17+$L$6*F17+$L$7*H17</f>
        <v>0</v>
      </c>
      <c r="J17" s="2"/>
      <c r="K17" s="54"/>
      <c r="M17" s="41"/>
      <c r="N17" s="42"/>
      <c r="O17" s="42"/>
      <c r="P17" s="42"/>
      <c r="Q17" s="42"/>
      <c r="R17" s="42"/>
      <c r="S17" s="42"/>
      <c r="T17" s="42"/>
      <c r="U17" s="45"/>
    </row>
    <row r="18" spans="1:21" s="1" customFormat="1" ht="19.5" customHeight="1">
      <c r="A18" s="29" t="s">
        <v>40</v>
      </c>
      <c r="B18" s="15">
        <v>2</v>
      </c>
      <c r="C18" s="15">
        <v>1</v>
      </c>
      <c r="D18" s="15">
        <f t="shared" si="0"/>
        <v>2</v>
      </c>
      <c r="E18" s="15">
        <v>0</v>
      </c>
      <c r="F18" s="15">
        <f t="shared" si="1"/>
        <v>0</v>
      </c>
      <c r="G18" s="15">
        <f t="shared" si="2"/>
        <v>0</v>
      </c>
      <c r="H18" s="15">
        <f t="shared" si="3"/>
        <v>0</v>
      </c>
      <c r="I18" s="91">
        <f t="shared" si="5"/>
        <v>0</v>
      </c>
      <c r="J18" s="2"/>
      <c r="K18" s="54"/>
      <c r="M18" s="41"/>
      <c r="N18" s="42"/>
      <c r="O18" s="42"/>
      <c r="P18" s="42"/>
      <c r="Q18" s="42"/>
      <c r="R18" s="42"/>
      <c r="S18" s="42"/>
      <c r="T18" s="42"/>
      <c r="U18" s="45"/>
    </row>
    <row r="19" spans="1:21" s="1" customFormat="1" ht="16.5" customHeight="1">
      <c r="A19" s="29" t="s">
        <v>41</v>
      </c>
      <c r="B19" s="15" t="s">
        <v>33</v>
      </c>
      <c r="C19" s="73"/>
      <c r="D19" s="15"/>
      <c r="E19" s="73"/>
      <c r="F19" s="73"/>
      <c r="G19" s="73"/>
      <c r="H19" s="73"/>
      <c r="I19" s="32"/>
      <c r="J19" s="2"/>
      <c r="K19" s="2"/>
      <c r="M19" s="41"/>
      <c r="N19" s="42"/>
      <c r="O19" s="42"/>
      <c r="P19" s="42"/>
      <c r="Q19" s="42"/>
      <c r="R19" s="42"/>
      <c r="S19" s="42"/>
      <c r="T19" s="42"/>
      <c r="U19" s="45"/>
    </row>
    <row r="20" spans="1:21" s="1" customFormat="1" ht="15.75">
      <c r="A20" s="29" t="s">
        <v>42</v>
      </c>
      <c r="B20" s="15">
        <v>8</v>
      </c>
      <c r="C20" s="15">
        <v>2</v>
      </c>
      <c r="D20" s="15">
        <f>B20*C20</f>
        <v>16</v>
      </c>
      <c r="E20" s="34">
        <f>0.8*E7</f>
        <v>585.6</v>
      </c>
      <c r="F20" s="53">
        <f t="shared" si="1"/>
        <v>9369.6</v>
      </c>
      <c r="G20" s="53">
        <f t="shared" si="2"/>
        <v>468.48</v>
      </c>
      <c r="H20" s="53">
        <f t="shared" si="3"/>
        <v>936.96</v>
      </c>
      <c r="I20" s="91">
        <f t="shared" ref="I20:I21" si="6">+$L$5*G20+$L$6*F20+$L$7*H20</f>
        <v>1358681.0112000001</v>
      </c>
      <c r="J20" s="2"/>
      <c r="M20" s="41"/>
      <c r="N20" s="42"/>
      <c r="O20" s="42"/>
      <c r="P20" s="42"/>
      <c r="Q20" s="42"/>
      <c r="R20" s="42"/>
      <c r="S20" s="42"/>
      <c r="T20" s="42"/>
      <c r="U20" s="45"/>
    </row>
    <row r="21" spans="1:21" s="1" customFormat="1" ht="15.75">
      <c r="A21" s="29" t="s">
        <v>43</v>
      </c>
      <c r="B21" s="15">
        <v>8</v>
      </c>
      <c r="C21" s="15">
        <v>4</v>
      </c>
      <c r="D21" s="15">
        <f t="shared" si="0"/>
        <v>32</v>
      </c>
      <c r="E21" s="34">
        <f>0.2*E7</f>
        <v>146.4</v>
      </c>
      <c r="F21" s="53">
        <f t="shared" si="1"/>
        <v>4684.8</v>
      </c>
      <c r="G21" s="53">
        <f t="shared" si="2"/>
        <v>234.24</v>
      </c>
      <c r="H21" s="53">
        <f t="shared" si="3"/>
        <v>468.48</v>
      </c>
      <c r="I21" s="91">
        <f t="shared" si="6"/>
        <v>679340.50560000003</v>
      </c>
      <c r="J21" s="2"/>
      <c r="M21" s="41"/>
      <c r="N21" s="42"/>
      <c r="O21" s="42"/>
      <c r="P21" s="42"/>
      <c r="Q21" s="42"/>
      <c r="R21" s="44"/>
      <c r="S21" s="42"/>
      <c r="T21" s="42"/>
      <c r="U21" s="45"/>
    </row>
    <row r="22" spans="1:21" s="1" customFormat="1" ht="13.5">
      <c r="A22" s="78" t="s">
        <v>44</v>
      </c>
      <c r="B22" s="73"/>
      <c r="C22" s="73"/>
      <c r="D22" s="15"/>
      <c r="E22" s="73"/>
      <c r="F22" s="104">
        <f>SUM(F7:H21)</f>
        <v>17004.36</v>
      </c>
      <c r="G22" s="104"/>
      <c r="H22" s="104"/>
      <c r="I22" s="76">
        <f>SUM(I7:I21)</f>
        <v>2144168.4708000002</v>
      </c>
      <c r="J22" s="2"/>
      <c r="K22" s="2"/>
      <c r="M22" s="48"/>
      <c r="N22" s="48"/>
      <c r="O22" s="48"/>
      <c r="P22" s="48"/>
      <c r="Q22" s="48"/>
      <c r="R22" s="49"/>
      <c r="S22" s="49"/>
      <c r="T22" s="49"/>
      <c r="U22" s="50"/>
    </row>
    <row r="23" spans="1:21" s="1" customFormat="1" ht="12.75">
      <c r="A23" s="17" t="s">
        <v>45</v>
      </c>
      <c r="B23" s="73"/>
      <c r="C23" s="73"/>
      <c r="D23" s="15"/>
      <c r="E23" s="73"/>
      <c r="F23" s="73"/>
      <c r="G23" s="73"/>
      <c r="H23" s="73"/>
      <c r="I23" s="33"/>
      <c r="J23" s="2"/>
      <c r="K23" s="2"/>
      <c r="M23" s="41"/>
      <c r="N23" s="42"/>
      <c r="O23" s="42"/>
      <c r="P23" s="42"/>
      <c r="Q23" s="42"/>
      <c r="R23" s="42"/>
      <c r="S23" s="42"/>
      <c r="T23" s="42"/>
      <c r="U23" s="43"/>
    </row>
    <row r="24" spans="1:21" s="1" customFormat="1" ht="12.75">
      <c r="A24" s="31" t="s">
        <v>46</v>
      </c>
      <c r="B24" s="15" t="s">
        <v>47</v>
      </c>
      <c r="C24" s="73"/>
      <c r="D24" s="15"/>
      <c r="E24" s="73"/>
      <c r="F24" s="73"/>
      <c r="G24" s="73"/>
      <c r="H24" s="73"/>
      <c r="I24" s="33"/>
      <c r="J24" s="2"/>
      <c r="K24" s="2"/>
      <c r="M24" s="41"/>
      <c r="N24" s="42"/>
      <c r="O24" s="42"/>
      <c r="P24" s="42"/>
      <c r="Q24" s="42"/>
      <c r="R24" s="42"/>
      <c r="S24" s="42"/>
      <c r="T24" s="42"/>
      <c r="U24" s="45"/>
    </row>
    <row r="25" spans="1:21" s="1" customFormat="1" ht="12.75">
      <c r="A25" s="31" t="s">
        <v>48</v>
      </c>
      <c r="B25" s="15" t="s">
        <v>49</v>
      </c>
      <c r="C25" s="73"/>
      <c r="D25" s="15"/>
      <c r="E25" s="73"/>
      <c r="F25" s="73"/>
      <c r="G25" s="73"/>
      <c r="H25" s="73"/>
      <c r="I25" s="33"/>
      <c r="J25" s="2"/>
      <c r="M25" s="41"/>
      <c r="N25" s="42"/>
      <c r="O25" s="42"/>
      <c r="P25" s="42"/>
      <c r="Q25" s="42"/>
      <c r="R25" s="42"/>
      <c r="S25" s="42"/>
      <c r="T25" s="42"/>
      <c r="U25" s="45"/>
    </row>
    <row r="26" spans="1:21" s="1" customFormat="1" ht="12.75">
      <c r="A26" s="29" t="s">
        <v>50</v>
      </c>
      <c r="B26" s="15" t="s">
        <v>33</v>
      </c>
      <c r="C26" s="73"/>
      <c r="D26" s="15"/>
      <c r="E26" s="73"/>
      <c r="F26" s="73"/>
      <c r="G26" s="73"/>
      <c r="H26" s="73"/>
      <c r="I26" s="33"/>
      <c r="J26" s="2"/>
      <c r="K26" s="2"/>
      <c r="M26" s="41"/>
      <c r="N26" s="42"/>
      <c r="O26" s="42"/>
      <c r="P26" s="42"/>
      <c r="Q26" s="42"/>
      <c r="R26" s="44"/>
      <c r="S26" s="42"/>
      <c r="T26" s="42"/>
      <c r="U26" s="45"/>
    </row>
    <row r="27" spans="1:21" s="1" customFormat="1" ht="18" customHeight="1">
      <c r="A27" s="29" t="s">
        <v>51</v>
      </c>
      <c r="B27" s="15" t="s">
        <v>20</v>
      </c>
      <c r="C27" s="73"/>
      <c r="D27" s="15"/>
      <c r="E27" s="73"/>
      <c r="F27" s="73"/>
      <c r="G27" s="73"/>
      <c r="H27" s="73"/>
      <c r="I27" s="33"/>
      <c r="J27" s="2"/>
      <c r="K27" s="2"/>
      <c r="M27" s="41"/>
      <c r="N27" s="42"/>
      <c r="O27" s="42"/>
      <c r="P27" s="42"/>
      <c r="Q27" s="42"/>
      <c r="R27" s="42"/>
      <c r="S27" s="42"/>
      <c r="T27" s="42"/>
      <c r="U27" s="45"/>
    </row>
    <row r="28" spans="1:21" s="1" customFormat="1" ht="28.5">
      <c r="A28" s="31" t="s">
        <v>52</v>
      </c>
      <c r="B28" s="15">
        <v>0.5</v>
      </c>
      <c r="C28" s="15">
        <v>365</v>
      </c>
      <c r="D28" s="15">
        <f t="shared" si="0"/>
        <v>182.5</v>
      </c>
      <c r="E28" s="15">
        <v>732</v>
      </c>
      <c r="F28" s="53">
        <f t="shared" ref="F28" si="7">D28*E28</f>
        <v>133590</v>
      </c>
      <c r="G28" s="53">
        <f t="shared" ref="G28" si="8">+F28*0.05</f>
        <v>6679.5</v>
      </c>
      <c r="H28" s="53">
        <f t="shared" ref="H28" si="9">+F28*0.1</f>
        <v>13359</v>
      </c>
      <c r="I28" s="91">
        <f>+$L$5*G28+$L$6*F28+$L$7*H28</f>
        <v>19371819.105</v>
      </c>
      <c r="J28" s="2"/>
      <c r="K28" s="2"/>
      <c r="M28" s="41"/>
      <c r="N28" s="42"/>
      <c r="O28" s="42"/>
      <c r="P28" s="42"/>
      <c r="Q28" s="42"/>
      <c r="R28" s="42"/>
      <c r="S28" s="42"/>
      <c r="T28" s="42"/>
      <c r="U28" s="45"/>
    </row>
    <row r="29" spans="1:21" s="1" customFormat="1" ht="12.75">
      <c r="A29" s="31" t="s">
        <v>53</v>
      </c>
      <c r="B29" s="15" t="s">
        <v>20</v>
      </c>
      <c r="C29" s="73"/>
      <c r="D29" s="15"/>
      <c r="E29" s="73"/>
      <c r="F29" s="73"/>
      <c r="G29" s="73"/>
      <c r="H29" s="73"/>
      <c r="I29" s="33"/>
      <c r="J29" s="2"/>
      <c r="K29" s="2"/>
      <c r="M29" s="41"/>
      <c r="N29" s="42"/>
      <c r="O29" s="42"/>
      <c r="P29" s="42"/>
      <c r="Q29" s="42"/>
      <c r="R29" s="42"/>
      <c r="S29" s="42"/>
      <c r="T29" s="42"/>
      <c r="U29" s="45"/>
    </row>
    <row r="30" spans="1:21" s="1" customFormat="1" ht="12.75">
      <c r="A30" s="31" t="s">
        <v>54</v>
      </c>
      <c r="B30" s="15" t="s">
        <v>20</v>
      </c>
      <c r="C30" s="73"/>
      <c r="D30" s="15"/>
      <c r="E30" s="73"/>
      <c r="F30" s="73"/>
      <c r="G30" s="73"/>
      <c r="H30" s="73"/>
      <c r="I30" s="33"/>
      <c r="J30" s="2"/>
      <c r="K30" s="2"/>
      <c r="M30" s="41"/>
      <c r="N30" s="42"/>
      <c r="O30" s="42"/>
      <c r="P30" s="42"/>
      <c r="Q30" s="42"/>
      <c r="R30" s="42"/>
      <c r="S30" s="42"/>
      <c r="T30" s="42"/>
      <c r="U30" s="45"/>
    </row>
    <row r="31" spans="1:21" s="1" customFormat="1" ht="13.5">
      <c r="A31" s="78" t="s">
        <v>55</v>
      </c>
      <c r="B31" s="73"/>
      <c r="C31" s="73"/>
      <c r="D31" s="73"/>
      <c r="E31" s="73"/>
      <c r="F31" s="104">
        <f>SUM(F23:H30)</f>
        <v>153628.5</v>
      </c>
      <c r="G31" s="104"/>
      <c r="H31" s="104"/>
      <c r="I31" s="76">
        <f>SUM(I23:I30)</f>
        <v>19371819.105</v>
      </c>
      <c r="J31" s="2"/>
      <c r="K31" s="2"/>
      <c r="M31" s="38">
        <f>F32/Responses!E10</f>
        <v>97.380410022779046</v>
      </c>
      <c r="N31" s="38" t="s">
        <v>56</v>
      </c>
      <c r="O31" s="42"/>
      <c r="P31" s="42"/>
      <c r="Q31" s="42"/>
      <c r="R31" s="42"/>
      <c r="S31" s="42"/>
      <c r="T31" s="42"/>
      <c r="U31" s="45"/>
    </row>
    <row r="32" spans="1:21" s="1" customFormat="1" ht="25.9" customHeight="1">
      <c r="A32" s="18" t="s">
        <v>57</v>
      </c>
      <c r="B32" s="18"/>
      <c r="C32" s="18"/>
      <c r="D32" s="18"/>
      <c r="E32" s="18"/>
      <c r="F32" s="104">
        <f>ROUND(F22+F31,-3)</f>
        <v>171000</v>
      </c>
      <c r="G32" s="104"/>
      <c r="H32" s="104"/>
      <c r="I32" s="76">
        <f>ROUND(I22+I31,-5)</f>
        <v>21500000</v>
      </c>
      <c r="J32" s="2"/>
      <c r="K32" s="2"/>
      <c r="M32" s="84"/>
      <c r="N32" s="42"/>
      <c r="O32" s="42"/>
      <c r="P32" s="42"/>
      <c r="Q32" s="42"/>
      <c r="R32" s="42"/>
      <c r="S32" s="42"/>
      <c r="T32" s="42"/>
      <c r="U32" s="45"/>
    </row>
    <row r="33" spans="1:21" s="1" customFormat="1" ht="19.5" customHeight="1">
      <c r="A33" s="18" t="s">
        <v>58</v>
      </c>
      <c r="B33" s="79"/>
      <c r="C33" s="79"/>
      <c r="D33" s="79"/>
      <c r="E33" s="79"/>
      <c r="F33" s="79"/>
      <c r="G33" s="79"/>
      <c r="H33" s="79"/>
      <c r="I33" s="76">
        <f>'Capital O&amp;M'!G6</f>
        <v>15600000</v>
      </c>
      <c r="J33" s="2"/>
      <c r="K33" s="2"/>
      <c r="M33" s="41"/>
      <c r="N33" s="42"/>
      <c r="O33" s="42"/>
      <c r="P33" s="42"/>
      <c r="Q33" s="42"/>
      <c r="R33" s="42"/>
      <c r="S33" s="42"/>
      <c r="T33" s="42"/>
      <c r="U33" s="45"/>
    </row>
    <row r="34" spans="1:21" s="1" customFormat="1" ht="31.5" customHeight="1">
      <c r="A34" s="18" t="s">
        <v>59</v>
      </c>
      <c r="B34" s="79"/>
      <c r="C34" s="79"/>
      <c r="D34" s="79"/>
      <c r="E34" s="79"/>
      <c r="F34" s="79"/>
      <c r="G34" s="79"/>
      <c r="H34" s="79"/>
      <c r="I34" s="76">
        <f>ROUND(SUM(I32:I33),-5)</f>
        <v>37100000</v>
      </c>
      <c r="J34" s="2"/>
      <c r="K34" s="2"/>
      <c r="M34" s="41"/>
      <c r="N34" s="42"/>
      <c r="O34" s="42"/>
      <c r="P34" s="42"/>
      <c r="Q34" s="42"/>
      <c r="R34" s="44"/>
      <c r="S34" s="42"/>
      <c r="T34" s="42"/>
      <c r="U34" s="45"/>
    </row>
    <row r="35" spans="1:21" s="1" customFormat="1" ht="13.5">
      <c r="G35" s="35"/>
      <c r="I35" s="7"/>
      <c r="J35" s="2"/>
      <c r="M35" s="51"/>
      <c r="N35" s="51"/>
      <c r="O35" s="51"/>
      <c r="P35" s="51"/>
      <c r="Q35" s="51"/>
      <c r="R35" s="51"/>
      <c r="S35" s="51"/>
      <c r="T35" s="51"/>
      <c r="U35" s="50"/>
    </row>
    <row r="36" spans="1:21" s="1" customFormat="1" ht="13.5">
      <c r="A36" s="36" t="s">
        <v>60</v>
      </c>
      <c r="I36" s="7"/>
      <c r="J36" s="2"/>
      <c r="M36" s="51"/>
      <c r="N36" s="51"/>
      <c r="O36" s="51"/>
      <c r="P36" s="51"/>
      <c r="Q36" s="51"/>
      <c r="R36" s="51"/>
      <c r="S36" s="51"/>
      <c r="T36" s="51"/>
      <c r="U36" s="50"/>
    </row>
    <row r="37" spans="1:21" s="1" customFormat="1" ht="34.5" customHeight="1">
      <c r="A37" s="101" t="s">
        <v>61</v>
      </c>
      <c r="B37" s="102"/>
      <c r="C37" s="102"/>
      <c r="D37" s="102"/>
      <c r="E37" s="102"/>
      <c r="F37" s="102"/>
      <c r="G37" s="102"/>
      <c r="H37" s="102"/>
      <c r="I37" s="102"/>
      <c r="J37" s="2"/>
      <c r="M37" s="42"/>
      <c r="N37" s="24"/>
      <c r="O37" s="24"/>
      <c r="P37" s="24"/>
      <c r="Q37" s="24"/>
      <c r="R37" s="24"/>
      <c r="S37" s="24"/>
      <c r="T37" s="24"/>
      <c r="U37" s="24"/>
    </row>
    <row r="38" spans="1:21" s="1" customFormat="1" ht="61.5" customHeight="1">
      <c r="A38" s="101" t="s">
        <v>62</v>
      </c>
      <c r="B38" s="101"/>
      <c r="C38" s="101"/>
      <c r="D38" s="101"/>
      <c r="E38" s="101"/>
      <c r="F38" s="101"/>
      <c r="G38" s="101"/>
      <c r="H38" s="101"/>
      <c r="I38" s="101"/>
      <c r="J38" s="2"/>
      <c r="M38" s="77"/>
      <c r="N38" s="77"/>
      <c r="O38" s="42"/>
      <c r="P38" s="24"/>
      <c r="Q38" s="24"/>
      <c r="R38" s="24"/>
      <c r="S38" s="24"/>
      <c r="T38" s="24"/>
      <c r="U38" s="24"/>
    </row>
    <row r="39" spans="1:21" s="1" customFormat="1" ht="15.75">
      <c r="A39" s="105" t="s">
        <v>63</v>
      </c>
      <c r="B39" s="105"/>
      <c r="C39" s="105"/>
      <c r="D39" s="105"/>
      <c r="E39" s="105"/>
      <c r="F39" s="105"/>
      <c r="G39" s="105"/>
      <c r="H39" s="105"/>
      <c r="I39" s="105"/>
      <c r="J39" s="8"/>
      <c r="M39" s="77"/>
      <c r="N39" s="77"/>
      <c r="O39" s="42"/>
      <c r="P39" s="24"/>
      <c r="Q39" s="24"/>
      <c r="R39" s="24"/>
      <c r="S39" s="24"/>
      <c r="T39" s="24"/>
      <c r="U39" s="24"/>
    </row>
    <row r="40" spans="1:21" s="1" customFormat="1" ht="15.75">
      <c r="A40" s="105" t="s">
        <v>64</v>
      </c>
      <c r="B40" s="105"/>
      <c r="C40" s="105"/>
      <c r="D40" s="105"/>
      <c r="E40" s="105"/>
      <c r="F40" s="105"/>
      <c r="G40" s="105"/>
      <c r="H40" s="105"/>
      <c r="I40" s="105"/>
      <c r="J40" s="86"/>
      <c r="M40" s="77"/>
      <c r="N40" s="77"/>
      <c r="O40" s="42"/>
      <c r="P40" s="24"/>
      <c r="Q40" s="24"/>
      <c r="R40" s="24"/>
      <c r="S40" s="24"/>
      <c r="T40" s="24"/>
      <c r="U40" s="24"/>
    </row>
    <row r="41" spans="1:21" s="1" customFormat="1" ht="15.75">
      <c r="A41" s="105" t="s">
        <v>65</v>
      </c>
      <c r="B41" s="105"/>
      <c r="C41" s="105"/>
      <c r="D41" s="105"/>
      <c r="E41" s="105"/>
      <c r="F41" s="105"/>
      <c r="G41" s="105"/>
      <c r="H41" s="105"/>
      <c r="I41" s="105"/>
      <c r="J41" s="86"/>
      <c r="M41" s="24"/>
      <c r="N41" s="24"/>
      <c r="O41" s="24"/>
      <c r="P41" s="24"/>
      <c r="Q41" s="24"/>
      <c r="R41" s="24"/>
      <c r="S41" s="24"/>
      <c r="T41" s="24"/>
      <c r="U41" s="24"/>
    </row>
    <row r="42" spans="1:21" s="1" customFormat="1" ht="15.75">
      <c r="A42" s="105" t="s">
        <v>66</v>
      </c>
      <c r="B42" s="105"/>
      <c r="C42" s="105"/>
      <c r="D42" s="105"/>
      <c r="E42" s="105"/>
      <c r="F42" s="105"/>
      <c r="G42" s="105"/>
      <c r="H42" s="105"/>
      <c r="I42" s="105"/>
      <c r="J42" s="86"/>
      <c r="M42" s="24"/>
      <c r="N42" s="24"/>
      <c r="O42" s="24"/>
      <c r="P42" s="24"/>
      <c r="Q42" s="24"/>
      <c r="R42" s="24"/>
      <c r="S42" s="24"/>
      <c r="T42" s="24"/>
      <c r="U42" s="24"/>
    </row>
    <row r="43" spans="1:21" s="1" customFormat="1" ht="12.75" customHeight="1">
      <c r="A43" s="105" t="s">
        <v>67</v>
      </c>
      <c r="B43" s="105"/>
      <c r="C43" s="105"/>
      <c r="D43" s="105"/>
      <c r="E43" s="105"/>
      <c r="F43" s="105"/>
      <c r="G43" s="105"/>
      <c r="H43" s="105"/>
      <c r="I43" s="105"/>
      <c r="J43" s="86"/>
      <c r="M43" s="52"/>
      <c r="N43" s="52"/>
      <c r="O43" s="52"/>
      <c r="P43" s="52"/>
      <c r="Q43" s="52"/>
      <c r="R43" s="52"/>
      <c r="S43" s="52"/>
      <c r="T43" s="52"/>
      <c r="U43" s="52"/>
    </row>
    <row r="44" spans="1:21" s="1" customFormat="1" ht="16.149999999999999" customHeight="1">
      <c r="A44" s="105" t="s">
        <v>68</v>
      </c>
      <c r="B44" s="105"/>
      <c r="C44" s="105"/>
      <c r="D44" s="105"/>
      <c r="E44" s="105"/>
      <c r="F44" s="105"/>
      <c r="G44" s="105"/>
      <c r="H44" s="105"/>
      <c r="I44" s="105"/>
      <c r="J44" s="86"/>
      <c r="M44" s="24"/>
      <c r="N44" s="24"/>
      <c r="O44" s="24"/>
      <c r="P44" s="24"/>
      <c r="Q44" s="24"/>
      <c r="R44" s="24"/>
      <c r="S44" s="24"/>
      <c r="T44" s="24"/>
      <c r="U44" s="24"/>
    </row>
    <row r="45" spans="1:21" s="1" customFormat="1" ht="16.899999999999999" customHeight="1">
      <c r="A45" s="88"/>
      <c r="B45" s="89"/>
      <c r="C45" s="89"/>
      <c r="D45" s="89"/>
      <c r="E45" s="89"/>
      <c r="F45" s="89"/>
      <c r="G45" s="89"/>
      <c r="H45" s="89"/>
      <c r="I45" s="89"/>
      <c r="M45" s="24"/>
      <c r="N45" s="24"/>
      <c r="O45" s="24"/>
      <c r="P45" s="24"/>
      <c r="Q45" s="24"/>
      <c r="R45" s="24"/>
      <c r="S45" s="24"/>
      <c r="T45" s="24"/>
      <c r="U45" s="24"/>
    </row>
    <row r="46" spans="1:21" ht="15.75">
      <c r="A46" s="56"/>
      <c r="B46" s="56"/>
      <c r="C46" s="56"/>
    </row>
    <row r="47" spans="1:21" ht="15.75">
      <c r="A47" s="56"/>
      <c r="B47" s="56"/>
      <c r="C47" s="56"/>
    </row>
    <row r="48" spans="1:21" ht="15.75">
      <c r="A48" s="57"/>
      <c r="B48" s="57"/>
      <c r="C48" s="57"/>
    </row>
    <row r="49" spans="1:3" ht="15.75">
      <c r="A49" s="56"/>
      <c r="B49" s="56"/>
      <c r="C49" s="56"/>
    </row>
    <row r="50" spans="1:3" ht="15.75">
      <c r="A50" s="56"/>
      <c r="B50" s="56"/>
      <c r="C50" s="56"/>
    </row>
    <row r="51" spans="1:3" ht="15.75">
      <c r="A51" s="57"/>
      <c r="B51" s="57"/>
      <c r="C51" s="57"/>
    </row>
    <row r="52" spans="1:3" ht="15.75">
      <c r="A52" s="57"/>
      <c r="B52" s="57"/>
      <c r="C52" s="57"/>
    </row>
    <row r="53" spans="1:3" ht="15.75" customHeight="1">
      <c r="A53" s="56"/>
      <c r="B53" s="56"/>
      <c r="C53" s="56"/>
    </row>
    <row r="54" spans="1:3" ht="15" customHeight="1">
      <c r="A54" s="56"/>
      <c r="B54" s="56"/>
      <c r="C54" s="56"/>
    </row>
    <row r="55" spans="1:3" ht="15.75">
      <c r="A55" s="56"/>
      <c r="B55" s="56"/>
      <c r="C55" s="56"/>
    </row>
    <row r="56" spans="1:3" ht="15.75">
      <c r="A56" s="57"/>
      <c r="B56" s="57"/>
      <c r="C56" s="57"/>
    </row>
    <row r="57" spans="1:3" ht="15.75">
      <c r="A57" s="57"/>
      <c r="B57" s="56"/>
      <c r="C57" s="56"/>
    </row>
    <row r="58" spans="1:3" ht="15.75">
      <c r="A58" s="56"/>
      <c r="B58" s="56"/>
      <c r="C58" s="56"/>
    </row>
    <row r="59" spans="1:3" ht="15.75">
      <c r="A59" s="57"/>
      <c r="B59" s="56"/>
      <c r="C59" s="56"/>
    </row>
  </sheetData>
  <sortState xmlns:xlrd2="http://schemas.microsoft.com/office/spreadsheetml/2017/richdata2" ref="A46:C59">
    <sortCondition ref="C46:C59"/>
  </sortState>
  <mergeCells count="12">
    <mergeCell ref="A44:I44"/>
    <mergeCell ref="A39:I39"/>
    <mergeCell ref="A40:I40"/>
    <mergeCell ref="A41:I41"/>
    <mergeCell ref="A42:I42"/>
    <mergeCell ref="A43:I43"/>
    <mergeCell ref="A37:I37"/>
    <mergeCell ref="K4:L4"/>
    <mergeCell ref="A38:I38"/>
    <mergeCell ref="F22:H22"/>
    <mergeCell ref="F31:H31"/>
    <mergeCell ref="F32:H32"/>
  </mergeCells>
  <phoneticPr fontId="22"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N27"/>
  <sheetViews>
    <sheetView topLeftCell="A8" zoomScale="90" zoomScaleNormal="90" workbookViewId="0">
      <selection activeCell="I15" sqref="I15"/>
    </sheetView>
  </sheetViews>
  <sheetFormatPr defaultRowHeight="15"/>
  <cols>
    <col min="1" max="1" width="43.28515625" customWidth="1"/>
    <col min="2" max="9" width="11.7109375" customWidth="1"/>
    <col min="10" max="10" width="8.140625" customWidth="1"/>
    <col min="11" max="11" width="11.85546875" customWidth="1"/>
  </cols>
  <sheetData>
    <row r="1" spans="1:14" ht="15.75">
      <c r="A1" s="30" t="s">
        <v>69</v>
      </c>
      <c r="B1" s="1"/>
      <c r="C1" s="1"/>
      <c r="D1" s="1"/>
      <c r="E1" s="1"/>
      <c r="F1" s="1"/>
      <c r="G1" s="1"/>
      <c r="H1" s="1"/>
      <c r="I1" s="1"/>
    </row>
    <row r="2" spans="1:14">
      <c r="A2" s="1"/>
      <c r="B2" s="1"/>
      <c r="C2" s="1"/>
      <c r="D2" s="1"/>
      <c r="E2" s="1"/>
      <c r="F2" s="6"/>
      <c r="G2" s="6"/>
      <c r="H2" s="6"/>
      <c r="I2" s="6"/>
    </row>
    <row r="3" spans="1:14" ht="76.5">
      <c r="A3" s="28" t="s">
        <v>70</v>
      </c>
      <c r="B3" s="65" t="s">
        <v>71</v>
      </c>
      <c r="C3" s="65" t="s">
        <v>72</v>
      </c>
      <c r="D3" s="65" t="s">
        <v>73</v>
      </c>
      <c r="E3" s="65" t="s">
        <v>74</v>
      </c>
      <c r="F3" s="65" t="s">
        <v>15</v>
      </c>
      <c r="G3" s="65" t="s">
        <v>75</v>
      </c>
      <c r="H3" s="65" t="s">
        <v>76</v>
      </c>
      <c r="I3" s="65" t="s">
        <v>77</v>
      </c>
      <c r="J3" s="1"/>
      <c r="K3" s="1"/>
      <c r="L3" s="1"/>
    </row>
    <row r="4" spans="1:14">
      <c r="A4" s="17" t="s">
        <v>78</v>
      </c>
      <c r="B4" s="73"/>
      <c r="C4" s="73"/>
      <c r="D4" s="73"/>
      <c r="E4" s="73"/>
      <c r="F4" s="73"/>
      <c r="G4" s="73"/>
      <c r="H4" s="73"/>
      <c r="I4" s="33" t="s">
        <v>79</v>
      </c>
      <c r="J4" s="1"/>
      <c r="K4" s="103" t="s">
        <v>21</v>
      </c>
      <c r="L4" s="103"/>
    </row>
    <row r="5" spans="1:14">
      <c r="A5" s="31" t="s">
        <v>80</v>
      </c>
      <c r="B5" s="15">
        <v>24</v>
      </c>
      <c r="C5" s="15">
        <v>1.2</v>
      </c>
      <c r="D5" s="15">
        <f>+B5*C5</f>
        <v>28.799999999999997</v>
      </c>
      <c r="E5" s="15">
        <v>0</v>
      </c>
      <c r="F5" s="15">
        <f>+D5*E5</f>
        <v>0</v>
      </c>
      <c r="G5" s="34">
        <f>+F5*0.05</f>
        <v>0</v>
      </c>
      <c r="H5" s="15">
        <f>+F5*0.1</f>
        <v>0</v>
      </c>
      <c r="I5" s="92">
        <f>+$L$5*G5+$L$6*F5+$L$7*H5</f>
        <v>0</v>
      </c>
      <c r="J5" s="1"/>
      <c r="K5" s="10" t="s">
        <v>23</v>
      </c>
      <c r="L5" s="25">
        <v>73.459999999999994</v>
      </c>
    </row>
    <row r="6" spans="1:14" ht="15.75">
      <c r="A6" s="31" t="s">
        <v>81</v>
      </c>
      <c r="B6" s="15">
        <v>40</v>
      </c>
      <c r="C6" s="15">
        <v>1.2</v>
      </c>
      <c r="D6" s="15">
        <f t="shared" ref="D6:D14" si="0">+B6*C6</f>
        <v>48</v>
      </c>
      <c r="E6" s="15">
        <v>0</v>
      </c>
      <c r="F6" s="15">
        <f t="shared" ref="F6:F14" si="1">+D6*E6</f>
        <v>0</v>
      </c>
      <c r="G6" s="34">
        <f t="shared" ref="G6:G14" si="2">+F6*0.05</f>
        <v>0</v>
      </c>
      <c r="H6" s="15">
        <f t="shared" ref="H6:H14" si="3">+F6*0.1</f>
        <v>0</v>
      </c>
      <c r="I6" s="92">
        <f>+$L$5*G6+$L$6*F6+$L$7*H6</f>
        <v>0</v>
      </c>
      <c r="J6" s="1"/>
      <c r="K6" s="10" t="s">
        <v>82</v>
      </c>
      <c r="L6" s="25">
        <v>54.51</v>
      </c>
    </row>
    <row r="7" spans="1:14">
      <c r="A7" s="17" t="s">
        <v>83</v>
      </c>
      <c r="B7" s="73"/>
      <c r="C7" s="73"/>
      <c r="D7" s="15"/>
      <c r="E7" s="73"/>
      <c r="F7" s="73"/>
      <c r="G7" s="75"/>
      <c r="H7" s="73"/>
      <c r="I7" s="74"/>
      <c r="J7" s="1"/>
      <c r="K7" s="10" t="s">
        <v>27</v>
      </c>
      <c r="L7" s="25">
        <v>29.5</v>
      </c>
    </row>
    <row r="8" spans="1:14">
      <c r="A8" s="31" t="s">
        <v>84</v>
      </c>
      <c r="B8" s="15">
        <v>2</v>
      </c>
      <c r="C8" s="15">
        <v>1</v>
      </c>
      <c r="D8" s="15">
        <f t="shared" si="0"/>
        <v>2</v>
      </c>
      <c r="E8" s="15">
        <v>0</v>
      </c>
      <c r="F8" s="15">
        <f t="shared" si="1"/>
        <v>0</v>
      </c>
      <c r="G8" s="34">
        <f t="shared" si="2"/>
        <v>0</v>
      </c>
      <c r="H8" s="15">
        <f t="shared" si="3"/>
        <v>0</v>
      </c>
      <c r="I8" s="92">
        <f t="shared" ref="I8:I11" si="4">+$L$5*G8+$L$6*F8+$L$7*H8</f>
        <v>0</v>
      </c>
      <c r="J8" s="9"/>
      <c r="K8" s="9"/>
      <c r="L8" s="1"/>
    </row>
    <row r="9" spans="1:14" ht="19.5" customHeight="1">
      <c r="A9" s="31" t="s">
        <v>38</v>
      </c>
      <c r="B9" s="15">
        <v>0.5</v>
      </c>
      <c r="C9" s="15">
        <v>1</v>
      </c>
      <c r="D9" s="15">
        <f t="shared" si="0"/>
        <v>0.5</v>
      </c>
      <c r="E9" s="15">
        <v>0</v>
      </c>
      <c r="F9" s="15">
        <f t="shared" si="1"/>
        <v>0</v>
      </c>
      <c r="G9" s="34">
        <f t="shared" si="2"/>
        <v>0</v>
      </c>
      <c r="H9" s="15">
        <f t="shared" si="3"/>
        <v>0</v>
      </c>
      <c r="I9" s="92">
        <f t="shared" si="4"/>
        <v>0</v>
      </c>
      <c r="J9" s="9"/>
      <c r="M9" s="71"/>
      <c r="N9" s="71"/>
    </row>
    <row r="10" spans="1:14" ht="15.75">
      <c r="A10" s="31" t="s">
        <v>85</v>
      </c>
      <c r="B10" s="15">
        <v>0.5</v>
      </c>
      <c r="C10" s="15">
        <v>1.2</v>
      </c>
      <c r="D10" s="15">
        <f t="shared" si="0"/>
        <v>0.6</v>
      </c>
      <c r="E10" s="15">
        <v>0</v>
      </c>
      <c r="F10" s="15">
        <f t="shared" si="1"/>
        <v>0</v>
      </c>
      <c r="G10" s="34">
        <f t="shared" si="2"/>
        <v>0</v>
      </c>
      <c r="H10" s="15">
        <f t="shared" si="3"/>
        <v>0</v>
      </c>
      <c r="I10" s="92">
        <f t="shared" si="4"/>
        <v>0</v>
      </c>
      <c r="J10" s="11"/>
      <c r="K10" s="72"/>
      <c r="L10" s="72"/>
    </row>
    <row r="11" spans="1:14" ht="15.75">
      <c r="A11" s="31" t="s">
        <v>86</v>
      </c>
      <c r="B11" s="15">
        <v>0.5</v>
      </c>
      <c r="C11" s="15">
        <v>1</v>
      </c>
      <c r="D11" s="15">
        <f t="shared" si="0"/>
        <v>0.5</v>
      </c>
      <c r="E11" s="15">
        <v>0</v>
      </c>
      <c r="F11" s="15">
        <f t="shared" si="1"/>
        <v>0</v>
      </c>
      <c r="G11" s="34">
        <f t="shared" si="2"/>
        <v>0</v>
      </c>
      <c r="H11" s="15">
        <f t="shared" si="3"/>
        <v>0</v>
      </c>
      <c r="I11" s="92">
        <f t="shared" si="4"/>
        <v>0</v>
      </c>
      <c r="J11" s="1"/>
      <c r="M11" s="71"/>
      <c r="N11" s="71"/>
    </row>
    <row r="12" spans="1:14">
      <c r="A12" s="17" t="s">
        <v>87</v>
      </c>
      <c r="B12" s="73"/>
      <c r="C12" s="73"/>
      <c r="D12" s="15"/>
      <c r="E12" s="73"/>
      <c r="F12" s="73"/>
      <c r="G12" s="75"/>
      <c r="H12" s="73"/>
      <c r="I12" s="33"/>
      <c r="J12" s="1"/>
      <c r="K12" s="1"/>
      <c r="L12" s="1"/>
    </row>
    <row r="13" spans="1:14" ht="15" customHeight="1">
      <c r="A13" s="31" t="s">
        <v>88</v>
      </c>
      <c r="B13" s="15">
        <v>8</v>
      </c>
      <c r="C13" s="15">
        <v>2</v>
      </c>
      <c r="D13" s="15">
        <f>+B13*C13</f>
        <v>16</v>
      </c>
      <c r="E13" s="34">
        <f>'Table 1'!E20</f>
        <v>585.6</v>
      </c>
      <c r="F13" s="53">
        <f>+D13*E13</f>
        <v>9369.6</v>
      </c>
      <c r="G13" s="15">
        <f t="shared" si="2"/>
        <v>468.48</v>
      </c>
      <c r="H13" s="15">
        <f t="shared" si="3"/>
        <v>936.96</v>
      </c>
      <c r="I13" s="92">
        <f t="shared" ref="I13:I14" si="5">+$L$5*G13+$L$6*F13+$L$7*H13</f>
        <v>572791.75679999997</v>
      </c>
      <c r="J13" s="1"/>
      <c r="K13" s="1"/>
      <c r="L13" s="1"/>
    </row>
    <row r="14" spans="1:14" ht="15.75">
      <c r="A14" s="31" t="s">
        <v>89</v>
      </c>
      <c r="B14" s="15">
        <v>8</v>
      </c>
      <c r="C14" s="15">
        <v>4</v>
      </c>
      <c r="D14" s="15">
        <f t="shared" si="0"/>
        <v>32</v>
      </c>
      <c r="E14" s="34">
        <f>'Table 1'!E21</f>
        <v>146.4</v>
      </c>
      <c r="F14" s="53">
        <f t="shared" si="1"/>
        <v>4684.8</v>
      </c>
      <c r="G14" s="15">
        <f t="shared" si="2"/>
        <v>234.24</v>
      </c>
      <c r="H14" s="15">
        <f t="shared" si="3"/>
        <v>468.48</v>
      </c>
      <c r="I14" s="92">
        <f t="shared" si="5"/>
        <v>286395.87839999999</v>
      </c>
      <c r="J14" s="1"/>
      <c r="K14" s="1"/>
      <c r="L14" s="1"/>
    </row>
    <row r="15" spans="1:14" ht="18.75" customHeight="1">
      <c r="A15" s="18" t="s">
        <v>90</v>
      </c>
      <c r="B15" s="18"/>
      <c r="C15" s="18"/>
      <c r="D15" s="18"/>
      <c r="E15" s="18"/>
      <c r="F15" s="104">
        <f>ROUND(SUM(F4:H14),-2)</f>
        <v>16200</v>
      </c>
      <c r="G15" s="104"/>
      <c r="H15" s="104"/>
      <c r="I15" s="93">
        <f>ROUND(SUM(I4:I14),-3)</f>
        <v>859000</v>
      </c>
      <c r="J15" s="86"/>
      <c r="K15" s="1"/>
      <c r="L15" s="1"/>
    </row>
    <row r="16" spans="1:14" ht="27" customHeight="1">
      <c r="A16" s="94" t="s">
        <v>91</v>
      </c>
      <c r="B16" s="95"/>
      <c r="C16" s="95"/>
      <c r="D16" s="95"/>
      <c r="E16" s="95"/>
      <c r="F16" s="95"/>
      <c r="G16" s="95"/>
      <c r="H16" s="95"/>
      <c r="I16" s="95"/>
    </row>
    <row r="17" spans="1:12" ht="42.6" customHeight="1">
      <c r="A17" s="107" t="s">
        <v>92</v>
      </c>
      <c r="B17" s="107"/>
      <c r="C17" s="107"/>
      <c r="D17" s="107"/>
      <c r="E17" s="107"/>
      <c r="F17" s="107"/>
      <c r="G17" s="107"/>
      <c r="H17" s="107"/>
      <c r="I17" s="107"/>
      <c r="J17" s="86"/>
      <c r="K17" s="1"/>
      <c r="L17" s="1"/>
    </row>
    <row r="18" spans="1:12" ht="43.5" customHeight="1">
      <c r="A18" s="108" t="s">
        <v>93</v>
      </c>
      <c r="B18" s="108"/>
      <c r="C18" s="108"/>
      <c r="D18" s="108"/>
      <c r="E18" s="108"/>
      <c r="F18" s="108"/>
      <c r="G18" s="108"/>
      <c r="H18" s="108"/>
      <c r="I18" s="108"/>
      <c r="J18" s="1"/>
      <c r="K18" s="1"/>
      <c r="L18" s="1"/>
    </row>
    <row r="19" spans="1:12" ht="15.75">
      <c r="A19" s="105" t="s">
        <v>94</v>
      </c>
      <c r="B19" s="105"/>
      <c r="C19" s="105"/>
      <c r="D19" s="105"/>
      <c r="E19" s="105"/>
      <c r="F19" s="105"/>
      <c r="G19" s="105"/>
      <c r="H19" s="105"/>
      <c r="I19" s="105"/>
      <c r="J19" s="1"/>
      <c r="K19" s="1"/>
      <c r="L19" s="1"/>
    </row>
    <row r="20" spans="1:12" ht="15.75">
      <c r="A20" s="105" t="s">
        <v>95</v>
      </c>
      <c r="B20" s="105"/>
      <c r="C20" s="105"/>
      <c r="D20" s="105"/>
      <c r="E20" s="105"/>
      <c r="F20" s="105"/>
      <c r="G20" s="105"/>
      <c r="H20" s="105"/>
      <c r="I20" s="105"/>
      <c r="J20" s="1"/>
      <c r="K20" s="1"/>
      <c r="L20" s="1"/>
    </row>
    <row r="21" spans="1:12" ht="16.5">
      <c r="A21" s="106" t="s">
        <v>96</v>
      </c>
      <c r="B21" s="106"/>
      <c r="C21" s="106"/>
      <c r="D21" s="106"/>
      <c r="E21" s="106"/>
      <c r="F21" s="106"/>
      <c r="G21" s="106"/>
      <c r="H21" s="106"/>
      <c r="I21" s="106"/>
      <c r="J21" s="1"/>
      <c r="K21" s="1"/>
      <c r="L21" s="1"/>
    </row>
    <row r="22" spans="1:12" ht="15.75">
      <c r="A22" s="105" t="s">
        <v>97</v>
      </c>
      <c r="B22" s="105"/>
      <c r="C22" s="105"/>
      <c r="D22" s="105"/>
      <c r="E22" s="105"/>
      <c r="F22" s="105"/>
      <c r="G22" s="105"/>
      <c r="H22" s="105"/>
      <c r="I22" s="105"/>
      <c r="J22" s="1"/>
      <c r="K22" s="1"/>
      <c r="L22" s="1"/>
    </row>
    <row r="23" spans="1:12">
      <c r="A23" s="1"/>
      <c r="B23" s="70"/>
      <c r="C23" s="70"/>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sheetData>
  <mergeCells count="8">
    <mergeCell ref="A19:I19"/>
    <mergeCell ref="A20:I20"/>
    <mergeCell ref="A21:I21"/>
    <mergeCell ref="A22:I22"/>
    <mergeCell ref="K4:L4"/>
    <mergeCell ref="F15:H15"/>
    <mergeCell ref="A17:I17"/>
    <mergeCell ref="A18:I1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0"/>
  <sheetViews>
    <sheetView zoomScale="90" zoomScaleNormal="90" workbookViewId="0">
      <selection activeCell="A10" sqref="A10"/>
    </sheetView>
  </sheetViews>
  <sheetFormatPr defaultColWidth="22" defaultRowHeight="12.75"/>
  <cols>
    <col min="1" max="1" width="19.140625" style="13" customWidth="1"/>
    <col min="2" max="2" width="16.42578125" style="13" customWidth="1"/>
    <col min="3" max="7" width="13.7109375" style="13" customWidth="1"/>
    <col min="8" max="8" width="6" style="13" customWidth="1"/>
    <col min="9" max="16384" width="22" style="13"/>
  </cols>
  <sheetData>
    <row r="1" spans="1:9">
      <c r="A1" s="4"/>
      <c r="B1" s="5"/>
      <c r="C1" s="5"/>
    </row>
    <row r="2" spans="1:9">
      <c r="A2" s="109" t="s">
        <v>98</v>
      </c>
      <c r="B2" s="109"/>
      <c r="C2" s="109"/>
      <c r="D2" s="109"/>
      <c r="E2" s="109"/>
      <c r="F2" s="109"/>
      <c r="G2" s="110"/>
      <c r="H2" s="20"/>
    </row>
    <row r="3" spans="1:9">
      <c r="A3" s="98" t="s">
        <v>99</v>
      </c>
      <c r="B3" s="98" t="s">
        <v>100</v>
      </c>
      <c r="C3" s="98" t="s">
        <v>101</v>
      </c>
      <c r="D3" s="98" t="s">
        <v>102</v>
      </c>
      <c r="E3" s="98" t="s">
        <v>103</v>
      </c>
      <c r="F3" s="98" t="s">
        <v>104</v>
      </c>
      <c r="G3" s="98" t="s">
        <v>105</v>
      </c>
      <c r="H3" s="20"/>
    </row>
    <row r="4" spans="1:9" ht="46.5" customHeight="1">
      <c r="A4" s="98" t="s">
        <v>106</v>
      </c>
      <c r="B4" s="98" t="s">
        <v>107</v>
      </c>
      <c r="C4" s="98" t="s">
        <v>108</v>
      </c>
      <c r="D4" s="98" t="s">
        <v>109</v>
      </c>
      <c r="E4" s="98" t="s">
        <v>110</v>
      </c>
      <c r="F4" s="98" t="s">
        <v>111</v>
      </c>
      <c r="G4" s="98" t="s">
        <v>112</v>
      </c>
      <c r="H4" s="20"/>
    </row>
    <row r="5" spans="1:9">
      <c r="A5" s="26" t="s">
        <v>113</v>
      </c>
      <c r="B5" s="27">
        <f>200000*(816/575.4)</f>
        <v>283628.77997914498</v>
      </c>
      <c r="C5" s="28">
        <v>0</v>
      </c>
      <c r="D5" s="27">
        <f>(B5*C5)</f>
        <v>0</v>
      </c>
      <c r="E5" s="27">
        <f>15000*(816/575.4)</f>
        <v>21272.158498435871</v>
      </c>
      <c r="F5" s="28">
        <v>732</v>
      </c>
      <c r="G5" s="27">
        <f>(E5*F5)</f>
        <v>15571220.020855058</v>
      </c>
      <c r="H5" s="21"/>
    </row>
    <row r="6" spans="1:9" ht="15.75">
      <c r="A6" s="18" t="s">
        <v>114</v>
      </c>
      <c r="B6" s="15"/>
      <c r="C6" s="15"/>
      <c r="D6" s="19">
        <f>SUM(D5)</f>
        <v>0</v>
      </c>
      <c r="E6" s="15"/>
      <c r="F6" s="15"/>
      <c r="G6" s="19">
        <f>ROUND(SUM(G5),-5)</f>
        <v>15600000</v>
      </c>
      <c r="I6" s="59">
        <f>D6+G6</f>
        <v>15600000</v>
      </c>
    </row>
    <row r="7" spans="1:9">
      <c r="B7" s="58"/>
      <c r="C7" s="58"/>
      <c r="D7" s="22"/>
      <c r="E7" s="58"/>
      <c r="F7" s="58"/>
      <c r="G7" s="22"/>
      <c r="I7" s="59"/>
    </row>
    <row r="8" spans="1:9">
      <c r="A8" s="87" t="s">
        <v>115</v>
      </c>
      <c r="B8" s="58"/>
      <c r="C8" s="58"/>
      <c r="D8" s="22"/>
      <c r="E8" s="58"/>
      <c r="F8" s="58"/>
      <c r="G8" s="22"/>
    </row>
    <row r="9" spans="1:9" ht="15.75">
      <c r="A9" s="96" t="s">
        <v>116</v>
      </c>
      <c r="B9" s="37"/>
      <c r="C9" s="37"/>
      <c r="D9" s="37"/>
      <c r="E9" s="37"/>
      <c r="F9" s="37"/>
      <c r="G9" s="37"/>
    </row>
    <row r="10" spans="1:9" ht="15.75">
      <c r="A10" s="96" t="s">
        <v>117</v>
      </c>
    </row>
  </sheetData>
  <mergeCells count="1">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1"/>
  <sheetViews>
    <sheetView zoomScaleNormal="100" workbookViewId="0">
      <selection activeCell="A12" sqref="A12"/>
    </sheetView>
  </sheetViews>
  <sheetFormatPr defaultRowHeight="15"/>
  <cols>
    <col min="1" max="1" width="22.28515625" bestFit="1" customWidth="1"/>
    <col min="2" max="2" width="11.85546875" customWidth="1"/>
    <col min="3" max="3" width="12.7109375" customWidth="1"/>
    <col min="4" max="4" width="11.42578125" customWidth="1"/>
    <col min="5" max="5" width="14.7109375" customWidth="1"/>
  </cols>
  <sheetData>
    <row r="1" spans="1:6" s="13" customFormat="1" ht="15.75">
      <c r="A1" s="111" t="s">
        <v>6</v>
      </c>
      <c r="B1" s="111"/>
      <c r="C1" s="111"/>
      <c r="D1" s="111"/>
      <c r="E1" s="111"/>
    </row>
    <row r="2" spans="1:6" s="13" customFormat="1" ht="12.75">
      <c r="A2" s="14" t="s">
        <v>99</v>
      </c>
      <c r="B2" s="14" t="s">
        <v>100</v>
      </c>
      <c r="C2" s="14" t="s">
        <v>101</v>
      </c>
      <c r="D2" s="14" t="s">
        <v>102</v>
      </c>
      <c r="E2" s="14" t="s">
        <v>103</v>
      </c>
    </row>
    <row r="3" spans="1:6" s="13" customFormat="1" ht="102">
      <c r="A3" s="14" t="s">
        <v>118</v>
      </c>
      <c r="B3" s="14" t="s">
        <v>119</v>
      </c>
      <c r="C3" s="14" t="s">
        <v>120</v>
      </c>
      <c r="D3" s="14" t="s">
        <v>121</v>
      </c>
      <c r="E3" s="14" t="s">
        <v>122</v>
      </c>
    </row>
    <row r="4" spans="1:6" s="13" customFormat="1" ht="24">
      <c r="A4" s="80" t="s">
        <v>123</v>
      </c>
      <c r="B4" s="81">
        <v>0</v>
      </c>
      <c r="C4" s="81">
        <v>1</v>
      </c>
      <c r="D4" s="81">
        <v>0</v>
      </c>
      <c r="E4" s="81">
        <f>+(B4*C4)+D4</f>
        <v>0</v>
      </c>
    </row>
    <row r="5" spans="1:6" s="13" customFormat="1" ht="12.75">
      <c r="A5" s="80" t="s">
        <v>38</v>
      </c>
      <c r="B5" s="81">
        <v>0</v>
      </c>
      <c r="C5" s="81">
        <v>1</v>
      </c>
      <c r="D5" s="81">
        <v>0</v>
      </c>
      <c r="E5" s="81">
        <f t="shared" ref="E5:E7" si="0">+(B5*C5)+D5</f>
        <v>0</v>
      </c>
    </row>
    <row r="6" spans="1:6" s="13" customFormat="1" ht="24">
      <c r="A6" s="80" t="s">
        <v>124</v>
      </c>
      <c r="B6" s="81">
        <v>0</v>
      </c>
      <c r="C6" s="81">
        <v>1.2</v>
      </c>
      <c r="D6" s="81">
        <v>0</v>
      </c>
      <c r="E6" s="81">
        <f t="shared" si="0"/>
        <v>0</v>
      </c>
    </row>
    <row r="7" spans="1:6" s="13" customFormat="1" ht="24">
      <c r="A7" s="80" t="s">
        <v>40</v>
      </c>
      <c r="B7" s="81">
        <v>0</v>
      </c>
      <c r="C7" s="81">
        <v>1</v>
      </c>
      <c r="D7" s="81">
        <v>0</v>
      </c>
      <c r="E7" s="81">
        <f t="shared" si="0"/>
        <v>0</v>
      </c>
    </row>
    <row r="8" spans="1:6" s="13" customFormat="1" ht="12.75">
      <c r="A8" s="80" t="s">
        <v>125</v>
      </c>
      <c r="B8" s="81">
        <v>586</v>
      </c>
      <c r="C8" s="81">
        <v>2</v>
      </c>
      <c r="D8" s="81">
        <v>0</v>
      </c>
      <c r="E8" s="97">
        <f>+(B8*C8)+D8</f>
        <v>1172</v>
      </c>
      <c r="F8" s="2"/>
    </row>
    <row r="9" spans="1:6" s="13" customFormat="1" ht="28.5" customHeight="1">
      <c r="A9" s="80" t="s">
        <v>126</v>
      </c>
      <c r="B9" s="81">
        <v>146</v>
      </c>
      <c r="C9" s="81">
        <v>4</v>
      </c>
      <c r="D9" s="81">
        <v>0</v>
      </c>
      <c r="E9" s="81">
        <f>+(B9*C9)+D9</f>
        <v>584</v>
      </c>
    </row>
    <row r="10" spans="1:6" s="13" customFormat="1" ht="28.5" customHeight="1">
      <c r="A10" s="80"/>
      <c r="B10" s="81"/>
      <c r="C10" s="81"/>
      <c r="D10" s="82" t="s">
        <v>127</v>
      </c>
      <c r="E10" s="83">
        <f>SUM(E4:E9)</f>
        <v>1756</v>
      </c>
    </row>
    <row r="11" spans="1:6" s="13" customFormat="1" ht="9.75" customHeight="1">
      <c r="A11" s="60"/>
      <c r="B11" s="61"/>
      <c r="C11" s="61"/>
      <c r="D11" s="62"/>
      <c r="E11" s="63"/>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A10" sqref="A10"/>
    </sheetView>
  </sheetViews>
  <sheetFormatPr defaultColWidth="17.7109375" defaultRowHeight="31.9" customHeight="1"/>
  <cols>
    <col min="4" max="4" width="20.7109375" customWidth="1"/>
  </cols>
  <sheetData>
    <row r="1" spans="1:6" s="13" customFormat="1" ht="31.9" customHeight="1">
      <c r="A1" s="111" t="s">
        <v>2</v>
      </c>
      <c r="B1" s="111"/>
      <c r="C1" s="111"/>
      <c r="D1" s="111"/>
      <c r="E1" s="111"/>
      <c r="F1" s="111"/>
    </row>
    <row r="2" spans="1:6" s="13" customFormat="1" ht="31.9" customHeight="1">
      <c r="A2" s="99"/>
      <c r="B2" s="112" t="s">
        <v>128</v>
      </c>
      <c r="C2" s="112"/>
      <c r="D2" s="99" t="s">
        <v>129</v>
      </c>
      <c r="E2" s="112"/>
      <c r="F2" s="112"/>
    </row>
    <row r="3" spans="1:6" s="13" customFormat="1" ht="31.9" customHeight="1">
      <c r="A3" s="99"/>
      <c r="B3" s="23" t="s">
        <v>99</v>
      </c>
      <c r="C3" s="23" t="s">
        <v>100</v>
      </c>
      <c r="D3" s="23" t="s">
        <v>101</v>
      </c>
      <c r="E3" s="23" t="s">
        <v>102</v>
      </c>
      <c r="F3" s="23" t="s">
        <v>103</v>
      </c>
    </row>
    <row r="4" spans="1:6" s="13" customFormat="1" ht="70.900000000000006" customHeight="1">
      <c r="A4" s="23" t="s">
        <v>130</v>
      </c>
      <c r="B4" s="99" t="s">
        <v>131</v>
      </c>
      <c r="C4" s="99" t="s">
        <v>132</v>
      </c>
      <c r="D4" s="99" t="s">
        <v>133</v>
      </c>
      <c r="E4" s="99" t="s">
        <v>134</v>
      </c>
      <c r="F4" s="99" t="s">
        <v>135</v>
      </c>
    </row>
    <row r="5" spans="1:6" s="13" customFormat="1" ht="31.9" customHeight="1">
      <c r="A5" s="14">
        <v>1</v>
      </c>
      <c r="B5" s="15">
        <v>0</v>
      </c>
      <c r="C5" s="15">
        <v>732</v>
      </c>
      <c r="D5" s="15">
        <v>0</v>
      </c>
      <c r="E5" s="15">
        <v>0</v>
      </c>
      <c r="F5" s="15">
        <v>732</v>
      </c>
    </row>
    <row r="6" spans="1:6" s="13" customFormat="1" ht="31.9" customHeight="1">
      <c r="A6" s="14">
        <v>2</v>
      </c>
      <c r="B6" s="15">
        <v>0</v>
      </c>
      <c r="C6" s="15">
        <v>732</v>
      </c>
      <c r="D6" s="15">
        <v>0</v>
      </c>
      <c r="E6" s="15">
        <v>0</v>
      </c>
      <c r="F6" s="15">
        <v>732</v>
      </c>
    </row>
    <row r="7" spans="1:6" s="13" customFormat="1" ht="31.9" customHeight="1">
      <c r="A7" s="14">
        <v>3</v>
      </c>
      <c r="B7" s="15">
        <v>0</v>
      </c>
      <c r="C7" s="15">
        <v>732</v>
      </c>
      <c r="D7" s="15">
        <v>0</v>
      </c>
      <c r="E7" s="15">
        <v>0</v>
      </c>
      <c r="F7" s="15">
        <v>732</v>
      </c>
    </row>
    <row r="8" spans="1:6" s="13" customFormat="1" ht="31.9" customHeight="1">
      <c r="A8" s="14" t="s">
        <v>136</v>
      </c>
      <c r="B8" s="15">
        <v>0</v>
      </c>
      <c r="C8" s="15">
        <v>732</v>
      </c>
      <c r="D8" s="15">
        <v>0</v>
      </c>
      <c r="E8" s="15">
        <v>0</v>
      </c>
      <c r="F8" s="98">
        <v>732</v>
      </c>
    </row>
    <row r="9" spans="1:6" s="13" customFormat="1" ht="20.45" customHeight="1">
      <c r="A9" s="16" t="s">
        <v>137</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2024-10-23T10:18:22+00:00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21E5F-10C6-4A09-88A8-591C99903AA5}"/>
</file>

<file path=customXml/itemProps2.xml><?xml version="1.0" encoding="utf-8"?>
<ds:datastoreItem xmlns:ds="http://schemas.openxmlformats.org/officeDocument/2006/customXml" ds:itemID="{1788708A-52BB-4D0F-B232-80F9E123F193}"/>
</file>

<file path=customXml/itemProps3.xml><?xml version="1.0" encoding="utf-8"?>
<ds:datastoreItem xmlns:ds="http://schemas.openxmlformats.org/officeDocument/2006/customXml" ds:itemID="{5A9615E3-5DBD-46D2-8074-5A68E4551592}"/>
</file>

<file path=customXml/itemProps4.xml><?xml version="1.0" encoding="utf-8"?>
<ds:datastoreItem xmlns:ds="http://schemas.openxmlformats.org/officeDocument/2006/customXml" ds:itemID="{8DCED415-8393-4634-9968-A495AFA061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Bernales, Barbara</cp:lastModifiedBy>
  <cp:revision/>
  <dcterms:created xsi:type="dcterms:W3CDTF">2018-07-19T14:57:42Z</dcterms:created>
  <dcterms:modified xsi:type="dcterms:W3CDTF">2024-11-19T22:14:19Z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