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32CBC96-DB0C-4917-902B-8D10054CDCE3}"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 1a" sheetId="7" r:id="rId2"/>
    <sheet name="Table 1b" sheetId="8" r:id="rId3"/>
    <sheet name="Table 2a" sheetId="9" r:id="rId4"/>
    <sheet name="Table 2b" sheetId="10" r:id="rId5"/>
    <sheet name="Capital O&amp;M" sheetId="3" r:id="rId6"/>
    <sheet name="Responses" sheetId="5" r:id="rId7"/>
    <sheet name="Respondents" sheetId="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8" i="7" l="1"/>
  <c r="E5" i="3"/>
  <c r="G5" i="3"/>
  <c r="B5" i="3"/>
  <c r="B4" i="6"/>
  <c r="I13" i="10"/>
  <c r="F13" i="10"/>
  <c r="I11" i="10"/>
  <c r="F11" i="10"/>
  <c r="F13" i="9"/>
  <c r="I12" i="9"/>
  <c r="F12" i="9"/>
  <c r="I37" i="8"/>
  <c r="I36" i="8"/>
  <c r="I33" i="8"/>
  <c r="I24" i="8"/>
  <c r="I23" i="8"/>
  <c r="I7" i="8"/>
  <c r="F37" i="8"/>
  <c r="F36" i="8"/>
  <c r="F24" i="8"/>
  <c r="F32" i="8"/>
  <c r="F23" i="8"/>
  <c r="F10" i="4"/>
  <c r="I35" i="7" l="1"/>
  <c r="I34" i="7"/>
  <c r="I26" i="7"/>
  <c r="I21" i="7"/>
  <c r="I7" i="7"/>
  <c r="F35" i="7"/>
  <c r="F34" i="7"/>
  <c r="F21" i="7"/>
  <c r="F16" i="7"/>
  <c r="F7" i="7"/>
  <c r="E10" i="5" l="1"/>
  <c r="E5" i="5"/>
  <c r="F14" i="4"/>
  <c r="F7" i="4"/>
  <c r="F6" i="4"/>
  <c r="C6" i="4"/>
  <c r="F5" i="4"/>
  <c r="E12" i="9" l="1"/>
  <c r="D13" i="4"/>
  <c r="B13" i="4"/>
  <c r="C11" i="4"/>
  <c r="B8" i="4"/>
  <c r="C7" i="4"/>
  <c r="D5" i="3"/>
  <c r="I5" i="3" s="1"/>
  <c r="D12" i="10"/>
  <c r="F12" i="10" s="1"/>
  <c r="D11" i="10"/>
  <c r="F10" i="10"/>
  <c r="D10" i="10"/>
  <c r="D9" i="10"/>
  <c r="F9" i="10" s="1"/>
  <c r="F8" i="10"/>
  <c r="G8" i="10" s="1"/>
  <c r="D8" i="10"/>
  <c r="D7" i="10"/>
  <c r="F7" i="10" s="1"/>
  <c r="H6" i="10"/>
  <c r="F6" i="10"/>
  <c r="D6" i="10"/>
  <c r="D5" i="10"/>
  <c r="F5" i="10" s="1"/>
  <c r="D4" i="10"/>
  <c r="F4" i="10" s="1"/>
  <c r="D12" i="9"/>
  <c r="D11" i="9"/>
  <c r="F11" i="9" s="1"/>
  <c r="F10" i="9"/>
  <c r="D10" i="9"/>
  <c r="D9" i="9"/>
  <c r="F9" i="9" s="1"/>
  <c r="F8" i="9"/>
  <c r="H8" i="9" s="1"/>
  <c r="D8" i="9"/>
  <c r="D7" i="9"/>
  <c r="F7" i="9" s="1"/>
  <c r="H6" i="9"/>
  <c r="F6" i="9"/>
  <c r="D6" i="9"/>
  <c r="D5" i="9"/>
  <c r="F5" i="9" s="1"/>
  <c r="D4" i="9"/>
  <c r="F4" i="9" s="1"/>
  <c r="F33" i="8"/>
  <c r="H33" i="8" s="1"/>
  <c r="D33" i="8"/>
  <c r="D32" i="8"/>
  <c r="F31" i="8"/>
  <c r="D31" i="8"/>
  <c r="F29" i="8"/>
  <c r="H29" i="8" s="1"/>
  <c r="D29" i="8"/>
  <c r="D23" i="8"/>
  <c r="D21" i="8"/>
  <c r="F21" i="8" s="1"/>
  <c r="D20" i="8"/>
  <c r="F20" i="8" s="1"/>
  <c r="D19" i="8"/>
  <c r="F19" i="8" s="1"/>
  <c r="D18" i="8"/>
  <c r="F18" i="8" s="1"/>
  <c r="D17" i="8"/>
  <c r="F17" i="8" s="1"/>
  <c r="F16" i="8"/>
  <c r="H16" i="8" s="1"/>
  <c r="D16" i="8"/>
  <c r="F12" i="8"/>
  <c r="D12" i="8"/>
  <c r="F11" i="8"/>
  <c r="H11" i="8" s="1"/>
  <c r="D11" i="8"/>
  <c r="D10" i="8"/>
  <c r="F10" i="8" s="1"/>
  <c r="D9" i="8"/>
  <c r="F9" i="8" s="1"/>
  <c r="D7" i="8"/>
  <c r="D29" i="7"/>
  <c r="D28" i="7"/>
  <c r="F27" i="7"/>
  <c r="H27" i="7" s="1"/>
  <c r="D27" i="7"/>
  <c r="D26" i="7"/>
  <c r="D16" i="7"/>
  <c r="F15" i="7"/>
  <c r="H15" i="7" s="1"/>
  <c r="D15" i="7"/>
  <c r="F14" i="7"/>
  <c r="H14" i="7" s="1"/>
  <c r="D14" i="7"/>
  <c r="D13" i="7"/>
  <c r="F13" i="7" s="1"/>
  <c r="D12" i="7"/>
  <c r="F12" i="7" s="1"/>
  <c r="D11" i="7"/>
  <c r="F11" i="7" s="1"/>
  <c r="D10" i="7"/>
  <c r="F10" i="7" s="1"/>
  <c r="D9" i="7"/>
  <c r="F9" i="7" s="1"/>
  <c r="D7" i="7"/>
  <c r="B6" i="6" l="1"/>
  <c r="I38" i="8"/>
  <c r="I39" i="8" s="1"/>
  <c r="B5" i="6" s="1"/>
  <c r="C8" i="4"/>
  <c r="C12" i="4"/>
  <c r="F12" i="4" s="1"/>
  <c r="F11" i="4"/>
  <c r="F13" i="4" s="1"/>
  <c r="H9" i="8"/>
  <c r="I9" i="8"/>
  <c r="G9" i="8"/>
  <c r="G5" i="9"/>
  <c r="I5" i="9" s="1"/>
  <c r="H5" i="9"/>
  <c r="I18" i="8"/>
  <c r="H18" i="8"/>
  <c r="G18" i="8"/>
  <c r="H4" i="9"/>
  <c r="G4" i="9"/>
  <c r="H9" i="9"/>
  <c r="G9" i="9"/>
  <c r="I9" i="9" s="1"/>
  <c r="I6" i="10"/>
  <c r="G17" i="8"/>
  <c r="I17" i="8" s="1"/>
  <c r="H17" i="8"/>
  <c r="H7" i="10"/>
  <c r="G7" i="10"/>
  <c r="I7" i="10" s="1"/>
  <c r="I10" i="8"/>
  <c r="H10" i="8"/>
  <c r="G10" i="8"/>
  <c r="G11" i="7"/>
  <c r="I11" i="7" s="1"/>
  <c r="H11" i="7"/>
  <c r="G19" i="8"/>
  <c r="I19" i="8" s="1"/>
  <c r="H19" i="8"/>
  <c r="H12" i="10"/>
  <c r="G12" i="10"/>
  <c r="I12" i="10" s="1"/>
  <c r="H9" i="7"/>
  <c r="G9" i="7"/>
  <c r="I9" i="7" s="1"/>
  <c r="I10" i="9"/>
  <c r="H10" i="7"/>
  <c r="G10" i="7"/>
  <c r="I10" i="7" s="1"/>
  <c r="I31" i="8"/>
  <c r="G11" i="9"/>
  <c r="I11" i="9" s="1"/>
  <c r="H11" i="9"/>
  <c r="I12" i="7"/>
  <c r="G12" i="7"/>
  <c r="H12" i="7"/>
  <c r="H20" i="8"/>
  <c r="I20" i="8"/>
  <c r="G20" i="8"/>
  <c r="H7" i="9"/>
  <c r="G7" i="9"/>
  <c r="I7" i="9" s="1"/>
  <c r="H4" i="10"/>
  <c r="G4" i="10"/>
  <c r="H9" i="10"/>
  <c r="G9" i="10"/>
  <c r="I9" i="10" s="1"/>
  <c r="H13" i="7"/>
  <c r="G13" i="7"/>
  <c r="I13" i="7" s="1"/>
  <c r="I21" i="8"/>
  <c r="H21" i="8"/>
  <c r="G21" i="8"/>
  <c r="H5" i="10"/>
  <c r="I5" i="10" s="1"/>
  <c r="G5" i="10"/>
  <c r="H8" i="10"/>
  <c r="I14" i="7"/>
  <c r="I27" i="7"/>
  <c r="G16" i="8"/>
  <c r="I16" i="8" s="1"/>
  <c r="G10" i="9"/>
  <c r="I8" i="10"/>
  <c r="G10" i="10"/>
  <c r="I10" i="10" s="1"/>
  <c r="H10" i="9"/>
  <c r="H10" i="10"/>
  <c r="G15" i="7"/>
  <c r="I15" i="7" s="1"/>
  <c r="G12" i="8"/>
  <c r="I12" i="8" s="1"/>
  <c r="G31" i="8"/>
  <c r="H12" i="8"/>
  <c r="H31" i="8"/>
  <c r="G6" i="9"/>
  <c r="I6" i="9" s="1"/>
  <c r="G6" i="10"/>
  <c r="G11" i="8"/>
  <c r="I11" i="8" s="1"/>
  <c r="G29" i="8"/>
  <c r="I29" i="8" s="1"/>
  <c r="G33" i="8"/>
  <c r="G8" i="9"/>
  <c r="I8" i="9" s="1"/>
  <c r="G14" i="7"/>
  <c r="G27" i="7"/>
  <c r="F8" i="4" l="1"/>
  <c r="E7" i="7" s="1"/>
  <c r="B8" i="5"/>
  <c r="E8" i="5" s="1"/>
  <c r="E9" i="5" s="1"/>
  <c r="E32" i="8"/>
  <c r="E7" i="8"/>
  <c r="F7" i="8" s="1"/>
  <c r="E23" i="8"/>
  <c r="E11" i="10" s="1"/>
  <c r="C13" i="4"/>
  <c r="I4" i="9"/>
  <c r="I4" i="10"/>
  <c r="E28" i="7" l="1"/>
  <c r="F28" i="7" s="1"/>
  <c r="H28" i="7" s="1"/>
  <c r="B3" i="6"/>
  <c r="E16" i="7"/>
  <c r="E26" i="7"/>
  <c r="F26" i="7" s="1"/>
  <c r="H26" i="7" s="1"/>
  <c r="E29" i="7"/>
  <c r="F29" i="7" s="1"/>
  <c r="H29" i="7" s="1"/>
  <c r="B5" i="5"/>
  <c r="E6" i="5" s="1"/>
  <c r="B7" i="6" s="1"/>
  <c r="H7" i="7"/>
  <c r="G7" i="7"/>
  <c r="G7" i="8"/>
  <c r="H7" i="8"/>
  <c r="H32" i="8"/>
  <c r="G32" i="8"/>
  <c r="G29" i="7" l="1"/>
  <c r="I29" i="7" s="1"/>
  <c r="G28" i="7"/>
  <c r="G26" i="7"/>
  <c r="I28" i="7"/>
  <c r="I32" i="8"/>
  <c r="H12" i="9"/>
  <c r="G12" i="9"/>
  <c r="H16" i="7"/>
  <c r="G16" i="7"/>
  <c r="G11" i="10"/>
  <c r="H11" i="10"/>
  <c r="G23" i="8"/>
  <c r="H23" i="8"/>
  <c r="F37" i="7" l="1"/>
  <c r="F39" i="8"/>
  <c r="I16" i="7"/>
  <c r="I13" i="9"/>
  <c r="B2" i="6" l="1"/>
  <c r="I37" i="7"/>
</calcChain>
</file>

<file path=xl/sharedStrings.xml><?xml version="1.0" encoding="utf-8"?>
<sst xmlns="http://schemas.openxmlformats.org/spreadsheetml/2006/main" count="265" uniqueCount="169">
  <si>
    <t>ICR Summary Information</t>
  </si>
  <si>
    <t>Hours per Response</t>
  </si>
  <si>
    <t>Number of Respondents</t>
  </si>
  <si>
    <t>Total Estimated Burden Hours</t>
  </si>
  <si>
    <t>Total Estimated Costs</t>
  </si>
  <si>
    <t>Annualized Capital O&amp;M</t>
  </si>
  <si>
    <t>Total Annual Responses</t>
  </si>
  <si>
    <t>Burden Item</t>
  </si>
  <si>
    <t>Labor Rates</t>
  </si>
  <si>
    <t>Technical</t>
  </si>
  <si>
    <t>Clerical</t>
  </si>
  <si>
    <t>Assumptions:</t>
  </si>
  <si>
    <t>(B) 
No. of occurrences per respondent per year</t>
  </si>
  <si>
    <t>(A)</t>
  </si>
  <si>
    <t>(B)</t>
  </si>
  <si>
    <t>(C)</t>
  </si>
  <si>
    <t>(D)</t>
  </si>
  <si>
    <t>(E)</t>
  </si>
  <si>
    <t>(F)</t>
  </si>
  <si>
    <t>(G)</t>
  </si>
  <si>
    <t>Continuous Monitoring Device</t>
  </si>
  <si>
    <t>Information Collection Activity</t>
  </si>
  <si>
    <t>Number of Responses</t>
  </si>
  <si>
    <t>Number of Existing Respondents That Keep Records But Do Not Submit Reports</t>
  </si>
  <si>
    <t>Semiannual report</t>
  </si>
  <si>
    <t>Respondents That Submit Reports</t>
  </si>
  <si>
    <t>Respondents That Do Not Submit Any Reports</t>
  </si>
  <si>
    <t>Year</t>
  </si>
  <si>
    <t>Average</t>
  </si>
  <si>
    <t>Form Number</t>
  </si>
  <si>
    <t>(A) 
Person- hours per occurrence</t>
  </si>
  <si>
    <t>(C) 
Person- hours per respondent per year (AxB)</t>
  </si>
  <si>
    <r>
      <t>(D) Respondents per year</t>
    </r>
    <r>
      <rPr>
        <b/>
        <vertAlign val="superscript"/>
        <sz val="12"/>
        <color theme="1"/>
        <rFont val="Times New Roman"/>
        <family val="1"/>
      </rPr>
      <t>a</t>
    </r>
  </si>
  <si>
    <t>(E) Technical person- hours per year 
(CxD)</t>
  </si>
  <si>
    <t>(F) 
Management person-hours per year (Ex0.05)</t>
  </si>
  <si>
    <t>(G) 
Clerical person-hours per year 
(Ex0.1)</t>
  </si>
  <si>
    <r>
      <t xml:space="preserve">(H) 
Cost </t>
    </r>
    <r>
      <rPr>
        <b/>
        <vertAlign val="superscript"/>
        <sz val="12"/>
        <color theme="1"/>
        <rFont val="Times New Roman"/>
        <family val="1"/>
      </rPr>
      <t>b</t>
    </r>
    <r>
      <rPr>
        <b/>
        <sz val="12"/>
        <color theme="1"/>
        <rFont val="Times New Roman"/>
        <family val="1"/>
      </rPr>
      <t xml:space="preserve"> </t>
    </r>
  </si>
  <si>
    <t>1.  Applications</t>
  </si>
  <si>
    <t>N/A</t>
  </si>
  <si>
    <t>2.  Survey and Studies</t>
  </si>
  <si>
    <t>Managerial</t>
  </si>
  <si>
    <t>3.  Reporting requirements</t>
  </si>
  <si>
    <t xml:space="preserve">  </t>
  </si>
  <si>
    <t>A.  Familiarization with Regulatory Requirements</t>
  </si>
  <si>
    <t>B.  Required activities</t>
  </si>
  <si>
    <r>
      <t xml:space="preserve">Notification of construction/reconstruction </t>
    </r>
    <r>
      <rPr>
        <vertAlign val="superscript"/>
        <sz val="12"/>
        <color theme="1"/>
        <rFont val="Times New Roman"/>
        <family val="1"/>
      </rPr>
      <t>c</t>
    </r>
  </si>
  <si>
    <t>Notification of modification</t>
  </si>
  <si>
    <r>
      <t xml:space="preserve">Notification of anticipated startup </t>
    </r>
    <r>
      <rPr>
        <vertAlign val="superscript"/>
        <sz val="12"/>
        <color theme="1"/>
        <rFont val="Times New Roman"/>
        <family val="1"/>
      </rPr>
      <t>c</t>
    </r>
  </si>
  <si>
    <r>
      <t xml:space="preserve">Notification of actual startup </t>
    </r>
    <r>
      <rPr>
        <vertAlign val="superscript"/>
        <sz val="12"/>
        <color theme="1"/>
        <rFont val="Times New Roman"/>
        <family val="1"/>
      </rPr>
      <t>c</t>
    </r>
  </si>
  <si>
    <r>
      <t xml:space="preserve">Notification of electing to comply with alternative standards for valves </t>
    </r>
    <r>
      <rPr>
        <vertAlign val="superscript"/>
        <sz val="12"/>
        <color theme="1"/>
        <rFont val="Times New Roman"/>
        <family val="1"/>
      </rPr>
      <t>c</t>
    </r>
  </si>
  <si>
    <r>
      <t xml:space="preserve">Notification of initial performance test </t>
    </r>
    <r>
      <rPr>
        <vertAlign val="superscript"/>
        <sz val="12"/>
        <color theme="1"/>
        <rFont val="Times New Roman"/>
        <family val="1"/>
      </rPr>
      <t>c</t>
    </r>
  </si>
  <si>
    <t>Affirmative defense</t>
  </si>
  <si>
    <r>
      <t xml:space="preserve">Semiannual reports </t>
    </r>
    <r>
      <rPr>
        <vertAlign val="superscript"/>
        <sz val="12"/>
        <color theme="1"/>
        <rFont val="Times New Roman"/>
        <family val="1"/>
      </rPr>
      <t>d</t>
    </r>
  </si>
  <si>
    <t>C.  Create Information</t>
  </si>
  <si>
    <r>
      <t xml:space="preserve">Initial performance test </t>
    </r>
    <r>
      <rPr>
        <vertAlign val="superscript"/>
        <sz val="12"/>
        <color theme="1"/>
        <rFont val="Times New Roman"/>
        <family val="1"/>
      </rPr>
      <t>c</t>
    </r>
  </si>
  <si>
    <t xml:space="preserve">D.  Gather existing information </t>
  </si>
  <si>
    <t xml:space="preserve">E.  Write report  </t>
  </si>
  <si>
    <t>See 3B</t>
  </si>
  <si>
    <t>Reporting Subtotal</t>
  </si>
  <si>
    <t>4.  Recordkeeping requirements</t>
  </si>
  <si>
    <t>See 4C</t>
  </si>
  <si>
    <t>B.  Plan activities</t>
  </si>
  <si>
    <t>C.  Implement activities</t>
  </si>
  <si>
    <t>See 3E</t>
  </si>
  <si>
    <r>
      <t>Filing and maintaining records</t>
    </r>
    <r>
      <rPr>
        <vertAlign val="superscript"/>
        <sz val="12"/>
        <color theme="1"/>
        <rFont val="Times New Roman"/>
        <family val="1"/>
      </rPr>
      <t xml:space="preserve"> e</t>
    </r>
  </si>
  <si>
    <t>Startup, shutdown, or malfunction</t>
  </si>
  <si>
    <t>Recalibrate monitors</t>
  </si>
  <si>
    <t>Method 21 performance evaluation</t>
  </si>
  <si>
    <t xml:space="preserve">D.  Develop record system </t>
  </si>
  <si>
    <t>E.  Time to enter information</t>
  </si>
  <si>
    <t>F.  Train personnel</t>
  </si>
  <si>
    <t>G.  Audits</t>
  </si>
  <si>
    <t>Recordkeeping Subtotal</t>
  </si>
  <si>
    <r>
      <t xml:space="preserve">Total Labor Burden and Costs (Rounded) </t>
    </r>
    <r>
      <rPr>
        <b/>
        <vertAlign val="superscript"/>
        <sz val="12"/>
        <color theme="1"/>
        <rFont val="Times New Roman"/>
        <family val="1"/>
      </rPr>
      <t>f</t>
    </r>
  </si>
  <si>
    <r>
      <t xml:space="preserve">Total Capital and O&amp;M Costs (Rounded) </t>
    </r>
    <r>
      <rPr>
        <b/>
        <vertAlign val="superscript"/>
        <sz val="12"/>
        <rFont val="Times New Roman"/>
        <family val="1"/>
      </rPr>
      <t>f</t>
    </r>
  </si>
  <si>
    <r>
      <t xml:space="preserve">Grand Total (Rounded) </t>
    </r>
    <r>
      <rPr>
        <b/>
        <vertAlign val="superscript"/>
        <sz val="12"/>
        <rFont val="Times New Roman"/>
        <family val="1"/>
      </rPr>
      <t>f</t>
    </r>
  </si>
  <si>
    <t>hrs/response</t>
  </si>
  <si>
    <r>
      <t>c</t>
    </r>
    <r>
      <rPr>
        <sz val="12"/>
        <rFont val="Times New Roman"/>
        <family val="1"/>
      </rPr>
      <t xml:space="preserve">  New respondents will be subject to 40 CFR Part 60, Subpart OOOOa. </t>
    </r>
  </si>
  <si>
    <r>
      <t>d</t>
    </r>
    <r>
      <rPr>
        <sz val="12"/>
        <rFont val="Times New Roman"/>
        <family val="1"/>
      </rPr>
      <t xml:space="preserve">  We have assumed that each existing respondent will take 8 hours, two times per year to write semiannual reports.</t>
    </r>
  </si>
  <si>
    <r>
      <t>e</t>
    </r>
    <r>
      <rPr>
        <sz val="12"/>
        <rFont val="Times New Roman"/>
        <family val="1"/>
      </rPr>
      <t xml:space="preserve">  We have assumed that each existing respondent will take 80 hours to file and maintain records.</t>
    </r>
  </si>
  <si>
    <r>
      <t xml:space="preserve">f </t>
    </r>
    <r>
      <rPr>
        <sz val="12"/>
        <rFont val="Times New Roman"/>
        <family val="1"/>
      </rPr>
      <t xml:space="preserve">Totals are rounded to three significant figures. Figures may not add exactly due to rounding. </t>
    </r>
  </si>
  <si>
    <t>(E) 
Technical person- hours per year 
(CxD)</t>
  </si>
  <si>
    <t>(F) Management person-hours per year 
(Ex0.05)</t>
  </si>
  <si>
    <t>Repeat performance test</t>
  </si>
  <si>
    <t>Demonstration of CEMS</t>
  </si>
  <si>
    <t>Repeat Demonstration of CEMS</t>
  </si>
  <si>
    <r>
      <t xml:space="preserve">Notification of modification </t>
    </r>
    <r>
      <rPr>
        <vertAlign val="superscript"/>
        <sz val="12"/>
        <color theme="1"/>
        <rFont val="Times New Roman"/>
        <family val="1"/>
      </rPr>
      <t>c</t>
    </r>
  </si>
  <si>
    <r>
      <t>Notification of anticipated startup </t>
    </r>
    <r>
      <rPr>
        <vertAlign val="superscript"/>
        <sz val="12"/>
        <color theme="1"/>
        <rFont val="Times New Roman"/>
        <family val="1"/>
      </rPr>
      <t>c</t>
    </r>
  </si>
  <si>
    <r>
      <t xml:space="preserve">Notification of CMS demonstration </t>
    </r>
    <r>
      <rPr>
        <vertAlign val="superscript"/>
        <sz val="12"/>
        <color theme="1"/>
        <rFont val="Times New Roman"/>
        <family val="1"/>
      </rPr>
      <t>c</t>
    </r>
    <r>
      <rPr>
        <sz val="12"/>
        <color theme="1"/>
        <rFont val="Times New Roman"/>
        <family val="1"/>
      </rPr>
      <t xml:space="preserve"> </t>
    </r>
  </si>
  <si>
    <t xml:space="preserve">CMS demonstration </t>
  </si>
  <si>
    <r>
      <t xml:space="preserve">Semiannual report </t>
    </r>
    <r>
      <rPr>
        <vertAlign val="superscript"/>
        <sz val="12"/>
        <color theme="1"/>
        <rFont val="Times New Roman"/>
        <family val="1"/>
      </rPr>
      <t>d</t>
    </r>
  </si>
  <si>
    <t>See 3A</t>
  </si>
  <si>
    <r>
      <t xml:space="preserve">D.  Develop record system </t>
    </r>
    <r>
      <rPr>
        <vertAlign val="superscript"/>
        <sz val="12"/>
        <color theme="1"/>
        <rFont val="Times New Roman"/>
        <family val="1"/>
      </rPr>
      <t>e</t>
    </r>
  </si>
  <si>
    <t>Records of startup, shutdown, or malfunction</t>
  </si>
  <si>
    <t>Records of continuous recording</t>
  </si>
  <si>
    <t>Records of capacity data</t>
  </si>
  <si>
    <r>
      <t>d</t>
    </r>
    <r>
      <rPr>
        <sz val="12"/>
        <rFont val="Times New Roman"/>
        <family val="1"/>
      </rPr>
      <t xml:space="preserve">  We have assumed that each existing respondent will take 40 hours, two times per year to write semiannual reports.</t>
    </r>
  </si>
  <si>
    <r>
      <t>e</t>
    </r>
    <r>
      <rPr>
        <sz val="12"/>
        <rFont val="Times New Roman"/>
        <family val="1"/>
      </rPr>
      <t xml:space="preserve">  We have assumed that each existing respondent will take 40 hours to develop record system.  New respondents will be subject to 40 CFR Part 60, Subpart OOOOa recordkeeping requirements.  However, Subpart LLL sources that have modified would need to track capacity data during the year it modified.</t>
    </r>
  </si>
  <si>
    <r>
      <rPr>
        <vertAlign val="superscript"/>
        <sz val="12"/>
        <rFont val="Times New Roman"/>
        <family val="1"/>
      </rPr>
      <t>f</t>
    </r>
    <r>
      <rPr>
        <sz val="12"/>
        <rFont val="Times New Roman"/>
        <family val="1"/>
      </rPr>
      <t xml:space="preserve"> Totals are rounded to three significant figures. Figures may not add exactly due to rounding. </t>
    </r>
  </si>
  <si>
    <t>Table 2a: Average Annual EPA Burden and Cost - NSPS for Onshore Natural Gas Production (40 CFR Part 60, Subpart KKK) (Renewal)</t>
  </si>
  <si>
    <t>Activity</t>
  </si>
  <si>
    <t>(A) 
EPA person- hours per occurrence</t>
  </si>
  <si>
    <t>(B) 
No. of occurrences per plant per year</t>
  </si>
  <si>
    <t>(C) 
EPA person- hours per plant per year 
(AxB)</t>
  </si>
  <si>
    <r>
      <t xml:space="preserve">(D) 
Plants per year </t>
    </r>
    <r>
      <rPr>
        <b/>
        <vertAlign val="superscript"/>
        <sz val="12"/>
        <color theme="1"/>
        <rFont val="Times New Roman"/>
        <family val="1"/>
      </rPr>
      <t>a</t>
    </r>
  </si>
  <si>
    <t>(F) 
Management person-hours per year 
(Ex0.05)</t>
  </si>
  <si>
    <r>
      <t xml:space="preserve">Review notification of modification </t>
    </r>
    <r>
      <rPr>
        <vertAlign val="superscript"/>
        <sz val="12"/>
        <color theme="1"/>
        <rFont val="Times New Roman"/>
        <family val="1"/>
      </rPr>
      <t>c</t>
    </r>
  </si>
  <si>
    <r>
      <t xml:space="preserve">Review notification of anticipated startup </t>
    </r>
    <r>
      <rPr>
        <vertAlign val="superscript"/>
        <sz val="12"/>
        <color theme="1"/>
        <rFont val="Times New Roman"/>
        <family val="1"/>
      </rPr>
      <t>c</t>
    </r>
  </si>
  <si>
    <r>
      <t xml:space="preserve">Review notification of actual startup </t>
    </r>
    <r>
      <rPr>
        <vertAlign val="superscript"/>
        <sz val="12"/>
        <color theme="1"/>
        <rFont val="Times New Roman"/>
        <family val="1"/>
      </rPr>
      <t>c</t>
    </r>
  </si>
  <si>
    <r>
      <t xml:space="preserve">Notification of demonstration of CEMS </t>
    </r>
    <r>
      <rPr>
        <vertAlign val="superscript"/>
        <sz val="12"/>
        <color theme="1"/>
        <rFont val="Times New Roman"/>
        <family val="1"/>
      </rPr>
      <t>c</t>
    </r>
  </si>
  <si>
    <r>
      <t xml:space="preserve">Review initial CEMS demonstration report </t>
    </r>
    <r>
      <rPr>
        <vertAlign val="superscript"/>
        <sz val="12"/>
        <color theme="1"/>
        <rFont val="Times New Roman"/>
        <family val="1"/>
      </rPr>
      <t>c</t>
    </r>
  </si>
  <si>
    <r>
      <t xml:space="preserve">Review notification of performance test </t>
    </r>
    <r>
      <rPr>
        <vertAlign val="superscript"/>
        <sz val="12"/>
        <color theme="1"/>
        <rFont val="Times New Roman"/>
        <family val="1"/>
      </rPr>
      <t>c</t>
    </r>
  </si>
  <si>
    <r>
      <t xml:space="preserve">Review results of performance test </t>
    </r>
    <r>
      <rPr>
        <vertAlign val="superscript"/>
        <sz val="12"/>
        <color theme="1"/>
        <rFont val="Times New Roman"/>
        <family val="1"/>
      </rPr>
      <t>c</t>
    </r>
  </si>
  <si>
    <r>
      <t xml:space="preserve">Review semiannual reports </t>
    </r>
    <r>
      <rPr>
        <vertAlign val="superscript"/>
        <sz val="12"/>
        <color theme="1"/>
        <rFont val="Times New Roman"/>
        <family val="1"/>
      </rPr>
      <t>d</t>
    </r>
    <r>
      <rPr>
        <sz val="12"/>
        <color theme="1"/>
        <rFont val="Times New Roman"/>
        <family val="1"/>
      </rPr>
      <t xml:space="preserve"> </t>
    </r>
  </si>
  <si>
    <r>
      <t xml:space="preserve">TOTAL (Rounded) </t>
    </r>
    <r>
      <rPr>
        <b/>
        <vertAlign val="superscript"/>
        <sz val="12"/>
        <color theme="1"/>
        <rFont val="Times New Roman"/>
        <family val="1"/>
      </rPr>
      <t>e</t>
    </r>
  </si>
  <si>
    <r>
      <t>c</t>
    </r>
    <r>
      <rPr>
        <sz val="12"/>
        <rFont val="Times New Roman"/>
        <family val="1"/>
      </rPr>
      <t xml:space="preserve">  New respondents will become subject to 40 CFR Part 60, Subpart OOOOa.</t>
    </r>
  </si>
  <si>
    <r>
      <t>e</t>
    </r>
    <r>
      <rPr>
        <sz val="12"/>
        <rFont val="Times New Roman"/>
        <family val="1"/>
      </rPr>
      <t xml:space="preserve"> Totals are rounded to three significant figures. Figures may not add exactly due to rounding. </t>
    </r>
  </si>
  <si>
    <t>Table 2b: Average Annual EPA Burden and Cost - NSPS for Onshore Natural Gas Processing Plants (40 CFR Part 60, Subpart LLL) (Renewal)</t>
  </si>
  <si>
    <r>
      <t xml:space="preserve">(H) 
Cost </t>
    </r>
    <r>
      <rPr>
        <b/>
        <vertAlign val="superscript"/>
        <sz val="12"/>
        <color theme="1"/>
        <rFont val="Times New Roman"/>
        <family val="1"/>
      </rPr>
      <t>b</t>
    </r>
  </si>
  <si>
    <r>
      <t xml:space="preserve">Review notification of construction/reconstruction </t>
    </r>
    <r>
      <rPr>
        <vertAlign val="superscript"/>
        <sz val="12"/>
        <color theme="1"/>
        <rFont val="Times New Roman"/>
        <family val="1"/>
      </rPr>
      <t>c</t>
    </r>
  </si>
  <si>
    <r>
      <t xml:space="preserve">Review notification of demonstration of CEMS </t>
    </r>
    <r>
      <rPr>
        <vertAlign val="superscript"/>
        <sz val="12"/>
        <color theme="1"/>
        <rFont val="Times New Roman"/>
        <family val="1"/>
      </rPr>
      <t>c</t>
    </r>
  </si>
  <si>
    <r>
      <t xml:space="preserve">Review of CEMS demonstration report </t>
    </r>
    <r>
      <rPr>
        <vertAlign val="superscript"/>
        <sz val="12"/>
        <color theme="1"/>
        <rFont val="Times New Roman"/>
        <family val="1"/>
      </rPr>
      <t>c</t>
    </r>
  </si>
  <si>
    <r>
      <t xml:space="preserve">Review notification of initial performance test </t>
    </r>
    <r>
      <rPr>
        <vertAlign val="superscript"/>
        <sz val="12"/>
        <color theme="1"/>
        <rFont val="Times New Roman"/>
        <family val="1"/>
      </rPr>
      <t>c</t>
    </r>
  </si>
  <si>
    <r>
      <t xml:space="preserve">Review of semiannual reports </t>
    </r>
    <r>
      <rPr>
        <vertAlign val="superscript"/>
        <sz val="12"/>
        <color theme="1"/>
        <rFont val="Times New Roman"/>
        <family val="1"/>
      </rPr>
      <t>d</t>
    </r>
  </si>
  <si>
    <r>
      <t xml:space="preserve">TOTAL (Rounded) </t>
    </r>
    <r>
      <rPr>
        <b/>
        <vertAlign val="superscript"/>
        <sz val="12"/>
        <color theme="1"/>
        <rFont val="Times New Roman"/>
        <family val="1"/>
      </rPr>
      <t>e</t>
    </r>
    <r>
      <rPr>
        <b/>
        <sz val="12"/>
        <color theme="1"/>
        <rFont val="Times New Roman"/>
        <family val="1"/>
      </rPr>
      <t xml:space="preserve"> </t>
    </r>
  </si>
  <si>
    <r>
      <t>c</t>
    </r>
    <r>
      <rPr>
        <sz val="12"/>
        <rFont val="Times New Roman"/>
        <family val="1"/>
      </rPr>
      <t xml:space="preserve"> New respondents will become subject to 40 CFR Part 60, Subpart OOOOa. </t>
    </r>
  </si>
  <si>
    <r>
      <t>e</t>
    </r>
    <r>
      <rPr>
        <sz val="12"/>
        <rFont val="Times New Roman"/>
        <family val="1"/>
      </rPr>
      <t xml:space="preserve"> Totals are rounded to three significant figures. Figures may not add exactly due to rounding.</t>
    </r>
  </si>
  <si>
    <t>Capital/Startup vs. Operation and Maintenance (O&amp;M) Costs</t>
  </si>
  <si>
    <t xml:space="preserve">Number of New Respondents </t>
  </si>
  <si>
    <t>Total Capital/Startup Cost,  
(B X C)</t>
  </si>
  <si>
    <t>Total O&amp;M,
(E X F)</t>
  </si>
  <si>
    <r>
      <t xml:space="preserve">(A)
Number of Existing Respondents that would now report under Subpart OOOOa </t>
    </r>
    <r>
      <rPr>
        <vertAlign val="superscript"/>
        <sz val="10"/>
        <rFont val="Times New Roman"/>
        <family val="1"/>
      </rPr>
      <t>a</t>
    </r>
  </si>
  <si>
    <t>(B)
Number of Existing Respondents</t>
  </si>
  <si>
    <t>(C)
Number of Existing  Respondents that keep records but do not submit reports</t>
  </si>
  <si>
    <t>(D)
Number of Existing Respondents That Are Also New Respondents</t>
  </si>
  <si>
    <t>(E)
Number of Respondents
(E= B+C-A-D)</t>
  </si>
  <si>
    <t xml:space="preserve">Subpart KKK </t>
  </si>
  <si>
    <r>
      <t xml:space="preserve"> </t>
    </r>
    <r>
      <rPr>
        <b/>
        <sz val="10"/>
        <rFont val="Times New Roman"/>
        <family val="1"/>
      </rPr>
      <t>Assumptions:</t>
    </r>
  </si>
  <si>
    <r>
      <t>a</t>
    </r>
    <r>
      <rPr>
        <sz val="10"/>
        <rFont val="Times New Roman"/>
        <family val="1"/>
      </rPr>
      <t xml:space="preserve">  Costs reflect installation and maintenance of an in-situ SO</t>
    </r>
    <r>
      <rPr>
        <vertAlign val="subscript"/>
        <sz val="10"/>
        <rFont val="Times New Roman"/>
        <family val="1"/>
      </rPr>
      <t>2</t>
    </r>
    <r>
      <rPr>
        <sz val="10"/>
        <rFont val="Times New Roman"/>
        <family val="1"/>
      </rPr>
      <t xml:space="preserve"> CEM after the control device and assume installation occurred during the construction of the facility.</t>
    </r>
  </si>
  <si>
    <r>
      <t xml:space="preserve">Subpart LLL </t>
    </r>
    <r>
      <rPr>
        <vertAlign val="superscript"/>
        <sz val="9"/>
        <rFont val="Times New Roman"/>
        <family val="1"/>
      </rPr>
      <t>b</t>
    </r>
  </si>
  <si>
    <t>Total Annual  Responses
E=(BxC)+D</t>
  </si>
  <si>
    <t>Subpart KKK</t>
  </si>
  <si>
    <t>Semiannual reports</t>
  </si>
  <si>
    <t xml:space="preserve">Subtotal for Subpart KKK </t>
  </si>
  <si>
    <r>
      <t xml:space="preserve">Total </t>
    </r>
    <r>
      <rPr>
        <b/>
        <vertAlign val="superscript"/>
        <sz val="9"/>
        <rFont val="Times New Roman"/>
        <family val="1"/>
      </rPr>
      <t>c</t>
    </r>
  </si>
  <si>
    <t>Subpart LLL</t>
  </si>
  <si>
    <t>Subtotal for Subpart LLL</t>
  </si>
  <si>
    <r>
      <t>a</t>
    </r>
    <r>
      <rPr>
        <sz val="10"/>
        <rFont val="Times New Roman"/>
        <family val="1"/>
      </rPr>
      <t xml:space="preserve">  We expect 27 of the existing facilities subject to Subpart KKK to undergo modifications in each year, which would indicate these facilities would report under Subpart OOOOa and no longer report under Subpart KKK. For Subpart LLL, we expect three facilities to perform a modification and report under Subpart OOOOa.</t>
    </r>
  </si>
  <si>
    <t xml:space="preserve">TOTAL </t>
  </si>
  <si>
    <r>
      <t>b</t>
    </r>
    <r>
      <rPr>
        <sz val="10"/>
        <rFont val="Times New Roman"/>
        <family val="1"/>
      </rPr>
      <t xml:space="preserve"> Affected facilities with design capacities of less than two long tons per day (LT/D) of hydrogen sulfide (H</t>
    </r>
    <r>
      <rPr>
        <vertAlign val="subscript"/>
        <sz val="10"/>
        <rFont val="Times New Roman"/>
        <family val="1"/>
      </rPr>
      <t>2</t>
    </r>
    <r>
      <rPr>
        <sz val="10"/>
        <rFont val="Times New Roman"/>
        <family val="1"/>
      </rPr>
      <t>S) in the acid gas, expressed as sulfur, have no reporting requirements pursuant to Subpart LLL.  Three respondents have sources capacities below this threshold.</t>
    </r>
  </si>
  <si>
    <r>
      <t>c</t>
    </r>
    <r>
      <rPr>
        <sz val="10"/>
        <rFont val="Times New Roman"/>
        <family val="1"/>
      </rPr>
      <t xml:space="preserve"> This is the total average of existing respondents subject to both Subparts KKK and LLL. </t>
    </r>
  </si>
  <si>
    <t>Not Applicable</t>
  </si>
  <si>
    <r>
      <t>b</t>
    </r>
    <r>
      <rPr>
        <sz val="12"/>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</si>
  <si>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a</t>
    </r>
    <r>
      <rPr>
        <sz val="12"/>
        <rFont val="Times New Roman"/>
        <family val="1"/>
      </rPr>
      <t xml:space="preserve">  We have assumed that the average number of existing respondents that will be subject to Subpart KKK will be 291. This estimated average accounts for modified facilities after August 2, 2016 subject to Subpart KKK that will become subject to 40 CFR Part 60, Subpart OOOOa and therefore, would no longer report under these rules. </t>
    </r>
  </si>
  <si>
    <r>
      <t>a</t>
    </r>
    <r>
      <rPr>
        <sz val="12"/>
        <rFont val="Times New Roman"/>
        <family val="1"/>
      </rPr>
      <t xml:space="preserve">  We have assumed that the average number of existing respondents that will be subject to subpart LLL will be 14.  This estimated average accounts for modified facilities after August 2, 2016 subject to Subpart LLL that will become subject to 40 CFR Part 60, Subpart OOOOa and therefore, would no longer report under these rules. </t>
    </r>
  </si>
  <si>
    <r>
      <t>a</t>
    </r>
    <r>
      <rPr>
        <sz val="12"/>
        <rFont val="Times New Roman"/>
        <family val="1"/>
      </rPr>
      <t xml:space="preserve">  We have assumed that the average number of existing respondents that will be subject to Subpart KKK will be 291. This estimated average accounts for modified facilities after August 2, 2016 subject to Subpart KKK will become subject to 40 CFR Part 60, Subpart OOOOa and therefore, would no longer report under these rules. </t>
    </r>
  </si>
  <si>
    <r>
      <t>a</t>
    </r>
    <r>
      <rPr>
        <sz val="12"/>
        <rFont val="Times New Roman"/>
        <family val="1"/>
      </rPr>
      <t xml:space="preserve">  We have assumed that the average number of existing respondents that will be subject to Subpart LLL will be 14.  This estimated average accounts for modified facilities after August 2, 2016 subject to Subpart LLL will become subject to 40 CFR Part 60, Subpart OOOOa and therefore, would no longer report under these rules. </t>
    </r>
  </si>
  <si>
    <t>Table 1a: Annual Respondent Burden and Cost - NSPS for Onshore Natural Gas Processing Plants (40 CFR Part 60, Subpart KKK) (Renewal)</t>
  </si>
  <si>
    <t>Table 1b: Annual Respondent Burden and Cost - NSPS for Onshore Natural Gas Processing Plants (40 CFR Part 60, Subpart LLL) (Renewal)</t>
  </si>
  <si>
    <r>
      <t>b</t>
    </r>
    <r>
      <rPr>
        <sz val="12"/>
        <rFont val="Times New Roman"/>
        <family val="1"/>
      </rPr>
      <t xml:space="preserve">  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</si>
  <si>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r>
      <t>d</t>
    </r>
    <r>
      <rPr>
        <sz val="12"/>
        <rFont val="Times New Roman"/>
        <family val="1"/>
      </rPr>
      <t xml:space="preserve">  We have assumed that the agency will spend eight hours per plant, two times per year to review semiannual reports.</t>
    </r>
  </si>
  <si>
    <r>
      <t>b</t>
    </r>
    <r>
      <rPr>
        <sz val="12"/>
        <rFont val="Times New Roman"/>
        <family val="1"/>
      </rPr>
      <t xml:space="preserve">  The cost is based on the following labor rates which incorporate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</si>
  <si>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r>
      <t>d</t>
    </r>
    <r>
      <rPr>
        <sz val="10"/>
        <rFont val="Times New Roman"/>
        <family val="1"/>
      </rPr>
      <t xml:space="preserve">  We expect 4 existing facilities to have annual O&amp;M costs for monitoring under subpart LLL.</t>
    </r>
  </si>
  <si>
    <r>
      <t>b</t>
    </r>
    <r>
      <rPr>
        <sz val="10"/>
        <color theme="1"/>
        <rFont val="Times New Roman"/>
        <family val="1"/>
      </rPr>
      <t xml:space="preserve">  Assume that capital/startup costs for a new sulfur CEMS and control outlet is $103,525. Capital costs have been increased from 2008 to 2022 $ using the CEPCI Equipment Cost Index.</t>
    </r>
  </si>
  <si>
    <r>
      <t>c</t>
    </r>
    <r>
      <rPr>
        <sz val="10"/>
        <color theme="1"/>
        <rFont val="Times New Roman"/>
        <family val="1"/>
      </rPr>
      <t xml:space="preserve">  Assume that the annual O&amp;M costs of the sulfur CEMS and control outlet is $24,250. Costs have been increased from 2008 to 2022 $ using the CEPCI Equipment Cost Index.</t>
    </r>
  </si>
  <si>
    <r>
      <t xml:space="preserve">Number of Respondents  with O&amp;M </t>
    </r>
    <r>
      <rPr>
        <vertAlign val="superscript"/>
        <sz val="10"/>
        <rFont val="Times New Roman"/>
        <family val="1"/>
      </rPr>
      <t>d</t>
    </r>
  </si>
  <si>
    <r>
      <t xml:space="preserve">Capital/Startup Cost for One Respondent </t>
    </r>
    <r>
      <rPr>
        <vertAlign val="superscript"/>
        <sz val="10"/>
        <rFont val="Times New Roman"/>
        <family val="1"/>
      </rPr>
      <t>b</t>
    </r>
  </si>
  <si>
    <r>
      <t>Annual O&amp;M Costs for One Respondent</t>
    </r>
    <r>
      <rPr>
        <vertAlign val="superscript"/>
        <sz val="10"/>
        <rFont val="Times New Roman"/>
        <family val="1"/>
      </rPr>
      <t xml:space="preserve"> c</t>
    </r>
  </si>
  <si>
    <r>
      <t>SO</t>
    </r>
    <r>
      <rPr>
        <vertAlign val="subscript"/>
        <sz val="10"/>
        <rFont val="Times New Roman"/>
        <family val="1"/>
      </rPr>
      <t>2</t>
    </r>
    <r>
      <rPr>
        <sz val="10"/>
        <rFont val="Times New Roman"/>
        <family val="1"/>
      </rPr>
      <t xml:space="preserve"> CEM, control outlet (only for Subpart LLL) </t>
    </r>
    <r>
      <rPr>
        <vertAlign val="superscript"/>
        <sz val="10"/>
        <rFont val="Times New Roman"/>
        <family val="1"/>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</si>
</sst>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
    <numFmt numFmtId="167" formatCode="0.0"/>
  </numFmts>
  <fonts count="29"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sz val="12"/>
      <color rgb="FF000000"/>
      <name val="Times New Roman"/>
      <family val="1"/>
    </font>
    <font>
      <sz val="10"/>
      <color rgb="FF000000"/>
      <name val="Times New Roman"/>
      <family val="1"/>
    </font>
    <font>
      <vertAlign val="superscript"/>
      <sz val="10"/>
      <name val="Times New Roman"/>
      <family val="1"/>
    </font>
    <font>
      <sz val="10"/>
      <color theme="1"/>
      <name val="Calibri"/>
      <family val="2"/>
      <scheme val="minor"/>
    </font>
    <font>
      <sz val="10"/>
      <color rgb="FFFF0000"/>
      <name val="Calibri"/>
      <family val="2"/>
      <scheme val="minor"/>
    </font>
    <font>
      <sz val="12"/>
      <color theme="1"/>
      <name val="Times New Roman"/>
      <family val="1"/>
    </font>
    <font>
      <sz val="11"/>
      <color theme="1"/>
      <name val="Calibri"/>
      <family val="2"/>
      <scheme val="minor"/>
    </font>
    <font>
      <b/>
      <vertAlign val="superscript"/>
      <sz val="12"/>
      <color theme="1"/>
      <name val="Times New Roman"/>
      <family val="1"/>
    </font>
    <font>
      <vertAlign val="superscript"/>
      <sz val="12"/>
      <color theme="1"/>
      <name val="Times New Roman"/>
      <family val="1"/>
    </font>
    <font>
      <b/>
      <i/>
      <sz val="12"/>
      <color theme="1"/>
      <name val="Times New Roman"/>
      <family val="1"/>
    </font>
    <font>
      <b/>
      <sz val="12"/>
      <name val="Times New Roman"/>
      <family val="1"/>
    </font>
    <font>
      <b/>
      <vertAlign val="superscript"/>
      <sz val="12"/>
      <name val="Times New Roman"/>
      <family val="1"/>
    </font>
    <font>
      <vertAlign val="superscript"/>
      <sz val="12"/>
      <name val="Times New Roman"/>
      <family val="1"/>
    </font>
    <font>
      <sz val="12"/>
      <name val="Times New Roman"/>
      <family val="1"/>
    </font>
    <font>
      <sz val="11"/>
      <name val="Calibri"/>
      <family val="2"/>
      <scheme val="minor"/>
    </font>
    <font>
      <sz val="9"/>
      <name val="Times New Roman"/>
      <family val="1"/>
    </font>
    <font>
      <vertAlign val="subscript"/>
      <sz val="10"/>
      <name val="Times New Roman"/>
      <family val="1"/>
    </font>
    <font>
      <b/>
      <sz val="9"/>
      <name val="Times New Roman"/>
      <family val="1"/>
    </font>
    <font>
      <vertAlign val="superscript"/>
      <sz val="9"/>
      <name val="Times New Roman"/>
      <family val="1"/>
    </font>
    <font>
      <b/>
      <vertAlign val="superscript"/>
      <sz val="9"/>
      <name val="Times New Roman"/>
      <family val="1"/>
    </font>
    <font>
      <vertAlign val="superscript"/>
      <sz val="10"/>
      <color theme="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4" fontId="6" fillId="0" borderId="0"/>
    <xf numFmtId="43" fontId="14" fillId="0" borderId="0" applyFont="0" applyFill="0" applyBorder="0" applyAlignment="0" applyProtection="0"/>
    <xf numFmtId="44" fontId="14" fillId="0" borderId="0" applyFont="0" applyFill="0" applyBorder="0" applyAlignment="0" applyProtection="0"/>
  </cellStyleXfs>
  <cellXfs count="128">
    <xf numFmtId="0" fontId="0" fillId="0" borderId="0" xfId="0"/>
    <xf numFmtId="0" fontId="4" fillId="0" borderId="0" xfId="0" applyFont="1"/>
    <xf numFmtId="164" fontId="5" fillId="0" borderId="0" xfId="1" applyFont="1" applyAlignment="1">
      <alignment horizontal="center" vertical="center" wrapText="1"/>
    </xf>
    <xf numFmtId="165" fontId="5" fillId="0" borderId="0" xfId="1" applyNumberFormat="1" applyFont="1" applyAlignment="1">
      <alignment horizontal="right" wrapText="1"/>
    </xf>
    <xf numFmtId="0" fontId="11" fillId="0" borderId="0" xfId="0" applyFont="1"/>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1" fillId="0" borderId="0" xfId="0" applyFont="1" applyAlignment="1">
      <alignment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 fillId="0" borderId="0" xfId="0" applyFont="1"/>
    <xf numFmtId="6" fontId="11" fillId="0" borderId="0" xfId="0" applyNumberFormat="1" applyFont="1"/>
    <xf numFmtId="0" fontId="5" fillId="0" borderId="1" xfId="0" applyFont="1" applyBorder="1" applyAlignment="1">
      <alignment horizontal="center" vertical="top"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13"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top" wrapText="1"/>
    </xf>
    <xf numFmtId="0" fontId="13" fillId="0" borderId="0" xfId="0" applyFont="1" applyAlignment="1">
      <alignment wrapText="1"/>
    </xf>
    <xf numFmtId="0" fontId="13" fillId="0" borderId="1" xfId="0" applyFont="1" applyBorder="1" applyAlignment="1">
      <alignment vertical="top" wrapText="1"/>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3" fillId="0" borderId="1" xfId="0" applyFont="1" applyBorder="1"/>
    <xf numFmtId="165" fontId="13" fillId="0" borderId="1" xfId="0" applyNumberFormat="1" applyFont="1" applyBorder="1"/>
    <xf numFmtId="3" fontId="13" fillId="0" borderId="0" xfId="0" applyNumberFormat="1" applyFont="1"/>
    <xf numFmtId="6" fontId="13" fillId="0" borderId="0" xfId="0" applyNumberFormat="1" applyFont="1" applyAlignment="1">
      <alignment horizontal="right"/>
    </xf>
    <xf numFmtId="0" fontId="13" fillId="0" borderId="1" xfId="0" applyFont="1" applyBorder="1" applyAlignment="1">
      <alignment horizontal="left" vertical="top" wrapText="1" indent="1"/>
    </xf>
    <xf numFmtId="1" fontId="13" fillId="0" borderId="1" xfId="0" applyNumberFormat="1" applyFont="1" applyBorder="1" applyAlignment="1">
      <alignment horizontal="center" vertical="center" wrapText="1"/>
    </xf>
    <xf numFmtId="8" fontId="13" fillId="0" borderId="1" xfId="0" applyNumberFormat="1" applyFont="1" applyBorder="1" applyAlignment="1">
      <alignment horizontal="right" vertical="center" wrapText="1"/>
    </xf>
    <xf numFmtId="166" fontId="13" fillId="0" borderId="0" xfId="0" applyNumberFormat="1" applyFont="1" applyAlignment="1">
      <alignment horizontal="right"/>
    </xf>
    <xf numFmtId="1" fontId="13" fillId="0" borderId="0" xfId="0" applyNumberFormat="1" applyFont="1"/>
    <xf numFmtId="0" fontId="13" fillId="0" borderId="1" xfId="0" applyFont="1" applyBorder="1" applyAlignment="1">
      <alignment horizontal="left" vertical="center" wrapText="1" indent="5"/>
    </xf>
    <xf numFmtId="6" fontId="13" fillId="0" borderId="1" xfId="0" applyNumberFormat="1" applyFont="1" applyBorder="1" applyAlignment="1">
      <alignment horizontal="right" vertical="center" wrapText="1"/>
    </xf>
    <xf numFmtId="0" fontId="13" fillId="0" borderId="1" xfId="0" applyFont="1" applyBorder="1" applyAlignment="1">
      <alignment horizontal="left" vertical="top" wrapText="1" indent="5"/>
    </xf>
    <xf numFmtId="3" fontId="13" fillId="0" borderId="1" xfId="0" applyNumberFormat="1" applyFont="1" applyBorder="1" applyAlignment="1">
      <alignment horizontal="center" vertical="center" wrapText="1"/>
    </xf>
    <xf numFmtId="0" fontId="17" fillId="0" borderId="1" xfId="0" applyFont="1" applyBorder="1" applyAlignment="1">
      <alignment vertical="top" wrapText="1"/>
    </xf>
    <xf numFmtId="0" fontId="17" fillId="0" borderId="1" xfId="0" applyFont="1" applyBorder="1" applyAlignment="1">
      <alignment horizontal="center" vertical="center" wrapText="1"/>
    </xf>
    <xf numFmtId="6" fontId="17" fillId="0" borderId="1" xfId="0" applyNumberFormat="1" applyFont="1" applyBorder="1" applyAlignment="1">
      <alignment horizontal="right" vertical="center" wrapText="1"/>
    </xf>
    <xf numFmtId="0" fontId="13" fillId="0" borderId="1" xfId="0" applyFont="1" applyBorder="1" applyAlignment="1">
      <alignment horizontal="left" vertical="center" wrapText="1" indent="1"/>
    </xf>
    <xf numFmtId="0" fontId="13" fillId="0" borderId="1" xfId="0" applyFont="1" applyBorder="1" applyAlignment="1">
      <alignment horizontal="left" vertical="top" wrapText="1" indent="4"/>
    </xf>
    <xf numFmtId="0" fontId="1" fillId="0" borderId="1" xfId="0" applyFont="1" applyBorder="1" applyAlignment="1">
      <alignment vertical="top" wrapText="1"/>
    </xf>
    <xf numFmtId="0" fontId="1" fillId="0" borderId="1" xfId="0" applyFont="1" applyBorder="1" applyAlignment="1">
      <alignment horizontal="center" vertical="center" wrapText="1"/>
    </xf>
    <xf numFmtId="6" fontId="1" fillId="0" borderId="1" xfId="0" applyNumberFormat="1" applyFont="1" applyBorder="1" applyAlignment="1">
      <alignment horizontal="right" vertical="center" wrapText="1"/>
    </xf>
    <xf numFmtId="0" fontId="18" fillId="2" borderId="1" xfId="0" applyFont="1" applyFill="1" applyBorder="1" applyAlignment="1">
      <alignment vertical="center" wrapText="1"/>
    </xf>
    <xf numFmtId="0" fontId="1" fillId="0" borderId="1" xfId="0" applyFont="1" applyBorder="1"/>
    <xf numFmtId="166" fontId="1" fillId="0" borderId="1" xfId="3" applyNumberFormat="1" applyFont="1" applyBorder="1"/>
    <xf numFmtId="166" fontId="1" fillId="0" borderId="1" xfId="0" applyNumberFormat="1" applyFont="1" applyBorder="1"/>
    <xf numFmtId="0" fontId="1" fillId="0" borderId="0" xfId="0" applyFont="1" applyAlignment="1">
      <alignment vertical="center"/>
    </xf>
    <xf numFmtId="167" fontId="13" fillId="0" borderId="1" xfId="0" applyNumberFormat="1" applyFont="1" applyBorder="1" applyAlignment="1">
      <alignment horizontal="center" vertical="center" wrapText="1"/>
    </xf>
    <xf numFmtId="8" fontId="1" fillId="0" borderId="0" xfId="0" applyNumberFormat="1" applyFont="1"/>
    <xf numFmtId="3" fontId="1" fillId="0" borderId="1" xfId="0" applyNumberFormat="1" applyFont="1" applyBorder="1" applyAlignment="1">
      <alignment horizontal="center" vertical="center" wrapText="1"/>
    </xf>
    <xf numFmtId="0" fontId="21" fillId="0" borderId="0" xfId="0" applyFont="1" applyAlignment="1">
      <alignment vertical="center"/>
    </xf>
    <xf numFmtId="0" fontId="1" fillId="0" borderId="0" xfId="0" applyFont="1" applyAlignment="1">
      <alignment horizontal="left" vertical="top"/>
    </xf>
    <xf numFmtId="0" fontId="1" fillId="0" borderId="6" xfId="0" applyFont="1" applyBorder="1" applyAlignment="1">
      <alignment horizontal="center" vertical="center" wrapText="1"/>
    </xf>
    <xf numFmtId="0" fontId="1" fillId="0" borderId="6" xfId="0" applyFont="1" applyBorder="1" applyAlignment="1">
      <alignment horizontal="center" vertical="top" wrapText="1"/>
    </xf>
    <xf numFmtId="8" fontId="13" fillId="0" borderId="0" xfId="0" applyNumberFormat="1" applyFont="1"/>
    <xf numFmtId="6" fontId="13" fillId="0" borderId="0" xfId="0" applyNumberFormat="1" applyFont="1"/>
    <xf numFmtId="0" fontId="13" fillId="0" borderId="1" xfId="0" applyFont="1" applyBorder="1" applyAlignment="1">
      <alignment horizontal="left" vertical="center" wrapText="1"/>
    </xf>
    <xf numFmtId="37" fontId="13" fillId="0" borderId="1" xfId="2" applyNumberFormat="1" applyFont="1" applyBorder="1" applyAlignment="1">
      <alignment horizontal="center" vertical="center" wrapText="1"/>
    </xf>
    <xf numFmtId="0" fontId="1" fillId="0" borderId="1" xfId="0" applyFont="1" applyBorder="1" applyAlignment="1">
      <alignment vertical="center" wrapText="1"/>
    </xf>
    <xf numFmtId="0" fontId="22" fillId="0" borderId="0" xfId="0" applyFont="1"/>
    <xf numFmtId="0" fontId="5" fillId="0" borderId="6" xfId="0" applyFont="1" applyBorder="1" applyAlignment="1">
      <alignment horizontal="center" vertical="center" wrapText="1"/>
    </xf>
    <xf numFmtId="0" fontId="18" fillId="0" borderId="7" xfId="0" applyFont="1" applyBorder="1" applyAlignment="1">
      <alignment vertical="center" wrapText="1"/>
    </xf>
    <xf numFmtId="0" fontId="23" fillId="0" borderId="7" xfId="0" applyFont="1" applyBorder="1" applyAlignment="1">
      <alignment vertical="center"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6" fontId="5" fillId="0" borderId="7"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12"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xf>
    <xf numFmtId="0" fontId="5" fillId="0" borderId="0" xfId="0" applyFont="1" applyAlignment="1">
      <alignment horizontal="left" vertical="center" wrapText="1"/>
    </xf>
    <xf numFmtId="1" fontId="5" fillId="0" borderId="0" xfId="0" applyNumberFormat="1" applyFont="1" applyAlignment="1">
      <alignment horizontal="center" vertical="center" wrapText="1"/>
    </xf>
    <xf numFmtId="0" fontId="2" fillId="0" borderId="0" xfId="0" applyFont="1" applyAlignment="1">
      <alignment horizontal="left" vertical="center" wrapText="1"/>
    </xf>
    <xf numFmtId="1" fontId="3" fillId="0" borderId="0" xfId="0" applyNumberFormat="1" applyFont="1" applyAlignment="1">
      <alignment horizontal="center" vertical="center" wrapText="1"/>
    </xf>
    <xf numFmtId="0" fontId="9" fillId="0" borderId="0" xfId="0" applyFont="1" applyAlignment="1">
      <alignment vertical="top" wrapText="1"/>
    </xf>
    <xf numFmtId="164" fontId="5" fillId="0" borderId="0" xfId="1" applyFont="1" applyAlignment="1">
      <alignment vertical="top" wrapText="1"/>
    </xf>
    <xf numFmtId="6" fontId="1" fillId="0" borderId="0" xfId="0" applyNumberFormat="1" applyFont="1"/>
    <xf numFmtId="0" fontId="28" fillId="0" borderId="0" xfId="0" applyFont="1" applyAlignment="1">
      <alignment vertical="center"/>
    </xf>
    <xf numFmtId="0" fontId="0" fillId="0" borderId="0" xfId="0" applyAlignment="1">
      <alignment horizontal="center"/>
    </xf>
    <xf numFmtId="0" fontId="20" fillId="0" borderId="0" xfId="0" applyFont="1" applyAlignment="1">
      <alignment vertical="center"/>
    </xf>
    <xf numFmtId="0" fontId="1" fillId="0" borderId="0" xfId="0" applyFont="1" applyAlignment="1">
      <alignment horizontal="left" vertical="top" wrapText="1"/>
    </xf>
    <xf numFmtId="0" fontId="13" fillId="0" borderId="1" xfId="0" applyFont="1" applyBorder="1" applyAlignment="1">
      <alignment horizontal="center"/>
    </xf>
    <xf numFmtId="3" fontId="17" fillId="0" borderId="2" xfId="0" applyNumberFormat="1" applyFont="1" applyBorder="1" applyAlignment="1">
      <alignment horizontal="center" vertical="center" wrapText="1"/>
    </xf>
    <xf numFmtId="3" fontId="17" fillId="0" borderId="3" xfId="0" applyNumberFormat="1" applyFont="1" applyBorder="1" applyAlignment="1">
      <alignment horizontal="center" vertical="center" wrapText="1"/>
    </xf>
    <xf numFmtId="3" fontId="17" fillId="0" borderId="4"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2" xfId="0" applyNumberFormat="1"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0" fillId="0" borderId="0" xfId="0" applyFont="1" applyAlignment="1">
      <alignment horizontal="left" vertical="top" wrapText="1"/>
    </xf>
    <xf numFmtId="0" fontId="20" fillId="0" borderId="0" xfId="0" applyFont="1" applyAlignment="1">
      <alignment vertical="top"/>
    </xf>
    <xf numFmtId="0" fontId="21" fillId="0" borderId="0" xfId="0" applyFont="1" applyAlignment="1">
      <alignment vertical="center"/>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xf numFmtId="0" fontId="20" fillId="0" borderId="0" xfId="0" applyFont="1" applyAlignment="1">
      <alignment horizontal="left" vertical="center"/>
    </xf>
    <xf numFmtId="0" fontId="8" fillId="0" borderId="0" xfId="0" applyFont="1" applyAlignment="1">
      <alignment horizontal="left" vertical="top" wrapText="1"/>
    </xf>
    <xf numFmtId="0" fontId="18" fillId="0" borderId="1" xfId="0" applyFont="1" applyBorder="1" applyAlignment="1">
      <alignment horizontal="center" vertical="center" wrapText="1"/>
    </xf>
    <xf numFmtId="0" fontId="10" fillId="0" borderId="0" xfId="0" applyFont="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0" xfId="0" applyFont="1" applyAlignment="1">
      <alignment vertical="center" wrapText="1"/>
    </xf>
    <xf numFmtId="0" fontId="10" fillId="0" borderId="0" xfId="0" applyFont="1" applyAlignment="1">
      <alignment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cellXfs>
  <cellStyles count="4">
    <cellStyle name="Comma" xfId="2" builtinId="3"/>
    <cellStyle name="Currency" xfId="3" builtinId="4"/>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3" sqref="A13"/>
    </sheetView>
  </sheetViews>
  <sheetFormatPr defaultRowHeight="14.5" x14ac:dyDescent="0.35"/>
  <cols>
    <col min="1" max="1" width="27.7265625" bestFit="1" customWidth="1"/>
    <col min="2" max="2" width="13.81640625" customWidth="1"/>
  </cols>
  <sheetData>
    <row r="1" spans="1:2" x14ac:dyDescent="0.35">
      <c r="A1" s="94" t="s">
        <v>0</v>
      </c>
      <c r="B1" s="94"/>
    </row>
    <row r="2" spans="1:2" x14ac:dyDescent="0.35">
      <c r="A2" t="s">
        <v>1</v>
      </c>
      <c r="B2" s="14">
        <f>'Table 1a'!K38</f>
        <v>93.196721311475414</v>
      </c>
    </row>
    <row r="3" spans="1:2" x14ac:dyDescent="0.35">
      <c r="A3" t="s">
        <v>2</v>
      </c>
      <c r="B3">
        <f>Respondents!F14</f>
        <v>305</v>
      </c>
    </row>
    <row r="4" spans="1:2" x14ac:dyDescent="0.35">
      <c r="A4" t="s">
        <v>3</v>
      </c>
      <c r="B4" s="15">
        <f>ROUND('Table 1a'!F37+'Table 1b'!F39,-2)</f>
        <v>56900</v>
      </c>
    </row>
    <row r="5" spans="1:2" x14ac:dyDescent="0.35">
      <c r="A5" t="s">
        <v>4</v>
      </c>
      <c r="B5" s="16">
        <f>ROUND('Table 1a'!I37+'Table 1b'!I39,-4)</f>
        <v>7260000</v>
      </c>
    </row>
    <row r="6" spans="1:2" x14ac:dyDescent="0.35">
      <c r="A6" t="s">
        <v>5</v>
      </c>
      <c r="B6" s="16">
        <f>'Capital O&amp;M'!I5</f>
        <v>97001.042752867579</v>
      </c>
    </row>
    <row r="7" spans="1:2" x14ac:dyDescent="0.35">
      <c r="A7" t="s">
        <v>6</v>
      </c>
      <c r="B7" s="17">
        <f>Responses!E10</f>
        <v>610</v>
      </c>
    </row>
    <row r="8" spans="1:2" x14ac:dyDescent="0.35">
      <c r="A8" t="s">
        <v>29</v>
      </c>
      <c r="B8" t="s">
        <v>151</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78F1F-42E2-484F-9200-0EDECFE8E83B}">
  <dimension ref="A1:O45"/>
  <sheetViews>
    <sheetView zoomScale="90" zoomScaleNormal="90" workbookViewId="0">
      <selection activeCell="A2" sqref="A2"/>
    </sheetView>
  </sheetViews>
  <sheetFormatPr defaultColWidth="9.26953125" defaultRowHeight="15.5" x14ac:dyDescent="0.35"/>
  <cols>
    <col min="1" max="1" width="42.7265625" style="18" customWidth="1"/>
    <col min="2" max="2" width="12.7265625" style="18" customWidth="1"/>
    <col min="3" max="3" width="12.453125" style="18" customWidth="1"/>
    <col min="4" max="4" width="11.26953125" style="18" customWidth="1"/>
    <col min="5" max="5" width="11.7265625" style="18" customWidth="1"/>
    <col min="6" max="6" width="10.7265625" style="18" customWidth="1"/>
    <col min="7" max="7" width="13" style="18" customWidth="1"/>
    <col min="8" max="8" width="9.26953125" style="18"/>
    <col min="9" max="9" width="16.26953125" style="18" customWidth="1"/>
    <col min="10" max="10" width="5.7265625" style="18" customWidth="1"/>
    <col min="11" max="11" width="11.7265625" style="18" bestFit="1" customWidth="1"/>
    <col min="12" max="13" width="11.7265625" style="18" customWidth="1"/>
    <col min="14" max="14" width="9.26953125" style="18"/>
    <col min="15" max="15" width="15.54296875" style="18" bestFit="1" customWidth="1"/>
    <col min="16" max="16384" width="9.26953125" style="18"/>
  </cols>
  <sheetData>
    <row r="1" spans="1:15" x14ac:dyDescent="0.35">
      <c r="A1" s="96" t="s">
        <v>157</v>
      </c>
      <c r="B1" s="96"/>
      <c r="C1" s="96"/>
      <c r="D1" s="96"/>
      <c r="E1" s="96"/>
      <c r="F1" s="96"/>
      <c r="G1" s="96"/>
      <c r="H1" s="96"/>
      <c r="I1" s="96"/>
    </row>
    <row r="3" spans="1:15" s="21" customFormat="1" ht="90" x14ac:dyDescent="0.35">
      <c r="A3" s="19" t="s">
        <v>7</v>
      </c>
      <c r="B3" s="20" t="s">
        <v>30</v>
      </c>
      <c r="C3" s="20" t="s">
        <v>12</v>
      </c>
      <c r="D3" s="20" t="s">
        <v>31</v>
      </c>
      <c r="E3" s="20" t="s">
        <v>32</v>
      </c>
      <c r="F3" s="20" t="s">
        <v>33</v>
      </c>
      <c r="G3" s="20" t="s">
        <v>34</v>
      </c>
      <c r="H3" s="20" t="s">
        <v>35</v>
      </c>
      <c r="I3" s="20" t="s">
        <v>36</v>
      </c>
    </row>
    <row r="4" spans="1:15" x14ac:dyDescent="0.35">
      <c r="A4" s="22" t="s">
        <v>37</v>
      </c>
      <c r="B4" s="23" t="s">
        <v>38</v>
      </c>
      <c r="C4" s="23"/>
      <c r="D4" s="23"/>
      <c r="E4" s="23"/>
      <c r="F4" s="23"/>
      <c r="G4" s="23"/>
      <c r="H4" s="23"/>
      <c r="I4" s="24"/>
      <c r="K4" s="97" t="s">
        <v>8</v>
      </c>
      <c r="L4" s="97"/>
    </row>
    <row r="5" spans="1:15" x14ac:dyDescent="0.35">
      <c r="A5" s="22" t="s">
        <v>39</v>
      </c>
      <c r="B5" s="23" t="s">
        <v>38</v>
      </c>
      <c r="C5" s="23"/>
      <c r="D5" s="23"/>
      <c r="E5" s="23"/>
      <c r="F5" s="23"/>
      <c r="G5" s="23"/>
      <c r="H5" s="23"/>
      <c r="I5" s="24"/>
      <c r="K5" s="25" t="s">
        <v>40</v>
      </c>
      <c r="L5" s="26">
        <v>163.16999999999999</v>
      </c>
      <c r="M5" s="27"/>
      <c r="N5" s="27"/>
      <c r="O5" s="28"/>
    </row>
    <row r="6" spans="1:15" x14ac:dyDescent="0.35">
      <c r="A6" s="22" t="s">
        <v>41</v>
      </c>
      <c r="B6" s="23" t="s">
        <v>42</v>
      </c>
      <c r="C6" s="23"/>
      <c r="D6" s="23"/>
      <c r="E6" s="23"/>
      <c r="F6" s="23"/>
      <c r="G6" s="23"/>
      <c r="H6" s="23"/>
      <c r="I6" s="24"/>
      <c r="K6" s="25" t="s">
        <v>9</v>
      </c>
      <c r="L6" s="26">
        <v>130.28</v>
      </c>
      <c r="M6" s="27"/>
      <c r="N6" s="27"/>
      <c r="O6" s="28"/>
    </row>
    <row r="7" spans="1:15" ht="31" x14ac:dyDescent="0.35">
      <c r="A7" s="29" t="s">
        <v>43</v>
      </c>
      <c r="B7" s="23">
        <v>1</v>
      </c>
      <c r="C7" s="23">
        <v>1</v>
      </c>
      <c r="D7" s="23">
        <f>B7*C7</f>
        <v>1</v>
      </c>
      <c r="E7" s="23">
        <f>Respondents!F8</f>
        <v>291</v>
      </c>
      <c r="F7" s="23">
        <f>D7*E7</f>
        <v>291</v>
      </c>
      <c r="G7" s="30">
        <f>F7*0.05</f>
        <v>14.55</v>
      </c>
      <c r="H7" s="30">
        <f>F7*0.1</f>
        <v>29.1</v>
      </c>
      <c r="I7" s="31">
        <f>F7*L$6+G7*L$5+H7*L$7</f>
        <v>42197.764500000005</v>
      </c>
      <c r="K7" s="25" t="s">
        <v>10</v>
      </c>
      <c r="L7" s="26">
        <v>65.709999999999994</v>
      </c>
      <c r="M7" s="27"/>
      <c r="N7" s="27"/>
      <c r="O7" s="32"/>
    </row>
    <row r="8" spans="1:15" x14ac:dyDescent="0.35">
      <c r="A8" s="29" t="s">
        <v>44</v>
      </c>
      <c r="B8" s="23"/>
      <c r="C8" s="23"/>
      <c r="D8" s="23"/>
      <c r="E8" s="23"/>
      <c r="F8" s="23"/>
      <c r="G8" s="23"/>
      <c r="H8" s="23"/>
      <c r="I8" s="24"/>
      <c r="M8" s="33"/>
    </row>
    <row r="9" spans="1:15" ht="34" x14ac:dyDescent="0.35">
      <c r="A9" s="34" t="s">
        <v>45</v>
      </c>
      <c r="B9" s="23">
        <v>2</v>
      </c>
      <c r="C9" s="23">
        <v>1</v>
      </c>
      <c r="D9" s="23">
        <f t="shared" ref="D9:D16" si="0">B9*C9</f>
        <v>2</v>
      </c>
      <c r="E9" s="23">
        <v>0</v>
      </c>
      <c r="F9" s="23">
        <f t="shared" ref="F9:F15" si="1">D9*E9</f>
        <v>0</v>
      </c>
      <c r="G9" s="23">
        <f t="shared" ref="G9:G16" si="2">F9*0.05</f>
        <v>0</v>
      </c>
      <c r="H9" s="23">
        <f t="shared" ref="H9:H16" si="3">F9*0.1</f>
        <v>0</v>
      </c>
      <c r="I9" s="35">
        <f t="shared" ref="I9:I16" si="4">F9*L$6+G9*L$5+H9*L$7</f>
        <v>0</v>
      </c>
    </row>
    <row r="10" spans="1:15" x14ac:dyDescent="0.35">
      <c r="A10" s="34" t="s">
        <v>46</v>
      </c>
      <c r="B10" s="23">
        <v>8</v>
      </c>
      <c r="C10" s="23">
        <v>1</v>
      </c>
      <c r="D10" s="23">
        <f t="shared" si="0"/>
        <v>8</v>
      </c>
      <c r="E10" s="23">
        <v>0</v>
      </c>
      <c r="F10" s="23">
        <f t="shared" si="1"/>
        <v>0</v>
      </c>
      <c r="G10" s="23">
        <f t="shared" si="2"/>
        <v>0</v>
      </c>
      <c r="H10" s="23">
        <f t="shared" si="3"/>
        <v>0</v>
      </c>
      <c r="I10" s="35">
        <f t="shared" si="4"/>
        <v>0</v>
      </c>
    </row>
    <row r="11" spans="1:15" ht="18.5" x14ac:dyDescent="0.35">
      <c r="A11" s="34" t="s">
        <v>47</v>
      </c>
      <c r="B11" s="23">
        <v>2</v>
      </c>
      <c r="C11" s="23">
        <v>1</v>
      </c>
      <c r="D11" s="23">
        <f t="shared" si="0"/>
        <v>2</v>
      </c>
      <c r="E11" s="23">
        <v>0</v>
      </c>
      <c r="F11" s="23">
        <f t="shared" si="1"/>
        <v>0</v>
      </c>
      <c r="G11" s="23">
        <f t="shared" si="2"/>
        <v>0</v>
      </c>
      <c r="H11" s="23">
        <f t="shared" si="3"/>
        <v>0</v>
      </c>
      <c r="I11" s="35">
        <f t="shared" si="4"/>
        <v>0</v>
      </c>
    </row>
    <row r="12" spans="1:15" ht="18.5" x14ac:dyDescent="0.35">
      <c r="A12" s="34" t="s">
        <v>48</v>
      </c>
      <c r="B12" s="23">
        <v>2</v>
      </c>
      <c r="C12" s="23">
        <v>1</v>
      </c>
      <c r="D12" s="23">
        <f t="shared" si="0"/>
        <v>2</v>
      </c>
      <c r="E12" s="23">
        <v>0</v>
      </c>
      <c r="F12" s="23">
        <f t="shared" si="1"/>
        <v>0</v>
      </c>
      <c r="G12" s="23">
        <f t="shared" si="2"/>
        <v>0</v>
      </c>
      <c r="H12" s="23">
        <f t="shared" si="3"/>
        <v>0</v>
      </c>
      <c r="I12" s="35">
        <f t="shared" si="4"/>
        <v>0</v>
      </c>
    </row>
    <row r="13" spans="1:15" ht="34" x14ac:dyDescent="0.35">
      <c r="A13" s="34" t="s">
        <v>49</v>
      </c>
      <c r="B13" s="23">
        <v>8</v>
      </c>
      <c r="C13" s="23">
        <v>1</v>
      </c>
      <c r="D13" s="23">
        <f t="shared" si="0"/>
        <v>8</v>
      </c>
      <c r="E13" s="23">
        <v>0</v>
      </c>
      <c r="F13" s="23">
        <f t="shared" si="1"/>
        <v>0</v>
      </c>
      <c r="G13" s="23">
        <f t="shared" si="2"/>
        <v>0</v>
      </c>
      <c r="H13" s="23">
        <f t="shared" si="3"/>
        <v>0</v>
      </c>
      <c r="I13" s="35">
        <f t="shared" si="4"/>
        <v>0</v>
      </c>
    </row>
    <row r="14" spans="1:15" ht="34" x14ac:dyDescent="0.35">
      <c r="A14" s="34" t="s">
        <v>50</v>
      </c>
      <c r="B14" s="23">
        <v>2</v>
      </c>
      <c r="C14" s="23">
        <v>1</v>
      </c>
      <c r="D14" s="23">
        <f t="shared" si="0"/>
        <v>2</v>
      </c>
      <c r="E14" s="23">
        <v>0</v>
      </c>
      <c r="F14" s="23">
        <f t="shared" si="1"/>
        <v>0</v>
      </c>
      <c r="G14" s="23">
        <f t="shared" si="2"/>
        <v>0</v>
      </c>
      <c r="H14" s="23">
        <f t="shared" si="3"/>
        <v>0</v>
      </c>
      <c r="I14" s="35">
        <f t="shared" si="4"/>
        <v>0</v>
      </c>
    </row>
    <row r="15" spans="1:15" x14ac:dyDescent="0.35">
      <c r="A15" s="34" t="s">
        <v>51</v>
      </c>
      <c r="B15" s="23">
        <v>30</v>
      </c>
      <c r="C15" s="23">
        <v>1</v>
      </c>
      <c r="D15" s="23">
        <f t="shared" si="0"/>
        <v>30</v>
      </c>
      <c r="E15" s="23">
        <v>0</v>
      </c>
      <c r="F15" s="23">
        <f t="shared" si="1"/>
        <v>0</v>
      </c>
      <c r="G15" s="23">
        <f t="shared" si="2"/>
        <v>0</v>
      </c>
      <c r="H15" s="23">
        <f t="shared" si="3"/>
        <v>0</v>
      </c>
      <c r="I15" s="35">
        <f t="shared" si="4"/>
        <v>0</v>
      </c>
    </row>
    <row r="16" spans="1:15" ht="18.5" x14ac:dyDescent="0.35">
      <c r="A16" s="36" t="s">
        <v>52</v>
      </c>
      <c r="B16" s="23">
        <v>8</v>
      </c>
      <c r="C16" s="23">
        <v>2</v>
      </c>
      <c r="D16" s="23">
        <f t="shared" si="0"/>
        <v>16</v>
      </c>
      <c r="E16" s="23">
        <f>Respondents!F8</f>
        <v>291</v>
      </c>
      <c r="F16" s="37">
        <f>D16*E16</f>
        <v>4656</v>
      </c>
      <c r="G16" s="23">
        <f t="shared" si="2"/>
        <v>232.8</v>
      </c>
      <c r="H16" s="23">
        <f t="shared" si="3"/>
        <v>465.6</v>
      </c>
      <c r="I16" s="31">
        <f t="shared" si="4"/>
        <v>675164.23200000008</v>
      </c>
    </row>
    <row r="17" spans="1:9" x14ac:dyDescent="0.35">
      <c r="A17" s="29" t="s">
        <v>53</v>
      </c>
      <c r="B17" s="23"/>
      <c r="C17" s="23"/>
      <c r="D17" s="23"/>
      <c r="E17" s="23"/>
      <c r="F17" s="23"/>
      <c r="G17" s="23"/>
      <c r="H17" s="23"/>
      <c r="I17" s="24"/>
    </row>
    <row r="18" spans="1:9" ht="18.5" x14ac:dyDescent="0.35">
      <c r="A18" s="36" t="s">
        <v>54</v>
      </c>
      <c r="B18" s="23" t="s">
        <v>38</v>
      </c>
      <c r="C18" s="23"/>
      <c r="D18" s="23"/>
      <c r="E18" s="23"/>
      <c r="F18" s="23"/>
      <c r="G18" s="23"/>
      <c r="H18" s="23"/>
      <c r="I18" s="24"/>
    </row>
    <row r="19" spans="1:9" x14ac:dyDescent="0.35">
      <c r="A19" s="29" t="s">
        <v>55</v>
      </c>
      <c r="B19" s="23" t="s">
        <v>38</v>
      </c>
      <c r="C19" s="23"/>
      <c r="D19" s="23"/>
      <c r="E19" s="23"/>
      <c r="F19" s="23"/>
      <c r="G19" s="23"/>
      <c r="H19" s="23"/>
      <c r="I19" s="24"/>
    </row>
    <row r="20" spans="1:9" x14ac:dyDescent="0.35">
      <c r="A20" s="29" t="s">
        <v>56</v>
      </c>
      <c r="B20" s="23" t="s">
        <v>57</v>
      </c>
      <c r="C20" s="23"/>
      <c r="D20" s="23"/>
      <c r="E20" s="23"/>
      <c r="F20" s="23"/>
      <c r="G20" s="23"/>
      <c r="H20" s="23"/>
      <c r="I20" s="24"/>
    </row>
    <row r="21" spans="1:9" s="11" customFormat="1" x14ac:dyDescent="0.3">
      <c r="A21" s="38" t="s">
        <v>58</v>
      </c>
      <c r="B21" s="39"/>
      <c r="C21" s="39"/>
      <c r="D21" s="39"/>
      <c r="E21" s="39"/>
      <c r="F21" s="98">
        <f>SUM(F4:H20)</f>
        <v>5689.05</v>
      </c>
      <c r="G21" s="99"/>
      <c r="H21" s="100"/>
      <c r="I21" s="40">
        <f>SUM(I4:I20)</f>
        <v>717361.99650000012</v>
      </c>
    </row>
    <row r="22" spans="1:9" x14ac:dyDescent="0.35">
      <c r="A22" s="22" t="s">
        <v>59</v>
      </c>
      <c r="B22" s="23"/>
      <c r="C22" s="23"/>
      <c r="D22" s="23"/>
      <c r="E22" s="23"/>
      <c r="F22" s="23"/>
      <c r="G22" s="23"/>
      <c r="H22" s="23"/>
      <c r="I22" s="24"/>
    </row>
    <row r="23" spans="1:9" ht="31" x14ac:dyDescent="0.35">
      <c r="A23" s="41" t="s">
        <v>43</v>
      </c>
      <c r="B23" s="23" t="s">
        <v>60</v>
      </c>
      <c r="C23" s="23"/>
      <c r="D23" s="23"/>
      <c r="E23" s="23"/>
      <c r="F23" s="23"/>
      <c r="G23" s="23"/>
      <c r="H23" s="23"/>
      <c r="I23" s="24"/>
    </row>
    <row r="24" spans="1:9" x14ac:dyDescent="0.35">
      <c r="A24" s="29" t="s">
        <v>61</v>
      </c>
      <c r="B24" s="23" t="s">
        <v>60</v>
      </c>
      <c r="C24" s="23"/>
      <c r="D24" s="23"/>
      <c r="E24" s="23"/>
      <c r="F24" s="23"/>
      <c r="G24" s="23"/>
      <c r="H24" s="23"/>
      <c r="I24" s="24"/>
    </row>
    <row r="25" spans="1:9" x14ac:dyDescent="0.35">
      <c r="A25" s="29" t="s">
        <v>62</v>
      </c>
      <c r="B25" s="23" t="s">
        <v>63</v>
      </c>
      <c r="C25" s="23"/>
      <c r="D25" s="23"/>
      <c r="E25" s="23"/>
      <c r="F25" s="23"/>
      <c r="G25" s="23"/>
      <c r="H25" s="23"/>
      <c r="I25" s="24"/>
    </row>
    <row r="26" spans="1:9" ht="18.5" x14ac:dyDescent="0.35">
      <c r="A26" s="42" t="s">
        <v>64</v>
      </c>
      <c r="B26" s="23">
        <v>80</v>
      </c>
      <c r="C26" s="23">
        <v>1</v>
      </c>
      <c r="D26" s="23">
        <f>B26*C26</f>
        <v>80</v>
      </c>
      <c r="E26" s="23">
        <f>Respondents!F8</f>
        <v>291</v>
      </c>
      <c r="F26" s="37">
        <f>D26*E26</f>
        <v>23280</v>
      </c>
      <c r="G26" s="23">
        <f>F26*0.05</f>
        <v>1164</v>
      </c>
      <c r="H26" s="37">
        <f>F26*0.1</f>
        <v>2328</v>
      </c>
      <c r="I26" s="31">
        <f>F26*L$6+G26*L$5+H26*L$7</f>
        <v>3375821.1599999997</v>
      </c>
    </row>
    <row r="27" spans="1:9" x14ac:dyDescent="0.35">
      <c r="A27" s="42" t="s">
        <v>65</v>
      </c>
      <c r="B27" s="23">
        <v>80</v>
      </c>
      <c r="C27" s="23">
        <v>1</v>
      </c>
      <c r="D27" s="23">
        <f>B27*C27</f>
        <v>80</v>
      </c>
      <c r="E27" s="23">
        <v>0</v>
      </c>
      <c r="F27" s="37">
        <f>D27*E27</f>
        <v>0</v>
      </c>
      <c r="G27" s="23">
        <f>F27*0.05</f>
        <v>0</v>
      </c>
      <c r="H27" s="23">
        <f>F27*0.1</f>
        <v>0</v>
      </c>
      <c r="I27" s="35">
        <f>F27*L$6+G27*L$5+H27*L$7</f>
        <v>0</v>
      </c>
    </row>
    <row r="28" spans="1:9" x14ac:dyDescent="0.35">
      <c r="A28" s="42" t="s">
        <v>66</v>
      </c>
      <c r="B28" s="23">
        <v>4</v>
      </c>
      <c r="C28" s="23">
        <v>12</v>
      </c>
      <c r="D28" s="23">
        <f>B28*C28</f>
        <v>48</v>
      </c>
      <c r="E28" s="23">
        <f>Respondents!F8</f>
        <v>291</v>
      </c>
      <c r="F28" s="37">
        <f>D28*E28</f>
        <v>13968</v>
      </c>
      <c r="G28" s="37">
        <f>F28*0.05</f>
        <v>698.40000000000009</v>
      </c>
      <c r="H28" s="37">
        <f>F28*0.1</f>
        <v>1396.8000000000002</v>
      </c>
      <c r="I28" s="31">
        <f>F28*L$6+G28*L$5+H28*L$7</f>
        <v>2025492.696</v>
      </c>
    </row>
    <row r="29" spans="1:9" x14ac:dyDescent="0.35">
      <c r="A29" s="42" t="s">
        <v>67</v>
      </c>
      <c r="B29" s="23">
        <v>2</v>
      </c>
      <c r="C29" s="23">
        <v>2</v>
      </c>
      <c r="D29" s="23">
        <f>B29*C29</f>
        <v>4</v>
      </c>
      <c r="E29" s="23">
        <f>Respondents!F8</f>
        <v>291</v>
      </c>
      <c r="F29" s="37">
        <f>D29*E29</f>
        <v>1164</v>
      </c>
      <c r="G29" s="23">
        <f>F29*0.05</f>
        <v>58.2</v>
      </c>
      <c r="H29" s="23">
        <f>F29*0.1</f>
        <v>116.4</v>
      </c>
      <c r="I29" s="31">
        <f>F29*L$6+G29*L$5+H29*L$7</f>
        <v>168791.05800000002</v>
      </c>
    </row>
    <row r="30" spans="1:9" x14ac:dyDescent="0.35">
      <c r="A30" s="29" t="s">
        <v>68</v>
      </c>
      <c r="B30" s="23" t="s">
        <v>60</v>
      </c>
      <c r="C30" s="23"/>
      <c r="D30" s="23"/>
      <c r="E30" s="23"/>
      <c r="F30" s="23"/>
      <c r="G30" s="23"/>
      <c r="H30" s="23"/>
      <c r="I30" s="24"/>
    </row>
    <row r="31" spans="1:9" x14ac:dyDescent="0.35">
      <c r="A31" s="29" t="s">
        <v>69</v>
      </c>
      <c r="B31" s="23" t="s">
        <v>60</v>
      </c>
      <c r="C31" s="23"/>
      <c r="D31" s="23"/>
      <c r="E31" s="23"/>
      <c r="F31" s="23"/>
      <c r="G31" s="23"/>
      <c r="H31" s="23"/>
      <c r="I31" s="24"/>
    </row>
    <row r="32" spans="1:9" x14ac:dyDescent="0.35">
      <c r="A32" s="29" t="s">
        <v>70</v>
      </c>
      <c r="B32" s="23" t="s">
        <v>60</v>
      </c>
      <c r="C32" s="23"/>
      <c r="D32" s="23"/>
      <c r="E32" s="23"/>
      <c r="F32" s="23"/>
      <c r="G32" s="23"/>
      <c r="H32" s="23"/>
      <c r="I32" s="24"/>
    </row>
    <row r="33" spans="1:12" x14ac:dyDescent="0.35">
      <c r="A33" s="29" t="s">
        <v>71</v>
      </c>
      <c r="B33" s="23" t="s">
        <v>38</v>
      </c>
      <c r="C33" s="23"/>
      <c r="D33" s="23"/>
      <c r="E33" s="23"/>
      <c r="F33" s="23"/>
      <c r="G33" s="23"/>
      <c r="H33" s="23"/>
      <c r="I33" s="24"/>
    </row>
    <row r="34" spans="1:12" s="11" customFormat="1" x14ac:dyDescent="0.3">
      <c r="A34" s="38" t="s">
        <v>72</v>
      </c>
      <c r="B34" s="39"/>
      <c r="C34" s="39"/>
      <c r="D34" s="39"/>
      <c r="E34" s="39"/>
      <c r="F34" s="98">
        <f>SUM(F22:H33)</f>
        <v>44173.8</v>
      </c>
      <c r="G34" s="99"/>
      <c r="H34" s="100"/>
      <c r="I34" s="40">
        <f>SUM(I22:I33)</f>
        <v>5570104.9139999999</v>
      </c>
    </row>
    <row r="35" spans="1:12" s="11" customFormat="1" ht="18" x14ac:dyDescent="0.3">
      <c r="A35" s="43" t="s">
        <v>73</v>
      </c>
      <c r="B35" s="44"/>
      <c r="C35" s="44"/>
      <c r="D35" s="44"/>
      <c r="E35" s="44"/>
      <c r="F35" s="101">
        <f>ROUND( F34+F21, -2)</f>
        <v>49900</v>
      </c>
      <c r="G35" s="102"/>
      <c r="H35" s="103"/>
      <c r="I35" s="45">
        <f>ROUND(I34+I21,-4)</f>
        <v>6290000</v>
      </c>
      <c r="L35" s="92"/>
    </row>
    <row r="36" spans="1:12" ht="18" x14ac:dyDescent="0.35">
      <c r="A36" s="46" t="s">
        <v>74</v>
      </c>
      <c r="B36" s="47"/>
      <c r="C36" s="47"/>
      <c r="D36" s="47"/>
      <c r="E36" s="47"/>
      <c r="F36" s="47"/>
      <c r="G36" s="47"/>
      <c r="H36" s="47"/>
      <c r="I36" s="48">
        <v>0</v>
      </c>
    </row>
    <row r="37" spans="1:12" ht="18" x14ac:dyDescent="0.35">
      <c r="A37" s="46" t="s">
        <v>75</v>
      </c>
      <c r="B37" s="47"/>
      <c r="C37" s="47"/>
      <c r="D37" s="47"/>
      <c r="E37" s="47"/>
      <c r="F37" s="104">
        <f>F35</f>
        <v>49900</v>
      </c>
      <c r="G37" s="105"/>
      <c r="H37" s="106"/>
      <c r="I37" s="49">
        <f>SUM(I36,I35)</f>
        <v>6290000</v>
      </c>
    </row>
    <row r="38" spans="1:12" x14ac:dyDescent="0.35">
      <c r="K38" s="33">
        <f>SUM(F37,'Table 1b'!F39)/Responses!E10</f>
        <v>93.196721311475414</v>
      </c>
      <c r="L38" s="18" t="s">
        <v>76</v>
      </c>
    </row>
    <row r="39" spans="1:12" x14ac:dyDescent="0.35">
      <c r="A39" s="50" t="s">
        <v>11</v>
      </c>
    </row>
    <row r="40" spans="1:12" ht="54.75" customHeight="1" x14ac:dyDescent="0.35">
      <c r="A40" s="107" t="s">
        <v>153</v>
      </c>
      <c r="B40" s="107"/>
      <c r="C40" s="107"/>
      <c r="D40" s="107"/>
      <c r="E40" s="107"/>
      <c r="F40" s="107"/>
      <c r="G40" s="107"/>
      <c r="H40" s="107"/>
      <c r="I40" s="107"/>
    </row>
    <row r="41" spans="1:12" ht="85.9" customHeight="1" x14ac:dyDescent="0.35">
      <c r="A41" s="107" t="s">
        <v>152</v>
      </c>
      <c r="B41" s="107"/>
      <c r="C41" s="107"/>
      <c r="D41" s="107"/>
      <c r="E41" s="107"/>
      <c r="F41" s="107"/>
      <c r="G41" s="107"/>
      <c r="H41" s="107"/>
      <c r="I41" s="107"/>
    </row>
    <row r="42" spans="1:12" ht="18.5" x14ac:dyDescent="0.35">
      <c r="A42" s="108" t="s">
        <v>77</v>
      </c>
      <c r="B42" s="108"/>
      <c r="C42" s="108"/>
      <c r="D42" s="108"/>
      <c r="E42" s="108"/>
      <c r="F42" s="108"/>
      <c r="G42" s="108"/>
      <c r="H42" s="108"/>
      <c r="I42" s="108"/>
    </row>
    <row r="43" spans="1:12" ht="18.5" x14ac:dyDescent="0.35">
      <c r="A43" s="108" t="s">
        <v>78</v>
      </c>
      <c r="B43" s="108"/>
      <c r="C43" s="108"/>
      <c r="D43" s="108"/>
      <c r="E43" s="108"/>
      <c r="F43" s="108"/>
      <c r="G43" s="108"/>
      <c r="H43" s="108"/>
      <c r="I43" s="108"/>
    </row>
    <row r="44" spans="1:12" ht="18.5" x14ac:dyDescent="0.35">
      <c r="A44" s="108" t="s">
        <v>79</v>
      </c>
      <c r="B44" s="108"/>
      <c r="C44" s="108"/>
      <c r="D44" s="108"/>
      <c r="E44" s="108"/>
      <c r="F44" s="108"/>
      <c r="G44" s="108"/>
      <c r="H44" s="108"/>
      <c r="I44" s="108"/>
    </row>
    <row r="45" spans="1:12" ht="18.5" x14ac:dyDescent="0.35">
      <c r="A45" s="95" t="s">
        <v>80</v>
      </c>
      <c r="B45" s="95"/>
      <c r="C45" s="95"/>
      <c r="D45" s="95"/>
      <c r="E45" s="95"/>
      <c r="F45" s="95"/>
      <c r="G45" s="95"/>
      <c r="H45" s="95"/>
      <c r="I45" s="95"/>
    </row>
  </sheetData>
  <mergeCells count="12">
    <mergeCell ref="A45:I45"/>
    <mergeCell ref="A1:I1"/>
    <mergeCell ref="K4:L4"/>
    <mergeCell ref="F21:H21"/>
    <mergeCell ref="F34:H34"/>
    <mergeCell ref="F35:H35"/>
    <mergeCell ref="F37:H37"/>
    <mergeCell ref="A40:I40"/>
    <mergeCell ref="A41:I41"/>
    <mergeCell ref="A42:I42"/>
    <mergeCell ref="A43:I43"/>
    <mergeCell ref="A44:I4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C69D-A73C-4B9E-863F-FC8E1CC5415A}">
  <dimension ref="A1:L47"/>
  <sheetViews>
    <sheetView workbookViewId="0">
      <selection activeCell="A2" sqref="A2"/>
    </sheetView>
  </sheetViews>
  <sheetFormatPr defaultColWidth="9.26953125" defaultRowHeight="15.5" x14ac:dyDescent="0.35"/>
  <cols>
    <col min="1" max="1" width="42.7265625" style="18" customWidth="1"/>
    <col min="2" max="2" width="10.453125" style="18" customWidth="1"/>
    <col min="3" max="3" width="10.7265625" style="18" customWidth="1"/>
    <col min="4" max="4" width="10.26953125" style="18" customWidth="1"/>
    <col min="5" max="5" width="14.7265625" style="18" customWidth="1"/>
    <col min="6" max="6" width="10.54296875" style="18" customWidth="1"/>
    <col min="7" max="7" width="14.453125" style="18" customWidth="1"/>
    <col min="8" max="8" width="10.54296875" style="18" customWidth="1"/>
    <col min="9" max="9" width="14.7265625" style="18" bestFit="1" customWidth="1"/>
    <col min="10" max="10" width="12.453125" style="18" bestFit="1" customWidth="1"/>
    <col min="11" max="11" width="12" style="18" customWidth="1"/>
    <col min="12" max="12" width="9.26953125" style="18" bestFit="1" customWidth="1"/>
    <col min="13" max="16384" width="9.26953125" style="18"/>
  </cols>
  <sheetData>
    <row r="1" spans="1:12" x14ac:dyDescent="0.35">
      <c r="A1" s="96" t="s">
        <v>158</v>
      </c>
      <c r="B1" s="96"/>
      <c r="C1" s="96"/>
      <c r="D1" s="96"/>
      <c r="E1" s="96"/>
      <c r="F1" s="96"/>
      <c r="G1" s="96"/>
      <c r="H1" s="96"/>
      <c r="I1" s="96"/>
    </row>
    <row r="3" spans="1:12" ht="105" x14ac:dyDescent="0.35">
      <c r="A3" s="19" t="s">
        <v>7</v>
      </c>
      <c r="B3" s="20" t="s">
        <v>30</v>
      </c>
      <c r="C3" s="20" t="s">
        <v>12</v>
      </c>
      <c r="D3" s="20" t="s">
        <v>31</v>
      </c>
      <c r="E3" s="20" t="s">
        <v>32</v>
      </c>
      <c r="F3" s="20" t="s">
        <v>81</v>
      </c>
      <c r="G3" s="20" t="s">
        <v>82</v>
      </c>
      <c r="H3" s="20" t="s">
        <v>35</v>
      </c>
      <c r="I3" s="20" t="s">
        <v>36</v>
      </c>
    </row>
    <row r="4" spans="1:12" x14ac:dyDescent="0.35">
      <c r="A4" s="22" t="s">
        <v>37</v>
      </c>
      <c r="B4" s="23" t="s">
        <v>38</v>
      </c>
      <c r="C4" s="23"/>
      <c r="D4" s="23"/>
      <c r="E4" s="23"/>
      <c r="F4" s="23"/>
      <c r="G4" s="23"/>
      <c r="H4" s="23"/>
      <c r="I4" s="24"/>
      <c r="K4" s="97" t="s">
        <v>8</v>
      </c>
      <c r="L4" s="97"/>
    </row>
    <row r="5" spans="1:12" x14ac:dyDescent="0.35">
      <c r="A5" s="22" t="s">
        <v>39</v>
      </c>
      <c r="B5" s="23" t="s">
        <v>38</v>
      </c>
      <c r="C5" s="23"/>
      <c r="D5" s="23"/>
      <c r="E5" s="23"/>
      <c r="F5" s="23"/>
      <c r="G5" s="23"/>
      <c r="H5" s="23"/>
      <c r="I5" s="24"/>
      <c r="K5" s="25" t="s">
        <v>40</v>
      </c>
      <c r="L5" s="26">
        <v>163.16999999999999</v>
      </c>
    </row>
    <row r="6" spans="1:12" x14ac:dyDescent="0.35">
      <c r="A6" s="22" t="s">
        <v>41</v>
      </c>
      <c r="B6" s="23" t="s">
        <v>42</v>
      </c>
      <c r="C6" s="23"/>
      <c r="D6" s="23"/>
      <c r="E6" s="23"/>
      <c r="F6" s="23"/>
      <c r="G6" s="23"/>
      <c r="H6" s="23"/>
      <c r="I6" s="24"/>
      <c r="K6" s="25" t="s">
        <v>9</v>
      </c>
      <c r="L6" s="26">
        <v>130.28</v>
      </c>
    </row>
    <row r="7" spans="1:12" ht="31" x14ac:dyDescent="0.35">
      <c r="A7" s="29" t="s">
        <v>43</v>
      </c>
      <c r="B7" s="23">
        <v>1</v>
      </c>
      <c r="C7" s="23">
        <v>1</v>
      </c>
      <c r="D7" s="23">
        <f>B7*C7</f>
        <v>1</v>
      </c>
      <c r="E7" s="23">
        <f>Respondents!F13</f>
        <v>14</v>
      </c>
      <c r="F7" s="23">
        <f>D7*E7</f>
        <v>14</v>
      </c>
      <c r="G7" s="51">
        <f>F7*0.05</f>
        <v>0.70000000000000007</v>
      </c>
      <c r="H7" s="23">
        <f>F7*0.1</f>
        <v>1.4000000000000001</v>
      </c>
      <c r="I7" s="31">
        <f>F7*L$6+G7*L$5+H7*L$7</f>
        <v>2030.133</v>
      </c>
      <c r="K7" s="25" t="s">
        <v>10</v>
      </c>
      <c r="L7" s="26">
        <v>65.709999999999994</v>
      </c>
    </row>
    <row r="8" spans="1:12" x14ac:dyDescent="0.35">
      <c r="A8" s="29" t="s">
        <v>44</v>
      </c>
      <c r="B8" s="23"/>
      <c r="C8" s="23"/>
      <c r="D8" s="23"/>
      <c r="E8" s="23"/>
      <c r="F8" s="23"/>
      <c r="G8" s="23"/>
      <c r="H8" s="23"/>
      <c r="I8" s="31"/>
    </row>
    <row r="9" spans="1:12" ht="18.5" x14ac:dyDescent="0.35">
      <c r="A9" s="36" t="s">
        <v>54</v>
      </c>
      <c r="B9" s="23">
        <v>60</v>
      </c>
      <c r="C9" s="23">
        <v>1</v>
      </c>
      <c r="D9" s="23">
        <f>B9*C9</f>
        <v>60</v>
      </c>
      <c r="E9" s="23">
        <v>0</v>
      </c>
      <c r="F9" s="37">
        <f>D9*E9</f>
        <v>0</v>
      </c>
      <c r="G9" s="23">
        <f>F9*0.05</f>
        <v>0</v>
      </c>
      <c r="H9" s="23">
        <f>F9*0.1</f>
        <v>0</v>
      </c>
      <c r="I9" s="35">
        <f>F9*L$6+G9*L$5+H9*L$7</f>
        <v>0</v>
      </c>
    </row>
    <row r="10" spans="1:12" x14ac:dyDescent="0.35">
      <c r="A10" s="36" t="s">
        <v>83</v>
      </c>
      <c r="B10" s="23">
        <v>60</v>
      </c>
      <c r="C10" s="23">
        <v>0.2</v>
      </c>
      <c r="D10" s="23">
        <f>B10*C10</f>
        <v>12</v>
      </c>
      <c r="E10" s="23">
        <v>0</v>
      </c>
      <c r="F10" s="23">
        <f>D10*E10</f>
        <v>0</v>
      </c>
      <c r="G10" s="23">
        <f>F10*0.05</f>
        <v>0</v>
      </c>
      <c r="H10" s="23">
        <f>F10*0.1</f>
        <v>0</v>
      </c>
      <c r="I10" s="35">
        <f>F10*L$6+G10*L$5+H10*L$7</f>
        <v>0</v>
      </c>
    </row>
    <row r="11" spans="1:12" x14ac:dyDescent="0.35">
      <c r="A11" s="36" t="s">
        <v>84</v>
      </c>
      <c r="B11" s="23">
        <v>80</v>
      </c>
      <c r="C11" s="23">
        <v>0.2</v>
      </c>
      <c r="D11" s="23">
        <f>B11*C11</f>
        <v>16</v>
      </c>
      <c r="E11" s="23">
        <v>0</v>
      </c>
      <c r="F11" s="23">
        <f>D11*E11</f>
        <v>0</v>
      </c>
      <c r="G11" s="23">
        <f>F11*0.05</f>
        <v>0</v>
      </c>
      <c r="H11" s="23">
        <f>F11*0.1</f>
        <v>0</v>
      </c>
      <c r="I11" s="35">
        <f>F11*L$6+G11*L$5+H11*L$7</f>
        <v>0</v>
      </c>
    </row>
    <row r="12" spans="1:12" x14ac:dyDescent="0.35">
      <c r="A12" s="36" t="s">
        <v>85</v>
      </c>
      <c r="B12" s="23">
        <v>80</v>
      </c>
      <c r="C12" s="23">
        <v>0.2</v>
      </c>
      <c r="D12" s="23">
        <f>B12*C12</f>
        <v>16</v>
      </c>
      <c r="E12" s="23">
        <v>0</v>
      </c>
      <c r="F12" s="23">
        <f>D12*E12</f>
        <v>0</v>
      </c>
      <c r="G12" s="23">
        <f>F12*0.05</f>
        <v>0</v>
      </c>
      <c r="H12" s="23">
        <f>F12*0.1</f>
        <v>0</v>
      </c>
      <c r="I12" s="35">
        <f>F12*L$6+G12*L$5+H12*L$7</f>
        <v>0</v>
      </c>
    </row>
    <row r="13" spans="1:12" x14ac:dyDescent="0.35">
      <c r="A13" s="29" t="s">
        <v>53</v>
      </c>
      <c r="B13" s="23" t="s">
        <v>57</v>
      </c>
      <c r="C13" s="23"/>
      <c r="D13" s="23"/>
      <c r="E13" s="23"/>
      <c r="F13" s="23"/>
      <c r="G13" s="23"/>
      <c r="H13" s="23"/>
      <c r="I13" s="31"/>
    </row>
    <row r="14" spans="1:12" x14ac:dyDescent="0.35">
      <c r="A14" s="29" t="s">
        <v>55</v>
      </c>
      <c r="B14" s="23" t="s">
        <v>57</v>
      </c>
      <c r="C14" s="23"/>
      <c r="D14" s="23"/>
      <c r="E14" s="23"/>
      <c r="F14" s="23"/>
      <c r="G14" s="23"/>
      <c r="H14" s="23"/>
      <c r="I14" s="31"/>
    </row>
    <row r="15" spans="1:12" x14ac:dyDescent="0.35">
      <c r="A15" s="29" t="s">
        <v>56</v>
      </c>
      <c r="B15" s="23"/>
      <c r="C15" s="23"/>
      <c r="D15" s="23"/>
      <c r="E15" s="23"/>
      <c r="F15" s="23"/>
      <c r="G15" s="23"/>
      <c r="H15" s="23"/>
      <c r="I15" s="31"/>
    </row>
    <row r="16" spans="1:12" ht="17.25" customHeight="1" x14ac:dyDescent="0.35">
      <c r="A16" s="36" t="s">
        <v>45</v>
      </c>
      <c r="B16" s="23">
        <v>2</v>
      </c>
      <c r="C16" s="23">
        <v>1</v>
      </c>
      <c r="D16" s="23">
        <f t="shared" ref="D16:D21" si="0">B16*C16</f>
        <v>2</v>
      </c>
      <c r="E16" s="23">
        <v>0</v>
      </c>
      <c r="F16" s="23">
        <f t="shared" ref="F16:F21" si="1">D16*E16</f>
        <v>0</v>
      </c>
      <c r="G16" s="23">
        <f t="shared" ref="G16:G21" si="2">F16*0.05</f>
        <v>0</v>
      </c>
      <c r="H16" s="23">
        <f t="shared" ref="H16:H21" si="3">F16*0.1</f>
        <v>0</v>
      </c>
      <c r="I16" s="35">
        <f t="shared" ref="I16:I21" si="4">F16*L$6+G16*L$5+H16*L$7</f>
        <v>0</v>
      </c>
    </row>
    <row r="17" spans="1:10" ht="18.5" x14ac:dyDescent="0.35">
      <c r="A17" s="36" t="s">
        <v>86</v>
      </c>
      <c r="B17" s="23">
        <v>2</v>
      </c>
      <c r="C17" s="23">
        <v>1</v>
      </c>
      <c r="D17" s="23">
        <f t="shared" si="0"/>
        <v>2</v>
      </c>
      <c r="E17" s="23">
        <v>0</v>
      </c>
      <c r="F17" s="23">
        <f t="shared" si="1"/>
        <v>0</v>
      </c>
      <c r="G17" s="23">
        <f t="shared" si="2"/>
        <v>0</v>
      </c>
      <c r="H17" s="23">
        <f t="shared" si="3"/>
        <v>0</v>
      </c>
      <c r="I17" s="35">
        <f t="shared" si="4"/>
        <v>0</v>
      </c>
    </row>
    <row r="18" spans="1:10" ht="18.5" x14ac:dyDescent="0.35">
      <c r="A18" s="36" t="s">
        <v>87</v>
      </c>
      <c r="B18" s="23">
        <v>2</v>
      </c>
      <c r="C18" s="23">
        <v>1</v>
      </c>
      <c r="D18" s="23">
        <f t="shared" si="0"/>
        <v>2</v>
      </c>
      <c r="E18" s="23">
        <v>0</v>
      </c>
      <c r="F18" s="23">
        <f t="shared" si="1"/>
        <v>0</v>
      </c>
      <c r="G18" s="23">
        <f t="shared" si="2"/>
        <v>0</v>
      </c>
      <c r="H18" s="23">
        <f t="shared" si="3"/>
        <v>0</v>
      </c>
      <c r="I18" s="35">
        <f t="shared" si="4"/>
        <v>0</v>
      </c>
    </row>
    <row r="19" spans="1:10" ht="18.5" x14ac:dyDescent="0.35">
      <c r="A19" s="36" t="s">
        <v>48</v>
      </c>
      <c r="B19" s="23">
        <v>2</v>
      </c>
      <c r="C19" s="23">
        <v>1</v>
      </c>
      <c r="D19" s="23">
        <f t="shared" si="0"/>
        <v>2</v>
      </c>
      <c r="E19" s="23">
        <v>0</v>
      </c>
      <c r="F19" s="23">
        <f t="shared" si="1"/>
        <v>0</v>
      </c>
      <c r="G19" s="23">
        <f t="shared" si="2"/>
        <v>0</v>
      </c>
      <c r="H19" s="23">
        <f t="shared" si="3"/>
        <v>0</v>
      </c>
      <c r="I19" s="35">
        <f t="shared" si="4"/>
        <v>0</v>
      </c>
    </row>
    <row r="20" spans="1:10" ht="34" x14ac:dyDescent="0.35">
      <c r="A20" s="36" t="s">
        <v>50</v>
      </c>
      <c r="B20" s="23">
        <v>2</v>
      </c>
      <c r="C20" s="23">
        <v>1</v>
      </c>
      <c r="D20" s="23">
        <f t="shared" si="0"/>
        <v>2</v>
      </c>
      <c r="E20" s="23">
        <v>0</v>
      </c>
      <c r="F20" s="23">
        <f t="shared" si="1"/>
        <v>0</v>
      </c>
      <c r="G20" s="23">
        <f t="shared" si="2"/>
        <v>0</v>
      </c>
      <c r="H20" s="23">
        <f t="shared" si="3"/>
        <v>0</v>
      </c>
      <c r="I20" s="35">
        <f t="shared" si="4"/>
        <v>0</v>
      </c>
    </row>
    <row r="21" spans="1:10" ht="18.5" x14ac:dyDescent="0.35">
      <c r="A21" s="36" t="s">
        <v>88</v>
      </c>
      <c r="B21" s="23">
        <v>2</v>
      </c>
      <c r="C21" s="23">
        <v>1</v>
      </c>
      <c r="D21" s="23">
        <f t="shared" si="0"/>
        <v>2</v>
      </c>
      <c r="E21" s="23">
        <v>0</v>
      </c>
      <c r="F21" s="23">
        <f t="shared" si="1"/>
        <v>0</v>
      </c>
      <c r="G21" s="23">
        <f t="shared" si="2"/>
        <v>0</v>
      </c>
      <c r="H21" s="23">
        <f t="shared" si="3"/>
        <v>0</v>
      </c>
      <c r="I21" s="35">
        <f t="shared" si="4"/>
        <v>0</v>
      </c>
    </row>
    <row r="22" spans="1:10" x14ac:dyDescent="0.35">
      <c r="A22" s="36" t="s">
        <v>89</v>
      </c>
      <c r="B22" s="23" t="s">
        <v>57</v>
      </c>
      <c r="C22" s="23"/>
      <c r="D22" s="23"/>
      <c r="E22" s="23"/>
      <c r="F22" s="23"/>
      <c r="G22" s="23"/>
      <c r="H22" s="23"/>
      <c r="I22" s="31"/>
    </row>
    <row r="23" spans="1:10" ht="18.5" x14ac:dyDescent="0.35">
      <c r="A23" s="36" t="s">
        <v>90</v>
      </c>
      <c r="B23" s="23">
        <v>40</v>
      </c>
      <c r="C23" s="23">
        <v>2</v>
      </c>
      <c r="D23" s="23">
        <f>B23*C23</f>
        <v>80</v>
      </c>
      <c r="E23" s="23">
        <f>Respondents!F13</f>
        <v>14</v>
      </c>
      <c r="F23" s="37">
        <f>D23*E23</f>
        <v>1120</v>
      </c>
      <c r="G23" s="23">
        <f>F23*0.05</f>
        <v>56</v>
      </c>
      <c r="H23" s="23">
        <f>F23*0.1</f>
        <v>112</v>
      </c>
      <c r="I23" s="31">
        <f>F23*L$6+G23*L$5+H23*L$7</f>
        <v>162410.63999999998</v>
      </c>
    </row>
    <row r="24" spans="1:10" s="11" customFormat="1" x14ac:dyDescent="0.3">
      <c r="A24" s="38" t="s">
        <v>58</v>
      </c>
      <c r="B24" s="39"/>
      <c r="C24" s="39"/>
      <c r="D24" s="39"/>
      <c r="E24" s="39"/>
      <c r="F24" s="98">
        <f>SUM(F4:H23)</f>
        <v>1304.0999999999999</v>
      </c>
      <c r="G24" s="99"/>
      <c r="H24" s="100"/>
      <c r="I24" s="40">
        <f>SUM(I7:I23)</f>
        <v>164440.77299999999</v>
      </c>
      <c r="J24" s="52"/>
    </row>
    <row r="25" spans="1:10" x14ac:dyDescent="0.35">
      <c r="A25" s="22" t="s">
        <v>59</v>
      </c>
      <c r="B25" s="23"/>
      <c r="C25" s="23"/>
      <c r="D25" s="23"/>
      <c r="E25" s="23"/>
      <c r="F25" s="23"/>
      <c r="G25" s="23"/>
      <c r="H25" s="23"/>
      <c r="I25" s="31"/>
    </row>
    <row r="26" spans="1:10" ht="31" x14ac:dyDescent="0.35">
      <c r="A26" s="29" t="s">
        <v>43</v>
      </c>
      <c r="B26" s="23" t="s">
        <v>91</v>
      </c>
      <c r="C26" s="23"/>
      <c r="D26" s="23"/>
      <c r="E26" s="23"/>
      <c r="F26" s="23"/>
      <c r="G26" s="23"/>
      <c r="H26" s="23"/>
      <c r="I26" s="31"/>
    </row>
    <row r="27" spans="1:10" x14ac:dyDescent="0.35">
      <c r="A27" s="29" t="s">
        <v>61</v>
      </c>
      <c r="B27" s="23" t="s">
        <v>38</v>
      </c>
      <c r="C27" s="23"/>
      <c r="D27" s="23"/>
      <c r="E27" s="23"/>
      <c r="F27" s="23"/>
      <c r="G27" s="23"/>
      <c r="H27" s="23"/>
      <c r="I27" s="31"/>
    </row>
    <row r="28" spans="1:10" x14ac:dyDescent="0.35">
      <c r="A28" s="29" t="s">
        <v>62</v>
      </c>
      <c r="B28" s="23" t="s">
        <v>38</v>
      </c>
      <c r="C28" s="23"/>
      <c r="D28" s="23"/>
      <c r="E28" s="23"/>
      <c r="F28" s="23"/>
      <c r="G28" s="23"/>
      <c r="H28" s="23"/>
      <c r="I28" s="31"/>
    </row>
    <row r="29" spans="1:10" ht="18.5" x14ac:dyDescent="0.35">
      <c r="A29" s="29" t="s">
        <v>92</v>
      </c>
      <c r="B29" s="23">
        <v>40</v>
      </c>
      <c r="C29" s="23">
        <v>1</v>
      </c>
      <c r="D29" s="23">
        <f>B29*C29</f>
        <v>40</v>
      </c>
      <c r="E29" s="23">
        <v>0</v>
      </c>
      <c r="F29" s="23">
        <f>D29*E29</f>
        <v>0</v>
      </c>
      <c r="G29" s="23">
        <f>F29*0.05</f>
        <v>0</v>
      </c>
      <c r="H29" s="23">
        <f>F29*0.1</f>
        <v>0</v>
      </c>
      <c r="I29" s="35">
        <f>F29*L$6+G29*L$5+H29*L$7</f>
        <v>0</v>
      </c>
    </row>
    <row r="30" spans="1:10" x14ac:dyDescent="0.35">
      <c r="A30" s="29" t="s">
        <v>69</v>
      </c>
      <c r="B30" s="23"/>
      <c r="C30" s="23"/>
      <c r="D30" s="23"/>
      <c r="E30" s="23"/>
      <c r="F30" s="23"/>
      <c r="G30" s="23"/>
      <c r="H30" s="23"/>
      <c r="I30" s="35"/>
    </row>
    <row r="31" spans="1:10" ht="31" x14ac:dyDescent="0.35">
      <c r="A31" s="42" t="s">
        <v>93</v>
      </c>
      <c r="B31" s="23">
        <v>1.5</v>
      </c>
      <c r="C31" s="23">
        <v>12</v>
      </c>
      <c r="D31" s="23">
        <f>B31*C31</f>
        <v>18</v>
      </c>
      <c r="E31" s="23">
        <v>0</v>
      </c>
      <c r="F31" s="23">
        <f>D31*E31</f>
        <v>0</v>
      </c>
      <c r="G31" s="23">
        <f>F31*0.05</f>
        <v>0</v>
      </c>
      <c r="H31" s="23">
        <f>F31*0.1</f>
        <v>0</v>
      </c>
      <c r="I31" s="35">
        <f>F31*L$6+G31*L$5+H31*L$7</f>
        <v>0</v>
      </c>
    </row>
    <row r="32" spans="1:10" x14ac:dyDescent="0.35">
      <c r="A32" s="42" t="s">
        <v>94</v>
      </c>
      <c r="B32" s="23">
        <v>0.5</v>
      </c>
      <c r="C32" s="23">
        <v>700</v>
      </c>
      <c r="D32" s="23">
        <f>B32*C32</f>
        <v>350</v>
      </c>
      <c r="E32" s="23">
        <f>Respondents!F13</f>
        <v>14</v>
      </c>
      <c r="F32" s="37">
        <f>D32*E32</f>
        <v>4900</v>
      </c>
      <c r="G32" s="37">
        <f>F32*0.05</f>
        <v>245</v>
      </c>
      <c r="H32" s="37">
        <f>F32*0.1</f>
        <v>490</v>
      </c>
      <c r="I32" s="31">
        <f>F32*L$6+G32*L$5+H32*L$7</f>
        <v>710546.55</v>
      </c>
    </row>
    <row r="33" spans="1:9" x14ac:dyDescent="0.35">
      <c r="A33" s="42" t="s">
        <v>95</v>
      </c>
      <c r="B33" s="23">
        <v>2</v>
      </c>
      <c r="C33" s="23">
        <v>1</v>
      </c>
      <c r="D33" s="23">
        <f>B33*C33</f>
        <v>2</v>
      </c>
      <c r="E33" s="23">
        <v>3</v>
      </c>
      <c r="F33" s="23">
        <f>D33*E33</f>
        <v>6</v>
      </c>
      <c r="G33" s="23">
        <f>F33*0.05</f>
        <v>0.30000000000000004</v>
      </c>
      <c r="H33" s="23">
        <f>F33*0.1</f>
        <v>0.60000000000000009</v>
      </c>
      <c r="I33" s="31">
        <f>F33*L$6+G33*L$5+H33*L$7</f>
        <v>870.05700000000013</v>
      </c>
    </row>
    <row r="34" spans="1:9" x14ac:dyDescent="0.35">
      <c r="A34" s="29" t="s">
        <v>70</v>
      </c>
      <c r="B34" s="23" t="s">
        <v>38</v>
      </c>
      <c r="C34" s="23"/>
      <c r="D34" s="23"/>
      <c r="E34" s="23"/>
      <c r="F34" s="23"/>
      <c r="G34" s="23"/>
      <c r="H34" s="23"/>
      <c r="I34" s="24"/>
    </row>
    <row r="35" spans="1:9" x14ac:dyDescent="0.35">
      <c r="A35" s="29" t="s">
        <v>71</v>
      </c>
      <c r="B35" s="23" t="s">
        <v>38</v>
      </c>
      <c r="C35" s="23"/>
      <c r="D35" s="23"/>
      <c r="E35" s="23"/>
      <c r="F35" s="23"/>
      <c r="G35" s="23"/>
      <c r="H35" s="23"/>
      <c r="I35" s="24"/>
    </row>
    <row r="36" spans="1:9" s="11" customFormat="1" x14ac:dyDescent="0.3">
      <c r="A36" s="38" t="s">
        <v>72</v>
      </c>
      <c r="B36" s="39"/>
      <c r="C36" s="39"/>
      <c r="D36" s="39"/>
      <c r="E36" s="39"/>
      <c r="F36" s="98">
        <f>SUM(F25:H35)</f>
        <v>5641.9000000000005</v>
      </c>
      <c r="G36" s="99"/>
      <c r="H36" s="100"/>
      <c r="I36" s="40">
        <f>SUM(I25:I35)</f>
        <v>711416.60700000008</v>
      </c>
    </row>
    <row r="37" spans="1:9" ht="18" x14ac:dyDescent="0.35">
      <c r="A37" s="43" t="s">
        <v>73</v>
      </c>
      <c r="B37" s="44"/>
      <c r="C37" s="44"/>
      <c r="D37" s="44"/>
      <c r="E37" s="44"/>
      <c r="F37" s="101">
        <f>ROUND(F36+F24,-1)</f>
        <v>6950</v>
      </c>
      <c r="G37" s="102"/>
      <c r="H37" s="103"/>
      <c r="I37" s="45">
        <f>ROUND(I36+I24,-3)</f>
        <v>876000</v>
      </c>
    </row>
    <row r="38" spans="1:9" ht="18" x14ac:dyDescent="0.35">
      <c r="A38" s="46" t="s">
        <v>74</v>
      </c>
      <c r="B38" s="44"/>
      <c r="C38" s="44"/>
      <c r="D38" s="44"/>
      <c r="E38" s="44"/>
      <c r="F38" s="53"/>
      <c r="G38" s="53"/>
      <c r="H38" s="53"/>
      <c r="I38" s="45">
        <f>'Capital O&amp;M'!I5</f>
        <v>97001.042752867579</v>
      </c>
    </row>
    <row r="39" spans="1:9" ht="18" x14ac:dyDescent="0.35">
      <c r="A39" s="46" t="s">
        <v>75</v>
      </c>
      <c r="B39" s="44"/>
      <c r="C39" s="44"/>
      <c r="D39" s="44"/>
      <c r="E39" s="44"/>
      <c r="F39" s="101">
        <f>F37</f>
        <v>6950</v>
      </c>
      <c r="G39" s="102"/>
      <c r="H39" s="103"/>
      <c r="I39" s="45">
        <f>ROUND(SUM(I38,I37),-3)</f>
        <v>973000</v>
      </c>
    </row>
    <row r="41" spans="1:9" x14ac:dyDescent="0.35">
      <c r="A41" s="50" t="s">
        <v>11</v>
      </c>
    </row>
    <row r="42" spans="1:9" ht="51" customHeight="1" x14ac:dyDescent="0.35">
      <c r="A42" s="110" t="s">
        <v>154</v>
      </c>
      <c r="B42" s="110"/>
      <c r="C42" s="110"/>
      <c r="D42" s="110"/>
      <c r="E42" s="110"/>
      <c r="F42" s="110"/>
      <c r="G42" s="110"/>
      <c r="H42" s="110"/>
      <c r="I42" s="110"/>
    </row>
    <row r="43" spans="1:9" ht="103.15" customHeight="1" x14ac:dyDescent="0.35">
      <c r="A43" s="107" t="s">
        <v>152</v>
      </c>
      <c r="B43" s="107"/>
      <c r="C43" s="107"/>
      <c r="D43" s="107"/>
      <c r="E43" s="107"/>
      <c r="F43" s="107"/>
      <c r="G43" s="107"/>
      <c r="H43" s="107"/>
      <c r="I43" s="107"/>
    </row>
    <row r="44" spans="1:9" ht="18.5" x14ac:dyDescent="0.35">
      <c r="A44" s="95" t="s">
        <v>77</v>
      </c>
      <c r="B44" s="95"/>
      <c r="C44" s="95"/>
      <c r="D44" s="95"/>
      <c r="E44" s="95"/>
      <c r="F44" s="95"/>
      <c r="G44" s="95"/>
      <c r="H44" s="95"/>
      <c r="I44" s="95"/>
    </row>
    <row r="45" spans="1:9" ht="18.5" x14ac:dyDescent="0.35">
      <c r="A45" s="95" t="s">
        <v>96</v>
      </c>
      <c r="B45" s="95"/>
      <c r="C45" s="95"/>
      <c r="D45" s="95"/>
      <c r="E45" s="95"/>
      <c r="F45" s="95"/>
      <c r="G45" s="95"/>
      <c r="H45" s="95"/>
      <c r="I45" s="95"/>
    </row>
    <row r="46" spans="1:9" ht="33.75" customHeight="1" x14ac:dyDescent="0.35">
      <c r="A46" s="111" t="s">
        <v>97</v>
      </c>
      <c r="B46" s="111"/>
      <c r="C46" s="111"/>
      <c r="D46" s="111"/>
      <c r="E46" s="111"/>
      <c r="F46" s="111"/>
      <c r="G46" s="111"/>
      <c r="H46" s="111"/>
      <c r="I46" s="111"/>
    </row>
    <row r="47" spans="1:9" ht="18.5" x14ac:dyDescent="0.35">
      <c r="A47" s="109" t="s">
        <v>98</v>
      </c>
      <c r="B47" s="109"/>
      <c r="C47" s="109"/>
      <c r="D47" s="109"/>
      <c r="E47" s="109"/>
      <c r="F47" s="109"/>
      <c r="G47" s="109"/>
      <c r="H47" s="109"/>
      <c r="I47" s="109"/>
    </row>
  </sheetData>
  <mergeCells count="12">
    <mergeCell ref="A47:I47"/>
    <mergeCell ref="A1:I1"/>
    <mergeCell ref="K4:L4"/>
    <mergeCell ref="F24:H24"/>
    <mergeCell ref="F36:H36"/>
    <mergeCell ref="F37:H37"/>
    <mergeCell ref="F39:H39"/>
    <mergeCell ref="A42:I42"/>
    <mergeCell ref="A43:I43"/>
    <mergeCell ref="A44:I44"/>
    <mergeCell ref="A45:I45"/>
    <mergeCell ref="A46:I46"/>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8855-534B-4A1D-B307-4299CC347DF3}">
  <dimension ref="A1:M20"/>
  <sheetViews>
    <sheetView zoomScale="90" zoomScaleNormal="90" workbookViewId="0">
      <selection activeCell="A2" sqref="A2"/>
    </sheetView>
  </sheetViews>
  <sheetFormatPr defaultColWidth="9.26953125" defaultRowHeight="15.5" x14ac:dyDescent="0.35"/>
  <cols>
    <col min="1" max="1" width="43" style="18" customWidth="1"/>
    <col min="2" max="2" width="10.54296875" style="18" customWidth="1"/>
    <col min="3" max="3" width="11.453125" style="18" customWidth="1"/>
    <col min="4" max="4" width="11.7265625" style="18" customWidth="1"/>
    <col min="5" max="5" width="9.26953125" style="18"/>
    <col min="6" max="6" width="10.7265625" style="18" customWidth="1"/>
    <col min="7" max="7" width="12.26953125" style="18" customWidth="1"/>
    <col min="8" max="8" width="9.26953125" style="18"/>
    <col min="9" max="9" width="15.7265625" style="18" customWidth="1"/>
    <col min="10" max="10" width="4.453125" style="18" customWidth="1"/>
    <col min="11" max="11" width="10.7265625" style="18" bestFit="1" customWidth="1"/>
    <col min="12" max="12" width="11.7265625" style="18" customWidth="1"/>
    <col min="13" max="13" width="14" style="18" customWidth="1"/>
    <col min="14" max="16384" width="9.26953125" style="18"/>
  </cols>
  <sheetData>
    <row r="1" spans="1:13" x14ac:dyDescent="0.35">
      <c r="A1" s="55" t="s">
        <v>99</v>
      </c>
    </row>
    <row r="3" spans="1:13" ht="105" x14ac:dyDescent="0.35">
      <c r="A3" s="56" t="s">
        <v>100</v>
      </c>
      <c r="B3" s="57" t="s">
        <v>101</v>
      </c>
      <c r="C3" s="57" t="s">
        <v>102</v>
      </c>
      <c r="D3" s="57" t="s">
        <v>103</v>
      </c>
      <c r="E3" s="57" t="s">
        <v>104</v>
      </c>
      <c r="F3" s="57" t="s">
        <v>81</v>
      </c>
      <c r="G3" s="57" t="s">
        <v>105</v>
      </c>
      <c r="H3" s="57" t="s">
        <v>35</v>
      </c>
      <c r="I3" s="57" t="s">
        <v>36</v>
      </c>
    </row>
    <row r="4" spans="1:13" ht="18.5" x14ac:dyDescent="0.35">
      <c r="A4" s="41" t="s">
        <v>45</v>
      </c>
      <c r="B4" s="23">
        <v>2</v>
      </c>
      <c r="C4" s="23">
        <v>1</v>
      </c>
      <c r="D4" s="23">
        <f t="shared" ref="D4:D12" si="0">B4*C4</f>
        <v>2</v>
      </c>
      <c r="E4" s="23">
        <v>0</v>
      </c>
      <c r="F4" s="23">
        <f>D4*E4</f>
        <v>0</v>
      </c>
      <c r="G4" s="23">
        <f t="shared" ref="G4:G12" si="1">F4*0.05</f>
        <v>0</v>
      </c>
      <c r="H4" s="23">
        <f t="shared" ref="H4:H12" si="2">F4*0.1</f>
        <v>0</v>
      </c>
      <c r="I4" s="35">
        <f t="shared" ref="I4:I11" si="3">F4*L$6+G4*L$5+H4*L$7</f>
        <v>0</v>
      </c>
      <c r="K4" s="97" t="s">
        <v>8</v>
      </c>
      <c r="L4" s="97"/>
    </row>
    <row r="5" spans="1:13" ht="18.5" x14ac:dyDescent="0.35">
      <c r="A5" s="41" t="s">
        <v>106</v>
      </c>
      <c r="B5" s="23">
        <v>2</v>
      </c>
      <c r="C5" s="23">
        <v>1</v>
      </c>
      <c r="D5" s="23">
        <f t="shared" si="0"/>
        <v>2</v>
      </c>
      <c r="E5" s="23">
        <v>0</v>
      </c>
      <c r="F5" s="23">
        <f t="shared" ref="F5:F11" si="4">D5*E5</f>
        <v>0</v>
      </c>
      <c r="G5" s="23">
        <f t="shared" si="1"/>
        <v>0</v>
      </c>
      <c r="H5" s="23">
        <f t="shared" si="2"/>
        <v>0</v>
      </c>
      <c r="I5" s="35">
        <f t="shared" si="3"/>
        <v>0</v>
      </c>
      <c r="K5" s="25" t="s">
        <v>40</v>
      </c>
      <c r="L5" s="26">
        <v>73.459999999999994</v>
      </c>
      <c r="M5" s="58"/>
    </row>
    <row r="6" spans="1:13" ht="18.5" x14ac:dyDescent="0.35">
      <c r="A6" s="41" t="s">
        <v>107</v>
      </c>
      <c r="B6" s="23">
        <v>2</v>
      </c>
      <c r="C6" s="23">
        <v>1</v>
      </c>
      <c r="D6" s="23">
        <f t="shared" si="0"/>
        <v>2</v>
      </c>
      <c r="E6" s="23">
        <v>0</v>
      </c>
      <c r="F6" s="23">
        <f t="shared" si="4"/>
        <v>0</v>
      </c>
      <c r="G6" s="23">
        <f t="shared" si="1"/>
        <v>0</v>
      </c>
      <c r="H6" s="23">
        <f t="shared" si="2"/>
        <v>0</v>
      </c>
      <c r="I6" s="35">
        <f t="shared" si="3"/>
        <v>0</v>
      </c>
      <c r="K6" s="25" t="s">
        <v>9</v>
      </c>
      <c r="L6" s="26">
        <v>54.51</v>
      </c>
      <c r="M6" s="58"/>
    </row>
    <row r="7" spans="1:13" ht="18.5" x14ac:dyDescent="0.35">
      <c r="A7" s="41" t="s">
        <v>108</v>
      </c>
      <c r="B7" s="23">
        <v>2</v>
      </c>
      <c r="C7" s="23">
        <v>1</v>
      </c>
      <c r="D7" s="23">
        <f t="shared" si="0"/>
        <v>2</v>
      </c>
      <c r="E7" s="23">
        <v>0</v>
      </c>
      <c r="F7" s="23">
        <f t="shared" si="4"/>
        <v>0</v>
      </c>
      <c r="G7" s="23">
        <f t="shared" si="1"/>
        <v>0</v>
      </c>
      <c r="H7" s="23">
        <f t="shared" si="2"/>
        <v>0</v>
      </c>
      <c r="I7" s="35">
        <f t="shared" si="3"/>
        <v>0</v>
      </c>
      <c r="K7" s="25" t="s">
        <v>10</v>
      </c>
      <c r="L7" s="26">
        <v>29.5</v>
      </c>
      <c r="M7" s="59"/>
    </row>
    <row r="8" spans="1:13" ht="18.5" x14ac:dyDescent="0.35">
      <c r="A8" s="41" t="s">
        <v>109</v>
      </c>
      <c r="B8" s="23">
        <v>2</v>
      </c>
      <c r="C8" s="23">
        <v>1</v>
      </c>
      <c r="D8" s="23">
        <f t="shared" si="0"/>
        <v>2</v>
      </c>
      <c r="E8" s="23">
        <v>0</v>
      </c>
      <c r="F8" s="23">
        <f t="shared" si="4"/>
        <v>0</v>
      </c>
      <c r="G8" s="23">
        <f t="shared" si="1"/>
        <v>0</v>
      </c>
      <c r="H8" s="23">
        <f t="shared" si="2"/>
        <v>0</v>
      </c>
      <c r="I8" s="35">
        <f t="shared" si="3"/>
        <v>0</v>
      </c>
    </row>
    <row r="9" spans="1:13" ht="18.5" x14ac:dyDescent="0.35">
      <c r="A9" s="41" t="s">
        <v>110</v>
      </c>
      <c r="B9" s="23">
        <v>2</v>
      </c>
      <c r="C9" s="23">
        <v>1</v>
      </c>
      <c r="D9" s="23">
        <f t="shared" si="0"/>
        <v>2</v>
      </c>
      <c r="E9" s="23">
        <v>0</v>
      </c>
      <c r="F9" s="23">
        <f t="shared" si="4"/>
        <v>0</v>
      </c>
      <c r="G9" s="23">
        <f t="shared" si="1"/>
        <v>0</v>
      </c>
      <c r="H9" s="23">
        <f t="shared" si="2"/>
        <v>0</v>
      </c>
      <c r="I9" s="35">
        <f t="shared" si="3"/>
        <v>0</v>
      </c>
    </row>
    <row r="10" spans="1:13" ht="18.5" x14ac:dyDescent="0.35">
      <c r="A10" s="41" t="s">
        <v>111</v>
      </c>
      <c r="B10" s="23">
        <v>2</v>
      </c>
      <c r="C10" s="23">
        <v>1</v>
      </c>
      <c r="D10" s="23">
        <f t="shared" si="0"/>
        <v>2</v>
      </c>
      <c r="E10" s="23">
        <v>0</v>
      </c>
      <c r="F10" s="23">
        <f t="shared" si="4"/>
        <v>0</v>
      </c>
      <c r="G10" s="23">
        <f t="shared" si="1"/>
        <v>0</v>
      </c>
      <c r="H10" s="23">
        <f t="shared" si="2"/>
        <v>0</v>
      </c>
      <c r="I10" s="35">
        <f t="shared" si="3"/>
        <v>0</v>
      </c>
    </row>
    <row r="11" spans="1:13" ht="18.5" x14ac:dyDescent="0.35">
      <c r="A11" s="41" t="s">
        <v>112</v>
      </c>
      <c r="B11" s="23">
        <v>2</v>
      </c>
      <c r="C11" s="23">
        <v>1</v>
      </c>
      <c r="D11" s="23">
        <f t="shared" si="0"/>
        <v>2</v>
      </c>
      <c r="E11" s="23">
        <v>0</v>
      </c>
      <c r="F11" s="23">
        <f t="shared" si="4"/>
        <v>0</v>
      </c>
      <c r="G11" s="23">
        <f t="shared" si="1"/>
        <v>0</v>
      </c>
      <c r="H11" s="23">
        <f t="shared" si="2"/>
        <v>0</v>
      </c>
      <c r="I11" s="35">
        <f t="shared" si="3"/>
        <v>0</v>
      </c>
    </row>
    <row r="12" spans="1:13" ht="18.5" x14ac:dyDescent="0.35">
      <c r="A12" s="41" t="s">
        <v>113</v>
      </c>
      <c r="B12" s="23">
        <v>8</v>
      </c>
      <c r="C12" s="23">
        <v>2</v>
      </c>
      <c r="D12" s="23">
        <f t="shared" si="0"/>
        <v>16</v>
      </c>
      <c r="E12" s="23">
        <f>'Table 1a'!E16</f>
        <v>291</v>
      </c>
      <c r="F12" s="37">
        <f>D12*E12</f>
        <v>4656</v>
      </c>
      <c r="G12" s="23">
        <f t="shared" si="1"/>
        <v>232.8</v>
      </c>
      <c r="H12" s="23">
        <f t="shared" si="2"/>
        <v>465.6</v>
      </c>
      <c r="I12" s="31">
        <f>F12*L$6+G12*L$5+H12*L$7</f>
        <v>284635.24800000002</v>
      </c>
    </row>
    <row r="13" spans="1:13" s="11" customFormat="1" ht="18" x14ac:dyDescent="0.3">
      <c r="A13" s="43" t="s">
        <v>114</v>
      </c>
      <c r="B13" s="44"/>
      <c r="C13" s="44"/>
      <c r="D13" s="44"/>
      <c r="E13" s="44"/>
      <c r="F13" s="101">
        <f>ROUND(SUM(F4:H12),-1)</f>
        <v>5350</v>
      </c>
      <c r="G13" s="102"/>
      <c r="H13" s="103"/>
      <c r="I13" s="45">
        <f>ROUND(SUM(I4:I12),-3)</f>
        <v>285000</v>
      </c>
    </row>
    <row r="15" spans="1:13" x14ac:dyDescent="0.35">
      <c r="A15" s="50" t="s">
        <v>11</v>
      </c>
    </row>
    <row r="16" spans="1:13" ht="48.75" customHeight="1" x14ac:dyDescent="0.35">
      <c r="A16" s="110" t="s">
        <v>155</v>
      </c>
      <c r="B16" s="110"/>
      <c r="C16" s="110"/>
      <c r="D16" s="110"/>
      <c r="E16" s="110"/>
      <c r="F16" s="110"/>
      <c r="G16" s="110"/>
      <c r="H16" s="110"/>
      <c r="I16" s="110"/>
      <c r="L16" s="59"/>
    </row>
    <row r="17" spans="1:9" ht="63.75" customHeight="1" x14ac:dyDescent="0.35">
      <c r="A17" s="111" t="s">
        <v>159</v>
      </c>
      <c r="B17" s="111"/>
      <c r="C17" s="111"/>
      <c r="D17" s="111"/>
      <c r="E17" s="111"/>
      <c r="F17" s="111"/>
      <c r="G17" s="111"/>
      <c r="H17" s="111"/>
      <c r="I17" s="111"/>
    </row>
    <row r="18" spans="1:9" ht="18.5" x14ac:dyDescent="0.35">
      <c r="A18" s="113" t="s">
        <v>115</v>
      </c>
      <c r="B18" s="113"/>
      <c r="C18" s="113"/>
      <c r="D18" s="113"/>
      <c r="E18" s="113"/>
      <c r="F18" s="113"/>
      <c r="G18" s="113"/>
      <c r="H18" s="113"/>
      <c r="I18" s="113"/>
    </row>
    <row r="19" spans="1:9" ht="18.5" x14ac:dyDescent="0.35">
      <c r="A19" s="113" t="s">
        <v>160</v>
      </c>
      <c r="B19" s="113"/>
      <c r="C19" s="113"/>
      <c r="D19" s="113"/>
      <c r="E19" s="113"/>
      <c r="F19" s="113"/>
      <c r="G19" s="113"/>
      <c r="H19" s="113"/>
      <c r="I19" s="113"/>
    </row>
    <row r="20" spans="1:9" ht="18.5" x14ac:dyDescent="0.35">
      <c r="A20" s="112" t="s">
        <v>116</v>
      </c>
      <c r="B20" s="112"/>
      <c r="C20" s="112"/>
      <c r="D20" s="112"/>
      <c r="E20" s="112"/>
      <c r="F20" s="112"/>
      <c r="G20" s="112"/>
      <c r="H20" s="112"/>
      <c r="I20" s="112"/>
    </row>
  </sheetData>
  <mergeCells count="7">
    <mergeCell ref="A20:I20"/>
    <mergeCell ref="K4:L4"/>
    <mergeCell ref="F13:H13"/>
    <mergeCell ref="A16:I16"/>
    <mergeCell ref="A17:I17"/>
    <mergeCell ref="A18:I18"/>
    <mergeCell ref="A19:I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9E980-CFE7-4248-AB9D-815D9BA59CC3}">
  <dimension ref="A1:L22"/>
  <sheetViews>
    <sheetView workbookViewId="0">
      <selection activeCell="A2" sqref="A2"/>
    </sheetView>
  </sheetViews>
  <sheetFormatPr defaultColWidth="9.26953125" defaultRowHeight="15.5" x14ac:dyDescent="0.35"/>
  <cols>
    <col min="1" max="1" width="45.54296875" style="18" customWidth="1"/>
    <col min="2" max="2" width="10.7265625" style="18" customWidth="1"/>
    <col min="3" max="3" width="10.453125" style="18" customWidth="1"/>
    <col min="4" max="4" width="12" style="18" customWidth="1"/>
    <col min="5" max="5" width="9.26953125" style="18" bestFit="1" customWidth="1"/>
    <col min="6" max="6" width="11.54296875" style="18" customWidth="1"/>
    <col min="7" max="7" width="17.26953125" style="18" customWidth="1"/>
    <col min="8" max="8" width="12.26953125" style="18" customWidth="1"/>
    <col min="9" max="9" width="11.7265625" style="18" bestFit="1" customWidth="1"/>
    <col min="10" max="10" width="3.453125" style="18" customWidth="1"/>
    <col min="11" max="11" width="11.26953125" style="18" customWidth="1"/>
    <col min="12" max="12" width="9.26953125" style="18" bestFit="1" customWidth="1"/>
    <col min="13" max="16384" width="9.26953125" style="18"/>
  </cols>
  <sheetData>
    <row r="1" spans="1:12" x14ac:dyDescent="0.35">
      <c r="A1" s="114" t="s">
        <v>117</v>
      </c>
      <c r="B1" s="114"/>
      <c r="C1" s="114"/>
      <c r="D1" s="114"/>
      <c r="E1" s="114"/>
      <c r="F1" s="114"/>
      <c r="G1" s="114"/>
      <c r="H1" s="114"/>
      <c r="I1" s="114"/>
    </row>
    <row r="3" spans="1:12" ht="90" x14ac:dyDescent="0.35">
      <c r="A3" s="56" t="s">
        <v>100</v>
      </c>
      <c r="B3" s="57" t="s">
        <v>101</v>
      </c>
      <c r="C3" s="57" t="s">
        <v>102</v>
      </c>
      <c r="D3" s="57" t="s">
        <v>103</v>
      </c>
      <c r="E3" s="57" t="s">
        <v>104</v>
      </c>
      <c r="F3" s="57" t="s">
        <v>81</v>
      </c>
      <c r="G3" s="57" t="s">
        <v>105</v>
      </c>
      <c r="H3" s="57" t="s">
        <v>35</v>
      </c>
      <c r="I3" s="57" t="s">
        <v>118</v>
      </c>
    </row>
    <row r="4" spans="1:12" ht="23.25" customHeight="1" x14ac:dyDescent="0.35">
      <c r="A4" s="60" t="s">
        <v>119</v>
      </c>
      <c r="B4" s="23">
        <v>2</v>
      </c>
      <c r="C4" s="23">
        <v>1</v>
      </c>
      <c r="D4" s="23">
        <f t="shared" ref="D4:D12" si="0">B4*C4</f>
        <v>2</v>
      </c>
      <c r="E4" s="23">
        <v>0</v>
      </c>
      <c r="F4" s="23">
        <f t="shared" ref="F4:F12" si="1">D4*E4</f>
        <v>0</v>
      </c>
      <c r="G4" s="23">
        <f t="shared" ref="G4:G12" si="2">F4*0.05</f>
        <v>0</v>
      </c>
      <c r="H4" s="23">
        <f t="shared" ref="H4:H12" si="3">F4*0.1</f>
        <v>0</v>
      </c>
      <c r="I4" s="35">
        <f t="shared" ref="I4:I12" si="4">F4*L$6+G4*L$5+H4*L$7</f>
        <v>0</v>
      </c>
      <c r="K4" s="97" t="s">
        <v>8</v>
      </c>
      <c r="L4" s="97"/>
    </row>
    <row r="5" spans="1:12" ht="18.75" customHeight="1" x14ac:dyDescent="0.35">
      <c r="A5" s="60" t="s">
        <v>106</v>
      </c>
      <c r="B5" s="23">
        <v>2</v>
      </c>
      <c r="C5" s="23">
        <v>1</v>
      </c>
      <c r="D5" s="23">
        <f t="shared" si="0"/>
        <v>2</v>
      </c>
      <c r="E5" s="23">
        <v>0</v>
      </c>
      <c r="F5" s="23">
        <f t="shared" si="1"/>
        <v>0</v>
      </c>
      <c r="G5" s="23">
        <f t="shared" si="2"/>
        <v>0</v>
      </c>
      <c r="H5" s="23">
        <f t="shared" si="3"/>
        <v>0</v>
      </c>
      <c r="I5" s="35">
        <f t="shared" si="4"/>
        <v>0</v>
      </c>
      <c r="K5" s="25" t="s">
        <v>40</v>
      </c>
      <c r="L5" s="26">
        <v>73.459999999999994</v>
      </c>
    </row>
    <row r="6" spans="1:12" ht="18.5" x14ac:dyDescent="0.35">
      <c r="A6" s="60" t="s">
        <v>107</v>
      </c>
      <c r="B6" s="23">
        <v>2</v>
      </c>
      <c r="C6" s="23">
        <v>1</v>
      </c>
      <c r="D6" s="23">
        <f t="shared" si="0"/>
        <v>2</v>
      </c>
      <c r="E6" s="23">
        <v>0</v>
      </c>
      <c r="F6" s="23">
        <f t="shared" si="1"/>
        <v>0</v>
      </c>
      <c r="G6" s="23">
        <f t="shared" si="2"/>
        <v>0</v>
      </c>
      <c r="H6" s="23">
        <f t="shared" si="3"/>
        <v>0</v>
      </c>
      <c r="I6" s="35">
        <f t="shared" si="4"/>
        <v>0</v>
      </c>
      <c r="K6" s="25" t="s">
        <v>9</v>
      </c>
      <c r="L6" s="26">
        <v>54.51</v>
      </c>
    </row>
    <row r="7" spans="1:12" ht="20.25" customHeight="1" x14ac:dyDescent="0.35">
      <c r="A7" s="60" t="s">
        <v>108</v>
      </c>
      <c r="B7" s="23">
        <v>2</v>
      </c>
      <c r="C7" s="23">
        <v>1</v>
      </c>
      <c r="D7" s="23">
        <f t="shared" si="0"/>
        <v>2</v>
      </c>
      <c r="E7" s="23">
        <v>0</v>
      </c>
      <c r="F7" s="23">
        <f t="shared" si="1"/>
        <v>0</v>
      </c>
      <c r="G7" s="23">
        <f t="shared" si="2"/>
        <v>0</v>
      </c>
      <c r="H7" s="23">
        <f t="shared" si="3"/>
        <v>0</v>
      </c>
      <c r="I7" s="35">
        <f t="shared" si="4"/>
        <v>0</v>
      </c>
      <c r="K7" s="25" t="s">
        <v>10</v>
      </c>
      <c r="L7" s="26">
        <v>29.5</v>
      </c>
    </row>
    <row r="8" spans="1:12" ht="20.25" customHeight="1" x14ac:dyDescent="0.35">
      <c r="A8" s="60" t="s">
        <v>120</v>
      </c>
      <c r="B8" s="23">
        <v>2</v>
      </c>
      <c r="C8" s="23">
        <v>1</v>
      </c>
      <c r="D8" s="23">
        <f t="shared" si="0"/>
        <v>2</v>
      </c>
      <c r="E8" s="23">
        <v>0</v>
      </c>
      <c r="F8" s="23">
        <f t="shared" si="1"/>
        <v>0</v>
      </c>
      <c r="G8" s="23">
        <f t="shared" si="2"/>
        <v>0</v>
      </c>
      <c r="H8" s="23">
        <f t="shared" si="3"/>
        <v>0</v>
      </c>
      <c r="I8" s="35">
        <f t="shared" si="4"/>
        <v>0</v>
      </c>
    </row>
    <row r="9" spans="1:12" ht="18.5" x14ac:dyDescent="0.35">
      <c r="A9" s="60" t="s">
        <v>121</v>
      </c>
      <c r="B9" s="23">
        <v>2</v>
      </c>
      <c r="C9" s="23">
        <v>1</v>
      </c>
      <c r="D9" s="23">
        <f t="shared" si="0"/>
        <v>2</v>
      </c>
      <c r="E9" s="23">
        <v>0</v>
      </c>
      <c r="F9" s="23">
        <f t="shared" si="1"/>
        <v>0</v>
      </c>
      <c r="G9" s="23">
        <f t="shared" si="2"/>
        <v>0</v>
      </c>
      <c r="H9" s="23">
        <f t="shared" si="3"/>
        <v>0</v>
      </c>
      <c r="I9" s="35">
        <f t="shared" si="4"/>
        <v>0</v>
      </c>
    </row>
    <row r="10" spans="1:12" ht="18.5" x14ac:dyDescent="0.35">
      <c r="A10" s="60" t="s">
        <v>122</v>
      </c>
      <c r="B10" s="23">
        <v>2</v>
      </c>
      <c r="C10" s="23">
        <v>1</v>
      </c>
      <c r="D10" s="23">
        <f t="shared" si="0"/>
        <v>2</v>
      </c>
      <c r="E10" s="23">
        <v>0</v>
      </c>
      <c r="F10" s="23">
        <f t="shared" si="1"/>
        <v>0</v>
      </c>
      <c r="G10" s="23">
        <f t="shared" si="2"/>
        <v>0</v>
      </c>
      <c r="H10" s="23">
        <f t="shared" si="3"/>
        <v>0</v>
      </c>
      <c r="I10" s="35">
        <f t="shared" si="4"/>
        <v>0</v>
      </c>
    </row>
    <row r="11" spans="1:12" ht="18.5" x14ac:dyDescent="0.35">
      <c r="A11" s="60" t="s">
        <v>123</v>
      </c>
      <c r="B11" s="23">
        <v>8</v>
      </c>
      <c r="C11" s="23">
        <v>2</v>
      </c>
      <c r="D11" s="23">
        <f t="shared" si="0"/>
        <v>16</v>
      </c>
      <c r="E11" s="23">
        <f>'Table 1b'!E23</f>
        <v>14</v>
      </c>
      <c r="F11" s="61">
        <f>D11*E11</f>
        <v>224</v>
      </c>
      <c r="G11" s="30">
        <f t="shared" si="2"/>
        <v>11.200000000000001</v>
      </c>
      <c r="H11" s="30">
        <f t="shared" si="3"/>
        <v>22.400000000000002</v>
      </c>
      <c r="I11" s="31">
        <f>F11*L$6+G11*L$5+H11*L$7</f>
        <v>13693.791999999999</v>
      </c>
    </row>
    <row r="12" spans="1:12" ht="18.5" x14ac:dyDescent="0.35">
      <c r="A12" s="60" t="s">
        <v>112</v>
      </c>
      <c r="B12" s="23">
        <v>2</v>
      </c>
      <c r="C12" s="23">
        <v>1</v>
      </c>
      <c r="D12" s="23">
        <f t="shared" si="0"/>
        <v>2</v>
      </c>
      <c r="E12" s="23">
        <v>0</v>
      </c>
      <c r="F12" s="23">
        <f t="shared" si="1"/>
        <v>0</v>
      </c>
      <c r="G12" s="23">
        <f t="shared" si="2"/>
        <v>0</v>
      </c>
      <c r="H12" s="23">
        <f t="shared" si="3"/>
        <v>0</v>
      </c>
      <c r="I12" s="35">
        <f t="shared" si="4"/>
        <v>0</v>
      </c>
    </row>
    <row r="13" spans="1:12" ht="18" x14ac:dyDescent="0.35">
      <c r="A13" s="62" t="s">
        <v>124</v>
      </c>
      <c r="B13" s="44"/>
      <c r="C13" s="44"/>
      <c r="D13" s="44"/>
      <c r="E13" s="44"/>
      <c r="F13" s="101">
        <f>SUM(F4:H12)</f>
        <v>257.59999999999997</v>
      </c>
      <c r="G13" s="102"/>
      <c r="H13" s="103"/>
      <c r="I13" s="45">
        <f>ROUND(SUM(I4:I12),-2)</f>
        <v>13700</v>
      </c>
    </row>
    <row r="15" spans="1:12" x14ac:dyDescent="0.35">
      <c r="A15" s="50" t="s">
        <v>11</v>
      </c>
    </row>
    <row r="16" spans="1:12" ht="48" customHeight="1" x14ac:dyDescent="0.35">
      <c r="A16" s="110" t="s">
        <v>156</v>
      </c>
      <c r="B16" s="110"/>
      <c r="C16" s="110"/>
      <c r="D16" s="110"/>
      <c r="E16" s="110"/>
      <c r="F16" s="110"/>
      <c r="G16" s="110"/>
      <c r="H16" s="110"/>
      <c r="I16" s="110"/>
    </row>
    <row r="17" spans="1:9" ht="65.25" customHeight="1" x14ac:dyDescent="0.35">
      <c r="A17" s="111" t="s">
        <v>161</v>
      </c>
      <c r="B17" s="111"/>
      <c r="C17" s="111"/>
      <c r="D17" s="111"/>
      <c r="E17" s="111"/>
      <c r="F17" s="111"/>
      <c r="G17" s="111"/>
      <c r="H17" s="111"/>
      <c r="I17" s="111"/>
    </row>
    <row r="18" spans="1:9" ht="18.5" x14ac:dyDescent="0.35">
      <c r="A18" s="113" t="s">
        <v>125</v>
      </c>
      <c r="B18" s="113"/>
      <c r="C18" s="113"/>
      <c r="D18" s="113"/>
      <c r="E18" s="113"/>
      <c r="F18" s="113"/>
      <c r="G18" s="113"/>
      <c r="H18" s="113"/>
      <c r="I18" s="113"/>
    </row>
    <row r="19" spans="1:9" ht="18.5" x14ac:dyDescent="0.35">
      <c r="A19" s="113" t="s">
        <v>160</v>
      </c>
      <c r="B19" s="113"/>
      <c r="C19" s="113"/>
      <c r="D19" s="113"/>
      <c r="E19" s="113"/>
      <c r="F19" s="113"/>
      <c r="G19" s="113"/>
      <c r="H19" s="113"/>
      <c r="I19" s="113"/>
    </row>
    <row r="20" spans="1:9" ht="18.5" x14ac:dyDescent="0.35">
      <c r="A20" s="113" t="s">
        <v>126</v>
      </c>
      <c r="B20" s="113"/>
      <c r="C20" s="113"/>
      <c r="D20" s="113"/>
      <c r="E20" s="113"/>
      <c r="F20" s="113"/>
      <c r="G20" s="113"/>
      <c r="H20" s="113"/>
      <c r="I20" s="113"/>
    </row>
    <row r="22" spans="1:9" x14ac:dyDescent="0.35">
      <c r="H22" s="59"/>
    </row>
  </sheetData>
  <mergeCells count="8">
    <mergeCell ref="A19:I19"/>
    <mergeCell ref="A20:I20"/>
    <mergeCell ref="A1:I1"/>
    <mergeCell ref="K4:L4"/>
    <mergeCell ref="F13:H13"/>
    <mergeCell ref="A16:I16"/>
    <mergeCell ref="A17:I17"/>
    <mergeCell ref="A18:I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6"/>
  <sheetViews>
    <sheetView zoomScale="90" zoomScaleNormal="90" workbookViewId="0"/>
  </sheetViews>
  <sheetFormatPr defaultColWidth="22" defaultRowHeight="13" x14ac:dyDescent="0.3"/>
  <cols>
    <col min="1" max="1" width="22" style="4"/>
    <col min="2" max="2" width="17.54296875" style="4" customWidth="1"/>
    <col min="3" max="3" width="17.26953125" style="4" customWidth="1"/>
    <col min="4" max="4" width="22" style="4"/>
    <col min="5" max="5" width="19.81640625" style="4" customWidth="1"/>
    <col min="6" max="7" width="16.81640625" style="4" customWidth="1"/>
    <col min="8" max="8" width="6" style="4" customWidth="1"/>
    <col min="9" max="16384" width="22" style="4"/>
  </cols>
  <sheetData>
    <row r="1" spans="1:9" x14ac:dyDescent="0.3">
      <c r="A1" s="2"/>
      <c r="B1" s="3"/>
      <c r="C1" s="3"/>
    </row>
    <row r="2" spans="1:9" ht="13.9" customHeight="1" x14ac:dyDescent="0.3">
      <c r="A2" s="115" t="s">
        <v>127</v>
      </c>
      <c r="B2" s="115"/>
      <c r="C2" s="115"/>
      <c r="D2" s="115"/>
      <c r="E2" s="115"/>
      <c r="F2" s="115"/>
      <c r="G2" s="115"/>
      <c r="H2" s="5"/>
    </row>
    <row r="3" spans="1:9" x14ac:dyDescent="0.3">
      <c r="A3" s="64" t="s">
        <v>13</v>
      </c>
      <c r="B3" s="64" t="s">
        <v>14</v>
      </c>
      <c r="C3" s="64" t="s">
        <v>15</v>
      </c>
      <c r="D3" s="64" t="s">
        <v>16</v>
      </c>
      <c r="E3" s="64" t="s">
        <v>17</v>
      </c>
      <c r="F3" s="64" t="s">
        <v>18</v>
      </c>
      <c r="G3" s="64" t="s">
        <v>19</v>
      </c>
      <c r="H3" s="5"/>
    </row>
    <row r="4" spans="1:9" ht="46.5" customHeight="1" x14ac:dyDescent="0.3">
      <c r="A4" s="67" t="s">
        <v>20</v>
      </c>
      <c r="B4" s="67" t="s">
        <v>166</v>
      </c>
      <c r="C4" s="67" t="s">
        <v>128</v>
      </c>
      <c r="D4" s="67" t="s">
        <v>129</v>
      </c>
      <c r="E4" s="67" t="s">
        <v>167</v>
      </c>
      <c r="F4" s="67" t="s">
        <v>165</v>
      </c>
      <c r="G4" s="67" t="s">
        <v>130</v>
      </c>
      <c r="H4" s="5"/>
    </row>
    <row r="5" spans="1:9" ht="36.75" customHeight="1" x14ac:dyDescent="0.3">
      <c r="A5" s="68" t="s">
        <v>168</v>
      </c>
      <c r="B5" s="69">
        <f>73000*(816/575.4)</f>
        <v>103524.50469238791</v>
      </c>
      <c r="C5" s="68">
        <v>0</v>
      </c>
      <c r="D5" s="69">
        <f>C5*B5</f>
        <v>0</v>
      </c>
      <c r="E5" s="69">
        <f>17100*(816/575.4)</f>
        <v>24250.260688216895</v>
      </c>
      <c r="F5" s="68">
        <v>4</v>
      </c>
      <c r="G5" s="69">
        <f>E5*F5</f>
        <v>97001.042752867579</v>
      </c>
      <c r="H5" s="6"/>
      <c r="I5" s="12">
        <f>SUM(D5,G5)</f>
        <v>97001.042752867579</v>
      </c>
    </row>
    <row r="6" spans="1:9" ht="36.75" customHeight="1" x14ac:dyDescent="0.35">
      <c r="A6" s="54" t="s">
        <v>137</v>
      </c>
      <c r="B6" s="63"/>
      <c r="C6" s="63"/>
      <c r="D6" s="63"/>
      <c r="E6" s="63"/>
      <c r="F6" s="63"/>
      <c r="G6" s="63"/>
      <c r="H6" s="6"/>
    </row>
    <row r="7" spans="1:9" ht="15.5" x14ac:dyDescent="0.3">
      <c r="A7" s="116" t="s">
        <v>138</v>
      </c>
      <c r="B7" s="116"/>
      <c r="C7" s="116"/>
      <c r="D7" s="116"/>
      <c r="E7" s="116"/>
      <c r="F7" s="116"/>
      <c r="G7" s="116"/>
      <c r="H7" s="7"/>
    </row>
    <row r="8" spans="1:9" ht="15.5" x14ac:dyDescent="0.3">
      <c r="A8" s="93" t="s">
        <v>163</v>
      </c>
      <c r="H8" s="8"/>
    </row>
    <row r="9" spans="1:9" ht="15.5" x14ac:dyDescent="0.3">
      <c r="A9" s="93" t="s">
        <v>164</v>
      </c>
      <c r="H9" s="8"/>
    </row>
    <row r="10" spans="1:9" ht="15.5" x14ac:dyDescent="0.3">
      <c r="A10" s="116" t="s">
        <v>162</v>
      </c>
      <c r="B10" s="116"/>
      <c r="C10" s="116"/>
      <c r="D10" s="116"/>
      <c r="E10" s="116"/>
      <c r="F10" s="116"/>
      <c r="G10" s="116"/>
    </row>
    <row r="11" spans="1:9" x14ac:dyDescent="0.3">
      <c r="A11" s="80"/>
      <c r="B11" s="81"/>
      <c r="C11" s="81"/>
      <c r="D11" s="7"/>
      <c r="E11" s="81"/>
      <c r="F11" s="81"/>
      <c r="G11" s="7"/>
      <c r="I11" s="12"/>
    </row>
    <row r="12" spans="1:9" x14ac:dyDescent="0.3">
      <c r="A12" s="80"/>
      <c r="B12" s="81"/>
      <c r="C12" s="81"/>
      <c r="D12" s="7"/>
      <c r="E12" s="81"/>
      <c r="F12" s="81"/>
      <c r="G12" s="7"/>
    </row>
    <row r="13" spans="1:9" x14ac:dyDescent="0.3">
      <c r="A13" s="83"/>
      <c r="B13" s="8"/>
      <c r="C13" s="8"/>
      <c r="D13" s="8"/>
      <c r="E13" s="8"/>
      <c r="F13" s="8"/>
      <c r="G13" s="8"/>
    </row>
    <row r="14" spans="1:9" x14ac:dyDescent="0.3">
      <c r="A14" s="84"/>
    </row>
    <row r="15" spans="1:9" x14ac:dyDescent="0.3">
      <c r="A15" s="85"/>
      <c r="B15" s="85"/>
      <c r="C15" s="85"/>
      <c r="D15" s="85"/>
      <c r="E15" s="85"/>
      <c r="F15" s="85"/>
      <c r="G15" s="85"/>
    </row>
    <row r="16" spans="1:9" x14ac:dyDescent="0.3">
      <c r="A16" s="82"/>
      <c r="B16" s="82"/>
      <c r="C16" s="82"/>
      <c r="D16" s="82"/>
      <c r="E16" s="82"/>
      <c r="F16" s="82"/>
      <c r="G16" s="82"/>
    </row>
  </sheetData>
  <mergeCells count="3">
    <mergeCell ref="A2:G2"/>
    <mergeCell ref="A7:G7"/>
    <mergeCell ref="A10:G10"/>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7"/>
  <sheetViews>
    <sheetView zoomScaleNormal="100" workbookViewId="0">
      <selection sqref="A1:E1"/>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6" s="4" customFormat="1" ht="15.65" customHeight="1" x14ac:dyDescent="0.3">
      <c r="A1" s="117" t="s">
        <v>6</v>
      </c>
      <c r="B1" s="118"/>
      <c r="C1" s="118"/>
      <c r="D1" s="118"/>
      <c r="E1" s="119"/>
    </row>
    <row r="2" spans="1:6" s="4" customFormat="1" ht="13" x14ac:dyDescent="0.3">
      <c r="A2" s="73" t="s">
        <v>13</v>
      </c>
      <c r="B2" s="74" t="s">
        <v>14</v>
      </c>
      <c r="C2" s="73" t="s">
        <v>15</v>
      </c>
      <c r="D2" s="74" t="s">
        <v>16</v>
      </c>
      <c r="E2" s="73" t="s">
        <v>17</v>
      </c>
    </row>
    <row r="3" spans="1:6" s="4" customFormat="1" ht="80.5" x14ac:dyDescent="0.3">
      <c r="A3" s="75" t="s">
        <v>21</v>
      </c>
      <c r="B3" s="76" t="s">
        <v>2</v>
      </c>
      <c r="C3" s="75" t="s">
        <v>22</v>
      </c>
      <c r="D3" s="76" t="s">
        <v>23</v>
      </c>
      <c r="E3" s="75" t="s">
        <v>140</v>
      </c>
    </row>
    <row r="4" spans="1:6" s="4" customFormat="1" ht="17.25" customHeight="1" x14ac:dyDescent="0.3">
      <c r="A4" s="120" t="s">
        <v>141</v>
      </c>
      <c r="B4" s="121"/>
      <c r="C4" s="121"/>
      <c r="D4" s="121"/>
      <c r="E4" s="122"/>
    </row>
    <row r="5" spans="1:6" s="4" customFormat="1" ht="13" x14ac:dyDescent="0.3">
      <c r="A5" s="10" t="s">
        <v>142</v>
      </c>
      <c r="B5" s="9">
        <f>Respondents!F8</f>
        <v>291</v>
      </c>
      <c r="C5" s="9">
        <v>2</v>
      </c>
      <c r="D5" s="9" t="s">
        <v>38</v>
      </c>
      <c r="E5" s="77">
        <f>B5*C5</f>
        <v>582</v>
      </c>
    </row>
    <row r="6" spans="1:6" s="4" customFormat="1" ht="13" x14ac:dyDescent="0.3">
      <c r="A6" s="10" t="s">
        <v>143</v>
      </c>
      <c r="B6" s="70"/>
      <c r="C6" s="70"/>
      <c r="D6" s="70"/>
      <c r="E6" s="77">
        <f>SUM(E5:E5)</f>
        <v>582</v>
      </c>
    </row>
    <row r="7" spans="1:6" s="4" customFormat="1" ht="13" x14ac:dyDescent="0.3">
      <c r="A7" s="120" t="s">
        <v>145</v>
      </c>
      <c r="B7" s="121"/>
      <c r="C7" s="121"/>
      <c r="D7" s="121"/>
      <c r="E7" s="122"/>
    </row>
    <row r="8" spans="1:6" s="4" customFormat="1" ht="13" x14ac:dyDescent="0.3">
      <c r="A8" s="10" t="s">
        <v>24</v>
      </c>
      <c r="B8" s="9">
        <f>Respondents!F13</f>
        <v>14</v>
      </c>
      <c r="C8" s="9">
        <v>2</v>
      </c>
      <c r="D8" s="9" t="s">
        <v>38</v>
      </c>
      <c r="E8" s="9">
        <f>B8*C8</f>
        <v>28</v>
      </c>
      <c r="F8" s="1"/>
    </row>
    <row r="9" spans="1:6" s="4" customFormat="1" ht="28.5" customHeight="1" x14ac:dyDescent="0.3">
      <c r="A9" s="10" t="s">
        <v>146</v>
      </c>
      <c r="B9" s="70"/>
      <c r="C9" s="70"/>
      <c r="D9" s="70"/>
      <c r="E9" s="9">
        <f>E8</f>
        <v>28</v>
      </c>
    </row>
    <row r="10" spans="1:6" s="4" customFormat="1" ht="28.5" customHeight="1" x14ac:dyDescent="0.3">
      <c r="A10" s="78" t="s">
        <v>148</v>
      </c>
      <c r="B10" s="71"/>
      <c r="C10" s="71"/>
      <c r="D10" s="71"/>
      <c r="E10" s="79">
        <f>E9+E6</f>
        <v>610</v>
      </c>
    </row>
    <row r="11" spans="1:6" s="4" customFormat="1" ht="13" x14ac:dyDescent="0.3">
      <c r="A11" s="86"/>
      <c r="B11" s="87"/>
      <c r="C11" s="81"/>
      <c r="D11" s="81"/>
      <c r="E11" s="81"/>
    </row>
    <row r="12" spans="1:6" s="4" customFormat="1" ht="13" x14ac:dyDescent="0.3">
      <c r="A12" s="88"/>
      <c r="B12" s="81"/>
      <c r="C12" s="81"/>
      <c r="D12" s="81"/>
      <c r="E12" s="81"/>
    </row>
    <row r="13" spans="1:6" s="4" customFormat="1" ht="13" x14ac:dyDescent="0.3">
      <c r="A13" s="83"/>
      <c r="B13" s="81"/>
      <c r="C13" s="81"/>
      <c r="D13" s="5"/>
      <c r="E13" s="89"/>
    </row>
    <row r="14" spans="1:6" s="4" customFormat="1" ht="13" x14ac:dyDescent="0.3">
      <c r="A14" s="83"/>
      <c r="B14" s="81"/>
      <c r="C14" s="81"/>
      <c r="D14" s="5"/>
      <c r="E14" s="89"/>
    </row>
    <row r="15" spans="1:6" s="4" customFormat="1" ht="18" customHeight="1" x14ac:dyDescent="0.3">
      <c r="A15" s="90"/>
      <c r="B15" s="90"/>
      <c r="C15" s="90"/>
      <c r="D15" s="90"/>
      <c r="E15" s="90"/>
    </row>
    <row r="16" spans="1:6" s="4" customFormat="1" ht="13" x14ac:dyDescent="0.3">
      <c r="A16" s="90"/>
      <c r="B16" s="90"/>
      <c r="C16" s="90"/>
      <c r="D16" s="90"/>
      <c r="E16" s="90"/>
    </row>
    <row r="17" spans="1:5" s="4" customFormat="1" ht="13" x14ac:dyDescent="0.3">
      <c r="A17" s="91"/>
      <c r="B17" s="91"/>
      <c r="C17" s="91"/>
      <c r="D17" s="91"/>
      <c r="E17" s="91"/>
    </row>
  </sheetData>
  <mergeCells count="3">
    <mergeCell ref="A1:E1"/>
    <mergeCell ref="A4:E4"/>
    <mergeCell ref="A7: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19"/>
  <sheetViews>
    <sheetView zoomScale="90" zoomScaleNormal="90" workbookViewId="0">
      <selection sqref="A1:F1"/>
    </sheetView>
  </sheetViews>
  <sheetFormatPr defaultColWidth="17.7265625" defaultRowHeight="31.9" customHeight="1" x14ac:dyDescent="0.35"/>
  <sheetData>
    <row r="1" spans="1:6" s="4" customFormat="1" ht="31.9" customHeight="1" x14ac:dyDescent="0.3">
      <c r="A1" s="115" t="s">
        <v>2</v>
      </c>
      <c r="B1" s="115"/>
      <c r="C1" s="115"/>
      <c r="D1" s="115"/>
      <c r="E1" s="115"/>
      <c r="F1" s="115"/>
    </row>
    <row r="2" spans="1:6" s="4" customFormat="1" ht="31.9" customHeight="1" x14ac:dyDescent="0.3">
      <c r="A2" s="65"/>
      <c r="B2" s="125" t="s">
        <v>25</v>
      </c>
      <c r="C2" s="126"/>
      <c r="D2" s="66" t="s">
        <v>26</v>
      </c>
      <c r="E2" s="66"/>
      <c r="F2" s="66"/>
    </row>
    <row r="3" spans="1:6" s="4" customFormat="1" ht="80.5" x14ac:dyDescent="0.3">
      <c r="A3" s="9" t="s">
        <v>27</v>
      </c>
      <c r="B3" s="13" t="s">
        <v>131</v>
      </c>
      <c r="C3" s="13" t="s">
        <v>132</v>
      </c>
      <c r="D3" s="13" t="s">
        <v>133</v>
      </c>
      <c r="E3" s="13" t="s">
        <v>134</v>
      </c>
      <c r="F3" s="13" t="s">
        <v>135</v>
      </c>
    </row>
    <row r="4" spans="1:6" s="4" customFormat="1" ht="13" x14ac:dyDescent="0.3">
      <c r="A4" s="125" t="s">
        <v>136</v>
      </c>
      <c r="B4" s="127"/>
      <c r="C4" s="127"/>
      <c r="D4" s="127"/>
      <c r="E4" s="127"/>
      <c r="F4" s="126"/>
    </row>
    <row r="5" spans="1:6" s="4" customFormat="1" ht="31.9" customHeight="1" x14ac:dyDescent="0.3">
      <c r="A5" s="70">
        <v>1</v>
      </c>
      <c r="B5" s="9">
        <v>27</v>
      </c>
      <c r="C5" s="9">
        <v>345</v>
      </c>
      <c r="D5" s="9">
        <v>0</v>
      </c>
      <c r="E5" s="9">
        <v>0</v>
      </c>
      <c r="F5" s="9">
        <f>C5-B5+D5-E5</f>
        <v>318</v>
      </c>
    </row>
    <row r="6" spans="1:6" s="4" customFormat="1" ht="31.9" customHeight="1" x14ac:dyDescent="0.3">
      <c r="A6" s="70">
        <v>2</v>
      </c>
      <c r="B6" s="9">
        <v>27</v>
      </c>
      <c r="C6" s="9">
        <f>C5-B6</f>
        <v>318</v>
      </c>
      <c r="D6" s="9">
        <v>0</v>
      </c>
      <c r="E6" s="9">
        <v>0</v>
      </c>
      <c r="F6" s="9">
        <f>C6-B6+D6-E6</f>
        <v>291</v>
      </c>
    </row>
    <row r="7" spans="1:6" s="4" customFormat="1" ht="31.9" customHeight="1" x14ac:dyDescent="0.3">
      <c r="A7" s="70">
        <v>3</v>
      </c>
      <c r="B7" s="9">
        <v>27</v>
      </c>
      <c r="C7" s="9">
        <f>C6-B7</f>
        <v>291</v>
      </c>
      <c r="D7" s="9">
        <v>0</v>
      </c>
      <c r="E7" s="9">
        <v>0</v>
      </c>
      <c r="F7" s="9">
        <f>C7-B7+D7-E7</f>
        <v>264</v>
      </c>
    </row>
    <row r="8" spans="1:6" s="4" customFormat="1" ht="31.9" customHeight="1" x14ac:dyDescent="0.3">
      <c r="A8" s="71" t="s">
        <v>28</v>
      </c>
      <c r="B8" s="72">
        <f>AVERAGE(B5:B7)</f>
        <v>27</v>
      </c>
      <c r="C8" s="72">
        <f>AVERAGE(C5:C7)</f>
        <v>318</v>
      </c>
      <c r="D8" s="72">
        <v>0</v>
      </c>
      <c r="E8" s="72">
        <v>0</v>
      </c>
      <c r="F8" s="72">
        <f>AVERAGE(F5:F7)</f>
        <v>291</v>
      </c>
    </row>
    <row r="9" spans="1:6" s="4" customFormat="1" ht="20.5" customHeight="1" x14ac:dyDescent="0.3">
      <c r="A9" s="125" t="s">
        <v>139</v>
      </c>
      <c r="B9" s="127"/>
      <c r="C9" s="127"/>
      <c r="D9" s="127"/>
      <c r="E9" s="127"/>
      <c r="F9" s="126"/>
    </row>
    <row r="10" spans="1:6" ht="31.9" customHeight="1" x14ac:dyDescent="0.35">
      <c r="A10" s="70">
        <v>1</v>
      </c>
      <c r="B10" s="9">
        <v>3</v>
      </c>
      <c r="C10" s="9">
        <v>17</v>
      </c>
      <c r="D10" s="9">
        <v>3</v>
      </c>
      <c r="E10" s="9">
        <v>0</v>
      </c>
      <c r="F10" s="9">
        <f>C10-B10+D10-E10</f>
        <v>17</v>
      </c>
    </row>
    <row r="11" spans="1:6" ht="31.9" customHeight="1" x14ac:dyDescent="0.35">
      <c r="A11" s="70">
        <v>2</v>
      </c>
      <c r="B11" s="9">
        <v>3</v>
      </c>
      <c r="C11" s="9">
        <f>C10-B10</f>
        <v>14</v>
      </c>
      <c r="D11" s="9">
        <v>3</v>
      </c>
      <c r="E11" s="9">
        <v>0</v>
      </c>
      <c r="F11" s="9">
        <f t="shared" ref="F11:F12" si="0">C11-B11+D11-E11</f>
        <v>14</v>
      </c>
    </row>
    <row r="12" spans="1:6" ht="31.9" customHeight="1" x14ac:dyDescent="0.35">
      <c r="A12" s="70">
        <v>3</v>
      </c>
      <c r="B12" s="9">
        <v>3</v>
      </c>
      <c r="C12" s="9">
        <f>C11-B11</f>
        <v>11</v>
      </c>
      <c r="D12" s="9">
        <v>3</v>
      </c>
      <c r="E12" s="9">
        <v>0</v>
      </c>
      <c r="F12" s="9">
        <f t="shared" si="0"/>
        <v>11</v>
      </c>
    </row>
    <row r="13" spans="1:6" ht="31.9" customHeight="1" x14ac:dyDescent="0.35">
      <c r="A13" s="71" t="s">
        <v>28</v>
      </c>
      <c r="B13" s="72">
        <f>AVERAGE(B10:B12)</f>
        <v>3</v>
      </c>
      <c r="C13" s="72">
        <f>AVERAGE(C10:C12)</f>
        <v>14</v>
      </c>
      <c r="D13" s="72">
        <f>AVERAGE(D10:D12)</f>
        <v>3</v>
      </c>
      <c r="E13" s="72">
        <v>0</v>
      </c>
      <c r="F13" s="72">
        <f>AVERAGE(F10:F12)</f>
        <v>14</v>
      </c>
    </row>
    <row r="14" spans="1:6" ht="31.9" customHeight="1" x14ac:dyDescent="0.35">
      <c r="A14" s="71" t="s">
        <v>144</v>
      </c>
      <c r="B14" s="72"/>
      <c r="C14" s="72"/>
      <c r="D14" s="72"/>
      <c r="E14" s="72"/>
      <c r="F14" s="72">
        <f>F13+F8</f>
        <v>305</v>
      </c>
    </row>
    <row r="15" spans="1:6" ht="31.9" customHeight="1" x14ac:dyDescent="0.35">
      <c r="A15" s="63"/>
      <c r="B15" s="63"/>
      <c r="C15" s="63"/>
      <c r="D15" s="63"/>
      <c r="E15" s="63"/>
      <c r="F15" s="63"/>
    </row>
    <row r="16" spans="1:6" ht="31.9" customHeight="1" x14ac:dyDescent="0.35">
      <c r="A16" s="123" t="s">
        <v>11</v>
      </c>
      <c r="B16" s="123"/>
      <c r="C16" s="123"/>
      <c r="D16" s="123"/>
      <c r="E16" s="123"/>
      <c r="F16" s="123"/>
    </row>
    <row r="17" spans="1:6" ht="48" customHeight="1" x14ac:dyDescent="0.35">
      <c r="A17" s="124" t="s">
        <v>147</v>
      </c>
      <c r="B17" s="124"/>
      <c r="C17" s="124"/>
      <c r="D17" s="124"/>
      <c r="E17" s="124"/>
      <c r="F17" s="124"/>
    </row>
    <row r="18" spans="1:6" ht="31.9" customHeight="1" x14ac:dyDescent="0.35">
      <c r="A18" s="124" t="s">
        <v>149</v>
      </c>
      <c r="B18" s="124"/>
      <c r="C18" s="124"/>
      <c r="D18" s="124"/>
      <c r="E18" s="124"/>
      <c r="F18" s="124"/>
    </row>
    <row r="19" spans="1:6" ht="15.5" x14ac:dyDescent="0.35">
      <c r="A19" s="124" t="s">
        <v>150</v>
      </c>
      <c r="B19" s="124"/>
      <c r="C19" s="124"/>
      <c r="D19" s="124"/>
      <c r="E19" s="124"/>
      <c r="F19" s="124"/>
    </row>
  </sheetData>
  <mergeCells count="8">
    <mergeCell ref="A16:F16"/>
    <mergeCell ref="A17:F17"/>
    <mergeCell ref="A18:F18"/>
    <mergeCell ref="A19:F19"/>
    <mergeCell ref="A1:F1"/>
    <mergeCell ref="B2:C2"/>
    <mergeCell ref="A4:F4"/>
    <mergeCell ref="A9: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88708A-52BB-4D0F-B232-80F9E123F193}">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4d6aed1e-57d3-46e3-9aba-f706adbce63b"/>
    <ds:schemaRef ds:uri="1891fcec-84c2-4840-9468-b51a784ab0d1"/>
    <ds:schemaRef ds:uri="http://schemas.microsoft.com/office/2006/metadata/properties"/>
  </ds:schemaRefs>
</ds:datastoreItem>
</file>

<file path=customXml/itemProps2.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Table 1a</vt:lpstr>
      <vt:lpstr>Table 1b</vt:lpstr>
      <vt:lpstr>Table 2a</vt:lpstr>
      <vt:lpstr>Table 2b</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Wrigley, William</cp:lastModifiedBy>
  <cp:revision/>
  <dcterms:created xsi:type="dcterms:W3CDTF">2018-07-19T14:57:42Z</dcterms:created>
  <dcterms:modified xsi:type="dcterms:W3CDTF">2023-08-11T18:11:08Z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