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BF96DE81-39E2-4DA2-BE19-AE2CEA2BE721}" xr6:coauthVersionLast="47" xr6:coauthVersionMax="47" xr10:uidLastSave="{00000000-0000-0000-0000-000000000000}"/>
  <bookViews>
    <workbookView xWindow="-110" yWindow="-110" windowWidth="19420" windowHeight="10300" tabRatio="723"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1" i="1" l="1"/>
  <c r="E5" i="3"/>
  <c r="B5" i="3"/>
  <c r="D6" i="3"/>
  <c r="G6" i="3"/>
  <c r="I32" i="1"/>
  <c r="D5" i="3"/>
  <c r="I33" i="1" l="1"/>
  <c r="I34" i="1" s="1"/>
  <c r="B6" i="6"/>
  <c r="G5" i="3"/>
  <c r="I16" i="2" l="1"/>
  <c r="I5" i="2"/>
  <c r="F16" i="2"/>
  <c r="G5" i="2"/>
  <c r="F5" i="2"/>
  <c r="E8" i="1"/>
  <c r="F7" i="1"/>
  <c r="I31" i="1"/>
  <c r="I19" i="1"/>
  <c r="I5" i="1"/>
  <c r="F32" i="1"/>
  <c r="F31" i="1"/>
  <c r="F19" i="1"/>
  <c r="G5" i="1"/>
  <c r="F5" i="1"/>
  <c r="D5" i="1"/>
  <c r="I14" i="2" l="1"/>
  <c r="I13" i="2"/>
  <c r="I12" i="2"/>
  <c r="I11" i="2"/>
  <c r="I10" i="2"/>
  <c r="I9" i="2"/>
  <c r="H14" i="2"/>
  <c r="H13" i="2"/>
  <c r="H12" i="2"/>
  <c r="H11" i="2"/>
  <c r="H10" i="2"/>
  <c r="H9" i="2"/>
  <c r="G14" i="2"/>
  <c r="G13" i="2"/>
  <c r="G12" i="2"/>
  <c r="G11" i="2"/>
  <c r="G10" i="2"/>
  <c r="G9" i="2"/>
  <c r="F14" i="2"/>
  <c r="F13" i="2"/>
  <c r="F12" i="2"/>
  <c r="F11" i="2"/>
  <c r="F10" i="2"/>
  <c r="F9" i="2"/>
  <c r="F15" i="2"/>
  <c r="D14" i="2"/>
  <c r="D13" i="2"/>
  <c r="D12" i="2"/>
  <c r="D11" i="2"/>
  <c r="D10" i="2"/>
  <c r="D9" i="2"/>
  <c r="E7" i="2"/>
  <c r="E15" i="2"/>
  <c r="E6" i="5"/>
  <c r="E5" i="5"/>
  <c r="E7" i="5"/>
  <c r="B10" i="5"/>
  <c r="F28" i="1"/>
  <c r="E28" i="1"/>
  <c r="D28" i="1"/>
  <c r="E27" i="1"/>
  <c r="D27" i="1"/>
  <c r="F27" i="1" s="1"/>
  <c r="E26" i="1"/>
  <c r="D26" i="1"/>
  <c r="D15" i="1"/>
  <c r="E18" i="1"/>
  <c r="F18" i="1" s="1"/>
  <c r="E5" i="1"/>
  <c r="D18" i="1"/>
  <c r="D17" i="1"/>
  <c r="D14" i="1"/>
  <c r="D13" i="1"/>
  <c r="D8" i="1"/>
  <c r="F8" i="1" s="1"/>
  <c r="D7" i="1"/>
  <c r="E8" i="5" l="1"/>
  <c r="E9" i="5"/>
  <c r="G27" i="1"/>
  <c r="H27" i="1"/>
  <c r="I27" i="1" s="1"/>
  <c r="G8" i="1"/>
  <c r="H8" i="1"/>
  <c r="H7" i="1"/>
  <c r="G7" i="1"/>
  <c r="I7" i="1" s="1"/>
  <c r="H18" i="1"/>
  <c r="G18" i="1"/>
  <c r="E4" i="5"/>
  <c r="C8" i="4"/>
  <c r="B8" i="4"/>
  <c r="F7" i="4"/>
  <c r="F6" i="4"/>
  <c r="F5" i="4"/>
  <c r="E12" i="1"/>
  <c r="D15" i="2"/>
  <c r="I8" i="1" l="1"/>
  <c r="I18" i="1"/>
  <c r="F8" i="4"/>
  <c r="B3" i="6" s="1"/>
  <c r="F17" i="1" l="1"/>
  <c r="F15" i="1"/>
  <c r="F14" i="1"/>
  <c r="H14" i="1" l="1"/>
  <c r="G14" i="1"/>
  <c r="H15" i="1"/>
  <c r="G15" i="1"/>
  <c r="G15" i="2"/>
  <c r="H15" i="2"/>
  <c r="H17" i="1"/>
  <c r="G17" i="1"/>
  <c r="I17" i="1" l="1"/>
  <c r="I15" i="2"/>
  <c r="I15" i="1"/>
  <c r="I14" i="1"/>
  <c r="I6" i="3" l="1"/>
  <c r="F13" i="1"/>
  <c r="G13" i="1" s="1"/>
  <c r="H13" i="1" l="1"/>
  <c r="I13" i="1" s="1"/>
  <c r="E10" i="5"/>
  <c r="E11" i="5" s="1"/>
  <c r="D7" i="2"/>
  <c r="D5" i="2"/>
  <c r="F26" i="1"/>
  <c r="D12" i="1"/>
  <c r="F12" i="1" s="1"/>
  <c r="B7" i="6" l="1"/>
  <c r="G28" i="1"/>
  <c r="F7" i="2"/>
  <c r="H7" i="2" s="1"/>
  <c r="H12" i="1"/>
  <c r="H26" i="1"/>
  <c r="G26" i="1"/>
  <c r="G12" i="1"/>
  <c r="H28" i="1" l="1"/>
  <c r="I28" i="1" s="1"/>
  <c r="G7" i="2"/>
  <c r="I7" i="2" s="1"/>
  <c r="H5" i="1"/>
  <c r="I12" i="1"/>
  <c r="I26" i="1"/>
  <c r="H5" i="2" l="1"/>
  <c r="B4" i="6" l="1"/>
  <c r="B2" i="6"/>
  <c r="B5" i="6"/>
</calcChain>
</file>

<file path=xl/sharedStrings.xml><?xml version="1.0" encoding="utf-8"?>
<sst xmlns="http://schemas.openxmlformats.org/spreadsheetml/2006/main" count="169" uniqueCount="144">
  <si>
    <t>ICR Summary Information</t>
  </si>
  <si>
    <t>Hours per Response</t>
  </si>
  <si>
    <t>Number of Respondents</t>
  </si>
  <si>
    <t>Total Estimated Burden Hours</t>
  </si>
  <si>
    <t>Total Estimated Costs</t>
  </si>
  <si>
    <t>Annualized Capital O&amp;M</t>
  </si>
  <si>
    <t>Total Annual Responses</t>
  </si>
  <si>
    <t>Burden Item</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</si>
  <si>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</si>
  <si>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</si>
  <si>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</si>
  <si>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</si>
  <si>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</si>
  <si>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</si>
  <si>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1.  Reporting requirements</t>
  </si>
  <si>
    <t>Labor Rates</t>
  </si>
  <si>
    <t>hr/response</t>
  </si>
  <si>
    <t>Management</t>
  </si>
  <si>
    <t>Technical</t>
  </si>
  <si>
    <t>Clerical</t>
  </si>
  <si>
    <t>Subtotal for Reporting Requirements</t>
  </si>
  <si>
    <t xml:space="preserve">Subtotal for Recordkeeping Requirements  </t>
  </si>
  <si>
    <r>
      <t xml:space="preserve">Total Labor Burden and Costs (rounded) </t>
    </r>
    <r>
      <rPr>
        <b/>
        <vertAlign val="superscript"/>
        <sz val="10"/>
        <rFont val="Times New Roman"/>
        <family val="1"/>
      </rPr>
      <t>i</t>
    </r>
  </si>
  <si>
    <r>
      <t>Total Capital and O&amp;M Cost (rounded)</t>
    </r>
    <r>
      <rPr>
        <b/>
        <vertAlign val="superscript"/>
        <sz val="10"/>
        <rFont val="Times New Roman"/>
        <family val="1"/>
      </rPr>
      <t xml:space="preserve"> i</t>
    </r>
  </si>
  <si>
    <r>
      <t xml:space="preserve">GRAND TOTAL (rounded) </t>
    </r>
    <r>
      <rPr>
        <b/>
        <vertAlign val="superscript"/>
        <sz val="10"/>
        <rFont val="Times New Roman"/>
        <family val="1"/>
      </rPr>
      <t>i</t>
    </r>
  </si>
  <si>
    <t>Assumptions:</t>
  </si>
  <si>
    <t>(A)
 Person hours per occurrence</t>
  </si>
  <si>
    <t>(B) 
No. of occurrences per respondent per year</t>
  </si>
  <si>
    <t>(C) 
Person hours per respondent per year (C=AxB)</t>
  </si>
  <si>
    <t>(F) 
Management person hours per year (Ex0.05)</t>
  </si>
  <si>
    <t>(G) 
Clerical person hours per year (Ex0.1)</t>
  </si>
  <si>
    <t xml:space="preserve">Technical </t>
  </si>
  <si>
    <r>
      <t xml:space="preserve">TOTAL (rounded) </t>
    </r>
    <r>
      <rPr>
        <b/>
        <vertAlign val="superscript"/>
        <sz val="10"/>
        <rFont val="Times New Roman"/>
        <family val="1"/>
      </rPr>
      <t>h</t>
    </r>
  </si>
  <si>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</si>
  <si>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</si>
  <si>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</si>
  <si>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</si>
  <si>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</si>
  <si>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</si>
  <si>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</si>
  <si>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</si>
  <si>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</si>
  <si>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</si>
  <si>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</si>
  <si>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</si>
  <si>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</si>
  <si>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</si>
  <si>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</si>
  <si>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</si>
  <si>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</si>
  <si>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Semiannual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</si>
  <si>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</si>
  <si>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</si>
  <si>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</si>
  <si>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</si>
  <si>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</si>
  <si>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</si>
  <si>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</si>
  <si>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</si>
  <si>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</si>
  <si>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</si>
  <si>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</si>
  <si>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</si>
  <si>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r>
      <t>a</t>
    </r>
    <r>
      <rPr>
        <sz val="10"/>
        <color rgb="FF000000"/>
        <rFont val="Times New Roman"/>
        <family val="1"/>
      </rPr>
      <t xml:space="preserve">  We have assumed that the average number of respondents that are subject to the regulation will be 144, with two sources undergoing reconstruction per year over the three-year period of this ICR.</t>
    </r>
  </si>
  <si>
    <r>
      <t xml:space="preserve">c  </t>
    </r>
    <r>
      <rPr>
        <sz val="10"/>
        <color rgb="FF000000"/>
        <rFont val="Times New Roman"/>
        <family val="1"/>
      </rPr>
      <t>We have assumed that all existing respondents will have to familiarize with the regulatory requirements each year.</t>
    </r>
  </si>
  <si>
    <r>
      <t xml:space="preserve">d </t>
    </r>
    <r>
      <rPr>
        <sz val="10"/>
        <rFont val="Times New Roman"/>
        <family val="1"/>
      </rPr>
      <t xml:space="preserve"> We have assumed that it will take 72 hours for each respondent to perform the initial performance test.</t>
    </r>
  </si>
  <si>
    <r>
      <t>e</t>
    </r>
    <r>
      <rPr>
        <sz val="10"/>
        <color rgb="FF000000"/>
        <rFont val="Times New Roman"/>
        <family val="1"/>
      </rPr>
      <t xml:space="preserve">  We have assumed that 20 percent of respondents will fail the performance test and will have to repeat it.</t>
    </r>
  </si>
  <si>
    <r>
      <t xml:space="preserve">f  </t>
    </r>
    <r>
      <rPr>
        <sz val="10"/>
        <color rgb="FF000000"/>
        <rFont val="Times New Roman"/>
        <family val="1"/>
      </rPr>
      <t>We have assumed that each respondent will take two hours to write the notification of construction/reconstruction report.</t>
    </r>
  </si>
  <si>
    <r>
      <t xml:space="preserve">g  </t>
    </r>
    <r>
      <rPr>
        <sz val="10"/>
        <color rgb="FF000000"/>
        <rFont val="Times New Roman"/>
        <family val="1"/>
      </rPr>
      <t>We have assumed that each respondent will take 40 hours to write the notification and demonstration of CMS report.</t>
    </r>
  </si>
  <si>
    <r>
      <t>h</t>
    </r>
    <r>
      <rPr>
        <sz val="10"/>
        <color rgb="FF000000"/>
        <rFont val="Times New Roman"/>
        <family val="1"/>
      </rPr>
      <t xml:space="preserve">  We have assumed that each respondent will take 2 hours to write the notification of physical or operational change.</t>
    </r>
  </si>
  <si>
    <r>
      <t>i</t>
    </r>
    <r>
      <rPr>
        <sz val="10"/>
        <color rgb="FF000000"/>
        <rFont val="Times New Roman"/>
        <family val="1"/>
      </rPr>
      <t xml:space="preserve">  We have assumed that each respondent will enter information of daily production rate and hours of operation 250 times per year.</t>
    </r>
  </si>
  <si>
    <r>
      <t>j</t>
    </r>
    <r>
      <rPr>
        <sz val="10"/>
        <color rgb="FF000000"/>
        <rFont val="Times New Roman"/>
        <family val="1"/>
      </rPr>
      <t xml:space="preserve">  We have assumed that each respondent will take 15 minutes 250 times per year to record the operating parameters of CMS.</t>
    </r>
  </si>
  <si>
    <r>
      <t>k</t>
    </r>
    <r>
      <rPr>
        <sz val="10"/>
        <color rgb="FF000000"/>
        <rFont val="Times New Roman"/>
        <family val="1"/>
      </rPr>
      <t xml:space="preserve">  We have assumed that each respondent will take 60 hours to record startup, shutdown, and malfunction information.</t>
    </r>
  </si>
  <si>
    <r>
      <t xml:space="preserve">l  </t>
    </r>
    <r>
      <rPr>
        <sz val="10"/>
        <color rgb="FF000000"/>
        <rFont val="Times New Roman"/>
        <family val="1"/>
      </rPr>
      <t xml:space="preserve">Totals have been rounded to 3 significant figures. Figures may not add exactly due to rounding. </t>
    </r>
  </si>
  <si>
    <t xml:space="preserve">Table 1: Annual Respondent Burden and Cost – NSPS for Asphalt Processing and Roofing Manufacture (40 CFR Part 60, Subpart UU) (Renewal) 
</t>
  </si>
  <si>
    <r>
      <t xml:space="preserve">(D)
Respondents per year </t>
    </r>
    <r>
      <rPr>
        <b/>
        <vertAlign val="superscript"/>
        <sz val="10"/>
        <color theme="1"/>
        <rFont val="Times New Roman"/>
        <family val="1"/>
      </rPr>
      <t>a</t>
    </r>
  </si>
  <si>
    <r>
      <t xml:space="preserve">(H)
Cost, $ </t>
    </r>
    <r>
      <rPr>
        <b/>
        <vertAlign val="superscript"/>
        <sz val="10"/>
        <color theme="1"/>
        <rFont val="Times New Roman"/>
        <family val="1"/>
      </rPr>
      <t>b</t>
    </r>
  </si>
  <si>
    <t>Notification and application of construction/reconstruction</t>
  </si>
  <si>
    <t>Notification of actual startup</t>
  </si>
  <si>
    <t>Notification of physical or operational change which may increase the emission rate</t>
  </si>
  <si>
    <t>Notification of initial performance test</t>
  </si>
  <si>
    <t>Report of initial performance test</t>
  </si>
  <si>
    <t>Semiannual reports</t>
  </si>
  <si>
    <r>
      <t xml:space="preserve">Number of Respondents </t>
    </r>
    <r>
      <rPr>
        <b/>
        <vertAlign val="superscript"/>
        <sz val="9"/>
        <color rgb="FF000000"/>
        <rFont val="Times New Roman"/>
        <family val="1"/>
      </rPr>
      <t>a</t>
    </r>
  </si>
  <si>
    <t>Managerial</t>
  </si>
  <si>
    <t>B.  Required activities</t>
  </si>
  <si>
    <r>
      <t xml:space="preserve">Initial performance tests </t>
    </r>
    <r>
      <rPr>
        <vertAlign val="superscript"/>
        <sz val="10"/>
        <color rgb="FF000000"/>
        <rFont val="Times New Roman"/>
        <family val="1"/>
      </rPr>
      <t>d</t>
    </r>
  </si>
  <si>
    <r>
      <t xml:space="preserve">Repeat of performance test </t>
    </r>
    <r>
      <rPr>
        <vertAlign val="superscript"/>
        <sz val="10"/>
        <color rgb="FF000000"/>
        <rFont val="Times New Roman"/>
        <family val="1"/>
      </rPr>
      <t>d, e</t>
    </r>
  </si>
  <si>
    <t>C.  Create Information</t>
  </si>
  <si>
    <t xml:space="preserve">D.  Gather existing information </t>
  </si>
  <si>
    <t xml:space="preserve">E.   Write report  </t>
  </si>
  <si>
    <r>
      <t xml:space="preserve">Notification of construction/ reconstruction </t>
    </r>
    <r>
      <rPr>
        <vertAlign val="superscript"/>
        <sz val="10"/>
        <color rgb="FF000000"/>
        <rFont val="Times New Roman"/>
        <family val="1"/>
      </rPr>
      <t xml:space="preserve">f </t>
    </r>
  </si>
  <si>
    <r>
      <t xml:space="preserve">Notification and demonstration of CMS </t>
    </r>
    <r>
      <rPr>
        <vertAlign val="superscript"/>
        <sz val="10"/>
        <color rgb="FF000000"/>
        <rFont val="Times New Roman"/>
        <family val="1"/>
      </rPr>
      <t>g</t>
    </r>
  </si>
  <si>
    <t xml:space="preserve">Notification of actual startup </t>
  </si>
  <si>
    <t xml:space="preserve">Report of performance test </t>
  </si>
  <si>
    <r>
      <t xml:space="preserve">Notification of physical or operational change </t>
    </r>
    <r>
      <rPr>
        <vertAlign val="superscript"/>
        <sz val="10"/>
        <color rgb="FF000000"/>
        <rFont val="Times New Roman"/>
        <family val="1"/>
      </rPr>
      <t>h</t>
    </r>
  </si>
  <si>
    <t>See 3B</t>
  </si>
  <si>
    <t>See 3A</t>
  </si>
  <si>
    <t>N/A</t>
  </si>
  <si>
    <t>4.  Recordkeeping requirements</t>
  </si>
  <si>
    <t>A.  Familiarize with the regulatory requirements</t>
  </si>
  <si>
    <t>B.  Plan activities</t>
  </si>
  <si>
    <t>C.  Implement activities</t>
  </si>
  <si>
    <t xml:space="preserve">D.  Develop record system </t>
  </si>
  <si>
    <t>E.  Time to enter information</t>
  </si>
  <si>
    <r>
      <t xml:space="preserve">Records of daily production rate and  hours of operation </t>
    </r>
    <r>
      <rPr>
        <vertAlign val="superscript"/>
        <sz val="10"/>
        <color rgb="FF000000"/>
        <rFont val="Times New Roman"/>
        <family val="1"/>
      </rPr>
      <t>i</t>
    </r>
  </si>
  <si>
    <r>
      <t xml:space="preserve">Records of operating parameters of CMS </t>
    </r>
    <r>
      <rPr>
        <vertAlign val="superscript"/>
        <sz val="10"/>
        <color rgb="FF000000"/>
        <rFont val="Times New Roman"/>
        <family val="1"/>
      </rPr>
      <t>j</t>
    </r>
  </si>
  <si>
    <r>
      <t xml:space="preserve">Records of  startup, shutdown, and malfunctions </t>
    </r>
    <r>
      <rPr>
        <vertAlign val="superscript"/>
        <sz val="10"/>
        <color rgb="FF000000"/>
        <rFont val="Times New Roman"/>
        <family val="1"/>
      </rPr>
      <t>k</t>
    </r>
  </si>
  <si>
    <t>F.  Train personnel</t>
  </si>
  <si>
    <t>G.  Audits</t>
  </si>
  <si>
    <t>Notification of demonstration of continuous monitoring system</t>
  </si>
  <si>
    <r>
      <t xml:space="preserve">A.  Familiarization with regulatory requirements </t>
    </r>
    <r>
      <rPr>
        <vertAlign val="superscript"/>
        <sz val="10"/>
        <color theme="1"/>
        <rFont val="Times New Roman"/>
        <family val="1"/>
      </rPr>
      <t>c</t>
    </r>
  </si>
  <si>
    <r>
      <t>a</t>
    </r>
    <r>
      <rPr>
        <sz val="10"/>
        <color rgb="FF000000"/>
        <rFont val="Times New Roman"/>
        <family val="1"/>
      </rPr>
      <t xml:space="preserve">  We have assumed that the average number of respondents will be 144 with two sources undergoing reconstruction per year over the three-year period of this ICR. </t>
    </r>
  </si>
  <si>
    <r>
      <t xml:space="preserve">d </t>
    </r>
    <r>
      <rPr>
        <sz val="10"/>
        <color rgb="FF000000"/>
        <rFont val="Times New Roman"/>
        <family val="1"/>
      </rPr>
      <t xml:space="preserve"> We have assumed that 20 percent of respondents will fail the performance test and will have to repeat it.</t>
    </r>
  </si>
  <si>
    <r>
      <t xml:space="preserve">h  </t>
    </r>
    <r>
      <rPr>
        <sz val="10"/>
        <color rgb="FF000000"/>
        <rFont val="Times New Roman"/>
        <family val="1"/>
      </rPr>
      <t xml:space="preserve">Totals have been rounded to 3 significant figures. Figures may not add exactly due to rounding. </t>
    </r>
  </si>
  <si>
    <t>Table 2: Average Annual EPA Burden and Cost – NSPS for Asphalt Processing and Roofing Manufacture (40 CFR Part 60, Subpart UU) (Renewal)</t>
  </si>
  <si>
    <t>Activity</t>
  </si>
  <si>
    <t>Performance tests</t>
  </si>
  <si>
    <t>Repeat performance test</t>
  </si>
  <si>
    <t>Report review</t>
  </si>
  <si>
    <t xml:space="preserve">Notification of performance test                      </t>
  </si>
  <si>
    <t>Notification of demonstration of  CMS</t>
  </si>
  <si>
    <r>
      <t xml:space="preserve">New or modified facility </t>
    </r>
    <r>
      <rPr>
        <vertAlign val="superscript"/>
        <sz val="10"/>
        <color theme="1"/>
        <rFont val="Times New Roman"/>
        <family val="1"/>
      </rPr>
      <t>c</t>
    </r>
  </si>
  <si>
    <r>
      <t xml:space="preserve">New or modified facility </t>
    </r>
    <r>
      <rPr>
        <vertAlign val="superscript"/>
        <sz val="10"/>
        <color theme="1"/>
        <rFont val="Times New Roman"/>
        <family val="1"/>
      </rPr>
      <t>d</t>
    </r>
  </si>
  <si>
    <r>
      <t xml:space="preserve">Notification of construction/reconstruction </t>
    </r>
    <r>
      <rPr>
        <vertAlign val="superscript"/>
        <sz val="10"/>
        <color theme="1"/>
        <rFont val="Times New Roman"/>
        <family val="1"/>
      </rPr>
      <t>e</t>
    </r>
  </si>
  <si>
    <r>
      <t xml:space="preserve">Notification of physical/operational changes </t>
    </r>
    <r>
      <rPr>
        <vertAlign val="superscript"/>
        <sz val="10"/>
        <color theme="1"/>
        <rFont val="Times New Roman"/>
        <family val="1"/>
      </rPr>
      <t>f</t>
    </r>
  </si>
  <si>
    <r>
      <t xml:space="preserve">Review of performance test results </t>
    </r>
    <r>
      <rPr>
        <vertAlign val="superscript"/>
        <sz val="10"/>
        <color theme="1"/>
        <rFont val="Times New Roman"/>
        <family val="1"/>
      </rPr>
      <t>g</t>
    </r>
  </si>
  <si>
    <r>
      <t>c</t>
    </r>
    <r>
      <rPr>
        <sz val="10"/>
        <color rgb="FF000000"/>
        <rFont val="Times New Roman"/>
        <family val="1"/>
      </rPr>
      <t xml:space="preserve">  We have assumed that it will take the agency 24 hours to review performance tests.</t>
    </r>
  </si>
  <si>
    <r>
      <t>e</t>
    </r>
    <r>
      <rPr>
        <sz val="10"/>
        <color rgb="FF000000"/>
        <rFont val="Times New Roman"/>
        <family val="1"/>
      </rPr>
      <t xml:space="preserve">  We have assumed that it will take the agency two hours one-time per year to review notification of construction/reconstruction report.</t>
    </r>
  </si>
  <si>
    <r>
      <t>f</t>
    </r>
    <r>
      <rPr>
        <sz val="10"/>
        <color rgb="FF000000"/>
        <rFont val="Times New Roman"/>
        <family val="1"/>
      </rPr>
      <t xml:space="preserve">  We have assumed that it will take the agency two hours one-time per year to review notification of physical/operation changes.</t>
    </r>
  </si>
  <si>
    <r>
      <t>g</t>
    </r>
    <r>
      <rPr>
        <sz val="10"/>
        <color rgb="FF000000"/>
        <rFont val="Times New Roman"/>
        <family val="1"/>
      </rPr>
      <t xml:space="preserve">  We have assumed that it will take the agency eight hours one-time per year to review the performance test results report.</t>
    </r>
  </si>
  <si>
    <r>
      <t xml:space="preserve">(D) 
Respondents per year  </t>
    </r>
    <r>
      <rPr>
        <b/>
        <vertAlign val="superscript"/>
        <sz val="10"/>
        <rFont val="Times New Roman"/>
        <family val="1"/>
      </rPr>
      <t>a</t>
    </r>
  </si>
  <si>
    <r>
      <t xml:space="preserve">(H) 
Cost, $ </t>
    </r>
    <r>
      <rPr>
        <b/>
        <vertAlign val="superscript"/>
        <sz val="10"/>
        <rFont val="Times New Roman"/>
        <family val="1"/>
      </rPr>
      <t>b</t>
    </r>
  </si>
  <si>
    <t>Not Applicable</t>
  </si>
  <si>
    <r>
      <t>b</t>
    </r>
    <r>
      <rPr>
        <sz val="10"/>
        <color rgb="FF00000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</si>
  <si>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</si>
  <si>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t>2022 CEPCI</t>
  </si>
  <si>
    <t>2008 Average CEPCI</t>
  </si>
  <si>
    <t>Number of New  Respondents</t>
  </si>
  <si>
    <t>Number of Respondents with O&amp;M</t>
  </si>
  <si>
    <r>
      <t>Temperature Monitors</t>
    </r>
    <r>
      <rPr>
        <vertAlign val="superscript"/>
        <sz val="10"/>
        <color theme="1"/>
        <rFont val="Times New Roman"/>
        <family val="1"/>
      </rPr>
      <t xml:space="preserve"> a</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</si>
  <si>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</si>
  <si>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</si>
  <si>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a</t>
    </r>
    <r>
      <rPr>
        <sz val="10"/>
        <color theme="1"/>
        <rFont val="Times New Roman"/>
        <family val="1"/>
      </rPr>
      <t xml:space="preserve"> Costs have been increased from 2008 to 2022 $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</si>
</sst>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sz val="9"/>
      <color theme="1"/>
      <name val="Times New Roman"/>
      <family val="1"/>
    </font>
    <font>
      <b/>
      <sz val="9"/>
      <color theme="1"/>
      <name val="Times New Roman"/>
      <family val="1"/>
    </font>
    <font>
      <b/>
      <sz val="9"/>
      <color rgb="FF000000"/>
      <name val="Times New Roman"/>
      <family val="1"/>
    </font>
    <font>
      <b/>
      <vertAlign val="superscript"/>
      <sz val="9"/>
      <color rgb="FF000000"/>
      <name val="Times New Roman"/>
      <family val="1"/>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35">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41" fontId="10" fillId="0" borderId="0" xfId="0" applyNumberFormat="1" applyFont="1"/>
    <xf numFmtId="0" fontId="10" fillId="0" borderId="1" xfId="0" applyFont="1" applyBorder="1" applyAlignment="1">
      <alignment horizontal="left" vertical="top" wrapText="1"/>
    </xf>
    <xf numFmtId="6" fontId="10" fillId="0" borderId="1" xfId="0" applyNumberFormat="1" applyFont="1" applyBorder="1" applyAlignment="1">
      <alignment horizontal="right" wrapText="1"/>
    </xf>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6" fillId="0" borderId="0" xfId="0" applyFont="1" applyAlignment="1">
      <alignment vertical="center" wrapText="1"/>
    </xf>
    <xf numFmtId="0" fontId="27"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6" fontId="0" fillId="0" borderId="0" xfId="0" applyNumberFormat="1"/>
    <xf numFmtId="8" fontId="2" fillId="0" borderId="0" xfId="0" applyNumberFormat="1" applyFont="1"/>
    <xf numFmtId="0" fontId="3" fillId="0" borderId="1" xfId="0" applyFont="1" applyBorder="1" applyAlignment="1">
      <alignment horizontal="center" vertical="top"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horizontal="center" vertical="center" wrapText="1"/>
    </xf>
    <xf numFmtId="1" fontId="29"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15" fillId="0" borderId="1" xfId="0" applyFont="1" applyBorder="1" applyAlignment="1">
      <alignment horizontal="left" vertical="center" indent="1"/>
    </xf>
    <xf numFmtId="0" fontId="15" fillId="0" borderId="1" xfId="0" applyFont="1" applyBorder="1" applyAlignment="1">
      <alignment horizontal="left" vertical="center" indent="2"/>
    </xf>
    <xf numFmtId="0" fontId="15" fillId="0" borderId="1" xfId="0" applyFont="1" applyBorder="1" applyAlignment="1">
      <alignment horizontal="center" vertical="center"/>
    </xf>
    <xf numFmtId="0" fontId="2" fillId="0" borderId="1" xfId="0" applyFont="1" applyBorder="1" applyAlignment="1">
      <alignment horizontal="center" vertical="center"/>
    </xf>
    <xf numFmtId="0" fontId="15" fillId="0" borderId="1" xfId="0" applyFont="1" applyBorder="1" applyAlignment="1">
      <alignment vertical="center"/>
    </xf>
    <xf numFmtId="8" fontId="2"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0" fontId="2" fillId="0" borderId="1" xfId="0" applyFont="1" applyBorder="1" applyAlignment="1">
      <alignment horizontal="center"/>
    </xf>
    <xf numFmtId="0" fontId="32" fillId="0" borderId="1" xfId="0" applyFont="1" applyBorder="1" applyAlignment="1">
      <alignment horizontal="center" vertical="center"/>
    </xf>
    <xf numFmtId="0" fontId="0" fillId="0" borderId="0" xfId="0" applyAlignment="1">
      <alignment horizontal="center"/>
    </xf>
    <xf numFmtId="0" fontId="15" fillId="0" borderId="1" xfId="0" applyFont="1" applyBorder="1" applyAlignment="1">
      <alignment horizontal="center"/>
    </xf>
    <xf numFmtId="0" fontId="23" fillId="0" borderId="0" xfId="0" applyFont="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 fillId="0" borderId="0" xfId="0" applyFont="1" applyAlignment="1">
      <alignment horizontal="left"/>
    </xf>
    <xf numFmtId="0" fontId="3" fillId="0" borderId="0" xfId="0" applyFont="1" applyAlignment="1">
      <alignment horizontal="left"/>
    </xf>
    <xf numFmtId="0" fontId="19" fillId="0" borderId="0" xfId="0" applyFont="1" applyAlignment="1">
      <alignment horizontal="left" vertical="top" wrapText="1"/>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12" fillId="0" borderId="0" xfId="0" applyFont="1" applyAlignment="1">
      <alignment horizontal="left"/>
    </xf>
    <xf numFmtId="0" fontId="10" fillId="0" borderId="6" xfId="0" applyFont="1" applyBorder="1" applyAlignment="1">
      <alignment horizontal="left" vertical="top"/>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B15" sqref="B15"/>
    </sheetView>
  </sheetViews>
  <sheetFormatPr defaultRowHeight="14.5" x14ac:dyDescent="0.35"/>
  <cols>
    <col min="1" max="1" width="27.7265625" bestFit="1" customWidth="1"/>
    <col min="2" max="2" width="17" customWidth="1"/>
  </cols>
  <sheetData>
    <row r="1" spans="1:2" x14ac:dyDescent="0.35">
      <c r="A1" s="103" t="s">
        <v>0</v>
      </c>
      <c r="B1" s="103"/>
    </row>
    <row r="2" spans="1:2" x14ac:dyDescent="0.35">
      <c r="A2" t="s">
        <v>1</v>
      </c>
      <c r="B2" s="83">
        <f>'Table 1'!K31</f>
        <v>113.66666666666667</v>
      </c>
    </row>
    <row r="3" spans="1:2" x14ac:dyDescent="0.35">
      <c r="A3" t="s">
        <v>2</v>
      </c>
      <c r="B3" s="83">
        <f>Respondents!F8</f>
        <v>144</v>
      </c>
    </row>
    <row r="4" spans="1:2" x14ac:dyDescent="0.35">
      <c r="A4" t="s">
        <v>3</v>
      </c>
      <c r="B4" s="83">
        <f>'Table 1'!F32</f>
        <v>34100</v>
      </c>
    </row>
    <row r="5" spans="1:2" x14ac:dyDescent="0.35">
      <c r="A5" t="s">
        <v>4</v>
      </c>
      <c r="B5" s="84">
        <f>'Table 1'!I34</f>
        <v>11700000</v>
      </c>
    </row>
    <row r="6" spans="1:2" x14ac:dyDescent="0.35">
      <c r="A6" t="s">
        <v>5</v>
      </c>
      <c r="B6" s="84">
        <f>ROUND('Capital O&amp;M'!D6+'Capital O&amp;M'!G6,-4)</f>
        <v>7430000</v>
      </c>
    </row>
    <row r="7" spans="1:2" x14ac:dyDescent="0.35">
      <c r="A7" t="s">
        <v>6</v>
      </c>
      <c r="B7" s="83">
        <f>Responses!E11</f>
        <v>300</v>
      </c>
    </row>
    <row r="8" spans="1:2" x14ac:dyDescent="0.35">
      <c r="A8" t="s">
        <v>62</v>
      </c>
      <c r="B8" t="s">
        <v>133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6"/>
  <sheetViews>
    <sheetView zoomScale="90" zoomScaleNormal="90" workbookViewId="0">
      <selection activeCell="A2" sqref="A2"/>
    </sheetView>
  </sheetViews>
  <sheetFormatPr defaultRowHeight="14.5" x14ac:dyDescent="0.35"/>
  <cols>
    <col min="1" max="1" width="49" customWidth="1"/>
    <col min="2" max="2" width="11" customWidth="1"/>
    <col min="3" max="3" width="12.26953125" customWidth="1"/>
    <col min="4" max="4" width="13" customWidth="1"/>
    <col min="5" max="5" width="12.81640625" customWidth="1"/>
    <col min="6" max="8" width="11" customWidth="1"/>
    <col min="9" max="9" width="15.26953125" customWidth="1"/>
    <col min="10" max="10" width="6.7265625" customWidth="1"/>
    <col min="11" max="11" width="11.453125" customWidth="1"/>
    <col min="12" max="12" width="18.54296875" customWidth="1"/>
    <col min="13" max="13" width="47.81640625" customWidth="1"/>
    <col min="14" max="14" width="12.1796875" customWidth="1"/>
    <col min="21" max="21" width="11.7265625" customWidth="1"/>
  </cols>
  <sheetData>
    <row r="1" spans="1:21" ht="30" customHeight="1" x14ac:dyDescent="0.4">
      <c r="A1" s="121" t="s">
        <v>74</v>
      </c>
      <c r="B1" s="121"/>
      <c r="C1" s="121"/>
      <c r="D1" s="121"/>
      <c r="E1" s="121"/>
      <c r="F1" s="121"/>
      <c r="G1" s="121"/>
      <c r="H1" s="121"/>
      <c r="I1" s="121"/>
      <c r="J1" s="1"/>
      <c r="K1" s="1"/>
      <c r="L1" s="1"/>
      <c r="M1" s="50"/>
      <c r="N1" s="13"/>
    </row>
    <row r="2" spans="1:21" s="1" customFormat="1" ht="13" x14ac:dyDescent="0.3">
      <c r="F2" s="7"/>
      <c r="G2" s="7"/>
      <c r="H2" s="7"/>
      <c r="I2" s="8"/>
      <c r="J2" s="3"/>
    </row>
    <row r="3" spans="1:21" s="1" customFormat="1" ht="78" x14ac:dyDescent="0.3">
      <c r="A3" s="23" t="s">
        <v>7</v>
      </c>
      <c r="B3" s="86" t="s">
        <v>8</v>
      </c>
      <c r="C3" s="86" t="s">
        <v>9</v>
      </c>
      <c r="D3" s="86" t="s">
        <v>10</v>
      </c>
      <c r="E3" s="86" t="s">
        <v>75</v>
      </c>
      <c r="F3" s="86" t="s">
        <v>11</v>
      </c>
      <c r="G3" s="86" t="s">
        <v>12</v>
      </c>
      <c r="H3" s="86" t="s">
        <v>13</v>
      </c>
      <c r="I3" s="86" t="s">
        <v>76</v>
      </c>
      <c r="J3" s="3"/>
      <c r="M3" s="51"/>
      <c r="N3" s="51"/>
      <c r="O3" s="51"/>
      <c r="P3" s="51"/>
      <c r="Q3" s="51"/>
      <c r="R3" s="51"/>
      <c r="S3" s="51"/>
      <c r="T3" s="51"/>
      <c r="U3" s="51"/>
    </row>
    <row r="4" spans="1:21" s="1" customFormat="1" ht="13" x14ac:dyDescent="0.3">
      <c r="A4" s="34" t="s">
        <v>14</v>
      </c>
      <c r="B4" s="2"/>
      <c r="C4" s="2"/>
      <c r="D4" s="2"/>
      <c r="E4" s="2"/>
      <c r="F4" s="2"/>
      <c r="G4" s="2"/>
      <c r="H4" s="2"/>
      <c r="I4" s="36"/>
      <c r="J4" s="3"/>
      <c r="K4" s="104" t="s">
        <v>15</v>
      </c>
      <c r="L4" s="104"/>
      <c r="O4" s="53"/>
      <c r="P4" s="53"/>
      <c r="Q4" s="53"/>
      <c r="R4" s="53"/>
      <c r="S4" s="53"/>
      <c r="T4" s="53"/>
      <c r="U4" s="54"/>
    </row>
    <row r="5" spans="1:21" s="1" customFormat="1" ht="15.5" x14ac:dyDescent="0.3">
      <c r="A5" s="37" t="s">
        <v>111</v>
      </c>
      <c r="B5" s="20">
        <v>1</v>
      </c>
      <c r="C5" s="20">
        <v>1</v>
      </c>
      <c r="D5" s="20">
        <f>B5*C5</f>
        <v>1</v>
      </c>
      <c r="E5" s="20">
        <f>Respondents!$F$8</f>
        <v>144</v>
      </c>
      <c r="F5" s="66">
        <f>D5*E5</f>
        <v>144</v>
      </c>
      <c r="G5" s="39">
        <f>F5*0.05</f>
        <v>7.2</v>
      </c>
      <c r="H5" s="39">
        <f>F5*0.1</f>
        <v>14.4</v>
      </c>
      <c r="I5" s="38">
        <f>F5*$L$6+G5*$L$5+H5*$L$7</f>
        <v>20881.367999999999</v>
      </c>
      <c r="J5" s="9"/>
      <c r="K5" s="14" t="s">
        <v>84</v>
      </c>
      <c r="L5" s="33">
        <v>163.16999999999999</v>
      </c>
      <c r="M5" s="52"/>
      <c r="N5" s="53"/>
      <c r="O5" s="53"/>
      <c r="P5" s="53"/>
      <c r="Q5" s="53"/>
      <c r="R5" s="55"/>
      <c r="S5" s="53"/>
      <c r="T5" s="53"/>
      <c r="U5" s="56"/>
    </row>
    <row r="6" spans="1:21" s="1" customFormat="1" ht="13" x14ac:dyDescent="0.3">
      <c r="A6" s="93" t="s">
        <v>85</v>
      </c>
      <c r="B6" s="20"/>
      <c r="C6" s="20"/>
      <c r="D6" s="20"/>
      <c r="E6" s="20"/>
      <c r="F6" s="20"/>
      <c r="G6" s="20"/>
      <c r="H6" s="20"/>
      <c r="I6" s="38"/>
      <c r="J6" s="3"/>
      <c r="K6" s="14" t="s">
        <v>18</v>
      </c>
      <c r="L6" s="33">
        <v>130.28</v>
      </c>
      <c r="M6" s="52"/>
      <c r="N6" s="53"/>
      <c r="O6" s="53"/>
      <c r="P6" s="53"/>
      <c r="Q6" s="53"/>
      <c r="R6" s="53"/>
      <c r="S6" s="53"/>
      <c r="T6" s="53"/>
      <c r="U6" s="56"/>
    </row>
    <row r="7" spans="1:21" s="1" customFormat="1" ht="15.5" x14ac:dyDescent="0.3">
      <c r="A7" s="94" t="s">
        <v>86</v>
      </c>
      <c r="B7" s="95">
        <v>72</v>
      </c>
      <c r="C7" s="95">
        <v>1</v>
      </c>
      <c r="D7" s="95">
        <f t="shared" ref="D7:D8" si="0">+B7*C7</f>
        <v>72</v>
      </c>
      <c r="E7" s="95">
        <v>2</v>
      </c>
      <c r="F7" s="95">
        <f>+D7*E7</f>
        <v>144</v>
      </c>
      <c r="G7" s="95">
        <f t="shared" ref="G7" si="1">+F7*0.05</f>
        <v>7.2</v>
      </c>
      <c r="H7" s="95">
        <f t="shared" ref="H7" si="2">+F7*0.1</f>
        <v>14.4</v>
      </c>
      <c r="I7" s="38">
        <f>F7*$L$6+G7*$L$5+H7*$L$7</f>
        <v>20881.367999999999</v>
      </c>
      <c r="J7" s="3"/>
      <c r="K7" s="14" t="s">
        <v>19</v>
      </c>
      <c r="L7" s="33">
        <v>65.709999999999994</v>
      </c>
      <c r="M7" s="52"/>
      <c r="N7" s="53"/>
      <c r="O7" s="53"/>
      <c r="P7" s="53"/>
      <c r="Q7" s="53"/>
      <c r="R7" s="53"/>
      <c r="S7" s="53"/>
      <c r="T7" s="53"/>
      <c r="U7" s="56"/>
    </row>
    <row r="8" spans="1:21" s="1" customFormat="1" ht="15.5" x14ac:dyDescent="0.3">
      <c r="A8" s="94" t="s">
        <v>87</v>
      </c>
      <c r="B8" s="95">
        <v>72</v>
      </c>
      <c r="C8" s="95">
        <v>1</v>
      </c>
      <c r="D8" s="95">
        <f t="shared" si="0"/>
        <v>72</v>
      </c>
      <c r="E8" s="95">
        <f>E7*0.2</f>
        <v>0.4</v>
      </c>
      <c r="F8" s="20">
        <f>D8*E8</f>
        <v>28.8</v>
      </c>
      <c r="G8" s="20">
        <f>F8*0.05</f>
        <v>1.4400000000000002</v>
      </c>
      <c r="H8" s="20">
        <f>F8*0.1</f>
        <v>2.8800000000000003</v>
      </c>
      <c r="I8" s="38">
        <f>F8*$L$6+G8*$L$5+H8*$L$7</f>
        <v>4176.2736000000004</v>
      </c>
      <c r="J8" s="3"/>
      <c r="K8" s="70"/>
      <c r="L8" s="17"/>
      <c r="M8" s="52"/>
      <c r="N8" s="53"/>
      <c r="O8" s="53"/>
      <c r="P8" s="53"/>
      <c r="Q8" s="57"/>
      <c r="R8" s="57"/>
      <c r="S8" s="57"/>
      <c r="T8" s="57"/>
      <c r="U8" s="56"/>
    </row>
    <row r="9" spans="1:21" s="1" customFormat="1" ht="13" x14ac:dyDescent="0.3">
      <c r="A9" s="93" t="s">
        <v>88</v>
      </c>
      <c r="B9" s="95" t="s">
        <v>96</v>
      </c>
      <c r="C9" s="20"/>
      <c r="D9" s="20"/>
      <c r="E9" s="20"/>
      <c r="F9" s="20"/>
      <c r="G9" s="20"/>
      <c r="H9" s="20"/>
      <c r="I9" s="38"/>
      <c r="J9" s="3"/>
      <c r="K9" s="80"/>
      <c r="L9" s="4"/>
      <c r="M9" s="52"/>
      <c r="N9" s="53"/>
      <c r="O9" s="53"/>
      <c r="P9" s="53"/>
      <c r="Q9" s="57"/>
      <c r="R9" s="57"/>
      <c r="S9" s="57"/>
      <c r="T9" s="57"/>
      <c r="U9" s="56"/>
    </row>
    <row r="10" spans="1:21" s="1" customFormat="1" ht="13" x14ac:dyDescent="0.3">
      <c r="A10" s="93" t="s">
        <v>89</v>
      </c>
      <c r="B10" s="95" t="s">
        <v>96</v>
      </c>
      <c r="C10" s="20"/>
      <c r="D10" s="20"/>
      <c r="E10" s="20"/>
      <c r="F10" s="20"/>
      <c r="G10" s="20"/>
      <c r="H10" s="20"/>
      <c r="I10" s="38"/>
      <c r="J10" s="3"/>
      <c r="K10" s="4"/>
      <c r="L10" s="4"/>
      <c r="M10" s="52"/>
      <c r="N10" s="53"/>
      <c r="O10" s="53"/>
      <c r="P10" s="53"/>
      <c r="Q10" s="57"/>
      <c r="R10" s="57"/>
      <c r="S10" s="57"/>
      <c r="T10" s="57"/>
      <c r="U10" s="56"/>
    </row>
    <row r="11" spans="1:21" s="1" customFormat="1" ht="13" x14ac:dyDescent="0.3">
      <c r="A11" s="93" t="s">
        <v>90</v>
      </c>
      <c r="J11" s="3"/>
      <c r="K11" s="5"/>
      <c r="L11" s="6"/>
      <c r="M11" s="52"/>
      <c r="N11" s="53"/>
      <c r="O11" s="53"/>
      <c r="P11" s="53"/>
      <c r="Q11" s="57"/>
      <c r="R11" s="57"/>
      <c r="S11" s="58"/>
      <c r="T11" s="58"/>
      <c r="U11" s="56"/>
    </row>
    <row r="12" spans="1:21" s="1" customFormat="1" ht="15.5" x14ac:dyDescent="0.3">
      <c r="A12" s="94" t="s">
        <v>91</v>
      </c>
      <c r="B12" s="20">
        <v>2</v>
      </c>
      <c r="C12" s="20">
        <v>1</v>
      </c>
      <c r="D12" s="20">
        <f>B12*C12</f>
        <v>2</v>
      </c>
      <c r="E12" s="20">
        <f>Responses!B7</f>
        <v>2</v>
      </c>
      <c r="F12" s="20">
        <f>D12*E12</f>
        <v>4</v>
      </c>
      <c r="G12" s="20">
        <f>F12*0.05</f>
        <v>0.2</v>
      </c>
      <c r="H12" s="20">
        <f>F12*0.1</f>
        <v>0.4</v>
      </c>
      <c r="I12" s="38">
        <f>F12*$L$6+G12*$L$5+H12*$L$7</f>
        <v>580.03800000000001</v>
      </c>
      <c r="J12" s="3"/>
      <c r="K12" s="5"/>
      <c r="L12" s="6"/>
      <c r="M12" s="52"/>
      <c r="N12" s="53"/>
      <c r="O12" s="53"/>
      <c r="P12" s="53"/>
      <c r="Q12" s="57"/>
      <c r="R12" s="57"/>
      <c r="S12" s="58"/>
      <c r="T12" s="58"/>
      <c r="U12" s="56"/>
    </row>
    <row r="13" spans="1:21" s="1" customFormat="1" ht="15.5" x14ac:dyDescent="0.3">
      <c r="A13" s="94" t="s">
        <v>92</v>
      </c>
      <c r="B13" s="95">
        <v>40</v>
      </c>
      <c r="C13" s="95">
        <v>1</v>
      </c>
      <c r="D13" s="95">
        <f t="shared" ref="D13:D15" si="3">+B13*C13</f>
        <v>40</v>
      </c>
      <c r="E13" s="95">
        <v>2</v>
      </c>
      <c r="F13" s="20">
        <f>D13*E13</f>
        <v>80</v>
      </c>
      <c r="G13" s="20">
        <f>F13*0.05</f>
        <v>4</v>
      </c>
      <c r="H13" s="20">
        <f>F13*0.1</f>
        <v>8</v>
      </c>
      <c r="I13" s="38">
        <f>F13*$L$6+G13*$L$5+H13*$L$7</f>
        <v>11600.76</v>
      </c>
      <c r="J13" s="3"/>
      <c r="K13" s="5"/>
      <c r="L13" s="6"/>
      <c r="M13" s="52"/>
      <c r="N13" s="53"/>
      <c r="O13" s="53"/>
      <c r="P13" s="53"/>
      <c r="Q13" s="53"/>
      <c r="R13" s="53"/>
      <c r="S13" s="53"/>
      <c r="T13" s="53"/>
      <c r="U13" s="56"/>
    </row>
    <row r="14" spans="1:21" s="1" customFormat="1" ht="18" customHeight="1" x14ac:dyDescent="0.3">
      <c r="A14" s="94" t="s">
        <v>93</v>
      </c>
      <c r="B14" s="95">
        <v>2</v>
      </c>
      <c r="C14" s="95">
        <v>1</v>
      </c>
      <c r="D14" s="95">
        <f t="shared" si="3"/>
        <v>2</v>
      </c>
      <c r="E14" s="95">
        <v>2</v>
      </c>
      <c r="F14" s="40">
        <f t="shared" ref="F14:F18" si="4">D14*E14</f>
        <v>4</v>
      </c>
      <c r="G14" s="20">
        <f t="shared" ref="G14:G15" si="5">F14*0.05</f>
        <v>0.2</v>
      </c>
      <c r="H14" s="20">
        <f t="shared" ref="H14:H15" si="6">F14*0.1</f>
        <v>0.4</v>
      </c>
      <c r="I14" s="38">
        <f t="shared" ref="I14:I17" si="7">F14*$L$6+G14*$L$5+H14*$L$7</f>
        <v>580.03800000000001</v>
      </c>
      <c r="J14" s="9"/>
      <c r="K14" s="69"/>
      <c r="L14" s="6"/>
      <c r="M14" s="52"/>
      <c r="N14" s="53"/>
      <c r="O14" s="53"/>
      <c r="P14" s="53"/>
      <c r="Q14" s="53"/>
      <c r="R14" s="53"/>
      <c r="S14" s="53"/>
      <c r="T14" s="53"/>
      <c r="U14" s="56"/>
    </row>
    <row r="15" spans="1:21" s="1" customFormat="1" ht="13" x14ac:dyDescent="0.3">
      <c r="A15" s="94" t="s">
        <v>80</v>
      </c>
      <c r="B15" s="95">
        <v>2</v>
      </c>
      <c r="C15" s="95">
        <v>1</v>
      </c>
      <c r="D15" s="95">
        <f t="shared" si="3"/>
        <v>2</v>
      </c>
      <c r="E15" s="95">
        <v>2</v>
      </c>
      <c r="F15" s="20">
        <f t="shared" si="4"/>
        <v>4</v>
      </c>
      <c r="G15" s="20">
        <f t="shared" si="5"/>
        <v>0.2</v>
      </c>
      <c r="H15" s="20">
        <f t="shared" si="6"/>
        <v>0.4</v>
      </c>
      <c r="I15" s="38">
        <f t="shared" si="7"/>
        <v>580.03800000000001</v>
      </c>
      <c r="J15" s="3"/>
      <c r="K15" s="69"/>
      <c r="M15" s="52"/>
      <c r="N15" s="53"/>
      <c r="O15" s="53"/>
      <c r="P15" s="53"/>
      <c r="Q15" s="53"/>
      <c r="R15" s="53"/>
      <c r="S15" s="53"/>
      <c r="T15" s="53"/>
      <c r="U15" s="56"/>
    </row>
    <row r="16" spans="1:21" s="1" customFormat="1" ht="27.75" customHeight="1" x14ac:dyDescent="0.3">
      <c r="A16" s="94" t="s">
        <v>94</v>
      </c>
      <c r="B16" s="95" t="s">
        <v>96</v>
      </c>
      <c r="C16" s="20"/>
      <c r="D16" s="20"/>
      <c r="E16" s="20"/>
      <c r="F16" s="20"/>
      <c r="G16" s="20"/>
      <c r="H16" s="20"/>
      <c r="I16" s="38"/>
      <c r="J16" s="3"/>
      <c r="K16" s="69"/>
      <c r="M16" s="52"/>
      <c r="N16" s="53"/>
      <c r="O16" s="53"/>
      <c r="P16" s="53"/>
      <c r="Q16" s="53"/>
      <c r="R16" s="53"/>
      <c r="S16" s="53"/>
      <c r="T16" s="53"/>
      <c r="U16" s="56"/>
    </row>
    <row r="17" spans="1:21" s="1" customFormat="1" ht="15.5" x14ac:dyDescent="0.3">
      <c r="A17" s="94" t="s">
        <v>95</v>
      </c>
      <c r="B17" s="95">
        <v>2</v>
      </c>
      <c r="C17" s="95">
        <v>1</v>
      </c>
      <c r="D17" s="95">
        <f t="shared" ref="D17:D18" si="8">+B17*C17</f>
        <v>2</v>
      </c>
      <c r="E17" s="95">
        <v>2</v>
      </c>
      <c r="F17" s="20">
        <f t="shared" si="4"/>
        <v>4</v>
      </c>
      <c r="G17" s="20">
        <f t="shared" ref="G17:G18" si="9">F17*0.05</f>
        <v>0.2</v>
      </c>
      <c r="H17" s="20">
        <f t="shared" ref="H17:H18" si="10">F17*0.1</f>
        <v>0.4</v>
      </c>
      <c r="I17" s="38">
        <f t="shared" si="7"/>
        <v>580.03800000000001</v>
      </c>
      <c r="J17" s="3"/>
      <c r="K17" s="69"/>
      <c r="M17" s="52"/>
      <c r="N17" s="53"/>
      <c r="O17" s="53"/>
      <c r="P17" s="53"/>
      <c r="Q17" s="53"/>
      <c r="R17" s="53"/>
      <c r="S17" s="53"/>
      <c r="T17" s="53"/>
      <c r="U17" s="56"/>
    </row>
    <row r="18" spans="1:21" s="1" customFormat="1" ht="19.5" customHeight="1" x14ac:dyDescent="0.3">
      <c r="A18" s="94" t="s">
        <v>82</v>
      </c>
      <c r="B18" s="95">
        <v>24</v>
      </c>
      <c r="C18" s="95">
        <v>2</v>
      </c>
      <c r="D18" s="95">
        <f t="shared" si="8"/>
        <v>48</v>
      </c>
      <c r="E18" s="20">
        <f>Respondents!$F$8</f>
        <v>144</v>
      </c>
      <c r="F18" s="66">
        <f t="shared" si="4"/>
        <v>6912</v>
      </c>
      <c r="G18" s="20">
        <f t="shared" si="9"/>
        <v>345.6</v>
      </c>
      <c r="H18" s="20">
        <f t="shared" si="10"/>
        <v>691.2</v>
      </c>
      <c r="I18" s="38">
        <f>F18*$L$6+G18*$L$5+H18*$L$7</f>
        <v>1002305.664</v>
      </c>
      <c r="J18" s="3"/>
      <c r="K18" s="69"/>
      <c r="M18" s="52"/>
      <c r="N18" s="53"/>
      <c r="O18" s="53"/>
      <c r="P18" s="53"/>
      <c r="Q18" s="53"/>
      <c r="R18" s="53"/>
      <c r="S18" s="53"/>
      <c r="T18" s="53"/>
      <c r="U18" s="56"/>
    </row>
    <row r="19" spans="1:21" s="1" customFormat="1" ht="13.5" x14ac:dyDescent="0.35">
      <c r="A19" s="106" t="s">
        <v>20</v>
      </c>
      <c r="B19" s="107"/>
      <c r="C19" s="107"/>
      <c r="D19" s="107"/>
      <c r="E19" s="108"/>
      <c r="F19" s="109">
        <f>SUM(F5:H18)</f>
        <v>8423.52</v>
      </c>
      <c r="G19" s="110"/>
      <c r="H19" s="111"/>
      <c r="I19" s="41">
        <f>SUM(I5:I18)</f>
        <v>1062165.5855999999</v>
      </c>
      <c r="J19" s="3"/>
      <c r="M19" s="52"/>
      <c r="N19" s="53"/>
      <c r="O19" s="53"/>
      <c r="P19" s="53"/>
      <c r="Q19" s="53"/>
      <c r="R19" s="53"/>
      <c r="S19" s="53"/>
      <c r="T19" s="53"/>
      <c r="U19" s="56"/>
    </row>
    <row r="20" spans="1:21" s="1" customFormat="1" ht="13" x14ac:dyDescent="0.3">
      <c r="A20" s="97" t="s">
        <v>99</v>
      </c>
      <c r="B20" s="2"/>
      <c r="C20" s="2"/>
      <c r="D20" s="2"/>
      <c r="E20" s="2"/>
      <c r="F20" s="2"/>
      <c r="G20" s="2"/>
      <c r="H20" s="2"/>
      <c r="I20" s="36"/>
      <c r="J20" s="3"/>
      <c r="M20" s="52"/>
      <c r="N20" s="53"/>
      <c r="O20" s="53"/>
      <c r="P20" s="53"/>
      <c r="Q20" s="53"/>
      <c r="R20" s="55"/>
      <c r="S20" s="53"/>
      <c r="T20" s="53"/>
      <c r="U20" s="56"/>
    </row>
    <row r="21" spans="1:21" s="1" customFormat="1" ht="13.5" x14ac:dyDescent="0.35">
      <c r="A21" s="93" t="s">
        <v>100</v>
      </c>
      <c r="B21" s="95" t="s">
        <v>97</v>
      </c>
      <c r="C21" s="2"/>
      <c r="D21" s="2"/>
      <c r="E21" s="2"/>
      <c r="F21" s="2"/>
      <c r="G21" s="2"/>
      <c r="H21" s="2"/>
      <c r="I21" s="42"/>
      <c r="J21" s="3"/>
      <c r="K21" s="3"/>
      <c r="M21" s="59"/>
      <c r="N21" s="59"/>
      <c r="O21" s="59"/>
      <c r="P21" s="59"/>
      <c r="Q21" s="59"/>
      <c r="R21" s="60"/>
      <c r="S21" s="60"/>
      <c r="T21" s="60"/>
      <c r="U21" s="61"/>
    </row>
    <row r="22" spans="1:21" s="1" customFormat="1" ht="13" x14ac:dyDescent="0.3">
      <c r="A22" s="93" t="s">
        <v>101</v>
      </c>
      <c r="B22" s="95" t="s">
        <v>96</v>
      </c>
      <c r="C22" s="10"/>
      <c r="D22" s="10"/>
      <c r="E22" s="10"/>
      <c r="F22" s="10"/>
      <c r="G22" s="10"/>
      <c r="H22" s="10"/>
      <c r="I22" s="11"/>
      <c r="J22" s="3"/>
      <c r="K22" s="3"/>
      <c r="M22" s="52"/>
      <c r="N22" s="53"/>
      <c r="O22" s="53"/>
      <c r="P22" s="53"/>
      <c r="Q22" s="53"/>
      <c r="R22" s="53"/>
      <c r="S22" s="53"/>
      <c r="T22" s="53"/>
      <c r="U22" s="54"/>
    </row>
    <row r="23" spans="1:21" s="1" customFormat="1" ht="13" x14ac:dyDescent="0.3">
      <c r="A23" s="93" t="s">
        <v>102</v>
      </c>
      <c r="B23" s="95" t="s">
        <v>96</v>
      </c>
      <c r="C23" s="10"/>
      <c r="D23" s="10"/>
      <c r="E23" s="10"/>
      <c r="F23" s="67"/>
      <c r="G23" s="10"/>
      <c r="H23" s="10"/>
      <c r="I23" s="11"/>
      <c r="J23" s="3"/>
      <c r="K23" s="3"/>
      <c r="M23" s="52"/>
      <c r="N23" s="53"/>
      <c r="O23" s="53"/>
      <c r="P23" s="53"/>
      <c r="Q23" s="53"/>
      <c r="R23" s="53"/>
      <c r="S23" s="53"/>
      <c r="T23" s="53"/>
      <c r="U23" s="56"/>
    </row>
    <row r="24" spans="1:21" s="1" customFormat="1" ht="13" x14ac:dyDescent="0.3">
      <c r="A24" s="93" t="s">
        <v>103</v>
      </c>
      <c r="B24" s="95" t="s">
        <v>98</v>
      </c>
      <c r="C24" s="10"/>
      <c r="D24" s="10"/>
      <c r="E24" s="10"/>
      <c r="F24" s="10"/>
      <c r="G24" s="10"/>
      <c r="H24" s="10"/>
      <c r="I24" s="43"/>
      <c r="J24" s="3"/>
      <c r="M24" s="52"/>
      <c r="N24" s="53"/>
      <c r="O24" s="53"/>
      <c r="P24" s="53"/>
      <c r="Q24" s="53"/>
      <c r="R24" s="53"/>
      <c r="S24" s="53"/>
      <c r="T24" s="53"/>
      <c r="U24" s="56"/>
    </row>
    <row r="25" spans="1:21" s="1" customFormat="1" ht="13" x14ac:dyDescent="0.3">
      <c r="A25" s="93" t="s">
        <v>104</v>
      </c>
      <c r="B25" s="10"/>
      <c r="C25" s="10"/>
      <c r="D25" s="10"/>
      <c r="E25" s="10"/>
      <c r="F25" s="10"/>
      <c r="G25" s="10"/>
      <c r="H25" s="10"/>
      <c r="I25" s="11"/>
      <c r="J25" s="3"/>
      <c r="K25" s="3"/>
      <c r="M25" s="52"/>
      <c r="N25" s="53"/>
      <c r="O25" s="53"/>
      <c r="P25" s="53"/>
      <c r="Q25" s="53"/>
      <c r="R25" s="55"/>
      <c r="S25" s="53"/>
      <c r="T25" s="53"/>
      <c r="U25" s="56"/>
    </row>
    <row r="26" spans="1:21" s="1" customFormat="1" ht="18" customHeight="1" x14ac:dyDescent="0.3">
      <c r="A26" s="94" t="s">
        <v>105</v>
      </c>
      <c r="B26" s="95">
        <v>0.13</v>
      </c>
      <c r="C26" s="95">
        <v>250</v>
      </c>
      <c r="D26" s="95">
        <f t="shared" ref="D26:D28" si="11">+B26*C26</f>
        <v>32.5</v>
      </c>
      <c r="E26" s="20">
        <f>Respondents!$F$8</f>
        <v>144</v>
      </c>
      <c r="F26" s="10">
        <f t="shared" ref="F26:F28" si="12">D26*E26</f>
        <v>4680</v>
      </c>
      <c r="G26" s="10">
        <f t="shared" ref="G26:G27" si="13">F26*0.05</f>
        <v>234</v>
      </c>
      <c r="H26" s="10">
        <f t="shared" ref="H26:H27" si="14">F26*0.1</f>
        <v>468</v>
      </c>
      <c r="I26" s="11">
        <f>F26*$L$6+G26*$L$5+H26*$L$7</f>
        <v>678644.46000000008</v>
      </c>
      <c r="J26" s="3"/>
      <c r="K26" s="3"/>
      <c r="M26" s="52"/>
      <c r="N26" s="53"/>
      <c r="O26" s="53"/>
      <c r="P26" s="53"/>
      <c r="Q26" s="53"/>
      <c r="R26" s="53"/>
      <c r="S26" s="53"/>
      <c r="T26" s="53"/>
      <c r="U26" s="56"/>
    </row>
    <row r="27" spans="1:21" s="1" customFormat="1" ht="15.5" x14ac:dyDescent="0.3">
      <c r="A27" s="94" t="s">
        <v>106</v>
      </c>
      <c r="B27" s="95">
        <v>0.25</v>
      </c>
      <c r="C27" s="95">
        <v>250</v>
      </c>
      <c r="D27" s="95">
        <f t="shared" si="11"/>
        <v>62.5</v>
      </c>
      <c r="E27" s="20">
        <f>Respondents!$F$8</f>
        <v>144</v>
      </c>
      <c r="F27" s="10">
        <f t="shared" si="12"/>
        <v>9000</v>
      </c>
      <c r="G27" s="10">
        <f t="shared" si="13"/>
        <v>450</v>
      </c>
      <c r="H27" s="10">
        <f t="shared" si="14"/>
        <v>900</v>
      </c>
      <c r="I27" s="11">
        <f>F27*$L$6+G27*$L$5+H27*$L$7</f>
        <v>1305085.5</v>
      </c>
      <c r="J27" s="3"/>
      <c r="K27" s="3"/>
      <c r="M27" s="52"/>
      <c r="N27" s="53"/>
      <c r="O27" s="53"/>
      <c r="P27" s="53"/>
      <c r="Q27" s="53"/>
      <c r="R27" s="53"/>
      <c r="S27" s="53"/>
      <c r="T27" s="53"/>
      <c r="U27" s="56"/>
    </row>
    <row r="28" spans="1:21" s="1" customFormat="1" ht="15.5" x14ac:dyDescent="0.3">
      <c r="A28" s="94" t="s">
        <v>107</v>
      </c>
      <c r="B28" s="95">
        <v>60</v>
      </c>
      <c r="C28" s="95">
        <v>1</v>
      </c>
      <c r="D28" s="95">
        <f t="shared" si="11"/>
        <v>60</v>
      </c>
      <c r="E28" s="20">
        <f>Respondents!$F$8</f>
        <v>144</v>
      </c>
      <c r="F28" s="10">
        <f t="shared" si="12"/>
        <v>8640</v>
      </c>
      <c r="G28" s="10">
        <f t="shared" ref="G28" si="15">F28*0.05</f>
        <v>432</v>
      </c>
      <c r="H28" s="10">
        <f t="shared" ref="H28" si="16">F28*0.1</f>
        <v>864</v>
      </c>
      <c r="I28" s="11">
        <f>F28*$L$6+G28*$L$5+H28*$L$7</f>
        <v>1252882.0799999998</v>
      </c>
      <c r="J28" s="3"/>
      <c r="K28" s="3"/>
      <c r="M28" s="52"/>
      <c r="N28" s="53"/>
      <c r="O28" s="53"/>
      <c r="P28" s="53"/>
      <c r="Q28" s="53"/>
      <c r="R28" s="53"/>
      <c r="S28" s="53"/>
      <c r="T28" s="53"/>
      <c r="U28" s="56"/>
    </row>
    <row r="29" spans="1:21" s="1" customFormat="1" ht="13" x14ac:dyDescent="0.3">
      <c r="A29" s="93" t="s">
        <v>108</v>
      </c>
      <c r="B29" s="95" t="s">
        <v>98</v>
      </c>
      <c r="C29" s="95"/>
      <c r="D29" s="95"/>
      <c r="E29" s="20"/>
      <c r="F29" s="10"/>
      <c r="G29" s="10"/>
      <c r="H29" s="10"/>
      <c r="I29" s="11"/>
      <c r="J29" s="3"/>
      <c r="K29" s="3"/>
      <c r="M29" s="52"/>
      <c r="N29" s="53"/>
      <c r="O29" s="53"/>
      <c r="P29" s="53"/>
      <c r="Q29" s="53"/>
      <c r="R29" s="53"/>
      <c r="S29" s="53"/>
      <c r="T29" s="53"/>
      <c r="U29" s="56"/>
    </row>
    <row r="30" spans="1:21" s="1" customFormat="1" ht="13" x14ac:dyDescent="0.3">
      <c r="A30" s="93" t="s">
        <v>109</v>
      </c>
      <c r="B30" s="95" t="s">
        <v>98</v>
      </c>
      <c r="C30" s="10"/>
      <c r="D30" s="10"/>
      <c r="E30" s="10"/>
      <c r="F30" s="10"/>
      <c r="G30" s="10"/>
      <c r="H30" s="10"/>
      <c r="I30" s="43"/>
      <c r="J30" s="3"/>
      <c r="K30" s="3"/>
      <c r="M30" s="52"/>
      <c r="N30" s="53"/>
      <c r="O30" s="53"/>
      <c r="P30" s="53"/>
      <c r="Q30" s="53"/>
      <c r="R30" s="53"/>
      <c r="S30" s="53"/>
      <c r="T30" s="53"/>
      <c r="U30" s="56"/>
    </row>
    <row r="31" spans="1:21" s="1" customFormat="1" ht="13.5" x14ac:dyDescent="0.35">
      <c r="A31" s="64" t="s">
        <v>21</v>
      </c>
      <c r="B31" s="112"/>
      <c r="C31" s="113"/>
      <c r="D31" s="113"/>
      <c r="E31" s="114"/>
      <c r="F31" s="118">
        <f>SUM(F21:H30)</f>
        <v>25668</v>
      </c>
      <c r="G31" s="119"/>
      <c r="H31" s="120"/>
      <c r="I31" s="12">
        <f>SUM(I21:I30)</f>
        <v>3236612.04</v>
      </c>
      <c r="J31" s="16"/>
      <c r="K31" s="45">
        <f>F32/Responses!E11</f>
        <v>113.66666666666667</v>
      </c>
      <c r="L31" s="45" t="s">
        <v>16</v>
      </c>
      <c r="M31" s="52"/>
      <c r="N31" s="53"/>
      <c r="O31" s="53"/>
      <c r="P31" s="53"/>
      <c r="Q31" s="53"/>
      <c r="R31" s="53"/>
      <c r="S31" s="53"/>
      <c r="T31" s="53"/>
      <c r="U31" s="56"/>
    </row>
    <row r="32" spans="1:21" s="1" customFormat="1" ht="13.5" customHeight="1" x14ac:dyDescent="0.35">
      <c r="A32" s="48" t="s">
        <v>22</v>
      </c>
      <c r="B32" s="115"/>
      <c r="C32" s="116"/>
      <c r="D32" s="116"/>
      <c r="E32" s="117"/>
      <c r="F32" s="118">
        <f>ROUND(SUM(F19,F31), -2)</f>
        <v>34100</v>
      </c>
      <c r="G32" s="119"/>
      <c r="H32" s="120"/>
      <c r="I32" s="12">
        <f>ROUND(SUM(I31,I19), -4)</f>
        <v>4300000</v>
      </c>
      <c r="J32" s="16"/>
      <c r="K32" s="15"/>
      <c r="L32" s="3"/>
      <c r="M32" s="52"/>
      <c r="N32" s="53"/>
      <c r="O32" s="53"/>
      <c r="P32" s="53"/>
      <c r="Q32" s="53"/>
      <c r="R32" s="53"/>
      <c r="S32" s="53"/>
      <c r="T32" s="53"/>
      <c r="U32" s="56"/>
    </row>
    <row r="33" spans="1:21" s="1" customFormat="1" ht="13.5" customHeight="1" x14ac:dyDescent="0.35">
      <c r="A33" s="48" t="s">
        <v>23</v>
      </c>
      <c r="B33" s="115"/>
      <c r="C33" s="116"/>
      <c r="D33" s="116"/>
      <c r="E33" s="116"/>
      <c r="F33" s="116"/>
      <c r="G33" s="116"/>
      <c r="H33" s="117"/>
      <c r="I33" s="81">
        <f>ROUND('Capital O&amp;M'!G6+'Capital O&amp;M'!D6,-4)</f>
        <v>7430000</v>
      </c>
      <c r="J33" s="3"/>
      <c r="M33" s="59"/>
      <c r="N33" s="59"/>
      <c r="O33" s="59"/>
      <c r="P33" s="59"/>
      <c r="Q33" s="59"/>
      <c r="R33" s="60"/>
      <c r="S33" s="60"/>
      <c r="T33" s="60"/>
      <c r="U33" s="61"/>
    </row>
    <row r="34" spans="1:21" s="1" customFormat="1" ht="13.5" customHeight="1" x14ac:dyDescent="0.35">
      <c r="A34" s="48" t="s">
        <v>24</v>
      </c>
      <c r="B34" s="115"/>
      <c r="C34" s="116"/>
      <c r="D34" s="116"/>
      <c r="E34" s="116"/>
      <c r="F34" s="116"/>
      <c r="G34" s="116"/>
      <c r="H34" s="117"/>
      <c r="I34" s="81">
        <f>ROUND(SUM(I32:I33), -5)</f>
        <v>11700000</v>
      </c>
      <c r="J34" s="3"/>
      <c r="M34" s="62"/>
      <c r="N34" s="62"/>
      <c r="O34" s="62"/>
      <c r="P34" s="62"/>
      <c r="Q34" s="62"/>
      <c r="R34" s="60"/>
      <c r="S34" s="60"/>
      <c r="T34" s="60"/>
      <c r="U34" s="61"/>
    </row>
    <row r="35" spans="1:21" s="1" customFormat="1" ht="13.5" x14ac:dyDescent="0.35">
      <c r="G35" s="44"/>
      <c r="I35" s="8"/>
      <c r="J35" s="3"/>
      <c r="M35" s="62"/>
      <c r="N35" s="62"/>
      <c r="O35" s="62"/>
      <c r="P35" s="62"/>
      <c r="Q35" s="62"/>
      <c r="R35" s="62"/>
      <c r="S35" s="62"/>
      <c r="T35" s="62"/>
      <c r="U35" s="61"/>
    </row>
    <row r="36" spans="1:21" s="1" customFormat="1" ht="13.5" x14ac:dyDescent="0.35">
      <c r="A36" s="122" t="s">
        <v>25</v>
      </c>
      <c r="B36" s="122"/>
      <c r="C36" s="122"/>
      <c r="D36" s="122"/>
      <c r="E36" s="122"/>
      <c r="F36" s="122"/>
      <c r="G36" s="122"/>
      <c r="H36" s="122"/>
      <c r="I36" s="122"/>
      <c r="J36" s="3"/>
      <c r="M36" s="62"/>
      <c r="N36" s="62"/>
      <c r="O36" s="62"/>
      <c r="P36" s="62"/>
      <c r="Q36" s="62"/>
      <c r="R36" s="62"/>
      <c r="S36" s="62"/>
      <c r="T36" s="62"/>
      <c r="U36" s="61"/>
    </row>
    <row r="37" spans="1:21" s="1" customFormat="1" ht="31.15" customHeight="1" x14ac:dyDescent="0.3">
      <c r="A37" s="105" t="s">
        <v>63</v>
      </c>
      <c r="B37" s="105"/>
      <c r="C37" s="105"/>
      <c r="D37" s="105"/>
      <c r="E37" s="105"/>
      <c r="F37" s="105"/>
      <c r="G37" s="105"/>
      <c r="H37" s="105"/>
      <c r="I37" s="105"/>
      <c r="J37" s="3"/>
      <c r="M37" s="32"/>
      <c r="N37" s="32"/>
      <c r="O37" s="32"/>
      <c r="P37" s="32"/>
      <c r="Q37" s="32"/>
      <c r="R37" s="32"/>
      <c r="S37" s="32"/>
      <c r="T37" s="32"/>
      <c r="U37" s="32"/>
    </row>
    <row r="38" spans="1:21" s="1" customFormat="1" ht="77.25" customHeight="1" x14ac:dyDescent="0.3">
      <c r="A38" s="105" t="s">
        <v>134</v>
      </c>
      <c r="B38" s="105"/>
      <c r="C38" s="105"/>
      <c r="D38" s="105"/>
      <c r="E38" s="105"/>
      <c r="F38" s="105"/>
      <c r="G38" s="105"/>
      <c r="H38" s="105"/>
      <c r="I38" s="105"/>
      <c r="J38" s="3"/>
      <c r="M38" s="32"/>
      <c r="N38" s="32"/>
      <c r="O38" s="32"/>
      <c r="P38" s="32"/>
      <c r="Q38" s="32"/>
      <c r="R38" s="32"/>
      <c r="S38" s="32"/>
      <c r="T38" s="32"/>
      <c r="U38" s="32"/>
    </row>
    <row r="39" spans="1:21" s="1" customFormat="1" ht="18" customHeight="1" x14ac:dyDescent="0.3">
      <c r="A39" s="105" t="s">
        <v>64</v>
      </c>
      <c r="B39" s="105"/>
      <c r="C39" s="105"/>
      <c r="D39" s="105"/>
      <c r="E39" s="105"/>
      <c r="F39" s="105"/>
      <c r="G39" s="105"/>
      <c r="H39" s="105"/>
      <c r="I39" s="105"/>
      <c r="J39" s="9"/>
      <c r="M39" s="32"/>
      <c r="N39" s="32"/>
      <c r="O39" s="32"/>
      <c r="P39" s="32"/>
      <c r="Q39" s="32"/>
      <c r="R39" s="32"/>
      <c r="S39" s="32"/>
      <c r="T39" s="32"/>
      <c r="U39" s="32"/>
    </row>
    <row r="40" spans="1:21" s="1" customFormat="1" ht="18" customHeight="1" x14ac:dyDescent="0.3">
      <c r="A40" s="123" t="s">
        <v>65</v>
      </c>
      <c r="B40" s="123"/>
      <c r="C40" s="123"/>
      <c r="D40" s="123"/>
      <c r="E40" s="123"/>
      <c r="F40" s="123"/>
      <c r="G40" s="123"/>
      <c r="H40" s="123"/>
      <c r="I40" s="123"/>
      <c r="J40" s="3"/>
      <c r="M40" s="32"/>
      <c r="N40" s="32"/>
      <c r="O40" s="32"/>
      <c r="P40" s="32"/>
      <c r="Q40" s="32"/>
      <c r="R40" s="32"/>
      <c r="S40" s="32"/>
      <c r="T40" s="32"/>
      <c r="U40" s="32"/>
    </row>
    <row r="41" spans="1:21" s="1" customFormat="1" ht="18" customHeight="1" x14ac:dyDescent="0.3">
      <c r="A41" s="105" t="s">
        <v>66</v>
      </c>
      <c r="B41" s="105"/>
      <c r="C41" s="105"/>
      <c r="D41" s="105"/>
      <c r="E41" s="105"/>
      <c r="F41" s="105"/>
      <c r="G41" s="105"/>
      <c r="H41" s="105"/>
      <c r="I41" s="105"/>
      <c r="M41" s="32"/>
      <c r="N41" s="32"/>
      <c r="O41" s="32"/>
      <c r="P41" s="32"/>
      <c r="Q41" s="32"/>
      <c r="R41" s="32"/>
      <c r="S41" s="32"/>
      <c r="T41" s="32"/>
      <c r="U41" s="32"/>
    </row>
    <row r="42" spans="1:21" s="1" customFormat="1" ht="18" customHeight="1" x14ac:dyDescent="0.3">
      <c r="A42" s="105" t="s">
        <v>67</v>
      </c>
      <c r="B42" s="105"/>
      <c r="C42" s="105"/>
      <c r="D42" s="105"/>
      <c r="E42" s="105"/>
      <c r="F42" s="105"/>
      <c r="G42" s="105"/>
      <c r="H42" s="105"/>
      <c r="I42" s="105"/>
      <c r="M42" s="32"/>
      <c r="N42" s="32"/>
      <c r="O42" s="32"/>
      <c r="P42" s="32"/>
      <c r="Q42" s="32"/>
      <c r="R42" s="32"/>
      <c r="S42" s="32"/>
      <c r="T42" s="32"/>
      <c r="U42" s="32"/>
    </row>
    <row r="43" spans="1:21" s="1" customFormat="1" ht="18" customHeight="1" x14ac:dyDescent="0.3">
      <c r="A43" s="105" t="s">
        <v>68</v>
      </c>
      <c r="B43" s="105"/>
      <c r="C43" s="105"/>
      <c r="D43" s="105"/>
      <c r="E43" s="105"/>
      <c r="F43" s="105"/>
      <c r="G43" s="105"/>
      <c r="H43" s="105"/>
      <c r="I43" s="105"/>
      <c r="M43" s="63"/>
      <c r="N43" s="63"/>
      <c r="O43" s="63"/>
      <c r="P43" s="63"/>
      <c r="Q43" s="63"/>
      <c r="R43" s="63"/>
      <c r="S43" s="63"/>
      <c r="T43" s="63"/>
      <c r="U43" s="63"/>
    </row>
    <row r="44" spans="1:21" s="1" customFormat="1" ht="18" customHeight="1" x14ac:dyDescent="0.3">
      <c r="A44" s="105" t="s">
        <v>69</v>
      </c>
      <c r="B44" s="105"/>
      <c r="C44" s="105"/>
      <c r="D44" s="105"/>
      <c r="E44" s="105"/>
      <c r="F44" s="105"/>
      <c r="G44" s="105"/>
      <c r="H44" s="105"/>
      <c r="I44" s="105"/>
      <c r="M44" s="32"/>
      <c r="N44" s="32"/>
      <c r="O44" s="32"/>
      <c r="P44" s="32"/>
      <c r="Q44" s="32"/>
      <c r="R44" s="32"/>
      <c r="S44" s="32"/>
      <c r="T44" s="32"/>
      <c r="U44" s="32"/>
    </row>
    <row r="45" spans="1:21" s="1" customFormat="1" ht="18" customHeight="1" x14ac:dyDescent="0.3">
      <c r="A45" s="105" t="s">
        <v>70</v>
      </c>
      <c r="B45" s="105"/>
      <c r="C45" s="105"/>
      <c r="D45" s="105"/>
      <c r="E45" s="105"/>
      <c r="F45" s="105"/>
      <c r="G45" s="105"/>
      <c r="H45" s="105"/>
      <c r="I45" s="105"/>
      <c r="M45" s="32"/>
      <c r="N45" s="32"/>
      <c r="O45" s="32"/>
      <c r="P45" s="32"/>
      <c r="Q45" s="32"/>
      <c r="R45" s="32"/>
      <c r="S45" s="32"/>
      <c r="T45" s="32"/>
      <c r="U45" s="32"/>
    </row>
    <row r="46" spans="1:21" s="1" customFormat="1" ht="18" customHeight="1" x14ac:dyDescent="0.3">
      <c r="A46" s="105" t="s">
        <v>71</v>
      </c>
      <c r="B46" s="105"/>
      <c r="C46" s="105"/>
      <c r="D46" s="105"/>
      <c r="E46" s="105"/>
      <c r="F46" s="105"/>
      <c r="G46" s="105"/>
      <c r="H46" s="105"/>
      <c r="I46" s="105"/>
      <c r="M46" s="32"/>
      <c r="N46" s="32"/>
      <c r="O46" s="32"/>
      <c r="P46" s="32"/>
      <c r="Q46" s="32"/>
      <c r="R46" s="32"/>
      <c r="S46" s="32"/>
      <c r="T46" s="32"/>
      <c r="U46" s="32"/>
    </row>
    <row r="47" spans="1:21" ht="18" customHeight="1" x14ac:dyDescent="0.35">
      <c r="A47" s="105" t="s">
        <v>72</v>
      </c>
      <c r="B47" s="105"/>
      <c r="C47" s="105"/>
      <c r="D47" s="105"/>
      <c r="E47" s="105"/>
      <c r="F47" s="105"/>
      <c r="G47" s="105"/>
      <c r="H47" s="105"/>
      <c r="I47" s="105"/>
    </row>
    <row r="48" spans="1:21" ht="18" customHeight="1" x14ac:dyDescent="0.35">
      <c r="A48" s="105" t="s">
        <v>73</v>
      </c>
      <c r="B48" s="105"/>
      <c r="C48" s="105"/>
      <c r="D48" s="105"/>
      <c r="E48" s="105"/>
      <c r="F48" s="105"/>
      <c r="G48" s="105"/>
      <c r="H48" s="105"/>
      <c r="I48" s="105"/>
    </row>
    <row r="52" spans="1:3" ht="15.5" x14ac:dyDescent="0.35">
      <c r="A52" s="71"/>
      <c r="B52" s="71"/>
      <c r="C52" s="71"/>
    </row>
    <row r="53" spans="1:3" ht="15.5" x14ac:dyDescent="0.35">
      <c r="A53" s="71"/>
      <c r="B53" s="71"/>
      <c r="C53" s="71"/>
    </row>
    <row r="54" spans="1:3" ht="15.5" x14ac:dyDescent="0.35">
      <c r="A54" s="71"/>
      <c r="B54" s="71"/>
      <c r="C54" s="71"/>
    </row>
    <row r="55" spans="1:3" ht="15.5" x14ac:dyDescent="0.35">
      <c r="A55" s="72"/>
      <c r="B55" s="72"/>
      <c r="C55" s="72"/>
    </row>
    <row r="56" spans="1:3" ht="15.5" x14ac:dyDescent="0.35">
      <c r="A56" s="71"/>
      <c r="B56" s="71"/>
      <c r="C56" s="71"/>
    </row>
    <row r="57" spans="1:3" ht="15.5" x14ac:dyDescent="0.35">
      <c r="A57" s="71"/>
      <c r="B57" s="71"/>
      <c r="C57" s="71"/>
    </row>
    <row r="58" spans="1:3" ht="15.5" x14ac:dyDescent="0.35">
      <c r="A58" s="72"/>
      <c r="B58" s="72"/>
      <c r="C58" s="72"/>
    </row>
    <row r="59" spans="1:3" ht="15.5" x14ac:dyDescent="0.35">
      <c r="A59" s="72"/>
      <c r="B59" s="72"/>
      <c r="C59" s="72"/>
    </row>
    <row r="60" spans="1:3" ht="15.75" customHeight="1" x14ac:dyDescent="0.35">
      <c r="A60" s="71"/>
      <c r="B60" s="71"/>
      <c r="C60" s="71"/>
    </row>
    <row r="61" spans="1:3" ht="15" customHeight="1" x14ac:dyDescent="0.35">
      <c r="A61" s="71"/>
      <c r="B61" s="71"/>
      <c r="C61" s="71"/>
    </row>
    <row r="62" spans="1:3" ht="15.5" x14ac:dyDescent="0.35">
      <c r="A62" s="71"/>
      <c r="B62" s="71"/>
      <c r="C62" s="71"/>
    </row>
    <row r="63" spans="1:3" ht="15.5" x14ac:dyDescent="0.35">
      <c r="A63" s="72"/>
      <c r="B63" s="72"/>
      <c r="C63" s="72"/>
    </row>
    <row r="64" spans="1:3" ht="15.5" x14ac:dyDescent="0.35">
      <c r="A64" s="72"/>
      <c r="B64" s="71"/>
      <c r="C64" s="71"/>
    </row>
    <row r="65" spans="1:3" ht="15.5" x14ac:dyDescent="0.35">
      <c r="A65" s="71"/>
      <c r="B65" s="71"/>
      <c r="C65" s="71"/>
    </row>
    <row r="66" spans="1:3" ht="15.5" x14ac:dyDescent="0.35">
      <c r="A66" s="72"/>
      <c r="B66" s="71"/>
      <c r="C66" s="71"/>
    </row>
  </sheetData>
  <sortState xmlns:xlrd2="http://schemas.microsoft.com/office/spreadsheetml/2017/richdata2" ref="A51:C66">
    <sortCondition ref="C51:C66"/>
  </sortState>
  <mergeCells count="23">
    <mergeCell ref="A46:I46"/>
    <mergeCell ref="A47:I47"/>
    <mergeCell ref="A48:I48"/>
    <mergeCell ref="A1:I1"/>
    <mergeCell ref="A36:I36"/>
    <mergeCell ref="A37:I37"/>
    <mergeCell ref="A45:I45"/>
    <mergeCell ref="A44:I44"/>
    <mergeCell ref="A39:I39"/>
    <mergeCell ref="A40:I40"/>
    <mergeCell ref="A41:I41"/>
    <mergeCell ref="A42:I42"/>
    <mergeCell ref="A43:I43"/>
    <mergeCell ref="K4:L4"/>
    <mergeCell ref="A38:I38"/>
    <mergeCell ref="A19:E19"/>
    <mergeCell ref="F19:H19"/>
    <mergeCell ref="B31:E31"/>
    <mergeCell ref="B32:E32"/>
    <mergeCell ref="B33:H33"/>
    <mergeCell ref="B34:H34"/>
    <mergeCell ref="F31:H31"/>
    <mergeCell ref="F32:H32"/>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6"/>
  <sheetViews>
    <sheetView zoomScaleNormal="100" workbookViewId="0">
      <selection activeCell="A2" sqref="A2"/>
    </sheetView>
  </sheetViews>
  <sheetFormatPr defaultRowHeight="14.5" x14ac:dyDescent="0.35"/>
  <cols>
    <col min="1" max="1" width="37.54296875" customWidth="1"/>
    <col min="2" max="9" width="11.7265625" customWidth="1"/>
    <col min="10" max="10" width="8.1796875" customWidth="1"/>
    <col min="11" max="11" width="11.81640625" customWidth="1"/>
  </cols>
  <sheetData>
    <row r="1" spans="1:12" ht="15.5" x14ac:dyDescent="0.35">
      <c r="A1" s="35" t="s">
        <v>115</v>
      </c>
      <c r="B1" s="1"/>
      <c r="C1" s="1"/>
      <c r="D1" s="1"/>
      <c r="E1" s="1"/>
      <c r="F1" s="1"/>
      <c r="G1" s="1"/>
      <c r="H1" s="1"/>
      <c r="I1" s="1"/>
    </row>
    <row r="2" spans="1:12" x14ac:dyDescent="0.35">
      <c r="A2" s="1"/>
      <c r="B2" s="1"/>
      <c r="C2" s="1"/>
      <c r="D2" s="1"/>
      <c r="E2" s="1"/>
      <c r="F2" s="7"/>
      <c r="G2" s="7"/>
      <c r="H2" s="7"/>
      <c r="I2" s="7"/>
    </row>
    <row r="3" spans="1:12" ht="82.9" customHeight="1" x14ac:dyDescent="0.35">
      <c r="A3" s="99" t="s">
        <v>116</v>
      </c>
      <c r="B3" s="100" t="s">
        <v>26</v>
      </c>
      <c r="C3" s="100" t="s">
        <v>27</v>
      </c>
      <c r="D3" s="100" t="s">
        <v>28</v>
      </c>
      <c r="E3" s="100" t="s">
        <v>131</v>
      </c>
      <c r="F3" s="100" t="s">
        <v>11</v>
      </c>
      <c r="G3" s="100" t="s">
        <v>29</v>
      </c>
      <c r="H3" s="100" t="s">
        <v>30</v>
      </c>
      <c r="I3" s="100" t="s">
        <v>132</v>
      </c>
      <c r="J3" s="1"/>
      <c r="K3" s="1"/>
      <c r="L3" s="1"/>
    </row>
    <row r="4" spans="1:12" x14ac:dyDescent="0.35">
      <c r="A4" s="46" t="s">
        <v>117</v>
      </c>
      <c r="B4" s="10"/>
      <c r="C4" s="10"/>
      <c r="D4" s="10"/>
      <c r="E4" s="10"/>
      <c r="F4" s="10"/>
      <c r="G4" s="10"/>
      <c r="H4" s="10"/>
      <c r="I4" s="11"/>
      <c r="J4" s="1"/>
      <c r="K4" s="104" t="s">
        <v>15</v>
      </c>
      <c r="L4" s="104"/>
    </row>
    <row r="5" spans="1:12" ht="15.5" x14ac:dyDescent="0.35">
      <c r="A5" s="37" t="s">
        <v>122</v>
      </c>
      <c r="B5" s="10">
        <v>24</v>
      </c>
      <c r="C5" s="10">
        <v>1</v>
      </c>
      <c r="D5" s="10">
        <f t="shared" ref="D5:D15" si="0">B5*C5</f>
        <v>24</v>
      </c>
      <c r="E5" s="10">
        <v>2</v>
      </c>
      <c r="F5" s="10">
        <f>D5*E5</f>
        <v>48</v>
      </c>
      <c r="G5" s="10">
        <f>F5*0.05</f>
        <v>2.4000000000000004</v>
      </c>
      <c r="H5" s="10">
        <f t="shared" ref="H5:H14" si="1">F5*0.1</f>
        <v>4.8000000000000007</v>
      </c>
      <c r="I5" s="11">
        <f>F5*$L$6+G5*$L$5+H5*$L$7</f>
        <v>2934.4896000000003</v>
      </c>
      <c r="J5" s="1"/>
      <c r="K5" s="14" t="s">
        <v>17</v>
      </c>
      <c r="L5" s="98">
        <v>73.456000000000003</v>
      </c>
    </row>
    <row r="6" spans="1:12" x14ac:dyDescent="0.35">
      <c r="A6" s="34" t="s">
        <v>118</v>
      </c>
      <c r="B6" s="10"/>
      <c r="C6" s="10"/>
      <c r="D6" s="10"/>
      <c r="E6" s="10"/>
      <c r="F6" s="10"/>
      <c r="G6" s="10"/>
      <c r="H6" s="10"/>
      <c r="I6" s="47"/>
      <c r="J6" s="1"/>
      <c r="K6" s="14" t="s">
        <v>31</v>
      </c>
      <c r="L6" s="98">
        <v>54.512</v>
      </c>
    </row>
    <row r="7" spans="1:12" ht="15.5" x14ac:dyDescent="0.35">
      <c r="A7" s="37" t="s">
        <v>123</v>
      </c>
      <c r="B7" s="10">
        <v>24</v>
      </c>
      <c r="C7" s="10">
        <v>1</v>
      </c>
      <c r="D7" s="10">
        <f t="shared" si="0"/>
        <v>24</v>
      </c>
      <c r="E7" s="10">
        <f>+E5*0.2</f>
        <v>0.4</v>
      </c>
      <c r="F7" s="10">
        <f t="shared" ref="F7" si="2">D7*E7</f>
        <v>9.6000000000000014</v>
      </c>
      <c r="G7" s="10">
        <f t="shared" ref="G7:G14" si="3">F7*0.05</f>
        <v>0.48000000000000009</v>
      </c>
      <c r="H7" s="10">
        <f t="shared" si="1"/>
        <v>0.96000000000000019</v>
      </c>
      <c r="I7" s="11">
        <f>F7*$L$6+G7*$L$5+H7*$L$7</f>
        <v>586.89792000000011</v>
      </c>
      <c r="J7" s="1"/>
      <c r="K7" s="14" t="s">
        <v>19</v>
      </c>
      <c r="L7" s="98">
        <v>29.504000000000001</v>
      </c>
    </row>
    <row r="8" spans="1:12" x14ac:dyDescent="0.35">
      <c r="A8" s="34" t="s">
        <v>119</v>
      </c>
      <c r="B8" s="10"/>
      <c r="C8" s="10"/>
      <c r="D8" s="10"/>
      <c r="E8" s="10"/>
      <c r="F8" s="10"/>
      <c r="G8" s="10"/>
      <c r="H8" s="10"/>
      <c r="I8" s="11"/>
      <c r="J8" s="13"/>
      <c r="K8" s="13"/>
      <c r="L8" s="1"/>
    </row>
    <row r="9" spans="1:12" ht="34.5" customHeight="1" x14ac:dyDescent="0.35">
      <c r="A9" s="37" t="s">
        <v>124</v>
      </c>
      <c r="B9" s="10">
        <v>2</v>
      </c>
      <c r="C9" s="10">
        <v>1</v>
      </c>
      <c r="D9" s="10">
        <f t="shared" si="0"/>
        <v>2</v>
      </c>
      <c r="E9" s="10">
        <v>2</v>
      </c>
      <c r="F9" s="101">
        <f t="shared" ref="F9:F14" si="4">+D9*E9</f>
        <v>4</v>
      </c>
      <c r="G9" s="10">
        <f t="shared" si="3"/>
        <v>0.2</v>
      </c>
      <c r="H9" s="10">
        <f t="shared" si="1"/>
        <v>0.4</v>
      </c>
      <c r="I9" s="11">
        <f t="shared" ref="I9:I14" si="5">F9*$L$6+G9*$L$5+H9*$L$7</f>
        <v>244.54080000000002</v>
      </c>
      <c r="J9" s="13"/>
      <c r="K9" s="13"/>
      <c r="L9" s="1"/>
    </row>
    <row r="10" spans="1:12" ht="34.5" customHeight="1" x14ac:dyDescent="0.35">
      <c r="A10" s="37" t="s">
        <v>125</v>
      </c>
      <c r="B10" s="10">
        <v>2</v>
      </c>
      <c r="C10" s="10">
        <v>1</v>
      </c>
      <c r="D10" s="10">
        <f t="shared" si="0"/>
        <v>2</v>
      </c>
      <c r="E10" s="10">
        <v>2</v>
      </c>
      <c r="F10" s="101">
        <f t="shared" si="4"/>
        <v>4</v>
      </c>
      <c r="G10" s="10">
        <f t="shared" si="3"/>
        <v>0.2</v>
      </c>
      <c r="H10" s="10">
        <f t="shared" si="1"/>
        <v>0.4</v>
      </c>
      <c r="I10" s="11">
        <f t="shared" si="5"/>
        <v>244.54080000000002</v>
      </c>
      <c r="J10" s="13"/>
      <c r="K10" s="13"/>
      <c r="L10" s="1"/>
    </row>
    <row r="11" spans="1:12" x14ac:dyDescent="0.35">
      <c r="A11" s="37" t="s">
        <v>78</v>
      </c>
      <c r="B11" s="10">
        <v>0.5</v>
      </c>
      <c r="C11" s="10">
        <v>1</v>
      </c>
      <c r="D11" s="10">
        <f t="shared" si="0"/>
        <v>0.5</v>
      </c>
      <c r="E11" s="10">
        <v>2</v>
      </c>
      <c r="F11" s="96">
        <f t="shared" si="4"/>
        <v>1</v>
      </c>
      <c r="G11" s="10">
        <f t="shared" si="3"/>
        <v>0.05</v>
      </c>
      <c r="H11" s="10">
        <f t="shared" si="1"/>
        <v>0.1</v>
      </c>
      <c r="I11" s="11">
        <f t="shared" si="5"/>
        <v>61.135200000000005</v>
      </c>
      <c r="J11" s="13"/>
      <c r="K11" s="13"/>
      <c r="L11" s="1"/>
    </row>
    <row r="12" spans="1:12" x14ac:dyDescent="0.35">
      <c r="A12" s="37" t="s">
        <v>120</v>
      </c>
      <c r="B12" s="10">
        <v>0.5</v>
      </c>
      <c r="C12" s="10">
        <v>1</v>
      </c>
      <c r="D12" s="10">
        <f t="shared" si="0"/>
        <v>0.5</v>
      </c>
      <c r="E12" s="10">
        <v>2</v>
      </c>
      <c r="F12" s="96">
        <f t="shared" si="4"/>
        <v>1</v>
      </c>
      <c r="G12" s="10">
        <f t="shared" si="3"/>
        <v>0.05</v>
      </c>
      <c r="H12" s="10">
        <f t="shared" si="1"/>
        <v>0.1</v>
      </c>
      <c r="I12" s="11">
        <f t="shared" si="5"/>
        <v>61.135200000000005</v>
      </c>
      <c r="J12" s="13"/>
      <c r="K12" s="13"/>
      <c r="L12" s="1"/>
    </row>
    <row r="13" spans="1:12" ht="15.5" x14ac:dyDescent="0.35">
      <c r="A13" s="37" t="s">
        <v>126</v>
      </c>
      <c r="B13" s="10">
        <v>8</v>
      </c>
      <c r="C13" s="10">
        <v>1</v>
      </c>
      <c r="D13" s="10">
        <f t="shared" si="0"/>
        <v>8</v>
      </c>
      <c r="E13" s="10">
        <v>2</v>
      </c>
      <c r="F13" s="96">
        <f t="shared" si="4"/>
        <v>16</v>
      </c>
      <c r="G13" s="10">
        <f t="shared" si="3"/>
        <v>0.8</v>
      </c>
      <c r="H13" s="10">
        <f t="shared" si="1"/>
        <v>1.6</v>
      </c>
      <c r="I13" s="11">
        <f t="shared" si="5"/>
        <v>978.16320000000007</v>
      </c>
      <c r="J13" s="13"/>
      <c r="K13" s="13"/>
      <c r="L13" s="1"/>
    </row>
    <row r="14" spans="1:12" ht="15" customHeight="1" x14ac:dyDescent="0.35">
      <c r="A14" s="37" t="s">
        <v>121</v>
      </c>
      <c r="B14" s="10">
        <v>0.5</v>
      </c>
      <c r="C14" s="10">
        <v>1</v>
      </c>
      <c r="D14" s="10">
        <f t="shared" si="0"/>
        <v>0.5</v>
      </c>
      <c r="E14" s="10">
        <v>2</v>
      </c>
      <c r="F14" s="96">
        <f t="shared" si="4"/>
        <v>1</v>
      </c>
      <c r="G14" s="10">
        <f t="shared" si="3"/>
        <v>0.05</v>
      </c>
      <c r="H14" s="10">
        <f t="shared" si="1"/>
        <v>0.1</v>
      </c>
      <c r="I14" s="11">
        <f t="shared" si="5"/>
        <v>61.135200000000005</v>
      </c>
      <c r="J14" s="13"/>
      <c r="K14" s="13"/>
      <c r="L14" s="3"/>
    </row>
    <row r="15" spans="1:12" x14ac:dyDescent="0.35">
      <c r="A15" s="37" t="s">
        <v>82</v>
      </c>
      <c r="B15" s="10">
        <v>8</v>
      </c>
      <c r="C15" s="10">
        <v>2</v>
      </c>
      <c r="D15" s="10">
        <f t="shared" si="0"/>
        <v>16</v>
      </c>
      <c r="E15" s="10">
        <f>Respondents!F8</f>
        <v>144</v>
      </c>
      <c r="F15" s="68">
        <f t="shared" ref="F15" si="6">D15*E15</f>
        <v>2304</v>
      </c>
      <c r="G15" s="65">
        <f t="shared" ref="G15" si="7">F15*0.05</f>
        <v>115.2</v>
      </c>
      <c r="H15" s="68">
        <f t="shared" ref="H15" si="8">F15*0.1</f>
        <v>230.4</v>
      </c>
      <c r="I15" s="11">
        <f>F15*$L$6+G15*$L$5+H15*$L$7</f>
        <v>140855.50079999998</v>
      </c>
      <c r="J15" s="15"/>
      <c r="K15" s="15"/>
      <c r="L15" s="49"/>
    </row>
    <row r="16" spans="1:12" ht="15.5" x14ac:dyDescent="0.35">
      <c r="A16" s="48" t="s">
        <v>32</v>
      </c>
      <c r="B16" s="124"/>
      <c r="C16" s="124"/>
      <c r="D16" s="124"/>
      <c r="E16" s="124"/>
      <c r="F16" s="125">
        <f>ROUND(SUM(F4:H15), -1)</f>
        <v>2750</v>
      </c>
      <c r="G16" s="125"/>
      <c r="H16" s="125"/>
      <c r="I16" s="82">
        <f>ROUND(SUM(I4:I15), -3)</f>
        <v>146000</v>
      </c>
      <c r="J16" s="1"/>
      <c r="K16" s="1"/>
      <c r="L16" s="1"/>
    </row>
    <row r="17" spans="1:12" ht="35.5" customHeight="1" x14ac:dyDescent="0.35">
      <c r="A17" s="128"/>
      <c r="B17" s="128"/>
      <c r="C17" s="128"/>
      <c r="D17" s="128"/>
      <c r="E17" s="128"/>
      <c r="F17" s="128"/>
      <c r="G17" s="128"/>
      <c r="H17" s="128"/>
      <c r="I17" s="128"/>
      <c r="J17" s="1"/>
      <c r="K17" s="1"/>
      <c r="L17" s="1"/>
    </row>
    <row r="18" spans="1:12" ht="18.75" customHeight="1" x14ac:dyDescent="0.35">
      <c r="A18" s="127" t="s">
        <v>25</v>
      </c>
      <c r="B18" s="127"/>
      <c r="C18" s="127"/>
      <c r="D18" s="127"/>
      <c r="E18" s="127"/>
      <c r="F18" s="127"/>
      <c r="G18" s="127"/>
      <c r="H18" s="127"/>
      <c r="I18" s="127"/>
      <c r="J18" s="1"/>
      <c r="K18" s="1"/>
      <c r="L18" s="1"/>
    </row>
    <row r="19" spans="1:12" ht="19.149999999999999" customHeight="1" x14ac:dyDescent="0.35">
      <c r="A19" s="105" t="s">
        <v>112</v>
      </c>
      <c r="B19" s="105"/>
      <c r="C19" s="105"/>
      <c r="D19" s="105"/>
      <c r="E19" s="105"/>
      <c r="F19" s="105"/>
      <c r="G19" s="105"/>
      <c r="H19" s="105"/>
      <c r="I19" s="105"/>
      <c r="J19" s="1"/>
      <c r="K19" s="1"/>
      <c r="L19" s="1"/>
    </row>
    <row r="20" spans="1:12" ht="60.75" customHeight="1" x14ac:dyDescent="0.35">
      <c r="A20" s="126" t="s">
        <v>135</v>
      </c>
      <c r="B20" s="126"/>
      <c r="C20" s="126"/>
      <c r="D20" s="126"/>
      <c r="E20" s="126"/>
      <c r="F20" s="126"/>
      <c r="G20" s="126"/>
      <c r="H20" s="126"/>
      <c r="I20" s="126"/>
      <c r="J20" s="1"/>
      <c r="K20" s="1"/>
      <c r="L20" s="1"/>
    </row>
    <row r="21" spans="1:12" ht="15.5" x14ac:dyDescent="0.35">
      <c r="A21" s="105" t="s">
        <v>127</v>
      </c>
      <c r="B21" s="105"/>
      <c r="C21" s="105"/>
      <c r="D21" s="105"/>
      <c r="E21" s="105"/>
      <c r="F21" s="105"/>
      <c r="G21" s="105"/>
      <c r="H21" s="105"/>
      <c r="I21" s="105"/>
      <c r="J21" s="1"/>
      <c r="K21" s="1"/>
      <c r="L21" s="1"/>
    </row>
    <row r="22" spans="1:12" ht="15.5" x14ac:dyDescent="0.35">
      <c r="A22" s="105" t="s">
        <v>113</v>
      </c>
      <c r="B22" s="105"/>
      <c r="C22" s="105"/>
      <c r="D22" s="105"/>
      <c r="E22" s="105"/>
      <c r="F22" s="105"/>
      <c r="G22" s="105"/>
      <c r="H22" s="105"/>
      <c r="I22" s="105"/>
      <c r="J22" s="1"/>
      <c r="K22" s="1"/>
      <c r="L22" s="1"/>
    </row>
    <row r="23" spans="1:12" ht="15.5" x14ac:dyDescent="0.35">
      <c r="A23" s="105" t="s">
        <v>128</v>
      </c>
      <c r="B23" s="105"/>
      <c r="C23" s="105"/>
      <c r="D23" s="105"/>
      <c r="E23" s="105"/>
      <c r="F23" s="105"/>
      <c r="G23" s="105"/>
      <c r="H23" s="105"/>
      <c r="I23" s="105"/>
      <c r="J23" s="1"/>
      <c r="K23" s="1"/>
      <c r="L23" s="1"/>
    </row>
    <row r="24" spans="1:12" ht="15.5" x14ac:dyDescent="0.35">
      <c r="A24" s="105" t="s">
        <v>129</v>
      </c>
      <c r="B24" s="105"/>
      <c r="C24" s="105"/>
      <c r="D24" s="105"/>
      <c r="E24" s="105"/>
      <c r="F24" s="105"/>
      <c r="G24" s="105"/>
      <c r="H24" s="105"/>
      <c r="I24" s="105"/>
      <c r="J24" s="1"/>
      <c r="K24" s="1"/>
      <c r="L24" s="1"/>
    </row>
    <row r="25" spans="1:12" ht="16.899999999999999" customHeight="1" x14ac:dyDescent="0.35">
      <c r="A25" s="105" t="s">
        <v>130</v>
      </c>
      <c r="B25" s="105"/>
      <c r="C25" s="105"/>
      <c r="D25" s="105"/>
      <c r="E25" s="105"/>
      <c r="F25" s="105"/>
      <c r="G25" s="105"/>
      <c r="H25" s="105"/>
      <c r="I25" s="105"/>
      <c r="J25" s="1"/>
      <c r="K25" s="1"/>
      <c r="L25" s="1"/>
    </row>
    <row r="26" spans="1:12" ht="19.5" customHeight="1" x14ac:dyDescent="0.35">
      <c r="A26" s="105" t="s">
        <v>114</v>
      </c>
      <c r="B26" s="105"/>
      <c r="C26" s="105"/>
      <c r="D26" s="105"/>
      <c r="E26" s="105"/>
      <c r="F26" s="105"/>
      <c r="G26" s="105"/>
      <c r="H26" s="105"/>
      <c r="I26" s="105"/>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85"/>
      <c r="C30" s="85"/>
      <c r="D30" s="1"/>
      <c r="E30" s="1"/>
      <c r="F30" s="1"/>
      <c r="G30" s="1"/>
      <c r="H30" s="1"/>
      <c r="I30" s="1"/>
      <c r="J30" s="1"/>
      <c r="K30" s="1"/>
      <c r="L30" s="1"/>
    </row>
    <row r="31" spans="1:12" x14ac:dyDescent="0.35">
      <c r="A31" s="1"/>
      <c r="B31" s="85"/>
      <c r="C31" s="85"/>
      <c r="D31" s="1"/>
      <c r="E31" s="1"/>
      <c r="F31" s="1"/>
      <c r="G31" s="1"/>
      <c r="H31" s="1"/>
      <c r="I31" s="1"/>
      <c r="J31" s="1"/>
      <c r="K31" s="1"/>
      <c r="L31" s="1"/>
    </row>
    <row r="32" spans="1:12" x14ac:dyDescent="0.35">
      <c r="A32" s="1"/>
      <c r="B32" s="85"/>
      <c r="C32" s="85"/>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sheetData>
  <mergeCells count="13">
    <mergeCell ref="K4:L4"/>
    <mergeCell ref="A26:I26"/>
    <mergeCell ref="B16:E16"/>
    <mergeCell ref="A23:I23"/>
    <mergeCell ref="A24:I24"/>
    <mergeCell ref="A25:I25"/>
    <mergeCell ref="F16:H16"/>
    <mergeCell ref="A19:I19"/>
    <mergeCell ref="A20:I20"/>
    <mergeCell ref="A22:I22"/>
    <mergeCell ref="A21:I21"/>
    <mergeCell ref="A18:I18"/>
    <mergeCell ref="A17:I17"/>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L9"/>
  <sheetViews>
    <sheetView zoomScale="90" zoomScaleNormal="90" workbookViewId="0">
      <selection activeCell="I4" sqref="I4"/>
    </sheetView>
  </sheetViews>
  <sheetFormatPr defaultColWidth="22" defaultRowHeight="13" x14ac:dyDescent="0.3"/>
  <cols>
    <col min="1" max="1" width="17.54296875" style="18" customWidth="1"/>
    <col min="2" max="2" width="14.26953125" style="18" customWidth="1"/>
    <col min="3" max="3" width="13.7265625" style="18" customWidth="1"/>
    <col min="4" max="4" width="16.7265625" style="18" customWidth="1"/>
    <col min="5" max="5" width="19.81640625" style="18" customWidth="1"/>
    <col min="6" max="7" width="16.81640625" style="18" customWidth="1"/>
    <col min="8" max="8" width="6" style="18" customWidth="1"/>
    <col min="9" max="16384" width="22" style="18"/>
  </cols>
  <sheetData>
    <row r="1" spans="1:12" x14ac:dyDescent="0.3">
      <c r="A1" s="5"/>
      <c r="B1" s="6"/>
      <c r="C1" s="6"/>
    </row>
    <row r="2" spans="1:12" x14ac:dyDescent="0.3">
      <c r="A2" s="130" t="s">
        <v>33</v>
      </c>
      <c r="B2" s="130"/>
      <c r="C2" s="130"/>
      <c r="D2" s="130"/>
      <c r="E2" s="130"/>
      <c r="F2" s="130"/>
      <c r="G2" s="131"/>
      <c r="H2" s="27"/>
    </row>
    <row r="3" spans="1:12" x14ac:dyDescent="0.3">
      <c r="A3" s="23" t="s">
        <v>34</v>
      </c>
      <c r="B3" s="23" t="s">
        <v>35</v>
      </c>
      <c r="C3" s="23" t="s">
        <v>36</v>
      </c>
      <c r="D3" s="23" t="s">
        <v>37</v>
      </c>
      <c r="E3" s="23" t="s">
        <v>38</v>
      </c>
      <c r="F3" s="23" t="s">
        <v>39</v>
      </c>
      <c r="G3" s="23" t="s">
        <v>40</v>
      </c>
      <c r="H3" s="27"/>
    </row>
    <row r="4" spans="1:12" ht="46.5" customHeight="1" x14ac:dyDescent="0.3">
      <c r="A4" s="23" t="s">
        <v>41</v>
      </c>
      <c r="B4" s="23" t="s">
        <v>42</v>
      </c>
      <c r="C4" s="23" t="s">
        <v>138</v>
      </c>
      <c r="D4" s="23" t="s">
        <v>43</v>
      </c>
      <c r="E4" s="23" t="s">
        <v>44</v>
      </c>
      <c r="F4" s="23" t="s">
        <v>139</v>
      </c>
      <c r="G4" s="23" t="s">
        <v>45</v>
      </c>
      <c r="H4" s="27"/>
      <c r="K4" s="18" t="s">
        <v>137</v>
      </c>
      <c r="L4" s="18" t="s">
        <v>136</v>
      </c>
    </row>
    <row r="5" spans="1:12" ht="36.75" customHeight="1" x14ac:dyDescent="0.3">
      <c r="A5" s="22" t="s">
        <v>140</v>
      </c>
      <c r="B5" s="24">
        <f>100000*L5/K5</f>
        <v>141814.38998957249</v>
      </c>
      <c r="C5" s="20">
        <v>2</v>
      </c>
      <c r="D5" s="24">
        <f>B5*C5</f>
        <v>283628.77997914498</v>
      </c>
      <c r="E5" s="24">
        <f>35000*L5/K5</f>
        <v>49635.036496350367</v>
      </c>
      <c r="F5" s="20">
        <v>144</v>
      </c>
      <c r="G5" s="24">
        <f>E5*F5</f>
        <v>7147445.2554744529</v>
      </c>
      <c r="H5" s="28"/>
      <c r="K5" s="102">
        <v>575.4</v>
      </c>
      <c r="L5" s="102">
        <v>816</v>
      </c>
    </row>
    <row r="6" spans="1:12" ht="15" x14ac:dyDescent="0.3">
      <c r="A6" s="25" t="s">
        <v>141</v>
      </c>
      <c r="B6" s="20"/>
      <c r="C6" s="20"/>
      <c r="D6" s="26">
        <f>ROUND(SUM(D5:D5), -3)</f>
        <v>284000</v>
      </c>
      <c r="E6" s="20"/>
      <c r="F6" s="20"/>
      <c r="G6" s="26">
        <f>ROUND(SUM(G5), -4)</f>
        <v>7150000</v>
      </c>
      <c r="I6" s="75">
        <f>D6+G6</f>
        <v>7434000</v>
      </c>
    </row>
    <row r="7" spans="1:12" ht="11.25" customHeight="1" x14ac:dyDescent="0.3">
      <c r="A7" s="73"/>
      <c r="B7" s="74"/>
      <c r="C7" s="74"/>
      <c r="D7" s="29"/>
      <c r="E7" s="74"/>
      <c r="F7" s="74"/>
      <c r="G7" s="29"/>
    </row>
    <row r="8" spans="1:12" ht="17.25" customHeight="1" x14ac:dyDescent="0.3">
      <c r="A8" s="129" t="s">
        <v>143</v>
      </c>
      <c r="B8" s="129"/>
      <c r="C8" s="129"/>
      <c r="D8" s="129"/>
      <c r="E8" s="129"/>
      <c r="F8" s="129"/>
      <c r="G8" s="129"/>
    </row>
    <row r="9" spans="1:12" ht="17.25" customHeight="1" x14ac:dyDescent="0.3">
      <c r="A9" s="129" t="s">
        <v>142</v>
      </c>
      <c r="B9" s="129"/>
      <c r="C9" s="129"/>
      <c r="D9" s="129"/>
      <c r="E9" s="129"/>
      <c r="F9" s="129"/>
      <c r="G9" s="129"/>
    </row>
  </sheetData>
  <mergeCells count="3">
    <mergeCell ref="A9:G9"/>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2"/>
  <sheetViews>
    <sheetView zoomScaleNormal="100" workbookViewId="0">
      <selection activeCell="B16" sqref="B16"/>
    </sheetView>
  </sheetViews>
  <sheetFormatPr defaultRowHeight="14.5" x14ac:dyDescent="0.35"/>
  <cols>
    <col min="1" max="1" width="22.26953125" bestFit="1" customWidth="1"/>
    <col min="2" max="2" width="11.81640625" customWidth="1"/>
    <col min="3" max="3" width="12.7265625" customWidth="1"/>
    <col min="4" max="4" width="26.26953125" customWidth="1"/>
    <col min="5" max="5" width="14.7265625" customWidth="1"/>
  </cols>
  <sheetData>
    <row r="1" spans="1:6" s="18" customFormat="1" ht="13" x14ac:dyDescent="0.3">
      <c r="A1" s="132" t="s">
        <v>6</v>
      </c>
      <c r="B1" s="132"/>
      <c r="C1" s="132"/>
      <c r="D1" s="132"/>
      <c r="E1" s="132"/>
    </row>
    <row r="2" spans="1:6" s="18" customFormat="1" ht="13" x14ac:dyDescent="0.3">
      <c r="A2" s="19" t="s">
        <v>34</v>
      </c>
      <c r="B2" s="19" t="s">
        <v>35</v>
      </c>
      <c r="C2" s="19" t="s">
        <v>36</v>
      </c>
      <c r="D2" s="19" t="s">
        <v>37</v>
      </c>
      <c r="E2" s="19" t="s">
        <v>38</v>
      </c>
    </row>
    <row r="3" spans="1:6" s="18" customFormat="1" ht="34.5" x14ac:dyDescent="0.3">
      <c r="A3" s="92" t="s">
        <v>46</v>
      </c>
      <c r="B3" s="92" t="s">
        <v>83</v>
      </c>
      <c r="C3" s="92" t="s">
        <v>47</v>
      </c>
      <c r="D3" s="92" t="s">
        <v>48</v>
      </c>
      <c r="E3" s="92" t="s">
        <v>49</v>
      </c>
    </row>
    <row r="4" spans="1:6" s="18" customFormat="1" ht="23" x14ac:dyDescent="0.3">
      <c r="A4" s="87" t="s">
        <v>77</v>
      </c>
      <c r="B4" s="88">
        <v>2</v>
      </c>
      <c r="C4" s="88">
        <v>1</v>
      </c>
      <c r="D4" s="88">
        <v>0</v>
      </c>
      <c r="E4" s="88">
        <f t="shared" ref="E4:E10" si="0">(B4*C4)+D4</f>
        <v>2</v>
      </c>
    </row>
    <row r="5" spans="1:6" s="18" customFormat="1" ht="13" x14ac:dyDescent="0.3">
      <c r="A5" s="87" t="s">
        <v>78</v>
      </c>
      <c r="B5" s="88">
        <v>2</v>
      </c>
      <c r="C5" s="88">
        <v>1</v>
      </c>
      <c r="D5" s="88">
        <v>0</v>
      </c>
      <c r="E5" s="88">
        <f t="shared" si="0"/>
        <v>2</v>
      </c>
    </row>
    <row r="6" spans="1:6" s="18" customFormat="1" ht="34.5" x14ac:dyDescent="0.3">
      <c r="A6" s="87" t="s">
        <v>79</v>
      </c>
      <c r="B6" s="88">
        <v>2</v>
      </c>
      <c r="C6" s="88">
        <v>1</v>
      </c>
      <c r="D6" s="88">
        <v>0</v>
      </c>
      <c r="E6" s="88">
        <f t="shared" si="0"/>
        <v>2</v>
      </c>
    </row>
    <row r="7" spans="1:6" s="18" customFormat="1" ht="23" x14ac:dyDescent="0.3">
      <c r="A7" s="87" t="s">
        <v>110</v>
      </c>
      <c r="B7" s="88">
        <v>2</v>
      </c>
      <c r="C7" s="88">
        <v>1</v>
      </c>
      <c r="D7" s="88">
        <v>0</v>
      </c>
      <c r="E7" s="88">
        <f t="shared" si="0"/>
        <v>2</v>
      </c>
    </row>
    <row r="8" spans="1:6" s="18" customFormat="1" ht="23" x14ac:dyDescent="0.3">
      <c r="A8" s="87" t="s">
        <v>80</v>
      </c>
      <c r="B8" s="88">
        <v>2</v>
      </c>
      <c r="C8" s="88">
        <v>1</v>
      </c>
      <c r="D8" s="88">
        <v>0</v>
      </c>
      <c r="E8" s="88">
        <f t="shared" si="0"/>
        <v>2</v>
      </c>
      <c r="F8" s="3"/>
    </row>
    <row r="9" spans="1:6" s="18" customFormat="1" ht="28.5" customHeight="1" x14ac:dyDescent="0.3">
      <c r="A9" s="87" t="s">
        <v>81</v>
      </c>
      <c r="B9" s="88">
        <v>2</v>
      </c>
      <c r="C9" s="88">
        <v>1</v>
      </c>
      <c r="D9" s="88">
        <v>0</v>
      </c>
      <c r="E9" s="88">
        <f t="shared" si="0"/>
        <v>2</v>
      </c>
    </row>
    <row r="10" spans="1:6" s="18" customFormat="1" ht="29.25" customHeight="1" x14ac:dyDescent="0.3">
      <c r="A10" s="87" t="s">
        <v>50</v>
      </c>
      <c r="B10" s="88">
        <f>Respondents!C8</f>
        <v>144</v>
      </c>
      <c r="C10" s="88">
        <v>2</v>
      </c>
      <c r="D10" s="88">
        <v>0</v>
      </c>
      <c r="E10" s="88">
        <f t="shared" si="0"/>
        <v>288</v>
      </c>
    </row>
    <row r="11" spans="1:6" s="18" customFormat="1" ht="13" x14ac:dyDescent="0.3">
      <c r="A11" s="89"/>
      <c r="B11" s="88"/>
      <c r="C11" s="88"/>
      <c r="D11" s="90" t="s">
        <v>51</v>
      </c>
      <c r="E11" s="91">
        <f>SUM(E4:E10)</f>
        <v>300</v>
      </c>
    </row>
    <row r="12" spans="1:6" s="18" customFormat="1" ht="9.75" customHeight="1" x14ac:dyDescent="0.3">
      <c r="A12" s="76"/>
      <c r="B12" s="77"/>
      <c r="C12" s="77"/>
      <c r="D12" s="78"/>
      <c r="E12" s="79"/>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E13" sqref="E13"/>
    </sheetView>
  </sheetViews>
  <sheetFormatPr defaultColWidth="17.7265625" defaultRowHeight="31.9" customHeight="1" x14ac:dyDescent="0.35"/>
  <cols>
    <col min="1" max="1" width="13.26953125" customWidth="1"/>
    <col min="2" max="2" width="14.1796875" customWidth="1"/>
    <col min="3" max="3" width="15.453125" customWidth="1"/>
    <col min="6" max="6" width="13.54296875" customWidth="1"/>
  </cols>
  <sheetData>
    <row r="1" spans="1:6" s="18" customFormat="1" ht="15" x14ac:dyDescent="0.3">
      <c r="A1" s="133" t="s">
        <v>2</v>
      </c>
      <c r="B1" s="133"/>
      <c r="C1" s="133"/>
      <c r="D1" s="133"/>
      <c r="E1" s="133"/>
      <c r="F1" s="133"/>
    </row>
    <row r="2" spans="1:6" s="18" customFormat="1" ht="40.15" customHeight="1" x14ac:dyDescent="0.3">
      <c r="A2" s="30"/>
      <c r="B2" s="134" t="s">
        <v>52</v>
      </c>
      <c r="C2" s="134"/>
      <c r="D2" s="30" t="s">
        <v>53</v>
      </c>
      <c r="E2" s="134"/>
      <c r="F2" s="134"/>
    </row>
    <row r="3" spans="1:6" s="18" customFormat="1" ht="13" x14ac:dyDescent="0.3">
      <c r="A3" s="30"/>
      <c r="B3" s="31" t="s">
        <v>34</v>
      </c>
      <c r="C3" s="31" t="s">
        <v>35</v>
      </c>
      <c r="D3" s="31" t="s">
        <v>36</v>
      </c>
      <c r="E3" s="31" t="s">
        <v>37</v>
      </c>
      <c r="F3" s="31" t="s">
        <v>38</v>
      </c>
    </row>
    <row r="4" spans="1:6" s="18" customFormat="1" ht="52" x14ac:dyDescent="0.3">
      <c r="A4" s="31" t="s">
        <v>54</v>
      </c>
      <c r="B4" s="30" t="s">
        <v>55</v>
      </c>
      <c r="C4" s="30" t="s">
        <v>56</v>
      </c>
      <c r="D4" s="30" t="s">
        <v>57</v>
      </c>
      <c r="E4" s="30" t="s">
        <v>58</v>
      </c>
      <c r="F4" s="30" t="s">
        <v>59</v>
      </c>
    </row>
    <row r="5" spans="1:6" s="18" customFormat="1" ht="31.9" customHeight="1" x14ac:dyDescent="0.3">
      <c r="A5" s="19">
        <v>1</v>
      </c>
      <c r="B5" s="20">
        <v>2</v>
      </c>
      <c r="C5" s="20">
        <v>144</v>
      </c>
      <c r="D5" s="20">
        <v>0</v>
      </c>
      <c r="E5" s="20">
        <v>2</v>
      </c>
      <c r="F5" s="20">
        <f>B5+C5+D5-E5</f>
        <v>144</v>
      </c>
    </row>
    <row r="6" spans="1:6" s="18" customFormat="1" ht="31.9" customHeight="1" x14ac:dyDescent="0.3">
      <c r="A6" s="19">
        <v>2</v>
      </c>
      <c r="B6" s="20">
        <v>2</v>
      </c>
      <c r="C6" s="20">
        <v>144</v>
      </c>
      <c r="D6" s="20">
        <v>0</v>
      </c>
      <c r="E6" s="20">
        <v>2</v>
      </c>
      <c r="F6" s="20">
        <f>B6+C6+D6-E6</f>
        <v>144</v>
      </c>
    </row>
    <row r="7" spans="1:6" s="18" customFormat="1" ht="31.9" customHeight="1" x14ac:dyDescent="0.3">
      <c r="A7" s="19">
        <v>3</v>
      </c>
      <c r="B7" s="20">
        <v>2</v>
      </c>
      <c r="C7" s="20">
        <v>144</v>
      </c>
      <c r="D7" s="20">
        <v>0</v>
      </c>
      <c r="E7" s="20">
        <v>2</v>
      </c>
      <c r="F7" s="20">
        <f>B7+C7+D7-E7</f>
        <v>144</v>
      </c>
    </row>
    <row r="8" spans="1:6" s="18" customFormat="1" ht="31.9" customHeight="1" x14ac:dyDescent="0.3">
      <c r="A8" s="19" t="s">
        <v>60</v>
      </c>
      <c r="B8" s="20">
        <f>AVERAGE(B5:B7)</f>
        <v>2</v>
      </c>
      <c r="C8" s="20">
        <f>AVERAGE(C5:C7)</f>
        <v>144</v>
      </c>
      <c r="D8" s="20">
        <v>0</v>
      </c>
      <c r="E8" s="20">
        <v>0</v>
      </c>
      <c r="F8" s="23">
        <f>AVERAGE(F5:F7)</f>
        <v>144</v>
      </c>
    </row>
    <row r="9" spans="1:6" s="18" customFormat="1" ht="20.5" customHeight="1" x14ac:dyDescent="0.3">
      <c r="A9" s="21" t="s">
        <v>61</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2024-04-10T13:15:12Z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