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9234AB7C-650E-4225-991E-0D4C6A5E1E65}"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5" l="1"/>
  <c r="B5" i="5"/>
  <c r="B6" i="5"/>
  <c r="B4" i="5"/>
  <c r="B9" i="5" l="1"/>
  <c r="B10" i="5"/>
  <c r="B8" i="5"/>
  <c r="E17" i="2"/>
  <c r="E16" i="2"/>
  <c r="E15" i="2"/>
  <c r="F29" i="1"/>
  <c r="E25" i="1"/>
  <c r="F20" i="1"/>
  <c r="E19" i="1"/>
  <c r="I27" i="1"/>
  <c r="I17" i="1"/>
  <c r="I7" i="1"/>
  <c r="I28" i="1" l="1"/>
  <c r="I14" i="1"/>
  <c r="I15" i="1"/>
  <c r="I18" i="1"/>
  <c r="I13" i="1"/>
  <c r="I10" i="1"/>
  <c r="I9" i="1"/>
  <c r="D28" i="1" l="1"/>
  <c r="E28" i="1"/>
  <c r="E27" i="1"/>
  <c r="E18" i="1"/>
  <c r="E17" i="1" s="1"/>
  <c r="E15" i="1"/>
  <c r="E14" i="1"/>
  <c r="E13" i="1"/>
  <c r="E10" i="1"/>
  <c r="D7" i="3"/>
  <c r="E10" i="4"/>
  <c r="D10" i="4"/>
  <c r="E9" i="5"/>
  <c r="E8" i="5"/>
  <c r="E7" i="5"/>
  <c r="D17" i="2"/>
  <c r="D16" i="2"/>
  <c r="D15" i="2"/>
  <c r="F15" i="2" s="1"/>
  <c r="D13" i="2"/>
  <c r="E13" i="2"/>
  <c r="D12" i="2"/>
  <c r="D11" i="2"/>
  <c r="F11" i="2" s="1"/>
  <c r="D10" i="2"/>
  <c r="D7" i="2"/>
  <c r="D5" i="2"/>
  <c r="D27" i="1"/>
  <c r="D25" i="1"/>
  <c r="D19" i="1"/>
  <c r="D18" i="1"/>
  <c r="D17" i="1"/>
  <c r="D15" i="1"/>
  <c r="D14" i="1"/>
  <c r="D13" i="1"/>
  <c r="D10" i="1"/>
  <c r="F10" i="1" s="1"/>
  <c r="D9" i="1"/>
  <c r="F9" i="1" s="1"/>
  <c r="D7" i="1"/>
  <c r="F5" i="2" l="1"/>
  <c r="F12" i="2"/>
  <c r="E6" i="5"/>
  <c r="E4" i="5"/>
  <c r="F10" i="2"/>
  <c r="G10" i="2" s="1"/>
  <c r="F17" i="2"/>
  <c r="G17" i="2" s="1"/>
  <c r="E5" i="5"/>
  <c r="E10" i="5"/>
  <c r="F16" i="2"/>
  <c r="G16" i="2" s="1"/>
  <c r="F13" i="1"/>
  <c r="H13" i="1" s="1"/>
  <c r="F28" i="1"/>
  <c r="F15" i="1"/>
  <c r="F18" i="1"/>
  <c r="G18" i="1" s="1"/>
  <c r="F7" i="2"/>
  <c r="F13" i="2"/>
  <c r="G13" i="2" s="1"/>
  <c r="G9" i="1"/>
  <c r="H9" i="1"/>
  <c r="F19" i="1"/>
  <c r="F25" i="1"/>
  <c r="F14" i="1"/>
  <c r="G14" i="1" s="1"/>
  <c r="F17" i="1"/>
  <c r="H17" i="1" s="1"/>
  <c r="F7" i="1"/>
  <c r="F27" i="1"/>
  <c r="H27" i="1" s="1"/>
  <c r="F7" i="4"/>
  <c r="B10" i="4"/>
  <c r="H11" i="2"/>
  <c r="G11" i="2"/>
  <c r="G5" i="2"/>
  <c r="H5" i="2"/>
  <c r="H12" i="2"/>
  <c r="G12" i="2"/>
  <c r="H28" i="1"/>
  <c r="G28" i="1"/>
  <c r="H10" i="1"/>
  <c r="G10" i="1"/>
  <c r="H15" i="1"/>
  <c r="G15" i="1"/>
  <c r="H18" i="1"/>
  <c r="I11" i="2" l="1"/>
  <c r="E11" i="5"/>
  <c r="H17" i="2"/>
  <c r="I17" i="2"/>
  <c r="G25" i="1"/>
  <c r="H19" i="1"/>
  <c r="H10" i="2"/>
  <c r="I10" i="2" s="1"/>
  <c r="H15" i="2"/>
  <c r="I5" i="2"/>
  <c r="G15" i="2"/>
  <c r="I12" i="2"/>
  <c r="G7" i="2"/>
  <c r="H16" i="2"/>
  <c r="I16" i="2" s="1"/>
  <c r="H7" i="2"/>
  <c r="H13" i="2"/>
  <c r="I13" i="2" s="1"/>
  <c r="G13" i="1"/>
  <c r="G27" i="1"/>
  <c r="H25" i="1"/>
  <c r="I25" i="1" s="1"/>
  <c r="I29" i="1" s="1"/>
  <c r="G19" i="1"/>
  <c r="I19" i="1" s="1"/>
  <c r="I20" i="1" s="1"/>
  <c r="G17" i="1"/>
  <c r="G7" i="1"/>
  <c r="H14" i="1"/>
  <c r="H7" i="1"/>
  <c r="F18" i="2" l="1"/>
  <c r="I15" i="2"/>
  <c r="I30" i="1"/>
  <c r="B7" i="6"/>
  <c r="I7" i="2"/>
  <c r="F8" i="4"/>
  <c r="I18" i="2" l="1"/>
  <c r="F30" i="1"/>
  <c r="F32" i="1" l="1"/>
  <c r="L28" i="1"/>
  <c r="B2" i="6" s="1"/>
  <c r="B4" i="6"/>
  <c r="F9" i="4"/>
  <c r="F10" i="4" s="1"/>
  <c r="F5" i="3" s="1"/>
  <c r="G5" i="3" s="1"/>
  <c r="C10" i="4"/>
  <c r="B3" i="6" l="1"/>
  <c r="G7" i="3"/>
  <c r="I7" i="3" l="1"/>
  <c r="B6" i="6"/>
  <c r="I31" i="1"/>
  <c r="I32" i="1" l="1"/>
  <c r="B5" i="6" s="1"/>
</calcChain>
</file>

<file path=xl/sharedStrings.xml><?xml version="1.0" encoding="utf-8"?>
<sst xmlns="http://schemas.openxmlformats.org/spreadsheetml/2006/main" count="160" uniqueCount="130">
  <si>
    <t>ICR Summary Information</t>
  </si>
  <si>
    <t>Hours per Response</t>
  </si>
  <si>
    <t>Number of Respondents</t>
  </si>
  <si>
    <t>Total Estimated Burden Hours</t>
  </si>
  <si>
    <t>Total Estimated Costs</t>
  </si>
  <si>
    <t>Annualized Capital O&amp;M</t>
  </si>
  <si>
    <t>Total Annual Responses</t>
  </si>
  <si>
    <t>Labor Rates</t>
  </si>
  <si>
    <t>Management</t>
  </si>
  <si>
    <t>Technical</t>
  </si>
  <si>
    <t>Clerical</t>
  </si>
  <si>
    <t>Subtotal for Reporting Requirements</t>
  </si>
  <si>
    <t>Burden item</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</si>
  <si>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</si>
  <si>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</si>
  <si>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</si>
  <si>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</si>
  <si>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</si>
  <si>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</si>
  <si>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</si>
  <si>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</si>
  <si>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</si>
  <si>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</si>
  <si>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</si>
  <si>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</si>
  <si>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</si>
  <si>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</si>
  <si>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</si>
  <si>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</si>
  <si>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</si>
  <si>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t>Notification of performance test</t>
  </si>
  <si>
    <t>Total</t>
  </si>
  <si>
    <t>Respondents That Submit Reports</t>
  </si>
  <si>
    <t>Respondents That Do Not Submit Any Reports</t>
  </si>
  <si>
    <t>Year</t>
  </si>
  <si>
    <t>Number of Existing Respondents</t>
  </si>
  <si>
    <t>Number of Existing Respondents That Are Also New Respondents</t>
  </si>
  <si>
    <t>Average</t>
  </si>
  <si>
    <t>Form Number</t>
  </si>
  <si>
    <t>Table 1: Annual Respondent Burden and Cost – NSPS for Metal Coil Surface Coating (40 CFR Part 60, Subpart TT) (Renewal)</t>
  </si>
  <si>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</si>
  <si>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</si>
  <si>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</si>
  <si>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</si>
  <si>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</si>
  <si>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</si>
  <si>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</si>
  <si>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</si>
  <si>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1.  Applications</t>
  </si>
  <si>
    <t>N/A</t>
  </si>
  <si>
    <t>2.  Surveys and studies</t>
  </si>
  <si>
    <t>3.  Reporting requirements</t>
  </si>
  <si>
    <r>
      <t>A.  Familiarization with regulatory requirements</t>
    </r>
    <r>
      <rPr>
        <vertAlign val="superscript"/>
        <sz val="10"/>
        <rFont val="Times New Roman"/>
        <family val="1"/>
      </rPr>
      <t>a</t>
    </r>
  </si>
  <si>
    <t>B.  Required activities</t>
  </si>
  <si>
    <r>
      <t xml:space="preserve">Initial performance test </t>
    </r>
    <r>
      <rPr>
        <vertAlign val="superscript"/>
        <sz val="10"/>
        <rFont val="Times New Roman"/>
        <family val="1"/>
      </rPr>
      <t>c</t>
    </r>
  </si>
  <si>
    <r>
      <t xml:space="preserve">Repeat performance test </t>
    </r>
    <r>
      <rPr>
        <vertAlign val="superscript"/>
        <sz val="10"/>
        <rFont val="Times New Roman"/>
        <family val="1"/>
      </rPr>
      <t>c</t>
    </r>
  </si>
  <si>
    <t>C.  Gather existing information</t>
  </si>
  <si>
    <t>See 3B</t>
  </si>
  <si>
    <t>D.  Write report</t>
  </si>
  <si>
    <r>
      <t>Notification of construction/reconstruction</t>
    </r>
    <r>
      <rPr>
        <vertAlign val="superscript"/>
        <sz val="10"/>
        <rFont val="Times New Roman"/>
        <family val="1"/>
      </rPr>
      <t>c</t>
    </r>
  </si>
  <si>
    <r>
      <t>Notification of actual startup</t>
    </r>
    <r>
      <rPr>
        <vertAlign val="superscript"/>
        <sz val="10"/>
        <rFont val="Times New Roman"/>
        <family val="1"/>
      </rPr>
      <t>c</t>
    </r>
  </si>
  <si>
    <t>Notification of CMS demonstration date</t>
  </si>
  <si>
    <r>
      <t>Report of performance test</t>
    </r>
    <r>
      <rPr>
        <vertAlign val="superscript"/>
        <sz val="10"/>
        <rFont val="Times New Roman"/>
        <family val="1"/>
      </rPr>
      <t>c</t>
    </r>
  </si>
  <si>
    <r>
      <t>VOC emissions report</t>
    </r>
    <r>
      <rPr>
        <vertAlign val="superscript"/>
        <sz val="10"/>
        <rFont val="Times New Roman"/>
        <family val="1"/>
      </rPr>
      <t>d</t>
    </r>
  </si>
  <si>
    <r>
      <t>Excess emissions report</t>
    </r>
    <r>
      <rPr>
        <vertAlign val="superscript"/>
        <sz val="10"/>
        <rFont val="Times New Roman"/>
        <family val="1"/>
      </rPr>
      <t>d</t>
    </r>
  </si>
  <si>
    <r>
      <t xml:space="preserve">Temperature variance report </t>
    </r>
    <r>
      <rPr>
        <vertAlign val="superscript"/>
        <sz val="10"/>
        <rFont val="Times New Roman"/>
        <family val="1"/>
      </rPr>
      <t>e</t>
    </r>
  </si>
  <si>
    <t>4.  Recordkeeping requirements</t>
  </si>
  <si>
    <t>A.  Familiarization with regulatory requirements</t>
  </si>
  <si>
    <t>See 3A</t>
  </si>
  <si>
    <t>B.  Plan activities</t>
  </si>
  <si>
    <t>C.  Implement activities</t>
  </si>
  <si>
    <r>
      <t>Monthly VOC weighted average calculations</t>
    </r>
    <r>
      <rPr>
        <vertAlign val="superscript"/>
        <sz val="10"/>
        <rFont val="Times New Roman"/>
        <family val="1"/>
      </rPr>
      <t>f</t>
    </r>
  </si>
  <si>
    <t>D.  Develop record system</t>
  </si>
  <si>
    <r>
      <t>Records of temperature</t>
    </r>
    <r>
      <rPr>
        <vertAlign val="superscript"/>
        <sz val="10"/>
        <rFont val="Times New Roman"/>
        <family val="1"/>
      </rPr>
      <t>e</t>
    </r>
  </si>
  <si>
    <r>
      <t>Records of data used to support monthly VOC calculations</t>
    </r>
    <r>
      <rPr>
        <vertAlign val="superscript"/>
        <sz val="10"/>
        <rFont val="Times New Roman"/>
        <family val="1"/>
      </rPr>
      <t>f</t>
    </r>
  </si>
  <si>
    <t>Subtotal for Recordkeeping Requirements</t>
  </si>
  <si>
    <r>
      <t>TOTAL ANNUAL BURDEN AND COST (ROUNDED)</t>
    </r>
    <r>
      <rPr>
        <b/>
        <vertAlign val="superscript"/>
        <sz val="10"/>
        <rFont val="Times New Roman"/>
        <family val="1"/>
      </rPr>
      <t>g</t>
    </r>
  </si>
  <si>
    <r>
      <t>Total CAPITAL and O&amp;M COST (rounded)</t>
    </r>
    <r>
      <rPr>
        <b/>
        <vertAlign val="superscript"/>
        <sz val="10"/>
        <rFont val="Times New Roman"/>
        <family val="1"/>
      </rPr>
      <t>g</t>
    </r>
  </si>
  <si>
    <r>
      <t>GRAND TOTAL (rounded)</t>
    </r>
    <r>
      <rPr>
        <b/>
        <vertAlign val="superscript"/>
        <sz val="10"/>
        <rFont val="Times New Roman"/>
        <family val="1"/>
      </rPr>
      <t>g</t>
    </r>
  </si>
  <si>
    <t>Table 2: Average Annual EPA Burden and Cost – NSPS for Metal Coil Surface Coating (40 CFR Part 60, Subpart TT) (Renewal)</t>
  </si>
  <si>
    <t>(A)
EPA
person-hours
per occurrence</t>
  </si>
  <si>
    <t>(C)
 EPA person-hours
per respondent
per year (AxB)</t>
  </si>
  <si>
    <r>
      <t xml:space="preserve">(D)
Respondents
per year </t>
    </r>
    <r>
      <rPr>
        <b/>
        <vertAlign val="superscript"/>
        <sz val="10"/>
        <rFont val="Times New Roman"/>
        <family val="1"/>
      </rPr>
      <t>a</t>
    </r>
  </si>
  <si>
    <t>(E)
Technical hours
per year
(CxD)</t>
  </si>
  <si>
    <t>(F)
Management
hours per year
(Ex0.05)</t>
  </si>
  <si>
    <t>Initial performance test</t>
  </si>
  <si>
    <r>
      <t>New plant</t>
    </r>
    <r>
      <rPr>
        <vertAlign val="superscript"/>
        <sz val="10"/>
        <rFont val="Times New Roman"/>
        <family val="1"/>
      </rPr>
      <t>c</t>
    </r>
  </si>
  <si>
    <t>Repeat performance test</t>
  </si>
  <si>
    <r>
      <t xml:space="preserve">New plant </t>
    </r>
    <r>
      <rPr>
        <vertAlign val="superscript"/>
        <sz val="10"/>
        <rFont val="Times New Roman"/>
        <family val="1"/>
      </rPr>
      <t>c</t>
    </r>
  </si>
  <si>
    <t>Report review</t>
  </si>
  <si>
    <t>Notification of construction/reconstruction</t>
  </si>
  <si>
    <t>Notification of actual startup</t>
  </si>
  <si>
    <t>Review test results</t>
  </si>
  <si>
    <t>Existing plant</t>
  </si>
  <si>
    <r>
      <t>TOTAL ANNUAL BURDEN AND COST (ROUNDED)</t>
    </r>
    <r>
      <rPr>
        <b/>
        <vertAlign val="superscript"/>
        <sz val="10"/>
        <rFont val="Times New Roman"/>
        <family val="1"/>
      </rPr>
      <t>f</t>
    </r>
  </si>
  <si>
    <t>(A)
Information Collection Activity</t>
  </si>
  <si>
    <t xml:space="preserve">(B)
Number of Respondents  </t>
  </si>
  <si>
    <t>(C)
Number of Responses</t>
  </si>
  <si>
    <t>(D)
Number of Existing Respondents That Keep Records But Do Not Submit Reports</t>
  </si>
  <si>
    <t>(E)
Total Annual Responses
E=(BxC)+D</t>
  </si>
  <si>
    <t>VOC emissions report</t>
  </si>
  <si>
    <t>Excess emissions report</t>
  </si>
  <si>
    <t>Temperature variance report</t>
  </si>
  <si>
    <t>Number of New Respondents</t>
  </si>
  <si>
    <t>Number of Existing  Respondents that keep records but do not submit reports</t>
  </si>
  <si>
    <t>(E=A+B+C-D)</t>
  </si>
  <si>
    <r>
      <rPr>
        <vertAlign val="superscript"/>
        <sz val="10"/>
        <color theme="1"/>
        <rFont val="Arial"/>
        <family val="2"/>
      </rPr>
      <t>1</t>
    </r>
    <r>
      <rPr>
        <sz val="11"/>
        <color theme="1"/>
        <rFont val="Calibri"/>
        <family val="2"/>
        <scheme val="minor"/>
      </rPr>
      <t xml:space="preserve"> New respondents include sources with constructed, reconstructed, and modified affected facilities.</t>
    </r>
  </si>
  <si>
    <t>Temperature Monitoring System</t>
  </si>
  <si>
    <r>
      <t>$1,200</t>
    </r>
    <r>
      <rPr>
        <vertAlign val="superscript"/>
        <sz val="10"/>
        <color rgb="FF000000"/>
        <rFont val="Times New Roman"/>
        <family val="1"/>
      </rPr>
      <t>a</t>
    </r>
  </si>
  <si>
    <t>Method 25 Performance Test</t>
  </si>
  <si>
    <r>
      <t>$18,750</t>
    </r>
    <r>
      <rPr>
        <vertAlign val="superscript"/>
        <sz val="10"/>
        <color rgb="FF000000"/>
        <rFont val="Times New Roman"/>
        <family val="1"/>
      </rPr>
      <t>b</t>
    </r>
  </si>
  <si>
    <r>
      <t>$0</t>
    </r>
    <r>
      <rPr>
        <sz val="10"/>
        <color theme="1"/>
        <rFont val="Times New Roman"/>
        <family val="1"/>
      </rPr>
      <t>  </t>
    </r>
  </si>
  <si>
    <t>hrs/response</t>
  </si>
  <si>
    <t>Not Applicable</t>
  </si>
  <si>
    <r>
      <rPr>
        <vertAlign val="superscript"/>
        <sz val="10"/>
        <color theme="1"/>
        <rFont val="Times New Roman"/>
        <family val="1"/>
      </rPr>
      <t>b</t>
    </r>
    <r>
      <rPr>
        <sz val="10"/>
        <color theme="1"/>
        <rFont val="Times New Roman"/>
        <family val="1"/>
      </rPr>
      <t xml:space="preserve"> Costs included to contract out for a one-time initial performance test using Method 25 or Method 25A for facilities with control devices. It is assumed that all existing facilities have conducted an initial performance test.</t>
    </r>
  </si>
  <si>
    <r>
      <rPr>
        <vertAlign val="superscript"/>
        <sz val="10"/>
        <color theme="1"/>
        <rFont val="Times New Roman"/>
        <family val="1"/>
      </rPr>
      <t>a</t>
    </r>
    <r>
      <rPr>
        <sz val="10"/>
        <color theme="1"/>
        <rFont val="Times New Roman"/>
        <family val="1"/>
      </rPr>
      <t xml:space="preserve"> According to industry consultation comment received on an ICR for a related rulemaking (40 CFR part 63 subpart SSSS), the O&amp;M cost to maintain continuous temperature measuring monitor is $1,200 per respondent. The cost covers replacement of temperature sensor each calendar year. This cost is applied to the 80 percent of respondents assumed to use an incinerator to comply with the requirements. </t>
    </r>
  </si>
  <si>
    <r>
      <rPr>
        <vertAlign val="superscript"/>
        <sz val="10"/>
        <rFont val="Times New Roman"/>
        <family val="1"/>
      </rPr>
      <t>a</t>
    </r>
    <r>
      <rPr>
        <sz val="10"/>
        <rFont val="Times New Roman"/>
        <family val="1"/>
      </rPr>
      <t xml:space="preserve"> On average, EPA estimates 158 existing sources will be subject to the NSPS.  No new sources will become subject to the standard over the three-year period of this ICR. This ICR assumes each respondent will incur a burden to re-familiarize themselves with the regulatory requirements each year.</t>
    </r>
  </si>
  <si>
    <r>
      <rPr>
        <vertAlign val="superscript"/>
        <sz val="10"/>
        <rFont val="Times New Roman"/>
        <family val="1"/>
      </rPr>
      <t xml:space="preserve">b </t>
    </r>
    <r>
      <rPr>
        <sz val="1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</si>
  <si>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c</t>
    </r>
    <r>
      <rPr>
        <sz val="10"/>
        <rFont val="Times New Roman"/>
        <family val="1"/>
      </rPr>
      <t xml:space="preserve"> This is a one-time requirement and does not apply since no new sources are estimated. EPA assumes 20% of new sources must repeat performance testing due to failure. </t>
    </r>
  </si>
  <si>
    <r>
      <rPr>
        <vertAlign val="superscript"/>
        <sz val="10"/>
        <rFont val="Times New Roman"/>
        <family val="1"/>
      </rPr>
      <t>d</t>
    </r>
    <r>
      <rPr>
        <sz val="10"/>
        <rFont val="Times New Roman"/>
        <family val="1"/>
      </rPr>
      <t xml:space="preserve"> EPA assumes 10% of respondents have excess VOC emissions and must report quarterly instead of semi-annually. The remaining 90% of sources report semi-annually.</t>
    </r>
  </si>
  <si>
    <r>
      <rPr>
        <vertAlign val="superscript"/>
        <sz val="10"/>
        <rFont val="Times New Roman"/>
        <family val="1"/>
      </rPr>
      <t>e</t>
    </r>
    <r>
      <rPr>
        <sz val="10"/>
        <rFont val="Times New Roman"/>
        <family val="1"/>
      </rPr>
      <t xml:space="preserve"> EPA assumes 80% of facilities will use incineration, and will file a temperature variance report every other year. These facilities will also have to maintain daily temperature records of incinerator combustion temperature (for therm incineration) or gas temperature (for catalytic incineration)</t>
    </r>
  </si>
  <si>
    <r>
      <rPr>
        <vertAlign val="superscript"/>
        <sz val="10"/>
        <rFont val="Times New Roman"/>
        <family val="1"/>
      </rPr>
      <t>g</t>
    </r>
    <r>
      <rPr>
        <sz val="10"/>
        <rFont val="Times New Roman"/>
        <family val="1"/>
      </rPr>
      <t xml:space="preserve"> Totals have been rounded to 3 significant figures. Figures may not add exactly due to rounding.</t>
    </r>
  </si>
  <si>
    <r>
      <rPr>
        <vertAlign val="superscript"/>
        <sz val="10"/>
        <rFont val="Times New Roman"/>
        <family val="1"/>
      </rPr>
      <t>a</t>
    </r>
    <r>
      <rPr>
        <sz val="10"/>
        <rFont val="Times New Roman"/>
        <family val="1"/>
      </rPr>
      <t xml:space="preserve"> On average, EPA estimates 158 existing sources will be subject to the NSPS.  No new sources will become subject to the standard over the three-year period of this ICR.</t>
    </r>
  </si>
  <si>
    <r>
      <rPr>
        <vertAlign val="superscript"/>
        <sz val="10"/>
        <rFont val="Times New Roman"/>
        <family val="1"/>
      </rPr>
      <t>d</t>
    </r>
    <r>
      <rPr>
        <sz val="10"/>
        <rFont val="Times New Roman"/>
        <family val="1"/>
      </rPr>
      <t xml:space="preserve"> EPA assumes 10% of sources will have excess emissions and will file a quarterly report instead of the semi-annual frequency submitted from the other 90% of sources.</t>
    </r>
  </si>
  <si>
    <r>
      <rPr>
        <vertAlign val="superscript"/>
        <sz val="10"/>
        <rFont val="Times New Roman"/>
        <family val="1"/>
      </rPr>
      <t>e</t>
    </r>
    <r>
      <rPr>
        <sz val="10"/>
        <rFont val="Times New Roman"/>
        <family val="1"/>
      </rPr>
      <t xml:space="preserve"> EPA assumes 80% of facilities will use incineration, and will file a temperature variance report every other year.</t>
    </r>
  </si>
  <si>
    <r>
      <rPr>
        <vertAlign val="superscript"/>
        <sz val="10"/>
        <rFont val="Times New Roman"/>
        <family val="1"/>
      </rPr>
      <t>f</t>
    </r>
    <r>
      <rPr>
        <sz val="10"/>
        <rFont val="Times New Roman"/>
        <family val="1"/>
      </rPr>
      <t xml:space="preserve"> Totals have been rounded to 3 significant figures. Figures may not add exactly due to rounding.</t>
    </r>
  </si>
  <si>
    <r>
      <rPr>
        <vertAlign val="superscript"/>
        <sz val="10"/>
        <rFont val="Times New Roman"/>
        <family val="1"/>
      </rPr>
      <t>f</t>
    </r>
    <r>
      <rPr>
        <sz val="10"/>
        <rFont val="Times New Roman"/>
        <family val="1"/>
      </rPr>
      <t xml:space="preserve"> EPA assumes the remaining 20% of sources do not have control devices will comply using the monthly weighted average VOC calculation approach.</t>
    </r>
  </si>
  <si>
    <r>
      <rPr>
        <vertAlign val="superscript"/>
        <sz val="10"/>
        <rFont val="Times New Roman"/>
        <family val="1"/>
      </rPr>
      <t xml:space="preserve">b </t>
    </r>
    <r>
      <rPr>
        <sz val="10"/>
        <rFont val="Times New Roman"/>
        <family val="1"/>
      </rPr>
      <t xml:space="preserve"> The cost is based on the following labor rates: Managerial rate of $73.456 (GS-13, Step 5, $45.91 + 60%), Technical rate of $54.512 (GS-12, Step 1, $34.07 + 60%), and Clerical rate of $29.504 (GS-6, Step 3, $18.44 + 60%).  These rates are from the Office of Personnel Management (OPM), 2023 General Schedule, which excludes locality, rates of pay. The rates have been increased by 60 percent to account for the benefit packages available to government employees. </t>
    </r>
  </si>
  <si>
    <r>
      <rPr>
        <vertAlign val="superscript"/>
        <sz val="10"/>
        <rFont val="Times New Roman"/>
        <family val="1"/>
      </rPr>
      <t>c</t>
    </r>
    <r>
      <rPr>
        <sz val="10"/>
        <rFont val="Times New Roman"/>
        <family val="1"/>
      </rPr>
      <t xml:space="preserve"> This is a one-time requirement and does not apply since no new sources are expected.</t>
    </r>
  </si>
  <si>
    <r>
      <t>Total (Rounded)</t>
    </r>
    <r>
      <rPr>
        <b/>
        <vertAlign val="superscript"/>
        <sz val="10"/>
        <color theme="1"/>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</si>
</sst>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164" formatCode="General_)"/>
    <numFmt numFmtId="165" formatCode="&quot;$&quot;#,##0.00"/>
    <numFmt numFmtId="166" formatCode="&quot;$&quot;#,##0"/>
    <numFmt numFmtId="167" formatCode="#,##0.0"/>
  </numFmts>
  <fonts count="23"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name val="Times New Roman"/>
      <family val="1"/>
    </font>
    <font>
      <sz val="8"/>
      <name val="Helv"/>
    </font>
    <font>
      <b/>
      <sz val="10"/>
      <name val="Times New Roman"/>
      <family val="1"/>
    </font>
    <font>
      <b/>
      <sz val="12"/>
      <color rgb="FF000000"/>
      <name val="Times New Roman"/>
      <family val="1"/>
    </font>
    <font>
      <sz val="10"/>
      <color rgb="FF00000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b/>
      <sz val="12"/>
      <name val="Times New Roman"/>
      <family val="1"/>
    </font>
    <font>
      <sz val="9"/>
      <color theme="1"/>
      <name val="Times New Roman"/>
      <family val="1"/>
    </font>
    <font>
      <sz val="9"/>
      <name val="Times New Roman"/>
      <family val="1"/>
    </font>
    <font>
      <sz val="9"/>
      <color rgb="FF000000"/>
      <name val="Times New Roman"/>
      <family val="1"/>
    </font>
    <font>
      <b/>
      <sz val="9"/>
      <color theme="1"/>
      <name val="Times New Roman"/>
      <family val="1"/>
    </font>
    <font>
      <vertAlign val="superscript"/>
      <sz val="10"/>
      <color theme="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64" fontId="6" fillId="0" borderId="0"/>
  </cellStyleXfs>
  <cellXfs count="122">
    <xf numFmtId="0" fontId="0" fillId="0" borderId="0" xfId="0"/>
    <xf numFmtId="164" fontId="5" fillId="0" borderId="0" xfId="1" applyFont="1" applyAlignment="1">
      <alignment horizontal="center" vertical="center" wrapText="1"/>
    </xf>
    <xf numFmtId="165" fontId="5" fillId="0" borderId="0" xfId="1" applyNumberFormat="1" applyFont="1" applyAlignment="1">
      <alignment horizontal="right" wrapText="1"/>
    </xf>
    <xf numFmtId="0" fontId="5" fillId="0" borderId="0" xfId="0" applyFont="1"/>
    <xf numFmtId="0" fontId="9" fillId="0" borderId="1" xfId="0" applyFont="1" applyBorder="1"/>
    <xf numFmtId="0" fontId="14" fillId="0" borderId="0" xfId="0" applyFont="1"/>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5" fillId="0" borderId="1" xfId="0" applyFont="1" applyBorder="1" applyAlignment="1">
      <alignment horizontal="left" vertical="top" wrapText="1" indent="1"/>
    </xf>
    <xf numFmtId="0" fontId="5" fillId="0" borderId="1" xfId="0" applyFont="1" applyBorder="1" applyAlignment="1">
      <alignment horizontal="left" vertical="top" wrapText="1" indent="2"/>
    </xf>
    <xf numFmtId="0" fontId="15" fillId="0" borderId="0" xfId="0" applyFont="1" applyAlignment="1">
      <alignment vertical="top" wrapText="1"/>
    </xf>
    <xf numFmtId="0" fontId="5" fillId="0" borderId="1" xfId="0" applyFont="1" applyBorder="1" applyAlignment="1">
      <alignment horizontal="left" vertical="top" wrapText="1"/>
    </xf>
    <xf numFmtId="0" fontId="7" fillId="0" borderId="1" xfId="0" applyFont="1" applyBorder="1" applyAlignment="1">
      <alignment wrapText="1"/>
    </xf>
    <xf numFmtId="0" fontId="1" fillId="0" borderId="0" xfId="0" applyFont="1" applyAlignment="1">
      <alignment horizontal="center" wrapText="1"/>
    </xf>
    <xf numFmtId="0" fontId="12" fillId="0" borderId="1" xfId="0" applyFont="1" applyBorder="1" applyAlignment="1">
      <alignment vertical="top" wrapText="1"/>
    </xf>
    <xf numFmtId="0" fontId="2" fillId="0" borderId="0" xfId="0" applyFont="1" applyAlignment="1">
      <alignment vertical="center" wrapText="1"/>
    </xf>
    <xf numFmtId="0" fontId="1" fillId="0" borderId="0" xfId="0" applyFont="1" applyAlignment="1">
      <alignment horizontal="center" vertical="center" wrapText="1"/>
    </xf>
    <xf numFmtId="6" fontId="14" fillId="0" borderId="0" xfId="0" applyNumberFormat="1" applyFont="1"/>
    <xf numFmtId="0" fontId="5" fillId="0" borderId="1" xfId="0" applyFont="1" applyBorder="1" applyAlignment="1">
      <alignment horizontal="center" vertical="top"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5" fillId="0" borderId="0" xfId="0" applyFont="1" applyAlignment="1">
      <alignment horizontal="left" vertical="top" wrapText="1"/>
    </xf>
    <xf numFmtId="0" fontId="5" fillId="0" borderId="0" xfId="0" applyFont="1" applyAlignment="1">
      <alignment wrapText="1"/>
    </xf>
    <xf numFmtId="0" fontId="7" fillId="0" borderId="1" xfId="0" applyFont="1" applyBorder="1" applyAlignment="1">
      <alignment horizontal="center" wrapText="1"/>
    </xf>
    <xf numFmtId="0" fontId="17" fillId="0" borderId="0" xfId="0" applyFont="1"/>
    <xf numFmtId="4" fontId="5" fillId="0" borderId="0" xfId="0" applyNumberFormat="1" applyFont="1"/>
    <xf numFmtId="165" fontId="5" fillId="0" borderId="0" xfId="0" applyNumberFormat="1" applyFont="1"/>
    <xf numFmtId="4" fontId="7" fillId="0" borderId="1" xfId="0" applyNumberFormat="1" applyFont="1" applyBorder="1" applyAlignment="1">
      <alignment horizontal="center" wrapText="1"/>
    </xf>
    <xf numFmtId="0" fontId="5" fillId="0" borderId="1" xfId="0" applyFont="1" applyBorder="1" applyAlignment="1">
      <alignment vertical="top" wrapText="1"/>
    </xf>
    <xf numFmtId="4" fontId="5" fillId="0" borderId="1" xfId="0" applyNumberFormat="1" applyFont="1" applyBorder="1" applyAlignment="1">
      <alignment horizontal="right"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left" vertical="top" wrapText="1" indent="3"/>
    </xf>
    <xf numFmtId="3" fontId="5" fillId="0" borderId="1" xfId="0" applyNumberFormat="1" applyFont="1" applyBorder="1" applyAlignment="1">
      <alignment horizontal="right" vertical="top" wrapText="1"/>
    </xf>
    <xf numFmtId="167" fontId="5"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3" fontId="12" fillId="0" borderId="1" xfId="0" applyNumberFormat="1" applyFont="1" applyBorder="1" applyAlignment="1">
      <alignment horizontal="center" vertical="top" wrapText="1"/>
    </xf>
    <xf numFmtId="3" fontId="12" fillId="0" borderId="1" xfId="0" applyNumberFormat="1" applyFont="1" applyBorder="1" applyAlignment="1">
      <alignment horizontal="righ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3" fontId="7" fillId="0" borderId="1" xfId="0" applyNumberFormat="1" applyFont="1" applyBorder="1" applyAlignment="1">
      <alignment horizontal="right" vertical="top" wrapText="1"/>
    </xf>
    <xf numFmtId="0" fontId="7" fillId="0" borderId="0" xfId="0" applyFont="1"/>
    <xf numFmtId="0" fontId="5" fillId="0" borderId="0" xfId="0" applyFont="1" applyAlignment="1">
      <alignment horizontal="left" wrapText="1"/>
    </xf>
    <xf numFmtId="2" fontId="5" fillId="0" borderId="0" xfId="0" applyNumberFormat="1" applyFont="1" applyAlignment="1">
      <alignment horizontal="left"/>
    </xf>
    <xf numFmtId="2" fontId="5" fillId="0" borderId="0" xfId="0" applyNumberFormat="1" applyFont="1" applyAlignment="1">
      <alignment horizontal="left" wrapText="1"/>
    </xf>
    <xf numFmtId="0" fontId="5" fillId="0" borderId="0" xfId="0" applyFont="1" applyAlignment="1">
      <alignment horizontal="left" vertical="top"/>
    </xf>
    <xf numFmtId="165" fontId="5" fillId="0" borderId="0" xfId="0" applyNumberFormat="1" applyFont="1" applyAlignment="1">
      <alignment horizontal="right" vertical="top"/>
    </xf>
    <xf numFmtId="0" fontId="7" fillId="0" borderId="0" xfId="0" applyFont="1" applyAlignment="1">
      <alignment horizontal="center" wrapText="1"/>
    </xf>
    <xf numFmtId="167" fontId="5" fillId="0" borderId="1" xfId="0" applyNumberFormat="1" applyFont="1" applyBorder="1" applyAlignment="1">
      <alignment horizontal="right" vertical="top" wrapText="1"/>
    </xf>
    <xf numFmtId="167" fontId="5" fillId="0" borderId="0" xfId="0" applyNumberFormat="1" applyFont="1" applyAlignment="1">
      <alignment horizontal="right" vertical="top" wrapText="1"/>
    </xf>
    <xf numFmtId="1" fontId="5" fillId="0" borderId="1" xfId="0" applyNumberFormat="1" applyFont="1" applyBorder="1" applyAlignment="1">
      <alignment horizontal="center" vertical="top" wrapText="1"/>
    </xf>
    <xf numFmtId="3" fontId="5" fillId="0" borderId="0" xfId="0" applyNumberFormat="1" applyFont="1" applyAlignment="1">
      <alignment horizontal="right" vertical="top" wrapText="1"/>
    </xf>
    <xf numFmtId="4" fontId="5" fillId="0" borderId="1" xfId="0" applyNumberFormat="1" applyFont="1" applyBorder="1" applyAlignment="1">
      <alignment horizontal="center" vertical="top" wrapText="1"/>
    </xf>
    <xf numFmtId="4" fontId="5" fillId="0" borderId="0" xfId="0" applyNumberFormat="1" applyFont="1" applyAlignment="1">
      <alignment horizontal="right" vertical="top" wrapText="1"/>
    </xf>
    <xf numFmtId="165" fontId="5" fillId="0" borderId="0" xfId="0" applyNumberFormat="1" applyFont="1" applyAlignment="1">
      <alignment horizontal="left" vertical="top"/>
    </xf>
    <xf numFmtId="0" fontId="5" fillId="0" borderId="0" xfId="0" applyFont="1" applyAlignment="1">
      <alignment horizontal="left"/>
    </xf>
    <xf numFmtId="4" fontId="5" fillId="0" borderId="0" xfId="0" applyNumberFormat="1" applyFont="1" applyAlignment="1">
      <alignment horizontal="right" vertical="top"/>
    </xf>
    <xf numFmtId="3" fontId="7" fillId="0" borderId="0" xfId="0" applyNumberFormat="1" applyFont="1" applyAlignment="1">
      <alignment horizontal="right" vertical="top" wrapText="1"/>
    </xf>
    <xf numFmtId="0" fontId="5" fillId="0" borderId="0" xfId="0" quotePrefix="1" applyFont="1"/>
    <xf numFmtId="3" fontId="5" fillId="0" borderId="0" xfId="0" applyNumberFormat="1" applyFont="1"/>
    <xf numFmtId="0" fontId="8" fillId="0" borderId="0" xfId="0" applyFont="1" applyAlignment="1">
      <alignment horizontal="center" vertical="top" wrapText="1"/>
    </xf>
    <xf numFmtId="0" fontId="18" fillId="0" borderId="1" xfId="0" applyFont="1" applyBorder="1" applyAlignment="1">
      <alignment horizontal="center" vertical="top" wrapText="1"/>
    </xf>
    <xf numFmtId="0" fontId="19" fillId="0" borderId="1" xfId="0" applyFont="1" applyBorder="1" applyAlignment="1">
      <alignment horizontal="center" vertical="top" wrapText="1"/>
    </xf>
    <xf numFmtId="0" fontId="18" fillId="0" borderId="0" xfId="0" applyFont="1" applyAlignment="1">
      <alignment horizontal="center" vertical="top" wrapText="1"/>
    </xf>
    <xf numFmtId="0" fontId="20" fillId="0" borderId="1" xfId="0" applyFont="1" applyBorder="1" applyAlignment="1">
      <alignment horizontal="left" vertical="top" wrapText="1"/>
    </xf>
    <xf numFmtId="3"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0" fontId="20" fillId="0" borderId="0" xfId="0" applyFont="1" applyAlignment="1">
      <alignment horizontal="center" vertical="top" wrapText="1"/>
    </xf>
    <xf numFmtId="0" fontId="1" fillId="0" borderId="0" xfId="0" applyFont="1" applyAlignment="1">
      <alignment horizontal="left" vertical="top"/>
    </xf>
    <xf numFmtId="167" fontId="20" fillId="0" borderId="1" xfId="0" applyNumberFormat="1" applyFont="1" applyBorder="1" applyAlignment="1">
      <alignment horizontal="center" vertical="top" wrapText="1"/>
    </xf>
    <xf numFmtId="0" fontId="18" fillId="0" borderId="1" xfId="0" applyFont="1" applyBorder="1" applyAlignment="1">
      <alignment vertical="top" wrapText="1"/>
    </xf>
    <xf numFmtId="0" fontId="21" fillId="0" borderId="1" xfId="0" applyFont="1" applyBorder="1" applyAlignment="1">
      <alignment horizontal="center" vertical="top" wrapText="1"/>
    </xf>
    <xf numFmtId="0" fontId="1" fillId="0" borderId="0" xfId="0" quotePrefix="1" applyFont="1" applyAlignment="1">
      <alignment horizontal="left"/>
    </xf>
    <xf numFmtId="0" fontId="9" fillId="0" borderId="0" xfId="0" applyFont="1" applyAlignment="1">
      <alignment wrapText="1"/>
    </xf>
    <xf numFmtId="0" fontId="9" fillId="0" borderId="0" xfId="0" applyFont="1" applyAlignment="1">
      <alignment horizontal="center" wrapText="1"/>
    </xf>
    <xf numFmtId="0" fontId="8" fillId="0" borderId="5" xfId="0" applyFont="1" applyBorder="1" applyAlignment="1">
      <alignment vertical="top" wrapText="1"/>
    </xf>
    <xf numFmtId="0" fontId="20" fillId="0" borderId="1" xfId="0" applyFont="1" applyBorder="1" applyAlignment="1">
      <alignment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1" xfId="0" applyFont="1" applyBorder="1" applyAlignment="1">
      <alignment vertical="center" wrapText="1"/>
    </xf>
    <xf numFmtId="0" fontId="9" fillId="0" borderId="1" xfId="0" applyFont="1" applyBorder="1" applyAlignment="1">
      <alignment horizontal="center" wrapText="1"/>
    </xf>
    <xf numFmtId="6" fontId="9" fillId="0" borderId="1" xfId="0" applyNumberFormat="1" applyFont="1" applyBorder="1" applyAlignment="1">
      <alignment horizontal="center" vertical="center" wrapText="1"/>
    </xf>
    <xf numFmtId="0" fontId="9" fillId="0" borderId="1" xfId="0" applyFont="1" applyBorder="1" applyAlignment="1">
      <alignment wrapText="1"/>
    </xf>
    <xf numFmtId="0" fontId="2" fillId="0" borderId="1" xfId="0" applyFont="1" applyBorder="1" applyAlignment="1">
      <alignment horizontal="center" wrapText="1"/>
    </xf>
    <xf numFmtId="166" fontId="2" fillId="0" borderId="1" xfId="0" applyNumberFormat="1" applyFont="1" applyBorder="1" applyAlignment="1">
      <alignment horizontal="center" wrapText="1"/>
    </xf>
    <xf numFmtId="3" fontId="5" fillId="0" borderId="0" xfId="0" applyNumberFormat="1" applyFont="1" applyAlignment="1">
      <alignment horizontal="right"/>
    </xf>
    <xf numFmtId="165" fontId="1" fillId="0" borderId="1" xfId="0" applyNumberFormat="1" applyFont="1" applyBorder="1"/>
    <xf numFmtId="0" fontId="15" fillId="0" borderId="0" xfId="0" applyFont="1"/>
    <xf numFmtId="166" fontId="9" fillId="0" borderId="1" xfId="0" applyNumberFormat="1" applyFont="1" applyBorder="1" applyAlignment="1">
      <alignment horizontal="center" wrapText="1"/>
    </xf>
    <xf numFmtId="0" fontId="2" fillId="0" borderId="1" xfId="0" applyFont="1" applyBorder="1" applyAlignment="1">
      <alignment wrapText="1"/>
    </xf>
    <xf numFmtId="0" fontId="0" fillId="0" borderId="0" xfId="0" applyAlignment="1">
      <alignment horizontal="center"/>
    </xf>
    <xf numFmtId="3" fontId="7" fillId="0" borderId="1" xfId="0" applyNumberFormat="1" applyFont="1" applyBorder="1" applyAlignment="1">
      <alignment horizontal="center" vertical="top" wrapText="1"/>
    </xf>
    <xf numFmtId="0" fontId="9" fillId="0" borderId="2" xfId="0" applyFont="1" applyBorder="1" applyAlignment="1">
      <alignment horizontal="center"/>
    </xf>
    <xf numFmtId="0" fontId="9" fillId="0" borderId="4" xfId="0" applyFont="1" applyBorder="1" applyAlignment="1">
      <alignment horizontal="center"/>
    </xf>
    <xf numFmtId="3" fontId="12" fillId="0" borderId="1" xfId="0" applyNumberFormat="1" applyFont="1" applyBorder="1" applyAlignment="1">
      <alignment horizontal="center" vertical="top" wrapText="1"/>
    </xf>
    <xf numFmtId="3" fontId="7" fillId="0" borderId="2" xfId="0" applyNumberFormat="1" applyFont="1" applyBorder="1" applyAlignment="1">
      <alignment horizontal="center" vertical="top" wrapText="1"/>
    </xf>
    <xf numFmtId="3" fontId="7" fillId="0" borderId="3"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0" fontId="5" fillId="0" borderId="0" xfId="0" applyFont="1" applyAlignment="1">
      <alignment horizontal="left" wrapText="1"/>
    </xf>
    <xf numFmtId="0" fontId="5" fillId="0" borderId="0" xfId="0"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wrapText="1"/>
    </xf>
    <xf numFmtId="0" fontId="9" fillId="0" borderId="1" xfId="0" applyFont="1" applyBorder="1" applyAlignment="1">
      <alignment horizontal="center"/>
    </xf>
    <xf numFmtId="0" fontId="5" fillId="0" borderId="0" xfId="0" applyFont="1" applyAlignment="1">
      <alignment vertical="center" wrapText="1"/>
    </xf>
    <xf numFmtId="0" fontId="10"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lef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vertical="center"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B15" sqref="B15"/>
    </sheetView>
  </sheetViews>
  <sheetFormatPr defaultRowHeight="14.5" x14ac:dyDescent="0.35"/>
  <cols>
    <col min="1" max="1" width="28.453125" customWidth="1"/>
    <col min="2" max="2" width="16.7265625" customWidth="1"/>
  </cols>
  <sheetData>
    <row r="1" spans="1:2" x14ac:dyDescent="0.35">
      <c r="A1" s="96" t="s">
        <v>0</v>
      </c>
      <c r="B1" s="96"/>
    </row>
    <row r="2" spans="1:2" x14ac:dyDescent="0.35">
      <c r="A2" t="s">
        <v>1</v>
      </c>
      <c r="B2" s="22">
        <f>'Table 1'!L28</f>
        <v>39.416058394160586</v>
      </c>
    </row>
    <row r="3" spans="1:2" x14ac:dyDescent="0.35">
      <c r="A3" t="s">
        <v>2</v>
      </c>
      <c r="B3" s="23">
        <f>Respondents!F10</f>
        <v>158</v>
      </c>
    </row>
    <row r="4" spans="1:2" x14ac:dyDescent="0.35">
      <c r="A4" t="s">
        <v>3</v>
      </c>
      <c r="B4" s="23">
        <f>'Table 1'!F30</f>
        <v>16200</v>
      </c>
    </row>
    <row r="5" spans="1:2" x14ac:dyDescent="0.35">
      <c r="A5" t="s">
        <v>4</v>
      </c>
      <c r="B5" s="24">
        <f>'Table 1'!I32</f>
        <v>2200000</v>
      </c>
    </row>
    <row r="6" spans="1:2" x14ac:dyDescent="0.35">
      <c r="A6" t="s">
        <v>5</v>
      </c>
      <c r="B6" s="24">
        <f>'Capital O&amp;M'!G7+'Capital O&amp;M'!D7</f>
        <v>151000</v>
      </c>
    </row>
    <row r="7" spans="1:2" x14ac:dyDescent="0.35">
      <c r="A7" t="s">
        <v>6</v>
      </c>
      <c r="B7" s="25">
        <f>Responses!E11</f>
        <v>411</v>
      </c>
    </row>
    <row r="8" spans="1:2" x14ac:dyDescent="0.35">
      <c r="A8" t="s">
        <v>38</v>
      </c>
      <c r="B8" t="s">
        <v>113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L40"/>
  <sheetViews>
    <sheetView topLeftCell="A17" zoomScale="87" zoomScaleNormal="87" workbookViewId="0">
      <selection activeCell="L12" sqref="L12"/>
    </sheetView>
  </sheetViews>
  <sheetFormatPr defaultColWidth="9.1796875" defaultRowHeight="13" x14ac:dyDescent="0.3"/>
  <cols>
    <col min="1" max="1" width="47.7265625" style="3" customWidth="1"/>
    <col min="2" max="3" width="14.54296875" style="3" customWidth="1"/>
    <col min="4" max="4" width="15.1796875" style="3" customWidth="1"/>
    <col min="5" max="5" width="13" style="3" bestFit="1" customWidth="1"/>
    <col min="6" max="8" width="13" style="3" customWidth="1"/>
    <col min="9" max="9" width="14.81640625" style="30" customWidth="1"/>
    <col min="10" max="10" width="12.7265625" style="3" customWidth="1"/>
    <col min="11" max="11" width="10.7265625" style="3" bestFit="1" customWidth="1"/>
    <col min="12" max="12" width="9.1796875" style="3"/>
    <col min="13" max="13" width="9" style="3" customWidth="1"/>
    <col min="14" max="17" width="9.1796875" style="3"/>
    <col min="18" max="18" width="15.453125" style="3" customWidth="1"/>
    <col min="19" max="16384" width="9.1796875" style="3"/>
  </cols>
  <sheetData>
    <row r="1" spans="1:12" ht="15" x14ac:dyDescent="0.3">
      <c r="A1" s="29" t="s">
        <v>39</v>
      </c>
    </row>
    <row r="2" spans="1:12" x14ac:dyDescent="0.3">
      <c r="K2" s="31"/>
    </row>
    <row r="3" spans="1:12" s="27" customFormat="1" ht="52" x14ac:dyDescent="0.3">
      <c r="A3" s="15" t="s">
        <v>12</v>
      </c>
      <c r="B3" s="28" t="s">
        <v>40</v>
      </c>
      <c r="C3" s="28" t="s">
        <v>41</v>
      </c>
      <c r="D3" s="28" t="s">
        <v>42</v>
      </c>
      <c r="E3" s="28" t="s">
        <v>43</v>
      </c>
      <c r="F3" s="28" t="s">
        <v>44</v>
      </c>
      <c r="G3" s="28" t="s">
        <v>45</v>
      </c>
      <c r="H3" s="28" t="s">
        <v>46</v>
      </c>
      <c r="I3" s="32" t="s">
        <v>47</v>
      </c>
      <c r="J3" s="3"/>
      <c r="K3" s="31"/>
    </row>
    <row r="4" spans="1:12" x14ac:dyDescent="0.3">
      <c r="A4" s="33" t="s">
        <v>48</v>
      </c>
      <c r="B4" s="21" t="s">
        <v>49</v>
      </c>
      <c r="C4" s="21"/>
      <c r="D4" s="21"/>
      <c r="E4" s="21"/>
      <c r="F4" s="21"/>
      <c r="G4" s="21"/>
      <c r="H4" s="21"/>
      <c r="I4" s="34"/>
      <c r="K4" s="98" t="s">
        <v>7</v>
      </c>
      <c r="L4" s="99"/>
    </row>
    <row r="5" spans="1:12" x14ac:dyDescent="0.3">
      <c r="A5" s="33" t="s">
        <v>50</v>
      </c>
      <c r="B5" s="21" t="s">
        <v>49</v>
      </c>
      <c r="C5" s="21"/>
      <c r="D5" s="21"/>
      <c r="E5" s="21"/>
      <c r="F5" s="21"/>
      <c r="G5" s="21"/>
      <c r="H5" s="21"/>
      <c r="I5" s="34"/>
      <c r="K5" s="4" t="s">
        <v>8</v>
      </c>
      <c r="L5" s="92">
        <v>163.16999999999999</v>
      </c>
    </row>
    <row r="6" spans="1:12" x14ac:dyDescent="0.3">
      <c r="A6" s="33" t="s">
        <v>51</v>
      </c>
      <c r="B6" s="21"/>
      <c r="C6" s="21"/>
      <c r="D6" s="21"/>
      <c r="E6" s="21"/>
      <c r="F6" s="21"/>
      <c r="G6" s="21"/>
      <c r="H6" s="21"/>
      <c r="I6" s="34"/>
      <c r="K6" s="4" t="s">
        <v>9</v>
      </c>
      <c r="L6" s="92">
        <v>130.28</v>
      </c>
    </row>
    <row r="7" spans="1:12" ht="15.5" x14ac:dyDescent="0.3">
      <c r="A7" s="11" t="s">
        <v>52</v>
      </c>
      <c r="B7" s="21">
        <v>1</v>
      </c>
      <c r="C7" s="21">
        <v>1</v>
      </c>
      <c r="D7" s="35">
        <f>B7*C7</f>
        <v>1</v>
      </c>
      <c r="E7" s="35">
        <v>158</v>
      </c>
      <c r="F7" s="35">
        <f>D7*E7</f>
        <v>158</v>
      </c>
      <c r="G7" s="35">
        <f>F7*0.05</f>
        <v>7.9</v>
      </c>
      <c r="H7" s="35">
        <f>F7*0.1</f>
        <v>15.8</v>
      </c>
      <c r="I7" s="34">
        <f>F7*$L$6+G7*$L$5+H7*$L$7</f>
        <v>22911.501000000004</v>
      </c>
      <c r="K7" s="4" t="s">
        <v>10</v>
      </c>
      <c r="L7" s="92">
        <v>65.709999999999994</v>
      </c>
    </row>
    <row r="8" spans="1:12" x14ac:dyDescent="0.3">
      <c r="A8" s="11" t="s">
        <v>53</v>
      </c>
      <c r="B8" s="21"/>
      <c r="C8" s="21"/>
      <c r="D8" s="21"/>
      <c r="E8" s="21"/>
      <c r="F8" s="21"/>
      <c r="G8" s="21"/>
      <c r="H8" s="21"/>
      <c r="I8" s="34"/>
      <c r="K8" s="63"/>
    </row>
    <row r="9" spans="1:12" ht="15.5" x14ac:dyDescent="0.3">
      <c r="A9" s="36" t="s">
        <v>54</v>
      </c>
      <c r="B9" s="21">
        <v>30</v>
      </c>
      <c r="C9" s="21">
        <v>7.0000000000000007E-2</v>
      </c>
      <c r="D9" s="35">
        <f>B9*C9</f>
        <v>2.1</v>
      </c>
      <c r="E9" s="35">
        <v>0</v>
      </c>
      <c r="F9" s="35">
        <f>D9*E9</f>
        <v>0</v>
      </c>
      <c r="G9" s="35">
        <f>F9*0.05</f>
        <v>0</v>
      </c>
      <c r="H9" s="35">
        <f>F9*0.1</f>
        <v>0</v>
      </c>
      <c r="I9" s="34">
        <f>F9*$L$6+G9*$L$5+H9*$L$7</f>
        <v>0</v>
      </c>
      <c r="K9" s="63"/>
    </row>
    <row r="10" spans="1:12" ht="15.5" x14ac:dyDescent="0.3">
      <c r="A10" s="36" t="s">
        <v>55</v>
      </c>
      <c r="B10" s="21">
        <v>30</v>
      </c>
      <c r="C10" s="21">
        <v>7.0000000000000007E-2</v>
      </c>
      <c r="D10" s="35">
        <f>B10*C10</f>
        <v>2.1</v>
      </c>
      <c r="E10" s="35">
        <f>0.2*E9</f>
        <v>0</v>
      </c>
      <c r="F10" s="35">
        <f>D10*E10</f>
        <v>0</v>
      </c>
      <c r="G10" s="35">
        <f>F10*0.05</f>
        <v>0</v>
      </c>
      <c r="H10" s="35">
        <f>F10*0.1</f>
        <v>0</v>
      </c>
      <c r="I10" s="34">
        <f>F10*$L$6+G10*$L$5+H10*$L$7</f>
        <v>0</v>
      </c>
    </row>
    <row r="11" spans="1:12" x14ac:dyDescent="0.3">
      <c r="A11" s="11" t="s">
        <v>56</v>
      </c>
      <c r="B11" s="21" t="s">
        <v>57</v>
      </c>
      <c r="C11" s="21"/>
      <c r="D11" s="21"/>
      <c r="E11" s="21"/>
      <c r="F11" s="21"/>
      <c r="G11" s="21"/>
      <c r="H11" s="21"/>
      <c r="I11" s="34"/>
    </row>
    <row r="12" spans="1:12" x14ac:dyDescent="0.3">
      <c r="A12" s="11" t="s">
        <v>58</v>
      </c>
      <c r="B12" s="21"/>
      <c r="C12" s="21"/>
      <c r="D12" s="21"/>
      <c r="E12" s="21"/>
      <c r="F12" s="21"/>
      <c r="G12" s="21"/>
      <c r="H12" s="21"/>
      <c r="I12" s="34"/>
    </row>
    <row r="13" spans="1:12" ht="15.5" x14ac:dyDescent="0.3">
      <c r="A13" s="36" t="s">
        <v>59</v>
      </c>
      <c r="B13" s="21">
        <v>2</v>
      </c>
      <c r="C13" s="21">
        <v>1</v>
      </c>
      <c r="D13" s="35">
        <f>B13*C13</f>
        <v>2</v>
      </c>
      <c r="E13" s="35">
        <f>E9</f>
        <v>0</v>
      </c>
      <c r="F13" s="35">
        <f t="shared" ref="F13:F15" si="0">D13*E13</f>
        <v>0</v>
      </c>
      <c r="G13" s="35">
        <f t="shared" ref="G13:G15" si="1">F13*0.05</f>
        <v>0</v>
      </c>
      <c r="H13" s="35">
        <f t="shared" ref="H13:H15" si="2">F13*0.1</f>
        <v>0</v>
      </c>
      <c r="I13" s="34">
        <f>F13*$L$6+G13*$L$5+H13*$L$7</f>
        <v>0</v>
      </c>
    </row>
    <row r="14" spans="1:12" ht="15.5" x14ac:dyDescent="0.3">
      <c r="A14" s="36" t="s">
        <v>60</v>
      </c>
      <c r="B14" s="21">
        <v>2</v>
      </c>
      <c r="C14" s="21">
        <v>1</v>
      </c>
      <c r="D14" s="35">
        <f t="shared" ref="D14:D15" si="3">B14*C14</f>
        <v>2</v>
      </c>
      <c r="E14" s="35">
        <f>E9</f>
        <v>0</v>
      </c>
      <c r="F14" s="35">
        <f>D14*E14</f>
        <v>0</v>
      </c>
      <c r="G14" s="35">
        <f>F14*0.05</f>
        <v>0</v>
      </c>
      <c r="H14" s="35">
        <f>F14*0.1</f>
        <v>0</v>
      </c>
      <c r="I14" s="34">
        <f t="shared" ref="I14:I19" si="4">F14*$L$6+G14*$L$5+H14*$L$7</f>
        <v>0</v>
      </c>
    </row>
    <row r="15" spans="1:12" x14ac:dyDescent="0.3">
      <c r="A15" s="36" t="s">
        <v>61</v>
      </c>
      <c r="B15" s="21">
        <v>2</v>
      </c>
      <c r="C15" s="21">
        <v>1</v>
      </c>
      <c r="D15" s="35">
        <f t="shared" si="3"/>
        <v>2</v>
      </c>
      <c r="E15" s="35">
        <f>E9</f>
        <v>0</v>
      </c>
      <c r="F15" s="35">
        <f t="shared" si="0"/>
        <v>0</v>
      </c>
      <c r="G15" s="35">
        <f t="shared" si="1"/>
        <v>0</v>
      </c>
      <c r="H15" s="35">
        <f t="shared" si="2"/>
        <v>0</v>
      </c>
      <c r="I15" s="34">
        <f t="shared" si="4"/>
        <v>0</v>
      </c>
    </row>
    <row r="16" spans="1:12" ht="15.5" x14ac:dyDescent="0.3">
      <c r="A16" s="36" t="s">
        <v>62</v>
      </c>
      <c r="B16" s="21" t="s">
        <v>57</v>
      </c>
      <c r="C16" s="21"/>
      <c r="D16" s="35"/>
      <c r="E16" s="35"/>
      <c r="F16" s="35"/>
      <c r="G16" s="35"/>
      <c r="H16" s="35"/>
      <c r="I16" s="34"/>
    </row>
    <row r="17" spans="1:12" ht="15.5" x14ac:dyDescent="0.3">
      <c r="A17" s="36" t="s">
        <v>63</v>
      </c>
      <c r="B17" s="21">
        <v>5</v>
      </c>
      <c r="C17" s="21">
        <v>2</v>
      </c>
      <c r="D17" s="35">
        <f t="shared" ref="D17:D19" si="5">B17*C17</f>
        <v>10</v>
      </c>
      <c r="E17" s="35">
        <f>E7-E18</f>
        <v>142</v>
      </c>
      <c r="F17" s="35">
        <f t="shared" ref="F17:F19" si="6">D17*E17</f>
        <v>1420</v>
      </c>
      <c r="G17" s="35">
        <f t="shared" ref="G17:G19" si="7">F17*0.05</f>
        <v>71</v>
      </c>
      <c r="H17" s="35">
        <f t="shared" ref="H17:H19" si="8">F17*0.1</f>
        <v>142</v>
      </c>
      <c r="I17" s="34">
        <f>F17*$L$6+G17*$L$5+H17*$L$7</f>
        <v>205913.49000000002</v>
      </c>
    </row>
    <row r="18" spans="1:12" ht="15.5" x14ac:dyDescent="0.3">
      <c r="A18" s="36" t="s">
        <v>64</v>
      </c>
      <c r="B18" s="21">
        <v>5</v>
      </c>
      <c r="C18" s="21">
        <v>4</v>
      </c>
      <c r="D18" s="35">
        <f t="shared" si="5"/>
        <v>20</v>
      </c>
      <c r="E18" s="35">
        <f>ROUND(0.1*E7,0)</f>
        <v>16</v>
      </c>
      <c r="F18" s="35">
        <f t="shared" si="6"/>
        <v>320</v>
      </c>
      <c r="G18" s="35">
        <f t="shared" si="7"/>
        <v>16</v>
      </c>
      <c r="H18" s="35">
        <f t="shared" si="8"/>
        <v>32</v>
      </c>
      <c r="I18" s="34">
        <f t="shared" si="4"/>
        <v>46403.040000000001</v>
      </c>
    </row>
    <row r="19" spans="1:12" ht="15.5" x14ac:dyDescent="0.3">
      <c r="A19" s="36" t="s">
        <v>65</v>
      </c>
      <c r="B19" s="21">
        <v>4</v>
      </c>
      <c r="C19" s="21">
        <v>0.5</v>
      </c>
      <c r="D19" s="35">
        <f t="shared" si="5"/>
        <v>2</v>
      </c>
      <c r="E19" s="35">
        <f>ROUND(0.8*E7,0)</f>
        <v>126</v>
      </c>
      <c r="F19" s="35">
        <f t="shared" si="6"/>
        <v>252</v>
      </c>
      <c r="G19" s="38">
        <f t="shared" si="7"/>
        <v>12.600000000000001</v>
      </c>
      <c r="H19" s="38">
        <f t="shared" si="8"/>
        <v>25.200000000000003</v>
      </c>
      <c r="I19" s="34">
        <f t="shared" si="4"/>
        <v>36542.394</v>
      </c>
    </row>
    <row r="20" spans="1:12" ht="13.5" x14ac:dyDescent="0.3">
      <c r="A20" s="17" t="s">
        <v>11</v>
      </c>
      <c r="B20" s="39"/>
      <c r="C20" s="39"/>
      <c r="D20" s="39"/>
      <c r="E20" s="40"/>
      <c r="F20" s="100">
        <f>SUM(F7:H19)</f>
        <v>2472.4999999999995</v>
      </c>
      <c r="G20" s="100"/>
      <c r="H20" s="100"/>
      <c r="I20" s="41">
        <f>SUM(I7:I19)</f>
        <v>311770.42500000005</v>
      </c>
    </row>
    <row r="21" spans="1:12" x14ac:dyDescent="0.3">
      <c r="A21" s="33" t="s">
        <v>66</v>
      </c>
      <c r="B21" s="21"/>
      <c r="C21" s="21"/>
      <c r="D21" s="21"/>
      <c r="E21" s="21"/>
      <c r="F21" s="21"/>
      <c r="G21" s="21"/>
      <c r="H21" s="21"/>
      <c r="I21" s="34"/>
    </row>
    <row r="22" spans="1:12" x14ac:dyDescent="0.3">
      <c r="A22" s="11" t="s">
        <v>67</v>
      </c>
      <c r="B22" s="21" t="s">
        <v>68</v>
      </c>
      <c r="C22" s="21"/>
      <c r="D22" s="21"/>
      <c r="E22" s="21"/>
      <c r="F22" s="21"/>
      <c r="G22" s="21"/>
      <c r="H22" s="21"/>
      <c r="I22" s="34"/>
    </row>
    <row r="23" spans="1:12" x14ac:dyDescent="0.3">
      <c r="A23" s="11" t="s">
        <v>69</v>
      </c>
      <c r="B23" s="21" t="s">
        <v>57</v>
      </c>
      <c r="C23" s="21"/>
      <c r="D23" s="21"/>
      <c r="E23" s="21"/>
      <c r="F23" s="21"/>
      <c r="G23" s="21"/>
      <c r="H23" s="21"/>
      <c r="I23" s="34"/>
    </row>
    <row r="24" spans="1:12" x14ac:dyDescent="0.3">
      <c r="A24" s="11" t="s">
        <v>70</v>
      </c>
      <c r="B24" s="21"/>
      <c r="C24" s="21"/>
      <c r="D24" s="21"/>
      <c r="E24" s="21"/>
      <c r="F24" s="21"/>
      <c r="G24" s="21"/>
      <c r="H24" s="21"/>
      <c r="I24" s="34"/>
    </row>
    <row r="25" spans="1:12" ht="15.5" x14ac:dyDescent="0.3">
      <c r="A25" s="36" t="s">
        <v>71</v>
      </c>
      <c r="B25" s="21">
        <v>1</v>
      </c>
      <c r="C25" s="21">
        <v>12</v>
      </c>
      <c r="D25" s="35">
        <f>B25*C25</f>
        <v>12</v>
      </c>
      <c r="E25" s="35">
        <f>ROUND(0.2*E7,0)</f>
        <v>32</v>
      </c>
      <c r="F25" s="35">
        <f>D25*E25</f>
        <v>384</v>
      </c>
      <c r="G25" s="38">
        <f>F25*0.05</f>
        <v>19.200000000000003</v>
      </c>
      <c r="H25" s="38">
        <f>F25*0.1</f>
        <v>38.400000000000006</v>
      </c>
      <c r="I25" s="34">
        <f>F25*$L$6+G25*$L$5+H25*$L$7</f>
        <v>55683.648000000008</v>
      </c>
    </row>
    <row r="26" spans="1:12" x14ac:dyDescent="0.3">
      <c r="A26" s="11" t="s">
        <v>72</v>
      </c>
      <c r="B26" s="21"/>
      <c r="C26" s="21"/>
      <c r="D26" s="21"/>
      <c r="E26" s="21"/>
      <c r="F26" s="21"/>
      <c r="G26" s="21"/>
      <c r="H26" s="21"/>
      <c r="I26" s="34"/>
    </row>
    <row r="27" spans="1:12" ht="15.5" x14ac:dyDescent="0.3">
      <c r="A27" s="36" t="s">
        <v>73</v>
      </c>
      <c r="B27" s="21">
        <v>0.25</v>
      </c>
      <c r="C27" s="21">
        <v>365</v>
      </c>
      <c r="D27" s="21">
        <f>C27*B27</f>
        <v>91.25</v>
      </c>
      <c r="E27" s="21">
        <f>ROUND(0.8*E7,0)</f>
        <v>126</v>
      </c>
      <c r="F27" s="35">
        <f t="shared" ref="F27:F28" si="9">D27*E27</f>
        <v>11497.5</v>
      </c>
      <c r="G27" s="35">
        <f t="shared" ref="G27:G28" si="10">F27*0.05</f>
        <v>574.875</v>
      </c>
      <c r="H27" s="35">
        <f t="shared" ref="H27:H28" si="11">F27*0.1</f>
        <v>1149.75</v>
      </c>
      <c r="I27" s="34">
        <f>F27*$L$6+G27*$L$5+H27*$L$7</f>
        <v>1667246.7262500001</v>
      </c>
    </row>
    <row r="28" spans="1:12" ht="28.5" x14ac:dyDescent="0.3">
      <c r="A28" s="36" t="s">
        <v>74</v>
      </c>
      <c r="B28" s="21">
        <v>0.25</v>
      </c>
      <c r="C28" s="21">
        <v>12</v>
      </c>
      <c r="D28" s="38">
        <f>B28*C28</f>
        <v>3</v>
      </c>
      <c r="E28" s="35">
        <f>ROUND(0.2*E7,0)</f>
        <v>32</v>
      </c>
      <c r="F28" s="35">
        <f t="shared" si="9"/>
        <v>96</v>
      </c>
      <c r="G28" s="38">
        <f t="shared" si="10"/>
        <v>4.8000000000000007</v>
      </c>
      <c r="H28" s="38">
        <f t="shared" si="11"/>
        <v>9.6000000000000014</v>
      </c>
      <c r="I28" s="34">
        <f t="shared" ref="I28" si="12">F28*$L$6+G28*$L$5+H28*$L$7</f>
        <v>13920.912000000002</v>
      </c>
      <c r="K28" s="3" t="s">
        <v>112</v>
      </c>
      <c r="L28" s="91">
        <f>F30/Responses!E11</f>
        <v>39.416058394160586</v>
      </c>
    </row>
    <row r="29" spans="1:12" ht="13.5" x14ac:dyDescent="0.3">
      <c r="A29" s="17" t="s">
        <v>75</v>
      </c>
      <c r="B29" s="39"/>
      <c r="C29" s="39"/>
      <c r="D29" s="39"/>
      <c r="E29" s="40"/>
      <c r="F29" s="100">
        <f>SUM(F22:H28)</f>
        <v>13774.125</v>
      </c>
      <c r="G29" s="100"/>
      <c r="H29" s="100"/>
      <c r="I29" s="41">
        <f>SUM(I22:I28)</f>
        <v>1736851.2862500001</v>
      </c>
    </row>
    <row r="30" spans="1:12" ht="31.5" customHeight="1" x14ac:dyDescent="0.3">
      <c r="A30" s="42" t="s">
        <v>76</v>
      </c>
      <c r="B30" s="43"/>
      <c r="C30" s="43"/>
      <c r="D30" s="42"/>
      <c r="E30" s="43"/>
      <c r="F30" s="97">
        <f>ROUND(SUM(F20,F29),-2)</f>
        <v>16200</v>
      </c>
      <c r="G30" s="97"/>
      <c r="H30" s="97"/>
      <c r="I30" s="44">
        <f>ROUND(SUM(I20,I29),-4)</f>
        <v>2050000</v>
      </c>
      <c r="K30" s="45"/>
    </row>
    <row r="31" spans="1:12" ht="15" x14ac:dyDescent="0.3">
      <c r="A31" s="42" t="s">
        <v>77</v>
      </c>
      <c r="B31" s="43"/>
      <c r="C31" s="43"/>
      <c r="D31" s="42"/>
      <c r="E31" s="43"/>
      <c r="F31" s="101"/>
      <c r="G31" s="102"/>
      <c r="H31" s="103"/>
      <c r="I31" s="44">
        <f>'Capital O&amp;M'!G7+'Capital O&amp;M'!D7</f>
        <v>151000</v>
      </c>
      <c r="K31" s="45"/>
    </row>
    <row r="32" spans="1:12" ht="15" x14ac:dyDescent="0.3">
      <c r="A32" s="42" t="s">
        <v>78</v>
      </c>
      <c r="B32" s="43"/>
      <c r="C32" s="43"/>
      <c r="D32" s="42"/>
      <c r="E32" s="43"/>
      <c r="F32" s="97">
        <f>F30</f>
        <v>16200</v>
      </c>
      <c r="G32" s="97"/>
      <c r="H32" s="97"/>
      <c r="I32" s="44">
        <f>ROUND(I30+I31,-4)</f>
        <v>2200000</v>
      </c>
    </row>
    <row r="34" spans="1:9" ht="28.5" customHeight="1" x14ac:dyDescent="0.3">
      <c r="A34" s="104" t="s">
        <v>116</v>
      </c>
      <c r="B34" s="104"/>
      <c r="C34" s="104"/>
      <c r="D34" s="104"/>
      <c r="E34" s="104"/>
      <c r="F34" s="104"/>
      <c r="G34" s="104"/>
      <c r="H34" s="104"/>
      <c r="I34" s="104"/>
    </row>
    <row r="35" spans="1:9" ht="56.5" customHeight="1" x14ac:dyDescent="0.3">
      <c r="A35" s="105" t="s">
        <v>117</v>
      </c>
      <c r="B35" s="106"/>
      <c r="C35" s="106"/>
      <c r="D35" s="106"/>
      <c r="E35" s="106"/>
      <c r="F35" s="106"/>
      <c r="G35" s="106"/>
      <c r="H35" s="106"/>
      <c r="I35" s="106"/>
    </row>
    <row r="36" spans="1:9" ht="17.25" customHeight="1" x14ac:dyDescent="0.3">
      <c r="A36" s="47" t="s">
        <v>118</v>
      </c>
      <c r="B36" s="48"/>
      <c r="C36" s="48"/>
      <c r="D36" s="48"/>
      <c r="E36" s="48"/>
      <c r="F36" s="48"/>
      <c r="G36" s="48"/>
      <c r="H36" s="48"/>
      <c r="I36" s="48"/>
    </row>
    <row r="37" spans="1:9" x14ac:dyDescent="0.3">
      <c r="A37" s="104" t="s">
        <v>119</v>
      </c>
      <c r="B37" s="104"/>
      <c r="C37" s="104"/>
      <c r="D37" s="104"/>
      <c r="E37" s="104"/>
      <c r="F37" s="104"/>
      <c r="G37" s="104"/>
      <c r="H37" s="104"/>
      <c r="I37" s="104"/>
    </row>
    <row r="38" spans="1:9" ht="26.25" customHeight="1" x14ac:dyDescent="0.3">
      <c r="A38" s="104" t="s">
        <v>120</v>
      </c>
      <c r="B38" s="104"/>
      <c r="C38" s="104"/>
      <c r="D38" s="104"/>
      <c r="E38" s="104"/>
      <c r="F38" s="104"/>
      <c r="G38" s="104"/>
      <c r="H38" s="104"/>
      <c r="I38" s="104"/>
    </row>
    <row r="39" spans="1:9" ht="16.5" customHeight="1" x14ac:dyDescent="0.3">
      <c r="A39" s="104" t="s">
        <v>126</v>
      </c>
      <c r="B39" s="104"/>
      <c r="C39" s="104"/>
      <c r="D39" s="104"/>
      <c r="E39" s="104"/>
      <c r="F39" s="104"/>
      <c r="G39" s="104"/>
      <c r="H39" s="104"/>
      <c r="I39" s="104"/>
    </row>
    <row r="40" spans="1:9" ht="15.5" x14ac:dyDescent="0.3">
      <c r="A40" s="3" t="s">
        <v>121</v>
      </c>
    </row>
  </sheetData>
  <sortState xmlns:xlrd2="http://schemas.microsoft.com/office/spreadsheetml/2017/richdata2" ref="A61:B76">
    <sortCondition ref="B61:B76"/>
  </sortState>
  <mergeCells count="11">
    <mergeCell ref="A34:I34"/>
    <mergeCell ref="A35:I35"/>
    <mergeCell ref="A37:I37"/>
    <mergeCell ref="A38:I38"/>
    <mergeCell ref="A39:I39"/>
    <mergeCell ref="F32:H32"/>
    <mergeCell ref="K4:L4"/>
    <mergeCell ref="F20:H20"/>
    <mergeCell ref="F29:H29"/>
    <mergeCell ref="F30:H30"/>
    <mergeCell ref="F31:H31"/>
  </mergeCells>
  <phoneticPr fontId="16"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M25"/>
  <sheetViews>
    <sheetView topLeftCell="A3" workbookViewId="0">
      <selection activeCell="F18" sqref="F18:I18"/>
    </sheetView>
  </sheetViews>
  <sheetFormatPr defaultColWidth="9.1796875" defaultRowHeight="13" x14ac:dyDescent="0.3"/>
  <cols>
    <col min="1" max="1" width="49.26953125" style="3" bestFit="1" customWidth="1"/>
    <col min="2" max="2" width="13.453125" style="3" customWidth="1"/>
    <col min="3" max="3" width="12.26953125" style="3" customWidth="1"/>
    <col min="4" max="4" width="14.54296875" style="3" customWidth="1"/>
    <col min="5" max="5" width="13" style="3" bestFit="1" customWidth="1"/>
    <col min="6" max="6" width="15.81640625" style="3" customWidth="1"/>
    <col min="7" max="7" width="15.1796875" style="3" bestFit="1" customWidth="1"/>
    <col min="8" max="8" width="14.453125" style="3" customWidth="1"/>
    <col min="9" max="9" width="11.26953125" style="3" customWidth="1"/>
    <col min="10" max="10" width="7.7265625" style="3" customWidth="1"/>
    <col min="11" max="11" width="10" style="3" customWidth="1"/>
    <col min="12" max="12" width="11" style="3" bestFit="1" customWidth="1"/>
    <col min="13" max="13" width="7.7265625" style="3" customWidth="1"/>
    <col min="14" max="14" width="6.81640625" style="3" customWidth="1"/>
    <col min="15" max="16384" width="9.1796875" style="3"/>
  </cols>
  <sheetData>
    <row r="1" spans="1:13" ht="15" x14ac:dyDescent="0.3">
      <c r="A1" s="29" t="s">
        <v>79</v>
      </c>
      <c r="B1" s="29"/>
    </row>
    <row r="2" spans="1:13" x14ac:dyDescent="0.3">
      <c r="L2" s="49"/>
      <c r="M2" s="50"/>
    </row>
    <row r="3" spans="1:13" s="27" customFormat="1" ht="65" x14ac:dyDescent="0.3">
      <c r="A3" s="15" t="s">
        <v>12</v>
      </c>
      <c r="B3" s="28" t="s">
        <v>80</v>
      </c>
      <c r="C3" s="28" t="s">
        <v>41</v>
      </c>
      <c r="D3" s="28" t="s">
        <v>81</v>
      </c>
      <c r="E3" s="28" t="s">
        <v>82</v>
      </c>
      <c r="F3" s="28" t="s">
        <v>83</v>
      </c>
      <c r="G3" s="28" t="s">
        <v>84</v>
      </c>
      <c r="H3" s="28" t="s">
        <v>46</v>
      </c>
      <c r="I3" s="28" t="s">
        <v>47</v>
      </c>
      <c r="J3" s="51"/>
      <c r="K3" s="3"/>
      <c r="L3" s="49"/>
      <c r="M3" s="50"/>
    </row>
    <row r="4" spans="1:13" x14ac:dyDescent="0.3">
      <c r="A4" s="14" t="s">
        <v>85</v>
      </c>
      <c r="B4" s="21"/>
      <c r="C4" s="21"/>
      <c r="D4" s="21"/>
      <c r="E4" s="35"/>
      <c r="F4" s="35"/>
      <c r="G4" s="38"/>
      <c r="H4" s="35"/>
      <c r="I4" s="52"/>
      <c r="J4" s="53"/>
      <c r="K4" s="108" t="s">
        <v>7</v>
      </c>
      <c r="L4" s="108"/>
      <c r="M4" s="50"/>
    </row>
    <row r="5" spans="1:13" ht="15.5" x14ac:dyDescent="0.3">
      <c r="A5" s="11" t="s">
        <v>86</v>
      </c>
      <c r="B5" s="21">
        <v>24</v>
      </c>
      <c r="C5" s="21">
        <v>7.0000000000000007E-2</v>
      </c>
      <c r="D5" s="54">
        <f>B5*C5</f>
        <v>1.6800000000000002</v>
      </c>
      <c r="E5" s="35">
        <v>0</v>
      </c>
      <c r="F5" s="35">
        <f>D5*E5</f>
        <v>0</v>
      </c>
      <c r="G5" s="35">
        <f>F5*0.05</f>
        <v>0</v>
      </c>
      <c r="H5" s="35">
        <f>F5*0.1</f>
        <v>0</v>
      </c>
      <c r="I5" s="37">
        <f>F5*$L$6+G5*$L$5+H5*$L$7</f>
        <v>0</v>
      </c>
      <c r="J5" s="55"/>
      <c r="K5" s="4" t="s">
        <v>8</v>
      </c>
      <c r="L5" s="92">
        <v>73.459999999999994</v>
      </c>
    </row>
    <row r="6" spans="1:13" x14ac:dyDescent="0.3">
      <c r="A6" s="14" t="s">
        <v>87</v>
      </c>
      <c r="B6" s="21"/>
      <c r="C6" s="54"/>
      <c r="D6" s="54"/>
      <c r="E6" s="38"/>
      <c r="F6" s="38"/>
      <c r="G6" s="56"/>
      <c r="H6" s="56"/>
      <c r="I6" s="34"/>
      <c r="J6" s="57"/>
      <c r="K6" s="4" t="s">
        <v>13</v>
      </c>
      <c r="L6" s="92">
        <v>54.51</v>
      </c>
      <c r="M6" s="58"/>
    </row>
    <row r="7" spans="1:13" ht="15.5" x14ac:dyDescent="0.3">
      <c r="A7" s="11" t="s">
        <v>88</v>
      </c>
      <c r="B7" s="21">
        <v>24</v>
      </c>
      <c r="C7" s="21">
        <v>1</v>
      </c>
      <c r="D7" s="54">
        <f>B7*C7</f>
        <v>24</v>
      </c>
      <c r="E7" s="35">
        <v>0</v>
      </c>
      <c r="F7" s="35">
        <f>D7*E7</f>
        <v>0</v>
      </c>
      <c r="G7" s="35">
        <f>F7*0.05</f>
        <v>0</v>
      </c>
      <c r="H7" s="35">
        <f>F7*0.1</f>
        <v>0</v>
      </c>
      <c r="I7" s="37">
        <f>F7*$L$6+G7*$L$5+H7*$L$7</f>
        <v>0</v>
      </c>
      <c r="J7" s="55"/>
      <c r="K7" s="4" t="s">
        <v>10</v>
      </c>
      <c r="L7" s="92">
        <v>29.5</v>
      </c>
    </row>
    <row r="8" spans="1:13" x14ac:dyDescent="0.3">
      <c r="A8" s="14" t="s">
        <v>89</v>
      </c>
      <c r="B8" s="21"/>
      <c r="C8" s="21"/>
      <c r="D8" s="21"/>
      <c r="E8" s="35"/>
      <c r="F8" s="35"/>
      <c r="G8" s="38"/>
      <c r="H8" s="35"/>
      <c r="I8" s="52"/>
      <c r="J8" s="53"/>
      <c r="L8" s="59"/>
      <c r="M8" s="59"/>
    </row>
    <row r="9" spans="1:13" ht="15.5" x14ac:dyDescent="0.3">
      <c r="A9" s="11" t="s">
        <v>86</v>
      </c>
      <c r="B9" s="21"/>
      <c r="C9" s="21"/>
      <c r="D9" s="54"/>
      <c r="E9" s="35"/>
      <c r="F9" s="35"/>
      <c r="G9" s="35"/>
      <c r="H9" s="35"/>
      <c r="I9" s="37"/>
      <c r="J9" s="55"/>
    </row>
    <row r="10" spans="1:13" x14ac:dyDescent="0.3">
      <c r="A10" s="12" t="s">
        <v>90</v>
      </c>
      <c r="B10" s="21">
        <v>2</v>
      </c>
      <c r="C10" s="21">
        <v>1</v>
      </c>
      <c r="D10" s="21">
        <f>B10*C10</f>
        <v>2</v>
      </c>
      <c r="E10" s="35">
        <v>0</v>
      </c>
      <c r="F10" s="35">
        <f>D10*E10</f>
        <v>0</v>
      </c>
      <c r="G10" s="35">
        <f>F10*0.05</f>
        <v>0</v>
      </c>
      <c r="H10" s="35">
        <f>F10*0.1</f>
        <v>0</v>
      </c>
      <c r="I10" s="37">
        <f>F10*$L$6+G10*$L$5+H10*$L$7</f>
        <v>0</v>
      </c>
      <c r="J10" s="55"/>
      <c r="M10" s="59"/>
    </row>
    <row r="11" spans="1:13" x14ac:dyDescent="0.3">
      <c r="A11" s="12" t="s">
        <v>91</v>
      </c>
      <c r="B11" s="21">
        <v>0.5</v>
      </c>
      <c r="C11" s="21">
        <v>1</v>
      </c>
      <c r="D11" s="21">
        <f t="shared" ref="D11:D17" si="0">B11*C11</f>
        <v>0.5</v>
      </c>
      <c r="E11" s="35">
        <v>0</v>
      </c>
      <c r="F11" s="35">
        <f>D11*E11</f>
        <v>0</v>
      </c>
      <c r="G11" s="35">
        <f>F11*0.05</f>
        <v>0</v>
      </c>
      <c r="H11" s="35">
        <f>F11*0.1</f>
        <v>0</v>
      </c>
      <c r="I11" s="37">
        <f>F11*$L$6+G11*$L$5+H11*$L$7</f>
        <v>0</v>
      </c>
      <c r="J11" s="55"/>
      <c r="L11" s="59"/>
      <c r="M11" s="59"/>
    </row>
    <row r="12" spans="1:13" x14ac:dyDescent="0.3">
      <c r="A12" s="12" t="s">
        <v>61</v>
      </c>
      <c r="B12" s="21">
        <v>0.5</v>
      </c>
      <c r="C12" s="21">
        <v>1</v>
      </c>
      <c r="D12" s="21">
        <f t="shared" si="0"/>
        <v>0.5</v>
      </c>
      <c r="E12" s="35">
        <v>0</v>
      </c>
      <c r="F12" s="35">
        <f t="shared" ref="F12:F13" si="1">D12*E12</f>
        <v>0</v>
      </c>
      <c r="G12" s="35">
        <f t="shared" ref="G12:G13" si="2">F12*0.05</f>
        <v>0</v>
      </c>
      <c r="H12" s="35">
        <f t="shared" ref="H12:H13" si="3">F12*0.1</f>
        <v>0</v>
      </c>
      <c r="I12" s="37">
        <f t="shared" ref="I12:I13" si="4">F12*$L$6+G12*$L$5+H12*$L$7</f>
        <v>0</v>
      </c>
      <c r="J12" s="55"/>
      <c r="L12" s="59"/>
      <c r="M12" s="59"/>
    </row>
    <row r="13" spans="1:13" x14ac:dyDescent="0.3">
      <c r="A13" s="12" t="s">
        <v>92</v>
      </c>
      <c r="B13" s="21">
        <v>8</v>
      </c>
      <c r="C13" s="21">
        <v>1</v>
      </c>
      <c r="D13" s="21">
        <f t="shared" si="0"/>
        <v>8</v>
      </c>
      <c r="E13" s="35">
        <f>E12</f>
        <v>0</v>
      </c>
      <c r="F13" s="35">
        <f t="shared" si="1"/>
        <v>0</v>
      </c>
      <c r="G13" s="35">
        <f t="shared" si="2"/>
        <v>0</v>
      </c>
      <c r="H13" s="35">
        <f t="shared" si="3"/>
        <v>0</v>
      </c>
      <c r="I13" s="37">
        <f t="shared" si="4"/>
        <v>0</v>
      </c>
      <c r="J13" s="55"/>
      <c r="L13" s="59"/>
      <c r="M13" s="59"/>
    </row>
    <row r="14" spans="1:13" x14ac:dyDescent="0.3">
      <c r="A14" s="11" t="s">
        <v>93</v>
      </c>
      <c r="B14" s="21"/>
      <c r="C14" s="21"/>
      <c r="D14" s="54"/>
      <c r="E14" s="35"/>
      <c r="F14" s="35"/>
      <c r="G14" s="35"/>
      <c r="H14" s="35"/>
      <c r="I14" s="37"/>
      <c r="J14" s="55"/>
    </row>
    <row r="15" spans="1:13" ht="15.5" x14ac:dyDescent="0.3">
      <c r="A15" s="12" t="s">
        <v>63</v>
      </c>
      <c r="B15" s="21">
        <v>2</v>
      </c>
      <c r="C15" s="21">
        <v>2</v>
      </c>
      <c r="D15" s="21">
        <f t="shared" si="0"/>
        <v>4</v>
      </c>
      <c r="E15" s="35">
        <f>'Table 1'!E17</f>
        <v>142</v>
      </c>
      <c r="F15" s="35">
        <f>D15*E15</f>
        <v>568</v>
      </c>
      <c r="G15" s="38">
        <f t="shared" ref="G15:G16" si="5">F15*0.05</f>
        <v>28.400000000000002</v>
      </c>
      <c r="H15" s="38">
        <f t="shared" ref="H15:H16" si="6">F15*0.1</f>
        <v>56.800000000000004</v>
      </c>
      <c r="I15" s="37">
        <f>F15*$L$6+G15*$L$5+H15*$L$7</f>
        <v>34723.544000000002</v>
      </c>
      <c r="J15" s="57"/>
      <c r="L15" s="59"/>
      <c r="M15" s="59"/>
    </row>
    <row r="16" spans="1:13" ht="15.5" x14ac:dyDescent="0.3">
      <c r="A16" s="12" t="s">
        <v>64</v>
      </c>
      <c r="B16" s="21">
        <v>2</v>
      </c>
      <c r="C16" s="21">
        <v>4</v>
      </c>
      <c r="D16" s="21">
        <f t="shared" si="0"/>
        <v>8</v>
      </c>
      <c r="E16" s="35">
        <f>'Table 1'!E18</f>
        <v>16</v>
      </c>
      <c r="F16" s="35">
        <f t="shared" ref="F16" si="7">D16*E16</f>
        <v>128</v>
      </c>
      <c r="G16" s="38">
        <f t="shared" si="5"/>
        <v>6.4</v>
      </c>
      <c r="H16" s="38">
        <f t="shared" si="6"/>
        <v>12.8</v>
      </c>
      <c r="I16" s="37">
        <f t="shared" ref="I16:I17" si="8">F16*$L$6+G16*$L$5+H16*$L$7</f>
        <v>7825.0240000000003</v>
      </c>
      <c r="J16" s="60"/>
      <c r="L16" s="59"/>
      <c r="M16" s="59"/>
    </row>
    <row r="17" spans="1:13" ht="15.5" x14ac:dyDescent="0.3">
      <c r="A17" s="12" t="s">
        <v>65</v>
      </c>
      <c r="B17" s="21">
        <v>2</v>
      </c>
      <c r="C17" s="38">
        <v>0.5</v>
      </c>
      <c r="D17" s="54">
        <f t="shared" si="0"/>
        <v>1</v>
      </c>
      <c r="E17" s="35">
        <f>'Table 1'!E19</f>
        <v>126</v>
      </c>
      <c r="F17" s="35">
        <f>D17*E17</f>
        <v>126</v>
      </c>
      <c r="G17" s="38">
        <f>F17*0.05</f>
        <v>6.3000000000000007</v>
      </c>
      <c r="H17" s="38">
        <f>F17*0.1</f>
        <v>12.600000000000001</v>
      </c>
      <c r="I17" s="37">
        <f t="shared" si="8"/>
        <v>7702.7579999999989</v>
      </c>
      <c r="J17" s="57"/>
      <c r="M17" s="59"/>
    </row>
    <row r="18" spans="1:13" ht="15" x14ac:dyDescent="0.3">
      <c r="A18" s="42" t="s">
        <v>94</v>
      </c>
      <c r="B18" s="43"/>
      <c r="C18" s="43"/>
      <c r="D18" s="43"/>
      <c r="E18" s="43"/>
      <c r="F18" s="97">
        <f>SUM(F5:H17)</f>
        <v>945.29999999999984</v>
      </c>
      <c r="G18" s="97"/>
      <c r="H18" s="97"/>
      <c r="I18" s="44">
        <f>ROUND(SUM(I5:I17),-2)</f>
        <v>50300</v>
      </c>
      <c r="J18" s="61"/>
      <c r="K18" s="62"/>
      <c r="M18" s="63"/>
    </row>
    <row r="19" spans="1:13" x14ac:dyDescent="0.3">
      <c r="K19" s="62"/>
    </row>
    <row r="20" spans="1:13" x14ac:dyDescent="0.3">
      <c r="A20" s="104" t="s">
        <v>122</v>
      </c>
      <c r="B20" s="104"/>
      <c r="C20" s="104"/>
      <c r="D20" s="104"/>
      <c r="E20" s="104"/>
      <c r="F20" s="104"/>
      <c r="G20" s="104"/>
      <c r="H20" s="104"/>
      <c r="I20" s="104"/>
      <c r="J20" s="46"/>
    </row>
    <row r="21" spans="1:13" ht="46.15" customHeight="1" x14ac:dyDescent="0.3">
      <c r="A21" s="109" t="s">
        <v>127</v>
      </c>
      <c r="B21" s="110"/>
      <c r="C21" s="110"/>
      <c r="D21" s="110"/>
      <c r="E21" s="110"/>
      <c r="F21" s="110"/>
      <c r="G21" s="110"/>
      <c r="H21" s="110"/>
      <c r="I21" s="110"/>
      <c r="J21" s="26"/>
    </row>
    <row r="22" spans="1:13" ht="12.75" customHeight="1" x14ac:dyDescent="0.3">
      <c r="A22" s="104" t="s">
        <v>128</v>
      </c>
      <c r="B22" s="104"/>
      <c r="C22" s="104"/>
      <c r="D22" s="104"/>
      <c r="E22" s="104"/>
      <c r="F22" s="104"/>
      <c r="G22" s="104"/>
      <c r="H22" s="104"/>
      <c r="I22" s="104"/>
      <c r="J22" s="46"/>
    </row>
    <row r="23" spans="1:13" ht="12.75" customHeight="1" x14ac:dyDescent="0.3">
      <c r="A23" s="107" t="s">
        <v>123</v>
      </c>
      <c r="B23" s="107"/>
      <c r="C23" s="107"/>
      <c r="D23" s="107"/>
      <c r="E23" s="107"/>
      <c r="F23" s="107"/>
      <c r="G23" s="107"/>
      <c r="H23" s="107"/>
      <c r="I23" s="107"/>
      <c r="J23" s="46"/>
    </row>
    <row r="24" spans="1:13" ht="12.75" customHeight="1" x14ac:dyDescent="0.3">
      <c r="A24" s="104" t="s">
        <v>124</v>
      </c>
      <c r="B24" s="104"/>
      <c r="C24" s="104"/>
      <c r="D24" s="104"/>
      <c r="E24" s="104"/>
      <c r="F24" s="104"/>
      <c r="G24" s="104"/>
      <c r="H24" s="104"/>
      <c r="I24" s="104"/>
      <c r="J24" s="46"/>
    </row>
    <row r="25" spans="1:13" ht="15.5" x14ac:dyDescent="0.3">
      <c r="A25" s="3" t="s">
        <v>125</v>
      </c>
    </row>
  </sheetData>
  <mergeCells count="7">
    <mergeCell ref="A22:I22"/>
    <mergeCell ref="A23:I23"/>
    <mergeCell ref="A24:I24"/>
    <mergeCell ref="K4:L4"/>
    <mergeCell ref="F18:H18"/>
    <mergeCell ref="A20:I20"/>
    <mergeCell ref="A21:I21"/>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2"/>
  <sheetViews>
    <sheetView zoomScale="90" zoomScaleNormal="90" workbookViewId="0">
      <selection activeCell="A18" sqref="A18"/>
    </sheetView>
  </sheetViews>
  <sheetFormatPr defaultColWidth="22" defaultRowHeight="13" x14ac:dyDescent="0.3"/>
  <cols>
    <col min="1" max="1" width="22" style="5"/>
    <col min="2" max="2" width="17.54296875" style="5" customWidth="1"/>
    <col min="3" max="3" width="17.26953125" style="5" customWidth="1"/>
    <col min="4" max="4" width="22" style="5"/>
    <col min="5" max="5" width="19.81640625" style="5" customWidth="1"/>
    <col min="6" max="7" width="16.81640625" style="5" customWidth="1"/>
    <col min="8" max="8" width="6" style="5" customWidth="1"/>
    <col min="9" max="16384" width="22" style="5"/>
  </cols>
  <sheetData>
    <row r="1" spans="1:9" x14ac:dyDescent="0.3">
      <c r="A1" s="1"/>
      <c r="B1" s="2"/>
      <c r="C1" s="2"/>
    </row>
    <row r="2" spans="1:9" x14ac:dyDescent="0.3">
      <c r="A2" s="113" t="s">
        <v>14</v>
      </c>
      <c r="B2" s="113"/>
      <c r="C2" s="113"/>
      <c r="D2" s="113"/>
      <c r="E2" s="113"/>
      <c r="F2" s="113"/>
      <c r="G2" s="114"/>
      <c r="H2" s="8"/>
    </row>
    <row r="3" spans="1:9" x14ac:dyDescent="0.3">
      <c r="A3" s="7" t="s">
        <v>15</v>
      </c>
      <c r="B3" s="7" t="s">
        <v>16</v>
      </c>
      <c r="C3" s="7" t="s">
        <v>17</v>
      </c>
      <c r="D3" s="7" t="s">
        <v>18</v>
      </c>
      <c r="E3" s="7" t="s">
        <v>19</v>
      </c>
      <c r="F3" s="7" t="s">
        <v>20</v>
      </c>
      <c r="G3" s="7" t="s">
        <v>21</v>
      </c>
      <c r="H3" s="8"/>
    </row>
    <row r="4" spans="1:9" ht="46.5" customHeight="1" x14ac:dyDescent="0.3">
      <c r="A4" s="7" t="s">
        <v>22</v>
      </c>
      <c r="B4" s="7" t="s">
        <v>23</v>
      </c>
      <c r="C4" s="7" t="s">
        <v>24</v>
      </c>
      <c r="D4" s="7" t="s">
        <v>25</v>
      </c>
      <c r="E4" s="7" t="s">
        <v>26</v>
      </c>
      <c r="F4" s="7" t="s">
        <v>27</v>
      </c>
      <c r="G4" s="7" t="s">
        <v>28</v>
      </c>
      <c r="H4" s="8"/>
    </row>
    <row r="5" spans="1:9" ht="36.75" customHeight="1" x14ac:dyDescent="0.3">
      <c r="A5" s="85" t="s">
        <v>107</v>
      </c>
      <c r="B5" s="86" t="s">
        <v>49</v>
      </c>
      <c r="C5" s="86" t="s">
        <v>49</v>
      </c>
      <c r="D5" s="94">
        <v>0</v>
      </c>
      <c r="E5" s="6" t="s">
        <v>108</v>
      </c>
      <c r="F5" s="6">
        <f>ROUND(Respondents!F10*0.8,0)</f>
        <v>126</v>
      </c>
      <c r="G5" s="87">
        <f>F5*1200</f>
        <v>151200</v>
      </c>
      <c r="H5" s="9"/>
    </row>
    <row r="6" spans="1:9" ht="36.75" customHeight="1" x14ac:dyDescent="0.3">
      <c r="A6" s="88" t="s">
        <v>109</v>
      </c>
      <c r="B6" s="6" t="s">
        <v>110</v>
      </c>
      <c r="C6" s="6">
        <v>0</v>
      </c>
      <c r="D6" s="87">
        <v>0</v>
      </c>
      <c r="E6" s="6" t="s">
        <v>49</v>
      </c>
      <c r="F6" s="6" t="s">
        <v>49</v>
      </c>
      <c r="G6" s="6" t="s">
        <v>111</v>
      </c>
      <c r="H6" s="9"/>
    </row>
    <row r="7" spans="1:9" ht="36.75" customHeight="1" x14ac:dyDescent="0.3">
      <c r="A7" s="95" t="s">
        <v>129</v>
      </c>
      <c r="B7" s="7"/>
      <c r="C7" s="89"/>
      <c r="D7" s="90">
        <f>SUM(D5:D6)</f>
        <v>0</v>
      </c>
      <c r="E7" s="89"/>
      <c r="F7" s="89"/>
      <c r="G7" s="90">
        <f>ROUND(SUM(G5:G6), -3)</f>
        <v>151000</v>
      </c>
      <c r="H7" s="10"/>
      <c r="I7" s="20">
        <f>D7+G7</f>
        <v>151000</v>
      </c>
    </row>
    <row r="8" spans="1:9" x14ac:dyDescent="0.3">
      <c r="A8" s="18"/>
      <c r="B8" s="19"/>
      <c r="C8" s="19"/>
      <c r="D8" s="10"/>
      <c r="E8" s="19"/>
      <c r="F8" s="19"/>
      <c r="G8" s="10"/>
    </row>
    <row r="9" spans="1:9" ht="42.65" customHeight="1" x14ac:dyDescent="0.3">
      <c r="A9" s="112" t="s">
        <v>115</v>
      </c>
      <c r="B9" s="112"/>
      <c r="C9" s="112"/>
      <c r="D9" s="112"/>
      <c r="E9" s="112"/>
      <c r="F9" s="112"/>
      <c r="G9" s="112"/>
      <c r="I9" s="93"/>
    </row>
    <row r="10" spans="1:9" ht="29.5" customHeight="1" x14ac:dyDescent="0.3">
      <c r="A10" s="115" t="s">
        <v>114</v>
      </c>
      <c r="B10" s="115"/>
      <c r="C10" s="115"/>
      <c r="D10" s="115"/>
      <c r="E10" s="115"/>
      <c r="F10" s="115"/>
      <c r="G10" s="115"/>
    </row>
    <row r="11" spans="1:9" ht="21.65" customHeight="1" x14ac:dyDescent="0.3">
      <c r="A11" s="111" t="s">
        <v>29</v>
      </c>
      <c r="B11" s="111"/>
      <c r="C11" s="111"/>
      <c r="D11" s="111"/>
      <c r="E11" s="111"/>
      <c r="F11" s="111"/>
      <c r="G11" s="111"/>
    </row>
    <row r="12" spans="1:9" x14ac:dyDescent="0.3">
      <c r="A12" s="13"/>
      <c r="B12" s="13"/>
      <c r="C12" s="13"/>
      <c r="D12" s="13"/>
      <c r="E12" s="13"/>
      <c r="F12" s="13"/>
      <c r="G12" s="13"/>
    </row>
  </sheetData>
  <mergeCells count="4">
    <mergeCell ref="A11:G11"/>
    <mergeCell ref="A9:G9"/>
    <mergeCell ref="A2:G2"/>
    <mergeCell ref="A10:G10"/>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G14"/>
  <sheetViews>
    <sheetView zoomScaleNormal="100" workbookViewId="0">
      <selection activeCell="I11" sqref="I11"/>
    </sheetView>
  </sheetViews>
  <sheetFormatPr defaultColWidth="9.1796875" defaultRowHeight="14.5" x14ac:dyDescent="0.35"/>
  <cols>
    <col min="1" max="1" width="31.26953125" customWidth="1"/>
    <col min="2" max="3" width="10" customWidth="1"/>
    <col min="4" max="4" width="16" customWidth="1"/>
    <col min="5" max="5" width="10.54296875" customWidth="1"/>
    <col min="6" max="6" width="7" customWidth="1"/>
  </cols>
  <sheetData>
    <row r="1" spans="1:7" ht="15.65" customHeight="1" x14ac:dyDescent="0.35"/>
    <row r="2" spans="1:7" ht="15" x14ac:dyDescent="0.35">
      <c r="A2" s="116" t="s">
        <v>6</v>
      </c>
      <c r="B2" s="116"/>
      <c r="C2" s="116"/>
      <c r="D2" s="116"/>
      <c r="E2" s="116"/>
      <c r="F2" s="64"/>
    </row>
    <row r="3" spans="1:7" ht="57.5" x14ac:dyDescent="0.35">
      <c r="A3" s="65" t="s">
        <v>95</v>
      </c>
      <c r="B3" s="66" t="s">
        <v>96</v>
      </c>
      <c r="C3" s="66" t="s">
        <v>97</v>
      </c>
      <c r="D3" s="65" t="s">
        <v>98</v>
      </c>
      <c r="E3" s="65" t="s">
        <v>99</v>
      </c>
      <c r="F3" s="67"/>
    </row>
    <row r="4" spans="1:7" ht="17.25" customHeight="1" x14ac:dyDescent="0.35">
      <c r="A4" s="68" t="s">
        <v>90</v>
      </c>
      <c r="B4" s="69">
        <f>'Table 1'!E13</f>
        <v>0</v>
      </c>
      <c r="C4" s="69">
        <v>1</v>
      </c>
      <c r="D4" s="70">
        <v>0</v>
      </c>
      <c r="E4" s="70">
        <f t="shared" ref="E4:E10" si="0">B4*C4+D4</f>
        <v>0</v>
      </c>
      <c r="F4" s="71"/>
    </row>
    <row r="5" spans="1:7" x14ac:dyDescent="0.35">
      <c r="A5" s="68" t="s">
        <v>91</v>
      </c>
      <c r="B5" s="69">
        <f>'Table 1'!E14</f>
        <v>0</v>
      </c>
      <c r="C5" s="69">
        <v>1</v>
      </c>
      <c r="D5" s="70">
        <v>0</v>
      </c>
      <c r="E5" s="70">
        <f t="shared" si="0"/>
        <v>0</v>
      </c>
      <c r="F5" s="71"/>
    </row>
    <row r="6" spans="1:7" x14ac:dyDescent="0.35">
      <c r="A6" s="68" t="s">
        <v>61</v>
      </c>
      <c r="B6" s="69">
        <f>'Table 1'!E15</f>
        <v>0</v>
      </c>
      <c r="C6" s="69">
        <v>1</v>
      </c>
      <c r="D6" s="70">
        <v>0</v>
      </c>
      <c r="E6" s="70">
        <f t="shared" si="0"/>
        <v>0</v>
      </c>
      <c r="F6" s="71"/>
      <c r="G6" s="72"/>
    </row>
    <row r="7" spans="1:7" x14ac:dyDescent="0.35">
      <c r="A7" s="68" t="s">
        <v>30</v>
      </c>
      <c r="B7" s="69">
        <f>'Table 1'!E9+'Table 1'!E10</f>
        <v>0</v>
      </c>
      <c r="C7" s="69">
        <v>1</v>
      </c>
      <c r="D7" s="70">
        <v>0</v>
      </c>
      <c r="E7" s="70">
        <f t="shared" si="0"/>
        <v>0</v>
      </c>
      <c r="F7" s="71"/>
      <c r="G7" s="72"/>
    </row>
    <row r="8" spans="1:7" x14ac:dyDescent="0.35">
      <c r="A8" s="68" t="s">
        <v>100</v>
      </c>
      <c r="B8" s="69">
        <f>'Table 1'!E17</f>
        <v>142</v>
      </c>
      <c r="C8" s="69">
        <v>2</v>
      </c>
      <c r="D8" s="70">
        <v>0</v>
      </c>
      <c r="E8" s="70">
        <f>B8*C8+D8</f>
        <v>284</v>
      </c>
      <c r="F8" s="71"/>
    </row>
    <row r="9" spans="1:7" x14ac:dyDescent="0.35">
      <c r="A9" s="68" t="s">
        <v>101</v>
      </c>
      <c r="B9" s="69">
        <f>'Table 1'!E18</f>
        <v>16</v>
      </c>
      <c r="C9" s="69">
        <v>4</v>
      </c>
      <c r="D9" s="70">
        <v>0</v>
      </c>
      <c r="E9" s="70">
        <f t="shared" si="0"/>
        <v>64</v>
      </c>
      <c r="F9" s="71"/>
    </row>
    <row r="10" spans="1:7" x14ac:dyDescent="0.35">
      <c r="A10" s="68" t="s">
        <v>102</v>
      </c>
      <c r="B10" s="69">
        <f>'Table 1'!E19</f>
        <v>126</v>
      </c>
      <c r="C10" s="73">
        <v>0.5</v>
      </c>
      <c r="D10" s="70">
        <v>0</v>
      </c>
      <c r="E10" s="70">
        <f t="shared" si="0"/>
        <v>63</v>
      </c>
      <c r="F10" s="71"/>
    </row>
    <row r="11" spans="1:7" x14ac:dyDescent="0.35">
      <c r="A11" s="74"/>
      <c r="B11" s="74"/>
      <c r="C11" s="74"/>
      <c r="D11" s="75" t="s">
        <v>31</v>
      </c>
      <c r="E11" s="75">
        <f>SUM(E4:E10)</f>
        <v>411</v>
      </c>
      <c r="F11" s="67"/>
      <c r="G11" s="76"/>
    </row>
    <row r="14" spans="1:7" x14ac:dyDescent="0.35">
      <c r="A14" s="77"/>
      <c r="B14" s="78"/>
      <c r="C14" s="78"/>
      <c r="D14" s="78"/>
      <c r="E14" s="16"/>
      <c r="F14" s="16"/>
    </row>
  </sheetData>
  <mergeCells count="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1"/>
  <sheetViews>
    <sheetView topLeftCell="A2" zoomScale="90" zoomScaleNormal="90" workbookViewId="0">
      <selection activeCell="I9" sqref="I9"/>
    </sheetView>
  </sheetViews>
  <sheetFormatPr defaultRowHeight="14.5" x14ac:dyDescent="0.35"/>
  <cols>
    <col min="1" max="1" width="9.7265625" customWidth="1"/>
    <col min="2" max="2" width="12.81640625" bestFit="1" customWidth="1"/>
    <col min="3" max="3" width="15.54296875" bestFit="1" customWidth="1"/>
    <col min="4" max="4" width="18.54296875" customWidth="1"/>
    <col min="5" max="5" width="15.54296875" bestFit="1" customWidth="1"/>
    <col min="6" max="6" width="12.81640625" customWidth="1"/>
  </cols>
  <sheetData>
    <row r="1" spans="1:6" ht="31.9" customHeight="1" x14ac:dyDescent="0.35"/>
    <row r="2" spans="1:6" ht="31.9" customHeight="1" x14ac:dyDescent="0.35">
      <c r="A2" s="117" t="s">
        <v>2</v>
      </c>
      <c r="B2" s="118"/>
      <c r="C2" s="118"/>
      <c r="D2" s="118"/>
      <c r="E2" s="118"/>
      <c r="F2" s="119"/>
    </row>
    <row r="3" spans="1:6" ht="31.9" customHeight="1" x14ac:dyDescent="0.35">
      <c r="A3" s="79"/>
      <c r="B3" s="120" t="s">
        <v>32</v>
      </c>
      <c r="C3" s="121"/>
      <c r="D3" s="80" t="s">
        <v>33</v>
      </c>
      <c r="E3" s="120"/>
      <c r="F3" s="121"/>
    </row>
    <row r="4" spans="1:6" ht="70.900000000000006" customHeight="1" x14ac:dyDescent="0.35">
      <c r="A4" s="81"/>
      <c r="B4" s="82" t="s">
        <v>15</v>
      </c>
      <c r="C4" s="82" t="s">
        <v>16</v>
      </c>
      <c r="D4" s="82" t="s">
        <v>17</v>
      </c>
      <c r="E4" s="82" t="s">
        <v>18</v>
      </c>
      <c r="F4" s="82" t="s">
        <v>19</v>
      </c>
    </row>
    <row r="5" spans="1:6" ht="52" x14ac:dyDescent="0.35">
      <c r="A5" s="82" t="s">
        <v>34</v>
      </c>
      <c r="B5" s="82" t="s">
        <v>103</v>
      </c>
      <c r="C5" s="82" t="s">
        <v>35</v>
      </c>
      <c r="D5" s="82" t="s">
        <v>104</v>
      </c>
      <c r="E5" s="82" t="s">
        <v>36</v>
      </c>
      <c r="F5" s="82" t="s">
        <v>2</v>
      </c>
    </row>
    <row r="6" spans="1:6" ht="31.9" customHeight="1" x14ac:dyDescent="0.35">
      <c r="A6" s="82"/>
      <c r="B6" s="82"/>
      <c r="C6" s="82"/>
      <c r="D6" s="82"/>
      <c r="E6" s="82"/>
      <c r="F6" s="82" t="s">
        <v>105</v>
      </c>
    </row>
    <row r="7" spans="1:6" ht="31.9" customHeight="1" x14ac:dyDescent="0.35">
      <c r="A7" s="83">
        <v>1</v>
      </c>
      <c r="B7" s="84">
        <v>0</v>
      </c>
      <c r="C7" s="84">
        <v>158</v>
      </c>
      <c r="D7" s="83">
        <v>0</v>
      </c>
      <c r="E7" s="84">
        <v>0</v>
      </c>
      <c r="F7" s="84">
        <f>B7+C7+D7-E7</f>
        <v>158</v>
      </c>
    </row>
    <row r="8" spans="1:6" ht="31.9" customHeight="1" x14ac:dyDescent="0.35">
      <c r="A8" s="83">
        <v>2</v>
      </c>
      <c r="B8" s="83">
        <v>0</v>
      </c>
      <c r="C8" s="83">
        <v>158</v>
      </c>
      <c r="D8" s="83">
        <v>0</v>
      </c>
      <c r="E8" s="83">
        <v>0</v>
      </c>
      <c r="F8" s="83">
        <f t="shared" ref="F8:F9" si="0">B8+C8+D8-E8</f>
        <v>158</v>
      </c>
    </row>
    <row r="9" spans="1:6" ht="20.5" customHeight="1" x14ac:dyDescent="0.35">
      <c r="A9" s="83">
        <v>3</v>
      </c>
      <c r="B9" s="83">
        <v>0</v>
      </c>
      <c r="C9" s="83">
        <v>158</v>
      </c>
      <c r="D9" s="83">
        <v>0</v>
      </c>
      <c r="E9" s="83">
        <v>0</v>
      </c>
      <c r="F9" s="83">
        <f t="shared" si="0"/>
        <v>158</v>
      </c>
    </row>
    <row r="10" spans="1:6" ht="31.9" customHeight="1" x14ac:dyDescent="0.35">
      <c r="A10" s="83" t="s">
        <v>37</v>
      </c>
      <c r="B10" s="84">
        <f>AVERAGE(B7:B9)</f>
        <v>0</v>
      </c>
      <c r="C10" s="84">
        <f t="shared" ref="C10:F10" si="1">AVERAGE(C7:C9)</f>
        <v>158</v>
      </c>
      <c r="D10" s="84">
        <f t="shared" si="1"/>
        <v>0</v>
      </c>
      <c r="E10" s="84">
        <f t="shared" si="1"/>
        <v>0</v>
      </c>
      <c r="F10" s="84">
        <f t="shared" si="1"/>
        <v>158</v>
      </c>
    </row>
    <row r="11" spans="1:6" ht="31.9" customHeight="1" x14ac:dyDescent="0.35">
      <c r="A11" t="s">
        <v>106</v>
      </c>
    </row>
  </sheetData>
  <mergeCells count="3">
    <mergeCell ref="A2:F2"/>
    <mergeCell ref="B3:C3"/>
    <mergeCell ref="E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2024-03-28T17:36:45Z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