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ttps://usepa-my.sharepoint.com/personal/vyas_peggy_epa_gov/Documents/Desktop/2023 Work Stuff/CCR ICR/"/>
    </mc:Choice>
  </mc:AlternateContent>
  <xr:revisionPtr revIDLastSave="26" documentId="8_{2120B286-D639-444A-9826-742E05848F3A}" xr6:coauthVersionLast="47" xr6:coauthVersionMax="47" xr10:uidLastSave="{F0E9D627-599B-4EF5-A647-595F28C07BA6}"/>
  <bookViews>
    <workbookView xWindow="-120" yWindow="-120" windowWidth="19440" windowHeight="14880" activeTab="5" xr2:uid="{00000000-000D-0000-FFFF-FFFF00000000}"/>
  </bookViews>
  <sheets>
    <sheet name="Exhibit 1" sheetId="824" r:id="rId1"/>
    <sheet name="Exhibit 2" sheetId="829" r:id="rId2"/>
    <sheet name="Exhibit 3" sheetId="828" r:id="rId3"/>
    <sheet name="Exhibit 4" sheetId="827" r:id="rId4"/>
    <sheet name="Exhibit 5" sheetId="830" r:id="rId5"/>
    <sheet name="Exhibit 6" sheetId="825" r:id="rId6"/>
    <sheet name="Exhibit 7" sheetId="1" r:id="rId7"/>
    <sheet name="Labor Rates" sheetId="831" r:id="rId8"/>
    <sheet name="Total Burdens" sheetId="832" r:id="rId9"/>
    <sheet name="Agency 2" sheetId="826" state="hidden" r:id="rId10"/>
  </sheets>
  <definedNames>
    <definedName name="_Regression_Int" localSheetId="0" hidden="1">1</definedName>
    <definedName name="_xlnm.Print_Area" localSheetId="0">'Exhibit 1'!$A$36:$L$53</definedName>
    <definedName name="_xlnm.Print_Area" localSheetId="1">'Exhibit 2'!$A$1:$L$76</definedName>
    <definedName name="_xlnm.Print_Area" localSheetId="2">'Exhibit 3'!$A$1:$L$113</definedName>
    <definedName name="_xlnm.Print_Area" localSheetId="3">'Exhibit 4'!$A$1:$L$77</definedName>
    <definedName name="_xlnm.Print_Area" localSheetId="4">'Exhibit 5'!$A$1:$L$33</definedName>
    <definedName name="_xlnm.Print_Area" localSheetId="5">'Exhibit 6'!$A$1:$I$46</definedName>
    <definedName name="_xlnm.Print_Area" localSheetId="6">'Exhibit 7'!$A$17:$L$96</definedName>
    <definedName name="Print_Area_MI">'Exhibit 1'!$A$36:$I$365</definedName>
    <definedName name="_xlnm.Print_Titles" localSheetId="1">'Exhibit 2'!$1:$12</definedName>
    <definedName name="_xlnm.Print_Titles" localSheetId="2">'Exhibit 3'!$1:$12</definedName>
    <definedName name="_xlnm.Print_Titles" localSheetId="3">'Exhibit 4'!$1:$12</definedName>
    <definedName name="_xlnm.Print_Titles" localSheetId="4">'Exhibit 5'!$1:$12</definedName>
    <definedName name="_xlnm.Print_Titles" localSheetId="6">'Exhibit 7'!$17:$25</definedName>
    <definedName name="RANGE1">'Exhibit 1'!#REF!</definedName>
    <definedName name="REPORT">'Exhibit 1'!#REF!</definedName>
    <definedName name="RK">'Exhibit 1'!$L$36:$L$37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0" i="1" l="1"/>
  <c r="AO50" i="1"/>
  <c r="AN50" i="1"/>
  <c r="AM50" i="1"/>
  <c r="AP47" i="1"/>
  <c r="AO47" i="1"/>
  <c r="AN47" i="1"/>
  <c r="AM47" i="1"/>
  <c r="AL50" i="1"/>
  <c r="AL47" i="1"/>
  <c r="AF42" i="1"/>
  <c r="AL42" i="1" s="1"/>
  <c r="G20" i="831"/>
  <c r="V19" i="831" s="1"/>
  <c r="N8" i="824" s="1"/>
  <c r="S10" i="827" s="1"/>
  <c r="I20" i="832"/>
  <c r="H20" i="832"/>
  <c r="D20" i="832"/>
  <c r="I27" i="832"/>
  <c r="H27" i="832"/>
  <c r="D27" i="832"/>
  <c r="C27" i="832"/>
  <c r="G37" i="825"/>
  <c r="F37" i="825"/>
  <c r="B37" i="825"/>
  <c r="C20" i="832"/>
  <c r="O33" i="824"/>
  <c r="N33" i="824" s="1"/>
  <c r="P63" i="830"/>
  <c r="O63" i="830"/>
  <c r="F58" i="830"/>
  <c r="F63" i="830"/>
  <c r="K63" i="830" s="1"/>
  <c r="G47" i="825" s="1"/>
  <c r="G35" i="831"/>
  <c r="N34" i="831" s="1"/>
  <c r="N5" i="1" s="1"/>
  <c r="D24" i="1" s="1"/>
  <c r="AC71" i="829"/>
  <c r="AI71" i="829" s="1"/>
  <c r="AB71" i="829"/>
  <c r="AH71" i="829" s="1"/>
  <c r="AA71" i="829"/>
  <c r="AG71" i="829" s="1"/>
  <c r="Z71" i="829"/>
  <c r="AF71" i="829" s="1"/>
  <c r="AC70" i="829"/>
  <c r="AI70" i="829" s="1"/>
  <c r="AB70" i="829"/>
  <c r="AH70" i="829" s="1"/>
  <c r="AA70" i="829"/>
  <c r="AG70" i="829" s="1"/>
  <c r="Z70" i="829"/>
  <c r="AF70" i="829" s="1"/>
  <c r="AC69" i="829"/>
  <c r="AI69" i="829" s="1"/>
  <c r="AB69" i="829"/>
  <c r="AH69" i="829" s="1"/>
  <c r="AA69" i="829"/>
  <c r="AG69" i="829" s="1"/>
  <c r="Z69" i="829"/>
  <c r="AF69" i="829" s="1"/>
  <c r="AC67" i="829"/>
  <c r="AI67" i="829" s="1"/>
  <c r="AB67" i="829"/>
  <c r="AH67" i="829" s="1"/>
  <c r="AA67" i="829"/>
  <c r="AG67" i="829" s="1"/>
  <c r="Z67" i="829"/>
  <c r="AF67" i="829" s="1"/>
  <c r="AC65" i="829"/>
  <c r="AI65" i="829" s="1"/>
  <c r="AB65" i="829"/>
  <c r="AH65" i="829" s="1"/>
  <c r="AA65" i="829"/>
  <c r="AG65" i="829" s="1"/>
  <c r="Z65" i="829"/>
  <c r="AF65" i="829" s="1"/>
  <c r="AC63" i="829"/>
  <c r="AI63" i="829" s="1"/>
  <c r="AB63" i="829"/>
  <c r="AH63" i="829" s="1"/>
  <c r="AA63" i="829"/>
  <c r="AG63" i="829" s="1"/>
  <c r="Z63" i="829"/>
  <c r="AF63" i="829" s="1"/>
  <c r="AC60" i="829"/>
  <c r="AI60" i="829" s="1"/>
  <c r="AB60" i="829"/>
  <c r="AH60" i="829" s="1"/>
  <c r="AA60" i="829"/>
  <c r="AG60" i="829" s="1"/>
  <c r="Z60" i="829"/>
  <c r="AF60" i="829" s="1"/>
  <c r="AC58" i="829"/>
  <c r="AI58" i="829" s="1"/>
  <c r="AB58" i="829"/>
  <c r="AH58" i="829" s="1"/>
  <c r="AA58" i="829"/>
  <c r="AG58" i="829" s="1"/>
  <c r="Z58" i="829"/>
  <c r="AF58" i="829" s="1"/>
  <c r="AC55" i="829"/>
  <c r="AI55" i="829" s="1"/>
  <c r="AB55" i="829"/>
  <c r="AH55" i="829" s="1"/>
  <c r="AA55" i="829"/>
  <c r="AG55" i="829" s="1"/>
  <c r="Z55" i="829"/>
  <c r="AF55" i="829" s="1"/>
  <c r="AC54" i="829"/>
  <c r="AI54" i="829" s="1"/>
  <c r="AB54" i="829"/>
  <c r="AH54" i="829" s="1"/>
  <c r="AA54" i="829"/>
  <c r="AG54" i="829" s="1"/>
  <c r="Z54" i="829"/>
  <c r="AF54" i="829" s="1"/>
  <c r="AC52" i="829"/>
  <c r="AI52" i="829" s="1"/>
  <c r="AB52" i="829"/>
  <c r="AH52" i="829" s="1"/>
  <c r="AA52" i="829"/>
  <c r="AG52" i="829" s="1"/>
  <c r="Z52" i="829"/>
  <c r="AF52" i="829" s="1"/>
  <c r="AC49" i="829"/>
  <c r="AI49" i="829" s="1"/>
  <c r="AB49" i="829"/>
  <c r="AH49" i="829" s="1"/>
  <c r="AA49" i="829"/>
  <c r="AG49" i="829" s="1"/>
  <c r="Z49" i="829"/>
  <c r="AF49" i="829" s="1"/>
  <c r="AC47" i="829"/>
  <c r="AI47" i="829" s="1"/>
  <c r="AB47" i="829"/>
  <c r="AH47" i="829" s="1"/>
  <c r="AA47" i="829"/>
  <c r="AG47" i="829" s="1"/>
  <c r="Z47" i="829"/>
  <c r="AF47" i="829" s="1"/>
  <c r="AC45" i="829"/>
  <c r="AI45" i="829" s="1"/>
  <c r="AB45" i="829"/>
  <c r="AH45" i="829" s="1"/>
  <c r="AA45" i="829"/>
  <c r="AG45" i="829" s="1"/>
  <c r="Z45" i="829"/>
  <c r="AF45" i="829" s="1"/>
  <c r="AC42" i="829"/>
  <c r="AI42" i="829" s="1"/>
  <c r="AB42" i="829"/>
  <c r="AA42" i="829"/>
  <c r="AG42" i="829" s="1"/>
  <c r="Z42" i="829"/>
  <c r="AF42" i="829" s="1"/>
  <c r="AC19" i="829"/>
  <c r="AI19" i="829" s="1"/>
  <c r="AB19" i="829"/>
  <c r="AH19" i="829" s="1"/>
  <c r="AA19" i="829"/>
  <c r="AG19" i="829" s="1"/>
  <c r="Z19" i="829"/>
  <c r="AF19" i="829" s="1"/>
  <c r="AC17" i="829"/>
  <c r="AI17" i="829" s="1"/>
  <c r="AB17" i="829"/>
  <c r="AA17" i="829"/>
  <c r="AG17" i="829" s="1"/>
  <c r="AG21" i="829" s="1"/>
  <c r="Z17" i="829"/>
  <c r="AF17" i="829" s="1"/>
  <c r="K61" i="824"/>
  <c r="K60" i="824"/>
  <c r="K59" i="824"/>
  <c r="K63" i="824"/>
  <c r="K62" i="824"/>
  <c r="J65" i="1"/>
  <c r="J66" i="1"/>
  <c r="O66" i="1" s="1"/>
  <c r="J67" i="1"/>
  <c r="O67" i="1" s="1"/>
  <c r="J72" i="1"/>
  <c r="J74" i="1"/>
  <c r="O74" i="1" s="1"/>
  <c r="J75" i="1"/>
  <c r="O75" i="1" s="1"/>
  <c r="J76" i="1"/>
  <c r="O76" i="1" s="1"/>
  <c r="J77" i="1"/>
  <c r="P77" i="1" s="1"/>
  <c r="J28" i="1"/>
  <c r="J29" i="1" s="1"/>
  <c r="J73" i="829"/>
  <c r="J42" i="1" s="1"/>
  <c r="O77" i="1"/>
  <c r="O68" i="1"/>
  <c r="O69" i="1"/>
  <c r="O70" i="1"/>
  <c r="P74" i="1"/>
  <c r="P28" i="1"/>
  <c r="P68" i="1"/>
  <c r="P69" i="1"/>
  <c r="P70" i="1"/>
  <c r="J79" i="1"/>
  <c r="P79" i="1" s="1"/>
  <c r="P17" i="829"/>
  <c r="O19" i="829"/>
  <c r="P19" i="829"/>
  <c r="O24" i="829"/>
  <c r="P24" i="829"/>
  <c r="O26" i="829"/>
  <c r="P26" i="829"/>
  <c r="O28" i="829"/>
  <c r="P28" i="829"/>
  <c r="O31" i="829"/>
  <c r="P31" i="829"/>
  <c r="O33" i="829"/>
  <c r="P33" i="829"/>
  <c r="O35" i="829"/>
  <c r="P35" i="829"/>
  <c r="O36" i="829"/>
  <c r="P36" i="829"/>
  <c r="O42" i="829"/>
  <c r="P42" i="829"/>
  <c r="P45" i="829"/>
  <c r="O47" i="829"/>
  <c r="P47" i="829"/>
  <c r="O49" i="829"/>
  <c r="P49" i="829"/>
  <c r="O52" i="829"/>
  <c r="P52" i="829"/>
  <c r="O54" i="829"/>
  <c r="P54" i="829"/>
  <c r="O55" i="829"/>
  <c r="P55" i="829"/>
  <c r="O58" i="829"/>
  <c r="P58" i="829"/>
  <c r="O60" i="829"/>
  <c r="P60" i="829"/>
  <c r="P63" i="829"/>
  <c r="O65" i="829"/>
  <c r="P65" i="829"/>
  <c r="P67" i="829"/>
  <c r="O69" i="829"/>
  <c r="P69" i="829"/>
  <c r="O70" i="829"/>
  <c r="P70" i="829"/>
  <c r="O71" i="829"/>
  <c r="P71" i="829"/>
  <c r="X42" i="829"/>
  <c r="AD42" i="829" s="1"/>
  <c r="X45" i="829"/>
  <c r="X47" i="829"/>
  <c r="AD47" i="829" s="1"/>
  <c r="AJ47" i="829" s="1"/>
  <c r="X49" i="829"/>
  <c r="AD49" i="829" s="1"/>
  <c r="AJ49" i="829" s="1"/>
  <c r="X52" i="829"/>
  <c r="AD52" i="829" s="1"/>
  <c r="AJ52" i="829" s="1"/>
  <c r="X54" i="829"/>
  <c r="AD54" i="829" s="1"/>
  <c r="AJ54" i="829" s="1"/>
  <c r="X55" i="829"/>
  <c r="AD55" i="829" s="1"/>
  <c r="AJ55" i="829" s="1"/>
  <c r="X58" i="829"/>
  <c r="AD58" i="829" s="1"/>
  <c r="AJ58" i="829" s="1"/>
  <c r="X60" i="829"/>
  <c r="AD60" i="829" s="1"/>
  <c r="AJ60" i="829" s="1"/>
  <c r="X63" i="829"/>
  <c r="AD63" i="829" s="1"/>
  <c r="AJ63" i="829" s="1"/>
  <c r="X65" i="829"/>
  <c r="AD65" i="829" s="1"/>
  <c r="AJ65" i="829" s="1"/>
  <c r="X67" i="829"/>
  <c r="AD67" i="829" s="1"/>
  <c r="AJ67" i="829" s="1"/>
  <c r="X69" i="829"/>
  <c r="AD69" i="829" s="1"/>
  <c r="AJ69" i="829" s="1"/>
  <c r="X70" i="829"/>
  <c r="AD70" i="829" s="1"/>
  <c r="AJ70" i="829" s="1"/>
  <c r="X71" i="829"/>
  <c r="AD71" i="829" s="1"/>
  <c r="AJ71" i="829" s="1"/>
  <c r="AC73" i="829"/>
  <c r="Z73" i="829"/>
  <c r="W73" i="829"/>
  <c r="V73" i="829"/>
  <c r="U73" i="829"/>
  <c r="T73" i="829"/>
  <c r="X17" i="829"/>
  <c r="X19" i="829"/>
  <c r="AD19" i="829" s="1"/>
  <c r="AJ19" i="829" s="1"/>
  <c r="AC21" i="829"/>
  <c r="W21" i="829"/>
  <c r="V21" i="829"/>
  <c r="U21" i="829"/>
  <c r="T21" i="829"/>
  <c r="AD56" i="1"/>
  <c r="AJ56" i="1" s="1"/>
  <c r="AD57" i="1"/>
  <c r="AJ57" i="1" s="1"/>
  <c r="AP57" i="1" s="1"/>
  <c r="AD58" i="1"/>
  <c r="AJ58" i="1" s="1"/>
  <c r="AP58" i="1" s="1"/>
  <c r="AD59" i="1"/>
  <c r="AJ59" i="1" s="1"/>
  <c r="AP59" i="1" s="1"/>
  <c r="AD60" i="1"/>
  <c r="AJ60" i="1" s="1"/>
  <c r="AP60" i="1" s="1"/>
  <c r="AD61" i="1"/>
  <c r="AJ61" i="1" s="1"/>
  <c r="AP61" i="1" s="1"/>
  <c r="AI56" i="1"/>
  <c r="AO56" i="1" s="1"/>
  <c r="AI57" i="1"/>
  <c r="AI58" i="1"/>
  <c r="AO58" i="1" s="1"/>
  <c r="AI59" i="1"/>
  <c r="AO59" i="1" s="1"/>
  <c r="AI60" i="1"/>
  <c r="AO60" i="1" s="1"/>
  <c r="AI61" i="1"/>
  <c r="AO61" i="1" s="1"/>
  <c r="AH56" i="1"/>
  <c r="AH57" i="1"/>
  <c r="AN57" i="1" s="1"/>
  <c r="AH58" i="1"/>
  <c r="AN58" i="1" s="1"/>
  <c r="AH59" i="1"/>
  <c r="AN59" i="1" s="1"/>
  <c r="AH60" i="1"/>
  <c r="AN60" i="1" s="1"/>
  <c r="AH61" i="1"/>
  <c r="AN61" i="1" s="1"/>
  <c r="AG56" i="1"/>
  <c r="AM56" i="1" s="1"/>
  <c r="AG57" i="1"/>
  <c r="AG58" i="1"/>
  <c r="AM58" i="1" s="1"/>
  <c r="AG59" i="1"/>
  <c r="AM59" i="1" s="1"/>
  <c r="AG60" i="1"/>
  <c r="AM60" i="1" s="1"/>
  <c r="AG61" i="1"/>
  <c r="AM61" i="1" s="1"/>
  <c r="AF56" i="1"/>
  <c r="AL56" i="1" s="1"/>
  <c r="AF57" i="1"/>
  <c r="AL57" i="1" s="1"/>
  <c r="AF58" i="1"/>
  <c r="AL58" i="1" s="1"/>
  <c r="AF59" i="1"/>
  <c r="AL59" i="1" s="1"/>
  <c r="AF60" i="1"/>
  <c r="AL60" i="1" s="1"/>
  <c r="AF61" i="1"/>
  <c r="AL61" i="1" s="1"/>
  <c r="AD42" i="1"/>
  <c r="AJ42" i="1" s="1"/>
  <c r="AP42" i="1" s="1"/>
  <c r="AD43" i="1"/>
  <c r="AJ43" i="1" s="1"/>
  <c r="AP43" i="1" s="1"/>
  <c r="AD44" i="1"/>
  <c r="AJ44" i="1" s="1"/>
  <c r="AP44" i="1" s="1"/>
  <c r="AD45" i="1"/>
  <c r="AJ45" i="1" s="1"/>
  <c r="AP45" i="1" s="1"/>
  <c r="AD46" i="1"/>
  <c r="AJ46" i="1" s="1"/>
  <c r="AP46" i="1" s="1"/>
  <c r="AD48" i="1"/>
  <c r="AJ48" i="1" s="1"/>
  <c r="AP48" i="1" s="1"/>
  <c r="AD49" i="1"/>
  <c r="AJ49" i="1" s="1"/>
  <c r="AP49" i="1" s="1"/>
  <c r="AD51" i="1"/>
  <c r="AJ51" i="1" s="1"/>
  <c r="AP51" i="1" s="1"/>
  <c r="AI42" i="1"/>
  <c r="AO42" i="1" s="1"/>
  <c r="AI43" i="1"/>
  <c r="AO43" i="1" s="1"/>
  <c r="AI44" i="1"/>
  <c r="AO44" i="1" s="1"/>
  <c r="AI45" i="1"/>
  <c r="AI46" i="1"/>
  <c r="AO46" i="1" s="1"/>
  <c r="AI48" i="1"/>
  <c r="AO48" i="1" s="1"/>
  <c r="AI49" i="1"/>
  <c r="AO49" i="1" s="1"/>
  <c r="AI51" i="1"/>
  <c r="AO51" i="1" s="1"/>
  <c r="AH42" i="1"/>
  <c r="AN42" i="1" s="1"/>
  <c r="AH43" i="1"/>
  <c r="AN43" i="1" s="1"/>
  <c r="AH44" i="1"/>
  <c r="AN44" i="1" s="1"/>
  <c r="AH45" i="1"/>
  <c r="AN45" i="1" s="1"/>
  <c r="AH46" i="1"/>
  <c r="AN46" i="1" s="1"/>
  <c r="AH48" i="1"/>
  <c r="AN48" i="1" s="1"/>
  <c r="AH49" i="1"/>
  <c r="AN49" i="1" s="1"/>
  <c r="AH51" i="1"/>
  <c r="AN51" i="1" s="1"/>
  <c r="AG42" i="1"/>
  <c r="AM42" i="1" s="1"/>
  <c r="AG43" i="1"/>
  <c r="AM43" i="1" s="1"/>
  <c r="AG44" i="1"/>
  <c r="AG45" i="1"/>
  <c r="AM45" i="1" s="1"/>
  <c r="AG46" i="1"/>
  <c r="AM46" i="1" s="1"/>
  <c r="AG48" i="1"/>
  <c r="AM48" i="1" s="1"/>
  <c r="AG49" i="1"/>
  <c r="AM49" i="1" s="1"/>
  <c r="AG51" i="1"/>
  <c r="AM51" i="1" s="1"/>
  <c r="AF43" i="1"/>
  <c r="AL43" i="1" s="1"/>
  <c r="AF44" i="1"/>
  <c r="AL44" i="1" s="1"/>
  <c r="AF45" i="1"/>
  <c r="AL45" i="1" s="1"/>
  <c r="AF46" i="1"/>
  <c r="AL46" i="1" s="1"/>
  <c r="AF48" i="1"/>
  <c r="AL48" i="1" s="1"/>
  <c r="AF49" i="1"/>
  <c r="AL49" i="1" s="1"/>
  <c r="AF51" i="1"/>
  <c r="AL51" i="1" s="1"/>
  <c r="AC53" i="1"/>
  <c r="AB53" i="1"/>
  <c r="AA53" i="1"/>
  <c r="Z53" i="1"/>
  <c r="AJ62" i="1"/>
  <c r="AP62" i="1" s="1"/>
  <c r="AI62" i="1"/>
  <c r="AO62" i="1" s="1"/>
  <c r="AH62" i="1"/>
  <c r="AN62" i="1" s="1"/>
  <c r="AG62" i="1"/>
  <c r="AM62" i="1" s="1"/>
  <c r="AF62" i="1"/>
  <c r="AL62" i="1" s="1"/>
  <c r="AC63" i="1"/>
  <c r="AB63" i="1"/>
  <c r="AA63" i="1"/>
  <c r="Z63" i="1"/>
  <c r="J20" i="827"/>
  <c r="P20" i="827" s="1"/>
  <c r="I11" i="832"/>
  <c r="H11" i="832"/>
  <c r="D11" i="832"/>
  <c r="C11" i="832"/>
  <c r="F34" i="831"/>
  <c r="N3" i="1" s="1"/>
  <c r="B24" i="1" s="1"/>
  <c r="P80" i="1"/>
  <c r="O82" i="1"/>
  <c r="P82" i="1"/>
  <c r="O83" i="1"/>
  <c r="P83" i="1"/>
  <c r="O84" i="1"/>
  <c r="P84" i="1"/>
  <c r="O85" i="1"/>
  <c r="P85" i="1"/>
  <c r="O86" i="1"/>
  <c r="P86" i="1"/>
  <c r="O87" i="1"/>
  <c r="P87" i="1"/>
  <c r="O89" i="1"/>
  <c r="P89" i="1"/>
  <c r="O90" i="1"/>
  <c r="P90" i="1"/>
  <c r="O24" i="827"/>
  <c r="F80" i="1"/>
  <c r="V80" i="1" s="1"/>
  <c r="W80" i="1" s="1"/>
  <c r="K80" i="1" s="1"/>
  <c r="F79" i="1"/>
  <c r="U79" i="1" s="1"/>
  <c r="W79" i="1" s="1"/>
  <c r="K79" i="1" s="1"/>
  <c r="F20" i="827"/>
  <c r="F82" i="1"/>
  <c r="K82" i="1" s="1"/>
  <c r="M3" i="1"/>
  <c r="M4" i="1"/>
  <c r="M5" i="1"/>
  <c r="M6" i="1"/>
  <c r="F83" i="1"/>
  <c r="K83" i="1" s="1"/>
  <c r="P24" i="827"/>
  <c r="F24" i="827"/>
  <c r="V24" i="827" s="1"/>
  <c r="W24" i="827" s="1"/>
  <c r="K24" i="827" s="1"/>
  <c r="G46" i="825" s="1"/>
  <c r="F21" i="827"/>
  <c r="K21" i="827" s="1"/>
  <c r="F22" i="827"/>
  <c r="K22" i="827" s="1"/>
  <c r="F87" i="827"/>
  <c r="K87" i="827" s="1"/>
  <c r="F92" i="827"/>
  <c r="K92" i="827" s="1"/>
  <c r="F83" i="827"/>
  <c r="K83" i="827" s="1"/>
  <c r="F86" i="827"/>
  <c r="F89" i="827"/>
  <c r="K89" i="827" s="1"/>
  <c r="F65" i="1"/>
  <c r="F66" i="1"/>
  <c r="K66" i="1"/>
  <c r="F67" i="1"/>
  <c r="F68" i="1"/>
  <c r="K68" i="1" s="1"/>
  <c r="F70" i="1"/>
  <c r="K70" i="1" s="1"/>
  <c r="F72" i="1"/>
  <c r="K72" i="1" s="1"/>
  <c r="F74" i="1"/>
  <c r="F75" i="1"/>
  <c r="F76" i="1"/>
  <c r="K76" i="1" s="1"/>
  <c r="F77" i="1"/>
  <c r="F84" i="1"/>
  <c r="K84" i="1" s="1"/>
  <c r="F85" i="1"/>
  <c r="K85" i="1" s="1"/>
  <c r="F86" i="1"/>
  <c r="K86" i="1" s="1"/>
  <c r="F87" i="1"/>
  <c r="K87" i="1" s="1"/>
  <c r="F89" i="1"/>
  <c r="K89" i="1" s="1"/>
  <c r="F90" i="1"/>
  <c r="K90" i="1" s="1"/>
  <c r="F69" i="1"/>
  <c r="E92" i="1"/>
  <c r="D92" i="1"/>
  <c r="C92" i="1"/>
  <c r="B92" i="1"/>
  <c r="P22" i="827"/>
  <c r="P21" i="827"/>
  <c r="P17" i="827"/>
  <c r="P27" i="827"/>
  <c r="O28" i="827"/>
  <c r="P28" i="827"/>
  <c r="P30" i="827"/>
  <c r="P31" i="827"/>
  <c r="P33" i="827"/>
  <c r="P34" i="827"/>
  <c r="P35" i="827"/>
  <c r="P39" i="827"/>
  <c r="O41" i="827"/>
  <c r="P41" i="827"/>
  <c r="P44" i="827"/>
  <c r="O46" i="827"/>
  <c r="P46" i="827"/>
  <c r="P48" i="827"/>
  <c r="P50" i="827"/>
  <c r="O51" i="827"/>
  <c r="P51" i="827"/>
  <c r="P54" i="827"/>
  <c r="P57" i="827"/>
  <c r="P60" i="827"/>
  <c r="O62" i="827"/>
  <c r="P62" i="827"/>
  <c r="O64" i="827"/>
  <c r="P64" i="827"/>
  <c r="O67" i="827"/>
  <c r="P67" i="827"/>
  <c r="P69" i="827"/>
  <c r="P70" i="827"/>
  <c r="P71" i="827"/>
  <c r="P73" i="827"/>
  <c r="O81" i="827"/>
  <c r="O83" i="827"/>
  <c r="O86" i="827"/>
  <c r="O87" i="827"/>
  <c r="O89" i="827"/>
  <c r="O92" i="827"/>
  <c r="P81" i="827"/>
  <c r="P83" i="827"/>
  <c r="P86" i="827"/>
  <c r="P87" i="827"/>
  <c r="P89" i="827"/>
  <c r="P92" i="827"/>
  <c r="F17" i="827"/>
  <c r="F27" i="827"/>
  <c r="K27" i="827" s="1"/>
  <c r="F28" i="827"/>
  <c r="K28" i="827" s="1"/>
  <c r="G34" i="825" s="1"/>
  <c r="F30" i="827"/>
  <c r="K30" i="827" s="1"/>
  <c r="B35" i="825" s="1"/>
  <c r="F31" i="827"/>
  <c r="K31" i="827" s="1"/>
  <c r="F33" i="827"/>
  <c r="K33" i="827" s="1"/>
  <c r="F34" i="827"/>
  <c r="K34" i="827" s="1"/>
  <c r="F35" i="827"/>
  <c r="K35" i="827" s="1"/>
  <c r="F54" i="827"/>
  <c r="K54" i="827" s="1"/>
  <c r="F57" i="827"/>
  <c r="K57" i="827" s="1"/>
  <c r="B39" i="825" s="1"/>
  <c r="F60" i="827"/>
  <c r="K60" i="827" s="1"/>
  <c r="G40" i="825" s="1"/>
  <c r="F62" i="827"/>
  <c r="K62" i="827" s="1"/>
  <c r="F64" i="827"/>
  <c r="K64" i="827" s="1"/>
  <c r="F67" i="827"/>
  <c r="K67" i="827" s="1"/>
  <c r="B40" i="825" s="1"/>
  <c r="F69" i="827"/>
  <c r="K69" i="827" s="1"/>
  <c r="F70" i="827"/>
  <c r="K70" i="827" s="1"/>
  <c r="G41" i="825" s="1"/>
  <c r="F71" i="827"/>
  <c r="K71" i="827" s="1"/>
  <c r="B41" i="825" s="1"/>
  <c r="F73" i="827"/>
  <c r="K73" i="827" s="1"/>
  <c r="F81" i="827"/>
  <c r="K81" i="827" s="1"/>
  <c r="K17" i="829"/>
  <c r="K19" i="829"/>
  <c r="F24" i="829"/>
  <c r="K24" i="829" s="1"/>
  <c r="F26" i="829"/>
  <c r="K26" i="829" s="1"/>
  <c r="F28" i="829"/>
  <c r="F31" i="829"/>
  <c r="K31" i="829" s="1"/>
  <c r="F33" i="829"/>
  <c r="K33" i="829" s="1"/>
  <c r="F35" i="829"/>
  <c r="K35" i="829" s="1"/>
  <c r="F36" i="829"/>
  <c r="K36" i="829" s="1"/>
  <c r="K42" i="829"/>
  <c r="K45" i="829"/>
  <c r="K47" i="829"/>
  <c r="K49" i="829"/>
  <c r="K52" i="829"/>
  <c r="K54" i="829"/>
  <c r="K55" i="829"/>
  <c r="K58" i="829"/>
  <c r="K60" i="829"/>
  <c r="K63" i="829"/>
  <c r="K65" i="829"/>
  <c r="K67" i="829"/>
  <c r="K69" i="829"/>
  <c r="K70" i="829"/>
  <c r="K71" i="829"/>
  <c r="O36" i="830"/>
  <c r="O37" i="830"/>
  <c r="O38" i="830"/>
  <c r="O41" i="830"/>
  <c r="O42" i="830"/>
  <c r="O43" i="830"/>
  <c r="O44" i="830"/>
  <c r="O48" i="830"/>
  <c r="O50" i="830"/>
  <c r="O51" i="830"/>
  <c r="O52" i="830"/>
  <c r="O53" i="830"/>
  <c r="O54" i="830"/>
  <c r="O61" i="830"/>
  <c r="O55" i="830"/>
  <c r="P47" i="830"/>
  <c r="P36" i="830"/>
  <c r="P37" i="830"/>
  <c r="P38" i="830"/>
  <c r="P41" i="830"/>
  <c r="P42" i="830"/>
  <c r="P43" i="830"/>
  <c r="P48" i="830"/>
  <c r="P49" i="830"/>
  <c r="P50" i="830"/>
  <c r="P51" i="830"/>
  <c r="P52" i="830"/>
  <c r="P53" i="830"/>
  <c r="P54" i="830"/>
  <c r="P61" i="830"/>
  <c r="P55" i="830"/>
  <c r="P58" i="830"/>
  <c r="P57" i="830"/>
  <c r="P56" i="830"/>
  <c r="P30" i="830"/>
  <c r="P29" i="830"/>
  <c r="P26" i="830"/>
  <c r="P19" i="830"/>
  <c r="P18" i="830"/>
  <c r="P107" i="828"/>
  <c r="P105" i="828"/>
  <c r="P100" i="828"/>
  <c r="P98" i="828"/>
  <c r="P94" i="828"/>
  <c r="P90" i="828"/>
  <c r="P82" i="828"/>
  <c r="P80" i="828"/>
  <c r="P77" i="828"/>
  <c r="P74" i="828"/>
  <c r="P71" i="828"/>
  <c r="P69" i="828"/>
  <c r="P61" i="828"/>
  <c r="P59" i="828"/>
  <c r="P57" i="828"/>
  <c r="P53" i="828"/>
  <c r="P51" i="828"/>
  <c r="P47" i="828"/>
  <c r="P44" i="828"/>
  <c r="P42" i="828"/>
  <c r="P34" i="828"/>
  <c r="P32" i="828"/>
  <c r="P29" i="828"/>
  <c r="P24" i="828"/>
  <c r="P19" i="828"/>
  <c r="I94" i="827"/>
  <c r="H75" i="827"/>
  <c r="H94" i="827"/>
  <c r="H96" i="827" s="1"/>
  <c r="L31" i="824"/>
  <c r="O31" i="824" s="1"/>
  <c r="N31" i="824" s="1"/>
  <c r="I49" i="830" s="1"/>
  <c r="O49" i="830" s="1"/>
  <c r="L30" i="824"/>
  <c r="O30" i="824" s="1"/>
  <c r="N30" i="824" s="1"/>
  <c r="I47" i="830" s="1"/>
  <c r="O47" i="830" s="1"/>
  <c r="L29" i="824"/>
  <c r="L28" i="824"/>
  <c r="O28" i="824" s="1"/>
  <c r="N28" i="824" s="1"/>
  <c r="L26" i="824"/>
  <c r="K26" i="824"/>
  <c r="O58" i="830"/>
  <c r="O57" i="830"/>
  <c r="O56" i="830"/>
  <c r="O18" i="830"/>
  <c r="O30" i="830"/>
  <c r="F18" i="830"/>
  <c r="K18" i="830" s="1"/>
  <c r="F19" i="830"/>
  <c r="K19" i="830" s="1"/>
  <c r="F26" i="830"/>
  <c r="K26" i="830" s="1"/>
  <c r="F29" i="830"/>
  <c r="K29" i="830" s="1"/>
  <c r="F30" i="830"/>
  <c r="K30" i="830" s="1"/>
  <c r="F36" i="830"/>
  <c r="K36" i="830" s="1"/>
  <c r="F37" i="830"/>
  <c r="F38" i="830"/>
  <c r="K38" i="830" s="1"/>
  <c r="F41" i="830"/>
  <c r="K41" i="830" s="1"/>
  <c r="F42" i="830"/>
  <c r="K42" i="830" s="1"/>
  <c r="F43" i="830"/>
  <c r="F44" i="830"/>
  <c r="K44" i="830" s="1"/>
  <c r="F47" i="830"/>
  <c r="K47" i="830" s="1"/>
  <c r="F48" i="830"/>
  <c r="K48" i="830" s="1"/>
  <c r="F49" i="830"/>
  <c r="K49" i="830" s="1"/>
  <c r="F50" i="830"/>
  <c r="K50" i="830" s="1"/>
  <c r="F51" i="830"/>
  <c r="K51" i="830" s="1"/>
  <c r="F52" i="830"/>
  <c r="K52" i="830" s="1"/>
  <c r="F53" i="830"/>
  <c r="K53" i="830" s="1"/>
  <c r="F54" i="830"/>
  <c r="K54" i="830" s="1"/>
  <c r="F55" i="830"/>
  <c r="K55" i="830" s="1"/>
  <c r="F56" i="830"/>
  <c r="K56" i="830" s="1"/>
  <c r="F57" i="830"/>
  <c r="K57" i="830" s="1"/>
  <c r="K58" i="830"/>
  <c r="F61" i="830"/>
  <c r="K61" i="830" s="1"/>
  <c r="H59" i="830"/>
  <c r="B59" i="830"/>
  <c r="I45" i="830"/>
  <c r="H45" i="830"/>
  <c r="E45" i="830"/>
  <c r="D45" i="830"/>
  <c r="C45" i="830"/>
  <c r="B45" i="830"/>
  <c r="I39" i="830"/>
  <c r="H39" i="830"/>
  <c r="E39" i="830"/>
  <c r="D39" i="830"/>
  <c r="C39" i="830"/>
  <c r="B39" i="830"/>
  <c r="L25" i="824"/>
  <c r="O25" i="824" s="1"/>
  <c r="N25" i="824" s="1"/>
  <c r="D24" i="824"/>
  <c r="E24" i="824" s="1"/>
  <c r="F24" i="824" s="1"/>
  <c r="G24" i="824" s="1"/>
  <c r="L24" i="824" s="1"/>
  <c r="O24" i="824" s="1"/>
  <c r="N24" i="824" s="1"/>
  <c r="I29" i="830" s="1"/>
  <c r="D23" i="824"/>
  <c r="E23" i="824" s="1"/>
  <c r="F23" i="824" s="1"/>
  <c r="G23" i="824" s="1"/>
  <c r="L23" i="824" s="1"/>
  <c r="O23" i="824" s="1"/>
  <c r="N23" i="824" s="1"/>
  <c r="D22" i="824"/>
  <c r="E22" i="824" s="1"/>
  <c r="F22" i="824" s="1"/>
  <c r="G22" i="824" s="1"/>
  <c r="L22" i="824" s="1"/>
  <c r="K22" i="824" s="1"/>
  <c r="D21" i="824"/>
  <c r="E21" i="824" s="1"/>
  <c r="F21" i="824" s="1"/>
  <c r="G21" i="824" s="1"/>
  <c r="L21" i="824" s="1"/>
  <c r="D20" i="824"/>
  <c r="E20" i="824" s="1"/>
  <c r="F20" i="824" s="1"/>
  <c r="G20" i="824" s="1"/>
  <c r="L20" i="824" s="1"/>
  <c r="K20" i="824" s="1"/>
  <c r="D19" i="824"/>
  <c r="E19" i="824" s="1"/>
  <c r="F19" i="824" s="1"/>
  <c r="G19" i="824" s="1"/>
  <c r="L19" i="824" s="1"/>
  <c r="D18" i="824"/>
  <c r="E18" i="824" s="1"/>
  <c r="F18" i="824" s="1"/>
  <c r="G18" i="824" s="1"/>
  <c r="L18" i="824" s="1"/>
  <c r="D17" i="824"/>
  <c r="E17" i="824" s="1"/>
  <c r="F17" i="824" s="1"/>
  <c r="G17" i="824" s="1"/>
  <c r="L17" i="824" s="1"/>
  <c r="K17" i="824" s="1"/>
  <c r="D16" i="824"/>
  <c r="E16" i="824" s="1"/>
  <c r="F16" i="824" s="1"/>
  <c r="G16" i="824" s="1"/>
  <c r="L16" i="824" s="1"/>
  <c r="O16" i="824" s="1"/>
  <c r="N16" i="824" s="1"/>
  <c r="I17" i="829" s="1"/>
  <c r="D15" i="824"/>
  <c r="E15" i="824" s="1"/>
  <c r="F15" i="824" s="1"/>
  <c r="G15" i="824" s="1"/>
  <c r="L15" i="824" s="1"/>
  <c r="O15" i="824" s="1"/>
  <c r="D14" i="824"/>
  <c r="E14" i="824" s="1"/>
  <c r="F14" i="824" s="1"/>
  <c r="G14" i="824" s="1"/>
  <c r="L14" i="824" s="1"/>
  <c r="O14" i="824" s="1"/>
  <c r="O24" i="828"/>
  <c r="O29" i="828"/>
  <c r="O32" i="828"/>
  <c r="O34" i="828"/>
  <c r="O44" i="828"/>
  <c r="O47" i="828"/>
  <c r="O51" i="828"/>
  <c r="O53" i="828"/>
  <c r="O57" i="828"/>
  <c r="O59" i="828"/>
  <c r="O61" i="828"/>
  <c r="O71" i="828"/>
  <c r="O74" i="828"/>
  <c r="O77" i="828"/>
  <c r="O80" i="828"/>
  <c r="O82" i="828"/>
  <c r="O90" i="828"/>
  <c r="O94" i="828"/>
  <c r="O98" i="828"/>
  <c r="O100" i="828"/>
  <c r="O105" i="828"/>
  <c r="O107" i="828"/>
  <c r="E8" i="826"/>
  <c r="E11" i="826" s="1"/>
  <c r="E9" i="826"/>
  <c r="E10" i="826"/>
  <c r="D8" i="826"/>
  <c r="D11" i="826" s="1"/>
  <c r="D9" i="826"/>
  <c r="D10" i="826"/>
  <c r="C11" i="826"/>
  <c r="B11" i="826"/>
  <c r="B8" i="826"/>
  <c r="B9" i="826" s="1"/>
  <c r="B10" i="826" s="1"/>
  <c r="D5" i="824"/>
  <c r="E5" i="824" s="1"/>
  <c r="D6" i="824"/>
  <c r="E6" i="824" s="1"/>
  <c r="D7" i="824"/>
  <c r="E7" i="824" s="1"/>
  <c r="D4" i="824"/>
  <c r="E4" i="824" s="1"/>
  <c r="H52" i="824"/>
  <c r="I52" i="824"/>
  <c r="F52" i="824"/>
  <c r="D52" i="824"/>
  <c r="C52" i="824"/>
  <c r="B52" i="824"/>
  <c r="J21" i="829"/>
  <c r="J36" i="828"/>
  <c r="J56" i="1" s="1"/>
  <c r="J58" i="1" s="1"/>
  <c r="J63" i="828"/>
  <c r="J84" i="828"/>
  <c r="J21" i="830"/>
  <c r="J32" i="830"/>
  <c r="I38" i="829"/>
  <c r="H21" i="829"/>
  <c r="H38" i="829"/>
  <c r="H73" i="829"/>
  <c r="F73" i="829"/>
  <c r="E73" i="829"/>
  <c r="D73" i="829"/>
  <c r="C73" i="829"/>
  <c r="B73" i="829"/>
  <c r="E38" i="829"/>
  <c r="D38" i="829"/>
  <c r="C38" i="829"/>
  <c r="B38" i="829"/>
  <c r="F21" i="829"/>
  <c r="E21" i="829"/>
  <c r="D21" i="829"/>
  <c r="C21" i="829"/>
  <c r="B21" i="829"/>
  <c r="F19" i="828"/>
  <c r="K19" i="828" s="1"/>
  <c r="F24" i="828"/>
  <c r="K24" i="828" s="1"/>
  <c r="F29" i="828"/>
  <c r="K29" i="828" s="1"/>
  <c r="F32" i="828"/>
  <c r="K32" i="828" s="1"/>
  <c r="F34" i="828"/>
  <c r="K34" i="828" s="1"/>
  <c r="F42" i="828"/>
  <c r="F44" i="828"/>
  <c r="K44" i="828" s="1"/>
  <c r="F47" i="828"/>
  <c r="K47" i="828"/>
  <c r="F51" i="828"/>
  <c r="K51" i="828" s="1"/>
  <c r="F53" i="828"/>
  <c r="K53" i="828" s="1"/>
  <c r="F57" i="828"/>
  <c r="K57" i="828" s="1"/>
  <c r="F59" i="828"/>
  <c r="K59" i="828" s="1"/>
  <c r="F61" i="828"/>
  <c r="K61" i="828" s="1"/>
  <c r="F69" i="828"/>
  <c r="K69" i="828" s="1"/>
  <c r="F71" i="828"/>
  <c r="F74" i="828"/>
  <c r="K74" i="828" s="1"/>
  <c r="F77" i="828"/>
  <c r="K77" i="828" s="1"/>
  <c r="F80" i="828"/>
  <c r="K80" i="828"/>
  <c r="F82" i="828"/>
  <c r="K82" i="828" s="1"/>
  <c r="F90" i="828"/>
  <c r="K90" i="828" s="1"/>
  <c r="F94" i="828"/>
  <c r="K94" i="828" s="1"/>
  <c r="F98" i="828"/>
  <c r="K98" i="828" s="1"/>
  <c r="F100" i="828"/>
  <c r="K100" i="828" s="1"/>
  <c r="F105" i="828"/>
  <c r="K105" i="828" s="1"/>
  <c r="F107" i="828"/>
  <c r="K107" i="828" s="1"/>
  <c r="I109" i="828"/>
  <c r="H36" i="828"/>
  <c r="H63" i="828"/>
  <c r="H84" i="828"/>
  <c r="H109" i="828"/>
  <c r="E109" i="828"/>
  <c r="D109" i="828"/>
  <c r="C109" i="828"/>
  <c r="B109" i="828"/>
  <c r="E84" i="828"/>
  <c r="D84" i="828"/>
  <c r="C84" i="828"/>
  <c r="B84" i="828"/>
  <c r="E63" i="828"/>
  <c r="D63" i="828"/>
  <c r="C63" i="828"/>
  <c r="B63" i="828"/>
  <c r="E36" i="828"/>
  <c r="D36" i="828"/>
  <c r="C36" i="828"/>
  <c r="B36" i="828"/>
  <c r="H21" i="830"/>
  <c r="H32" i="830"/>
  <c r="E32" i="830"/>
  <c r="D32" i="830"/>
  <c r="C32" i="830"/>
  <c r="B32" i="830"/>
  <c r="E21" i="830"/>
  <c r="D21" i="830"/>
  <c r="C21" i="830"/>
  <c r="B21" i="830"/>
  <c r="C15" i="825"/>
  <c r="F28" i="1"/>
  <c r="F29" i="1"/>
  <c r="F30" i="1"/>
  <c r="F31" i="1"/>
  <c r="K31" i="1" s="1"/>
  <c r="F32" i="1"/>
  <c r="F34" i="1"/>
  <c r="F35" i="1"/>
  <c r="F37" i="1"/>
  <c r="C63" i="1"/>
  <c r="D63" i="1"/>
  <c r="E63" i="1"/>
  <c r="F63" i="1"/>
  <c r="B63" i="1"/>
  <c r="C39" i="1"/>
  <c r="C53" i="1"/>
  <c r="D39" i="1"/>
  <c r="D53" i="1"/>
  <c r="E39" i="1"/>
  <c r="E53" i="1"/>
  <c r="F53" i="1"/>
  <c r="B39" i="1"/>
  <c r="B53" i="1"/>
  <c r="J39" i="1"/>
  <c r="K74" i="1"/>
  <c r="K67" i="1"/>
  <c r="O28" i="1"/>
  <c r="J37" i="1"/>
  <c r="P37" i="1" s="1"/>
  <c r="J34" i="1"/>
  <c r="J31" i="1"/>
  <c r="P31" i="1" s="1"/>
  <c r="R19" i="831"/>
  <c r="N7" i="824" s="1"/>
  <c r="R34" i="831"/>
  <c r="N6" i="1" s="1"/>
  <c r="E24" i="1" s="1"/>
  <c r="J34" i="831"/>
  <c r="N4" i="1" s="1"/>
  <c r="C24" i="1" s="1"/>
  <c r="J19" i="831"/>
  <c r="N5" i="824" s="1"/>
  <c r="N19" i="831"/>
  <c r="N6" i="824" s="1"/>
  <c r="K20" i="827"/>
  <c r="O31" i="1"/>
  <c r="K21" i="830"/>
  <c r="G42" i="825" s="1"/>
  <c r="O26" i="824"/>
  <c r="N26" i="824" s="1"/>
  <c r="I50" i="827" s="1"/>
  <c r="O50" i="827" s="1"/>
  <c r="O29" i="1"/>
  <c r="P29" i="1"/>
  <c r="K29" i="1"/>
  <c r="N14" i="824"/>
  <c r="N15" i="824"/>
  <c r="K15" i="824"/>
  <c r="K23" i="824"/>
  <c r="S79" i="827"/>
  <c r="AI73" i="829"/>
  <c r="AF21" i="829"/>
  <c r="H112" i="828" l="1"/>
  <c r="O20" i="824"/>
  <c r="N20" i="824" s="1"/>
  <c r="O37" i="1"/>
  <c r="K31" i="824"/>
  <c r="AG73" i="829"/>
  <c r="K14" i="824"/>
  <c r="AA73" i="829"/>
  <c r="AI21" i="829"/>
  <c r="K37" i="1"/>
  <c r="K30" i="824"/>
  <c r="AF73" i="829"/>
  <c r="K21" i="824"/>
  <c r="O21" i="824"/>
  <c r="N21" i="824" s="1"/>
  <c r="I70" i="827" s="1"/>
  <c r="O70" i="827" s="1"/>
  <c r="P67" i="1"/>
  <c r="F36" i="828"/>
  <c r="F92" i="1"/>
  <c r="K28" i="824"/>
  <c r="O17" i="824"/>
  <c r="N17" i="824" s="1"/>
  <c r="I45" i="829" s="1"/>
  <c r="O22" i="824"/>
  <c r="N22" i="824" s="1"/>
  <c r="O56" i="1"/>
  <c r="F46" i="825"/>
  <c r="V22" i="827"/>
  <c r="W22" i="827" s="1"/>
  <c r="F21" i="830"/>
  <c r="P65" i="830"/>
  <c r="F13" i="825" s="1"/>
  <c r="K75" i="1"/>
  <c r="U20" i="827"/>
  <c r="W20" i="827" s="1"/>
  <c r="Z21" i="829"/>
  <c r="P76" i="1"/>
  <c r="P66" i="1"/>
  <c r="F39" i="1"/>
  <c r="K16" i="824"/>
  <c r="J59" i="1"/>
  <c r="K59" i="1" s="1"/>
  <c r="K28" i="1"/>
  <c r="K36" i="828"/>
  <c r="P112" i="828"/>
  <c r="F10" i="825" s="1"/>
  <c r="AA21" i="829"/>
  <c r="P75" i="1"/>
  <c r="K21" i="829"/>
  <c r="I57" i="827"/>
  <c r="O57" i="827" s="1"/>
  <c r="K42" i="1"/>
  <c r="J45" i="1"/>
  <c r="K45" i="1" s="1"/>
  <c r="J44" i="1"/>
  <c r="P58" i="1"/>
  <c r="O58" i="1"/>
  <c r="K58" i="1"/>
  <c r="J60" i="1"/>
  <c r="K60" i="1" s="1"/>
  <c r="J57" i="1"/>
  <c r="K56" i="1"/>
  <c r="J61" i="1"/>
  <c r="P56" i="1"/>
  <c r="P34" i="1"/>
  <c r="K34" i="1"/>
  <c r="O18" i="824"/>
  <c r="N18" i="824" s="1"/>
  <c r="I63" i="829" s="1"/>
  <c r="K18" i="824"/>
  <c r="K28" i="829"/>
  <c r="K38" i="829" s="1"/>
  <c r="F38" i="829"/>
  <c r="AM44" i="1"/>
  <c r="AG53" i="1"/>
  <c r="AN56" i="1"/>
  <c r="AN63" i="1" s="1"/>
  <c r="AH63" i="1"/>
  <c r="AP56" i="1"/>
  <c r="AJ63" i="1"/>
  <c r="O65" i="1"/>
  <c r="K65" i="1"/>
  <c r="P65" i="1"/>
  <c r="AH17" i="829"/>
  <c r="AH21" i="829" s="1"/>
  <c r="AB21" i="829"/>
  <c r="AH42" i="829"/>
  <c r="AH73" i="829" s="1"/>
  <c r="AB73" i="829"/>
  <c r="O34" i="1"/>
  <c r="K42" i="828"/>
  <c r="K63" i="828" s="1"/>
  <c r="F63" i="828"/>
  <c r="K19" i="824"/>
  <c r="I67" i="829" s="1"/>
  <c r="O67" i="829" s="1"/>
  <c r="O19" i="824"/>
  <c r="N19" i="824" s="1"/>
  <c r="K59" i="830"/>
  <c r="K17" i="827"/>
  <c r="K75" i="827" s="1"/>
  <c r="F75" i="827"/>
  <c r="P75" i="827"/>
  <c r="AG63" i="1"/>
  <c r="AD17" i="829"/>
  <c r="AD21" i="829" s="1"/>
  <c r="X21" i="829"/>
  <c r="P75" i="829"/>
  <c r="F9" i="825" s="1"/>
  <c r="I54" i="827"/>
  <c r="O54" i="827" s="1"/>
  <c r="K24" i="824"/>
  <c r="F32" i="830"/>
  <c r="F109" i="828"/>
  <c r="K43" i="830"/>
  <c r="K45" i="830" s="1"/>
  <c r="F45" i="830"/>
  <c r="K37" i="830"/>
  <c r="K39" i="830" s="1"/>
  <c r="F39" i="830"/>
  <c r="K32" i="830"/>
  <c r="AD45" i="829"/>
  <c r="AJ45" i="829" s="1"/>
  <c r="X73" i="829"/>
  <c r="O72" i="1"/>
  <c r="P72" i="1"/>
  <c r="I19" i="830"/>
  <c r="I26" i="830"/>
  <c r="O26" i="830" s="1"/>
  <c r="I71" i="827"/>
  <c r="O71" i="827" s="1"/>
  <c r="K109" i="828"/>
  <c r="B32" i="825" s="1"/>
  <c r="K71" i="828"/>
  <c r="K84" i="828" s="1"/>
  <c r="F84" i="828"/>
  <c r="H75" i="829"/>
  <c r="O29" i="824"/>
  <c r="N29" i="824" s="1"/>
  <c r="I21" i="827" s="1"/>
  <c r="O21" i="827" s="1"/>
  <c r="K29" i="824"/>
  <c r="K86" i="827"/>
  <c r="K94" i="827" s="1"/>
  <c r="D12" i="825" s="1"/>
  <c r="F94" i="827"/>
  <c r="AO45" i="1"/>
  <c r="AO53" i="1" s="1"/>
  <c r="AI53" i="1"/>
  <c r="P94" i="827"/>
  <c r="F12" i="825" s="1"/>
  <c r="V21" i="827"/>
  <c r="W21" i="827" s="1"/>
  <c r="AD63" i="1"/>
  <c r="AF63" i="1"/>
  <c r="AI63" i="1"/>
  <c r="J35" i="1"/>
  <c r="O35" i="1" s="1"/>
  <c r="F19" i="831"/>
  <c r="N4" i="824" s="1"/>
  <c r="J32" i="1"/>
  <c r="K73" i="829"/>
  <c r="O94" i="827"/>
  <c r="G12" i="825" s="1"/>
  <c r="K77" i="1"/>
  <c r="G45" i="825"/>
  <c r="K65" i="824"/>
  <c r="J30" i="1"/>
  <c r="O30" i="1" s="1"/>
  <c r="O29" i="830"/>
  <c r="O65" i="830" s="1"/>
  <c r="G13" i="825" s="1"/>
  <c r="I39" i="827"/>
  <c r="O39" i="827" s="1"/>
  <c r="I35" i="827"/>
  <c r="I20" i="827"/>
  <c r="O20" i="827" s="1"/>
  <c r="I34" i="827"/>
  <c r="O34" i="827" s="1"/>
  <c r="I33" i="827"/>
  <c r="O33" i="827" s="1"/>
  <c r="I31" i="827"/>
  <c r="O31" i="827" s="1"/>
  <c r="I30" i="827"/>
  <c r="I48" i="827"/>
  <c r="I44" i="827"/>
  <c r="O44" i="827" s="1"/>
  <c r="I22" i="827"/>
  <c r="O19" i="830"/>
  <c r="I21" i="830"/>
  <c r="O63" i="829"/>
  <c r="I60" i="827"/>
  <c r="I19" i="828"/>
  <c r="I42" i="828"/>
  <c r="I69" i="828"/>
  <c r="O45" i="829"/>
  <c r="I73" i="829"/>
  <c r="O17" i="829"/>
  <c r="I21" i="829"/>
  <c r="F38" i="825"/>
  <c r="B38" i="825"/>
  <c r="AJ17" i="829"/>
  <c r="AJ21" i="829" s="1"/>
  <c r="J43" i="1"/>
  <c r="O43" i="1" s="1"/>
  <c r="O42" i="1"/>
  <c r="P42" i="1"/>
  <c r="J49" i="1"/>
  <c r="I27" i="827"/>
  <c r="I17" i="827"/>
  <c r="J63" i="1"/>
  <c r="B46" i="825"/>
  <c r="G43" i="825"/>
  <c r="F40" i="825"/>
  <c r="AM53" i="1"/>
  <c r="AN53" i="1"/>
  <c r="AL53" i="1"/>
  <c r="B45" i="825"/>
  <c r="F45" i="825"/>
  <c r="F34" i="825"/>
  <c r="B34" i="825"/>
  <c r="F41" i="825"/>
  <c r="AP53" i="1"/>
  <c r="AL63" i="1"/>
  <c r="AP63" i="1"/>
  <c r="AF53" i="1"/>
  <c r="F35" i="825"/>
  <c r="F39" i="825"/>
  <c r="N59" i="824"/>
  <c r="N60" i="824" s="1"/>
  <c r="N63" i="824" s="1"/>
  <c r="N64" i="824" s="1"/>
  <c r="J50" i="824" s="1"/>
  <c r="AM57" i="1"/>
  <c r="AM63" i="1" s="1"/>
  <c r="AO57" i="1"/>
  <c r="AO63" i="1" s="1"/>
  <c r="AJ42" i="829"/>
  <c r="K25" i="824"/>
  <c r="AD53" i="1"/>
  <c r="AH53" i="1"/>
  <c r="AJ53" i="1"/>
  <c r="K43" i="1"/>
  <c r="G86" i="1"/>
  <c r="G32" i="1"/>
  <c r="G65" i="1"/>
  <c r="G48" i="1"/>
  <c r="G28" i="1"/>
  <c r="G57" i="1"/>
  <c r="G60" i="1"/>
  <c r="G30" i="1"/>
  <c r="G56" i="1"/>
  <c r="G87" i="1"/>
  <c r="G43" i="1"/>
  <c r="G72" i="1"/>
  <c r="G34" i="1"/>
  <c r="G42" i="1"/>
  <c r="G46" i="1"/>
  <c r="G79" i="1"/>
  <c r="G70" i="1"/>
  <c r="G74" i="1"/>
  <c r="G82" i="1"/>
  <c r="G89" i="1"/>
  <c r="G61" i="1"/>
  <c r="G84" i="1"/>
  <c r="G59" i="1"/>
  <c r="G80" i="1"/>
  <c r="G85" i="1"/>
  <c r="G90" i="1"/>
  <c r="G69" i="1"/>
  <c r="G29" i="1"/>
  <c r="G75" i="1"/>
  <c r="G66" i="1"/>
  <c r="G51" i="1"/>
  <c r="G68" i="1"/>
  <c r="G35" i="1"/>
  <c r="G45" i="1"/>
  <c r="G83" i="1"/>
  <c r="G58" i="1"/>
  <c r="G67" i="1"/>
  <c r="G76" i="1"/>
  <c r="G49" i="1"/>
  <c r="G44" i="1"/>
  <c r="G37" i="1"/>
  <c r="G31" i="1"/>
  <c r="G77" i="1"/>
  <c r="AD73" i="829" l="1"/>
  <c r="P60" i="1"/>
  <c r="N60" i="1"/>
  <c r="Q60" i="1" s="1"/>
  <c r="O60" i="1"/>
  <c r="AJ73" i="829"/>
  <c r="K65" i="830"/>
  <c r="D13" i="825" s="1"/>
  <c r="F32" i="825"/>
  <c r="F31" i="825"/>
  <c r="O59" i="1"/>
  <c r="P59" i="1"/>
  <c r="I32" i="830"/>
  <c r="F96" i="827"/>
  <c r="I69" i="827"/>
  <c r="O69" i="827" s="1"/>
  <c r="I73" i="827"/>
  <c r="O73" i="827" s="1"/>
  <c r="P30" i="1"/>
  <c r="P35" i="1"/>
  <c r="K92" i="1"/>
  <c r="N43" i="1"/>
  <c r="P43" i="1"/>
  <c r="O75" i="829"/>
  <c r="G9" i="825" s="1"/>
  <c r="P46" i="1"/>
  <c r="J48" i="1"/>
  <c r="N48" i="1" s="1"/>
  <c r="J51" i="1"/>
  <c r="L51" i="1" s="1"/>
  <c r="K46" i="1"/>
  <c r="O46" i="1"/>
  <c r="O32" i="1"/>
  <c r="P32" i="1"/>
  <c r="B31" i="825"/>
  <c r="G50" i="824"/>
  <c r="G52" i="824" s="1"/>
  <c r="K112" i="828"/>
  <c r="D10" i="825" s="1"/>
  <c r="O44" i="1"/>
  <c r="K44" i="1"/>
  <c r="P44" i="1"/>
  <c r="K32" i="1"/>
  <c r="G44" i="825"/>
  <c r="K35" i="1"/>
  <c r="F33" i="825"/>
  <c r="B33" i="825"/>
  <c r="G20" i="827"/>
  <c r="O57" i="1"/>
  <c r="K57" i="1"/>
  <c r="P57" i="1"/>
  <c r="Q43" i="1"/>
  <c r="F30" i="825"/>
  <c r="G41" i="830"/>
  <c r="P96" i="827"/>
  <c r="F11" i="825"/>
  <c r="F112" i="828"/>
  <c r="O61" i="1"/>
  <c r="P61" i="1"/>
  <c r="K61" i="1"/>
  <c r="P45" i="1"/>
  <c r="O45" i="1"/>
  <c r="K30" i="1"/>
  <c r="K39" i="1" s="1"/>
  <c r="P50" i="824"/>
  <c r="P52" i="824" s="1"/>
  <c r="F8" i="825" s="1"/>
  <c r="F15" i="825" s="1"/>
  <c r="F18" i="825" s="1"/>
  <c r="J52" i="824"/>
  <c r="B8" i="825" s="1"/>
  <c r="O50" i="824"/>
  <c r="O52" i="824" s="1"/>
  <c r="G8" i="825" s="1"/>
  <c r="K50" i="824"/>
  <c r="B29" i="825"/>
  <c r="F29" i="825"/>
  <c r="K75" i="829"/>
  <c r="D9" i="825" s="1"/>
  <c r="O27" i="827"/>
  <c r="I63" i="828"/>
  <c r="O42" i="828"/>
  <c r="O60" i="827"/>
  <c r="O22" i="827"/>
  <c r="O48" i="827"/>
  <c r="O35" i="827"/>
  <c r="I75" i="829"/>
  <c r="K96" i="827"/>
  <c r="K100" i="827" s="1"/>
  <c r="D11" i="825"/>
  <c r="O17" i="827"/>
  <c r="P49" i="1"/>
  <c r="K49" i="1"/>
  <c r="O49" i="1"/>
  <c r="O69" i="828"/>
  <c r="I84" i="828"/>
  <c r="I36" i="828"/>
  <c r="O19" i="828"/>
  <c r="O112" i="828" s="1"/>
  <c r="G10" i="825" s="1"/>
  <c r="O30" i="827"/>
  <c r="N77" i="1"/>
  <c r="Q77" i="1" s="1"/>
  <c r="L77" i="1"/>
  <c r="N37" i="1"/>
  <c r="Q37" i="1" s="1"/>
  <c r="L37" i="1"/>
  <c r="L49" i="1"/>
  <c r="N49" i="1"/>
  <c r="N67" i="1"/>
  <c r="Q67" i="1" s="1"/>
  <c r="L67" i="1"/>
  <c r="N83" i="1"/>
  <c r="Q83" i="1" s="1"/>
  <c r="L83" i="1"/>
  <c r="N35" i="1"/>
  <c r="L35" i="1"/>
  <c r="N75" i="1"/>
  <c r="Q75" i="1" s="1"/>
  <c r="L75" i="1"/>
  <c r="N69" i="1"/>
  <c r="Q69" i="1" s="1"/>
  <c r="L69" i="1"/>
  <c r="N85" i="1"/>
  <c r="Q85" i="1" s="1"/>
  <c r="L85" i="1"/>
  <c r="N59" i="1"/>
  <c r="Q59" i="1" s="1"/>
  <c r="L59" i="1"/>
  <c r="N61" i="1"/>
  <c r="L61" i="1"/>
  <c r="N82" i="1"/>
  <c r="Q82" i="1" s="1"/>
  <c r="L82" i="1"/>
  <c r="N70" i="1"/>
  <c r="Q70" i="1" s="1"/>
  <c r="L70" i="1"/>
  <c r="N46" i="1"/>
  <c r="L46" i="1"/>
  <c r="N34" i="1"/>
  <c r="Q34" i="1" s="1"/>
  <c r="L34" i="1"/>
  <c r="N56" i="1"/>
  <c r="Q56" i="1" s="1"/>
  <c r="G63" i="1"/>
  <c r="L56" i="1"/>
  <c r="N28" i="1"/>
  <c r="L28" i="1"/>
  <c r="G39" i="1"/>
  <c r="N65" i="1"/>
  <c r="Q65" i="1" s="1"/>
  <c r="L65" i="1"/>
  <c r="G92" i="1"/>
  <c r="N86" i="1"/>
  <c r="Q86" i="1" s="1"/>
  <c r="L86" i="1"/>
  <c r="L43" i="1"/>
  <c r="N31" i="1"/>
  <c r="Q31" i="1" s="1"/>
  <c r="L31" i="1"/>
  <c r="N44" i="1"/>
  <c r="L44" i="1"/>
  <c r="N76" i="1"/>
  <c r="Q76" i="1" s="1"/>
  <c r="L76" i="1"/>
  <c r="N58" i="1"/>
  <c r="Q58" i="1" s="1"/>
  <c r="L58" i="1"/>
  <c r="N45" i="1"/>
  <c r="L45" i="1"/>
  <c r="N68" i="1"/>
  <c r="Q68" i="1" s="1"/>
  <c r="L68" i="1"/>
  <c r="N66" i="1"/>
  <c r="Q66" i="1" s="1"/>
  <c r="L66" i="1"/>
  <c r="L29" i="1"/>
  <c r="N29" i="1"/>
  <c r="Q29" i="1" s="1"/>
  <c r="N90" i="1"/>
  <c r="Q90" i="1" s="1"/>
  <c r="L90" i="1"/>
  <c r="N80" i="1"/>
  <c r="Q80" i="1" s="1"/>
  <c r="Y80" i="1"/>
  <c r="Z80" i="1" s="1"/>
  <c r="L80" i="1" s="1"/>
  <c r="N84" i="1"/>
  <c r="Q84" i="1" s="1"/>
  <c r="L84" i="1"/>
  <c r="N89" i="1"/>
  <c r="Q89" i="1" s="1"/>
  <c r="L89" i="1"/>
  <c r="N74" i="1"/>
  <c r="Q74" i="1" s="1"/>
  <c r="L74" i="1"/>
  <c r="N79" i="1"/>
  <c r="Q79" i="1" s="1"/>
  <c r="X79" i="1"/>
  <c r="Z79" i="1" s="1"/>
  <c r="L79" i="1" s="1"/>
  <c r="N42" i="1"/>
  <c r="Q42" i="1" s="1"/>
  <c r="L42" i="1"/>
  <c r="G53" i="1"/>
  <c r="N72" i="1"/>
  <c r="Q72" i="1" s="1"/>
  <c r="L72" i="1"/>
  <c r="N87" i="1"/>
  <c r="Q87" i="1" s="1"/>
  <c r="L87" i="1"/>
  <c r="N30" i="1"/>
  <c r="Q30" i="1" s="1"/>
  <c r="L30" i="1"/>
  <c r="N57" i="1"/>
  <c r="L57" i="1"/>
  <c r="N32" i="1"/>
  <c r="L32" i="1"/>
  <c r="L60" i="1"/>
  <c r="N51" i="1" l="1"/>
  <c r="N93" i="1" s="1"/>
  <c r="Q35" i="1"/>
  <c r="K63" i="1"/>
  <c r="Q61" i="1"/>
  <c r="I75" i="827"/>
  <c r="I96" i="827" s="1"/>
  <c r="F51" i="825"/>
  <c r="F53" i="825" s="1"/>
  <c r="Q44" i="1"/>
  <c r="Q45" i="1"/>
  <c r="Q46" i="1"/>
  <c r="L50" i="824"/>
  <c r="L52" i="824" s="1"/>
  <c r="H8" i="825" s="1"/>
  <c r="N50" i="824"/>
  <c r="N52" i="824" s="1"/>
  <c r="E8" i="825" s="1"/>
  <c r="O48" i="1"/>
  <c r="P48" i="1"/>
  <c r="K48" i="1"/>
  <c r="L48" i="1"/>
  <c r="L53" i="1" s="1"/>
  <c r="N20" i="827"/>
  <c r="Q20" i="827" s="1"/>
  <c r="L20" i="827"/>
  <c r="X20" i="827"/>
  <c r="Z20" i="827" s="1"/>
  <c r="G21" i="827"/>
  <c r="G30" i="827"/>
  <c r="G46" i="827"/>
  <c r="G64" i="827"/>
  <c r="G24" i="827"/>
  <c r="G17" i="827"/>
  <c r="G22" i="827"/>
  <c r="G69" i="827"/>
  <c r="G27" i="827"/>
  <c r="G67" i="827"/>
  <c r="G35" i="827"/>
  <c r="G48" i="827"/>
  <c r="G60" i="827"/>
  <c r="G39" i="827"/>
  <c r="G34" i="827"/>
  <c r="G54" i="827"/>
  <c r="G57" i="827"/>
  <c r="G86" i="827"/>
  <c r="G87" i="827"/>
  <c r="G62" i="827"/>
  <c r="G28" i="827"/>
  <c r="G81" i="827"/>
  <c r="G33" i="827"/>
  <c r="G51" i="827"/>
  <c r="G83" i="827"/>
  <c r="G89" i="827"/>
  <c r="G50" i="827"/>
  <c r="G71" i="827"/>
  <c r="G31" i="827"/>
  <c r="G44" i="827"/>
  <c r="G92" i="827"/>
  <c r="G70" i="827"/>
  <c r="G73" i="827"/>
  <c r="G41" i="827"/>
  <c r="P51" i="1"/>
  <c r="K51" i="1"/>
  <c r="O51" i="1"/>
  <c r="B51" i="825"/>
  <c r="N41" i="830"/>
  <c r="Q41" i="830" s="1"/>
  <c r="L41" i="830"/>
  <c r="G51" i="830"/>
  <c r="G57" i="830"/>
  <c r="G52" i="830"/>
  <c r="G48" i="830"/>
  <c r="G47" i="830"/>
  <c r="G61" i="830"/>
  <c r="G53" i="830"/>
  <c r="G30" i="830"/>
  <c r="G56" i="830"/>
  <c r="G18" i="830"/>
  <c r="G43" i="830"/>
  <c r="G19" i="830"/>
  <c r="G55" i="830"/>
  <c r="G49" i="830"/>
  <c r="G26" i="830"/>
  <c r="G38" i="830"/>
  <c r="G63" i="830"/>
  <c r="G54" i="830"/>
  <c r="G42" i="830"/>
  <c r="G37" i="830"/>
  <c r="G58" i="830"/>
  <c r="G50" i="830"/>
  <c r="G44" i="830"/>
  <c r="G36" i="830"/>
  <c r="G29" i="830"/>
  <c r="G45" i="829"/>
  <c r="G63" i="829"/>
  <c r="G31" i="829"/>
  <c r="G33" i="829"/>
  <c r="G24" i="829"/>
  <c r="G36" i="829"/>
  <c r="G52" i="829"/>
  <c r="G70" i="829"/>
  <c r="G71" i="829"/>
  <c r="G65" i="829"/>
  <c r="G42" i="829"/>
  <c r="G19" i="829"/>
  <c r="G69" i="829"/>
  <c r="G49" i="829"/>
  <c r="G58" i="829"/>
  <c r="G55" i="829"/>
  <c r="G26" i="829"/>
  <c r="G60" i="829"/>
  <c r="G17" i="829"/>
  <c r="G54" i="829"/>
  <c r="G35" i="829"/>
  <c r="G28" i="829"/>
  <c r="G47" i="829"/>
  <c r="G67" i="829"/>
  <c r="Q49" i="1"/>
  <c r="Q32" i="1"/>
  <c r="Q57" i="1"/>
  <c r="I112" i="828"/>
  <c r="G69" i="828"/>
  <c r="G59" i="828"/>
  <c r="G57" i="828"/>
  <c r="G19" i="828"/>
  <c r="G77" i="828"/>
  <c r="G51" i="828"/>
  <c r="G98" i="828"/>
  <c r="G53" i="828"/>
  <c r="G32" i="828"/>
  <c r="G74" i="828"/>
  <c r="G34" i="828"/>
  <c r="G107" i="828"/>
  <c r="G90" i="828"/>
  <c r="G80" i="828"/>
  <c r="G61" i="828"/>
  <c r="G94" i="828"/>
  <c r="G42" i="828"/>
  <c r="G100" i="828"/>
  <c r="G105" i="828"/>
  <c r="G29" i="828"/>
  <c r="G82" i="828"/>
  <c r="G71" i="828"/>
  <c r="G44" i="828"/>
  <c r="G47" i="828"/>
  <c r="G24" i="828"/>
  <c r="O75" i="827"/>
  <c r="G27" i="825"/>
  <c r="G51" i="825" s="1"/>
  <c r="G54" i="825" s="1"/>
  <c r="K52" i="824"/>
  <c r="D8" i="825" s="1"/>
  <c r="D15" i="825" s="1"/>
  <c r="C29" i="825"/>
  <c r="Q28" i="1"/>
  <c r="L92" i="1"/>
  <c r="L39" i="1"/>
  <c r="L63" i="1"/>
  <c r="Q51" i="1" l="1"/>
  <c r="Q48" i="1"/>
  <c r="K53" i="1"/>
  <c r="K93" i="1" s="1"/>
  <c r="H31" i="832" s="1"/>
  <c r="H32" i="832" s="1"/>
  <c r="O93" i="1"/>
  <c r="G63" i="828"/>
  <c r="L42" i="828"/>
  <c r="N42" i="828"/>
  <c r="L77" i="828"/>
  <c r="N77" i="828"/>
  <c r="L35" i="829"/>
  <c r="N35" i="829"/>
  <c r="Q35" i="829" s="1"/>
  <c r="N71" i="829"/>
  <c r="Q71" i="829" s="1"/>
  <c r="L71" i="829"/>
  <c r="L44" i="830"/>
  <c r="N44" i="830"/>
  <c r="Q44" i="830" s="1"/>
  <c r="L26" i="830"/>
  <c r="N26" i="830"/>
  <c r="Q26" i="830" s="1"/>
  <c r="G32" i="830"/>
  <c r="N53" i="830"/>
  <c r="Q53" i="830" s="1"/>
  <c r="L53" i="830"/>
  <c r="L52" i="830"/>
  <c r="N52" i="830"/>
  <c r="Q52" i="830" s="1"/>
  <c r="L41" i="827"/>
  <c r="N41" i="827"/>
  <c r="Q41" i="827" s="1"/>
  <c r="L81" i="827"/>
  <c r="G94" i="827"/>
  <c r="N81" i="827"/>
  <c r="L67" i="827"/>
  <c r="N67" i="827"/>
  <c r="Q67" i="827" s="1"/>
  <c r="N29" i="828"/>
  <c r="L29" i="828"/>
  <c r="L53" i="828"/>
  <c r="N53" i="828"/>
  <c r="N54" i="829"/>
  <c r="Q54" i="829" s="1"/>
  <c r="L54" i="829"/>
  <c r="N70" i="829"/>
  <c r="Q70" i="829" s="1"/>
  <c r="L70" i="829"/>
  <c r="N50" i="830"/>
  <c r="Q50" i="830" s="1"/>
  <c r="L50" i="830"/>
  <c r="N49" i="830"/>
  <c r="Q49" i="830" s="1"/>
  <c r="L49" i="830"/>
  <c r="N57" i="830"/>
  <c r="Q57" i="830" s="1"/>
  <c r="L57" i="830"/>
  <c r="N31" i="827"/>
  <c r="Q31" i="827" s="1"/>
  <c r="L31" i="827"/>
  <c r="L28" i="827"/>
  <c r="N28" i="827"/>
  <c r="Q28" i="827" s="1"/>
  <c r="N27" i="827"/>
  <c r="Q27" i="827" s="1"/>
  <c r="L27" i="827"/>
  <c r="N44" i="828"/>
  <c r="L44" i="828"/>
  <c r="N34" i="828"/>
  <c r="L34" i="828"/>
  <c r="N57" i="828"/>
  <c r="L57" i="828"/>
  <c r="L47" i="829"/>
  <c r="N47" i="829"/>
  <c r="Q47" i="829" s="1"/>
  <c r="L17" i="829"/>
  <c r="G21" i="829"/>
  <c r="N17" i="829"/>
  <c r="L58" i="829"/>
  <c r="N58" i="829"/>
  <c r="Q58" i="829" s="1"/>
  <c r="N42" i="829"/>
  <c r="Q42" i="829" s="1"/>
  <c r="L42" i="829"/>
  <c r="N52" i="829"/>
  <c r="Q52" i="829" s="1"/>
  <c r="L52" i="829"/>
  <c r="L31" i="829"/>
  <c r="N31" i="829"/>
  <c r="Q31" i="829" s="1"/>
  <c r="L29" i="830"/>
  <c r="N29" i="830"/>
  <c r="Q29" i="830" s="1"/>
  <c r="L58" i="830"/>
  <c r="N58" i="830"/>
  <c r="Q58" i="830" s="1"/>
  <c r="L63" i="830"/>
  <c r="N63" i="830"/>
  <c r="Q63" i="830" s="1"/>
  <c r="N55" i="830"/>
  <c r="Q55" i="830" s="1"/>
  <c r="L55" i="830"/>
  <c r="N56" i="830"/>
  <c r="Q56" i="830" s="1"/>
  <c r="L56" i="830"/>
  <c r="N47" i="830"/>
  <c r="Q47" i="830" s="1"/>
  <c r="L47" i="830"/>
  <c r="N51" i="830"/>
  <c r="Q51" i="830" s="1"/>
  <c r="L51" i="830"/>
  <c r="N70" i="827"/>
  <c r="Q70" i="827" s="1"/>
  <c r="L70" i="827"/>
  <c r="N71" i="827"/>
  <c r="Q71" i="827" s="1"/>
  <c r="L71" i="827"/>
  <c r="N51" i="827"/>
  <c r="Q51" i="827" s="1"/>
  <c r="L51" i="827"/>
  <c r="L62" i="827"/>
  <c r="N62" i="827"/>
  <c r="Q62" i="827" s="1"/>
  <c r="N54" i="827"/>
  <c r="Q54" i="827" s="1"/>
  <c r="L54" i="827"/>
  <c r="N48" i="827"/>
  <c r="Q48" i="827" s="1"/>
  <c r="L48" i="827"/>
  <c r="L69" i="827"/>
  <c r="N69" i="827"/>
  <c r="Q69" i="827" s="1"/>
  <c r="N64" i="827"/>
  <c r="Q64" i="827" s="1"/>
  <c r="L64" i="827"/>
  <c r="N24" i="828"/>
  <c r="L24" i="828"/>
  <c r="L82" i="828"/>
  <c r="N82" i="828"/>
  <c r="L90" i="828"/>
  <c r="N90" i="828"/>
  <c r="G109" i="828"/>
  <c r="L32" i="828"/>
  <c r="N32" i="828"/>
  <c r="N69" i="828"/>
  <c r="G84" i="828"/>
  <c r="L69" i="828"/>
  <c r="L26" i="829"/>
  <c r="N26" i="829"/>
  <c r="Q26" i="829" s="1"/>
  <c r="N69" i="829"/>
  <c r="Q69" i="829" s="1"/>
  <c r="L69" i="829"/>
  <c r="N24" i="829"/>
  <c r="Q24" i="829" s="1"/>
  <c r="G38" i="829"/>
  <c r="L24" i="829"/>
  <c r="N45" i="829"/>
  <c r="Q45" i="829" s="1"/>
  <c r="L45" i="829"/>
  <c r="L42" i="830"/>
  <c r="N42" i="830"/>
  <c r="Q42" i="830" s="1"/>
  <c r="L43" i="830"/>
  <c r="N43" i="830"/>
  <c r="Q43" i="830" s="1"/>
  <c r="L44" i="827"/>
  <c r="N44" i="827"/>
  <c r="Q44" i="827" s="1"/>
  <c r="N89" i="827"/>
  <c r="Q89" i="827" s="1"/>
  <c r="L89" i="827"/>
  <c r="N86" i="827"/>
  <c r="Q86" i="827" s="1"/>
  <c r="L86" i="827"/>
  <c r="L39" i="827"/>
  <c r="N39" i="827"/>
  <c r="Q39" i="827" s="1"/>
  <c r="N17" i="827"/>
  <c r="L17" i="827"/>
  <c r="G75" i="827"/>
  <c r="N30" i="827"/>
  <c r="Q30" i="827" s="1"/>
  <c r="L30" i="827"/>
  <c r="L47" i="828"/>
  <c r="N47" i="828"/>
  <c r="L94" i="828"/>
  <c r="N94" i="828"/>
  <c r="N107" i="828"/>
  <c r="L107" i="828"/>
  <c r="N19" i="828"/>
  <c r="L19" i="828"/>
  <c r="G36" i="828"/>
  <c r="G73" i="829"/>
  <c r="N67" i="829"/>
  <c r="Q67" i="829" s="1"/>
  <c r="L67" i="829"/>
  <c r="L55" i="829"/>
  <c r="N55" i="829"/>
  <c r="Q55" i="829" s="1"/>
  <c r="L19" i="829"/>
  <c r="N19" i="829"/>
  <c r="Q19" i="829" s="1"/>
  <c r="L33" i="829"/>
  <c r="N33" i="829"/>
  <c r="Q33" i="829" s="1"/>
  <c r="N54" i="830"/>
  <c r="Q54" i="830" s="1"/>
  <c r="L54" i="830"/>
  <c r="N18" i="830"/>
  <c r="G21" i="830"/>
  <c r="L18" i="830"/>
  <c r="N61" i="830"/>
  <c r="Q61" i="830" s="1"/>
  <c r="L61" i="830"/>
  <c r="L73" i="827"/>
  <c r="N73" i="827"/>
  <c r="Q73" i="827" s="1"/>
  <c r="L83" i="827"/>
  <c r="N83" i="827"/>
  <c r="Q83" i="827" s="1"/>
  <c r="N57" i="827"/>
  <c r="Q57" i="827" s="1"/>
  <c r="L57" i="827"/>
  <c r="N60" i="827"/>
  <c r="Q60" i="827" s="1"/>
  <c r="L60" i="827"/>
  <c r="Y24" i="827"/>
  <c r="Z24" i="827" s="1"/>
  <c r="L24" i="827" s="1"/>
  <c r="N24" i="827"/>
  <c r="Q24" i="827" s="1"/>
  <c r="L21" i="827"/>
  <c r="Y21" i="827"/>
  <c r="Z21" i="827" s="1"/>
  <c r="N21" i="827"/>
  <c r="Q21" i="827" s="1"/>
  <c r="P94" i="1"/>
  <c r="P93" i="1"/>
  <c r="Q95" i="1" s="1"/>
  <c r="N105" i="828"/>
  <c r="L105" i="828"/>
  <c r="N61" i="828"/>
  <c r="L61" i="828"/>
  <c r="N98" i="828"/>
  <c r="L98" i="828"/>
  <c r="L71" i="828"/>
  <c r="N71" i="828"/>
  <c r="L100" i="828"/>
  <c r="N100" i="828"/>
  <c r="N80" i="828"/>
  <c r="L80" i="828"/>
  <c r="N74" i="828"/>
  <c r="L74" i="828"/>
  <c r="N51" i="828"/>
  <c r="L51" i="828"/>
  <c r="N59" i="828"/>
  <c r="L59" i="828"/>
  <c r="N28" i="829"/>
  <c r="Q28" i="829" s="1"/>
  <c r="L28" i="829"/>
  <c r="N60" i="829"/>
  <c r="Q60" i="829" s="1"/>
  <c r="L60" i="829"/>
  <c r="L49" i="829"/>
  <c r="N49" i="829"/>
  <c r="Q49" i="829" s="1"/>
  <c r="L65" i="829"/>
  <c r="N65" i="829"/>
  <c r="Q65" i="829" s="1"/>
  <c r="L36" i="829"/>
  <c r="N36" i="829"/>
  <c r="Q36" i="829" s="1"/>
  <c r="N63" i="829"/>
  <c r="Q63" i="829" s="1"/>
  <c r="L63" i="829"/>
  <c r="N36" i="830"/>
  <c r="Q36" i="830" s="1"/>
  <c r="G39" i="830"/>
  <c r="L36" i="830"/>
  <c r="N37" i="830"/>
  <c r="Q37" i="830" s="1"/>
  <c r="L37" i="830"/>
  <c r="L38" i="830"/>
  <c r="N38" i="830"/>
  <c r="Q38" i="830" s="1"/>
  <c r="N19" i="830"/>
  <c r="Q19" i="830" s="1"/>
  <c r="L19" i="830"/>
  <c r="L21" i="830" s="1"/>
  <c r="N30" i="830"/>
  <c r="Q30" i="830" s="1"/>
  <c r="L30" i="830"/>
  <c r="N48" i="830"/>
  <c r="Q48" i="830" s="1"/>
  <c r="L48" i="830"/>
  <c r="G45" i="830"/>
  <c r="O94" i="1"/>
  <c r="N92" i="827"/>
  <c r="Q92" i="827" s="1"/>
  <c r="L92" i="827"/>
  <c r="N50" i="827"/>
  <c r="Q50" i="827" s="1"/>
  <c r="L50" i="827"/>
  <c r="L33" i="827"/>
  <c r="N33" i="827"/>
  <c r="Q33" i="827" s="1"/>
  <c r="L87" i="827"/>
  <c r="N87" i="827"/>
  <c r="Q87" i="827" s="1"/>
  <c r="N34" i="827"/>
  <c r="Q34" i="827" s="1"/>
  <c r="L34" i="827"/>
  <c r="N35" i="827"/>
  <c r="Q35" i="827" s="1"/>
  <c r="L35" i="827"/>
  <c r="N22" i="827"/>
  <c r="Q22" i="827" s="1"/>
  <c r="Y22" i="827"/>
  <c r="Z22" i="827" s="1"/>
  <c r="L22" i="827"/>
  <c r="N46" i="827"/>
  <c r="Q46" i="827" s="1"/>
  <c r="L46" i="827"/>
  <c r="C43" i="825"/>
  <c r="C39" i="825"/>
  <c r="C33" i="825"/>
  <c r="C30" i="825"/>
  <c r="C45" i="825"/>
  <c r="C41" i="825"/>
  <c r="C47" i="825"/>
  <c r="C34" i="825"/>
  <c r="C32" i="825"/>
  <c r="C46" i="825"/>
  <c r="C35" i="825"/>
  <c r="C42" i="825"/>
  <c r="C40" i="825"/>
  <c r="C38" i="825"/>
  <c r="C44" i="825"/>
  <c r="C31" i="825"/>
  <c r="C36" i="825"/>
  <c r="C37" i="825"/>
  <c r="L93" i="1"/>
  <c r="I31" i="832" s="1"/>
  <c r="I32" i="832" s="1"/>
  <c r="D18" i="825"/>
  <c r="C31" i="832"/>
  <c r="O96" i="827"/>
  <c r="G11" i="825"/>
  <c r="G15" i="825" s="1"/>
  <c r="G18" i="825" s="1"/>
  <c r="G112" i="828" l="1"/>
  <c r="G75" i="829"/>
  <c r="Q94" i="1"/>
  <c r="K97" i="1"/>
  <c r="Q93" i="1"/>
  <c r="L97" i="1"/>
  <c r="L45" i="830"/>
  <c r="N112" i="828"/>
  <c r="E10" i="825" s="1"/>
  <c r="L36" i="828"/>
  <c r="L75" i="827"/>
  <c r="L84" i="828"/>
  <c r="L21" i="829"/>
  <c r="G96" i="827"/>
  <c r="L63" i="828"/>
  <c r="Q17" i="829"/>
  <c r="Q75" i="829" s="1"/>
  <c r="N75" i="829"/>
  <c r="E9" i="825" s="1"/>
  <c r="Q18" i="830"/>
  <c r="Q65" i="830" s="1"/>
  <c r="N65" i="830"/>
  <c r="E13" i="825" s="1"/>
  <c r="L109" i="828"/>
  <c r="Q81" i="827"/>
  <c r="N94" i="827"/>
  <c r="L59" i="830"/>
  <c r="L73" i="829"/>
  <c r="L39" i="830"/>
  <c r="N75" i="827"/>
  <c r="Q17" i="827"/>
  <c r="Q75" i="827" s="1"/>
  <c r="L38" i="829"/>
  <c r="L32" i="830"/>
  <c r="L94" i="827"/>
  <c r="H12" i="825" s="1"/>
  <c r="C51" i="825"/>
  <c r="C33" i="832"/>
  <c r="C32" i="832"/>
  <c r="L65" i="830" l="1"/>
  <c r="H13" i="825" s="1"/>
  <c r="L112" i="828"/>
  <c r="H10" i="825" s="1"/>
  <c r="E11" i="825"/>
  <c r="N96" i="827"/>
  <c r="Q98" i="827" s="1"/>
  <c r="Q94" i="827"/>
  <c r="Q96" i="827" s="1"/>
  <c r="E12" i="825"/>
  <c r="H11" i="825"/>
  <c r="L96" i="827"/>
  <c r="L100" i="827" s="1"/>
  <c r="L75" i="829"/>
  <c r="H9" i="825" s="1"/>
  <c r="H15" i="825" l="1"/>
  <c r="D31" i="832" s="1"/>
  <c r="E15" i="825"/>
  <c r="E18" i="825" s="1"/>
  <c r="H18" i="825" l="1"/>
  <c r="D32" i="832"/>
  <c r="D33" i="832"/>
</calcChain>
</file>

<file path=xl/sharedStrings.xml><?xml version="1.0" encoding="utf-8"?>
<sst xmlns="http://schemas.openxmlformats.org/spreadsheetml/2006/main" count="1099" uniqueCount="611">
  <si>
    <t>EXHIBIT 1</t>
  </si>
  <si>
    <t>READING THE REGULATIONS</t>
  </si>
  <si>
    <t>ANNUAL ESTIMATED RESPONDENT BURDEN AND COST</t>
  </si>
  <si>
    <t>Number</t>
  </si>
  <si>
    <t xml:space="preserve">INFORMATION COLLECTION </t>
  </si>
  <si>
    <t>ACTIVITY</t>
  </si>
  <si>
    <t>Respondent</t>
  </si>
  <si>
    <t>Reading and Understanding the Regulations for ID, Listing, and Rulemaking Petitions</t>
  </si>
  <si>
    <t>Total:  Read the Regulations</t>
  </si>
  <si>
    <t>RULEMAKING PETITIONS</t>
  </si>
  <si>
    <t>Rulemaking Petitions</t>
  </si>
  <si>
    <t>General Requirements (260.20)</t>
  </si>
  <si>
    <t xml:space="preserve">  Describe/prepare a statement on</t>
  </si>
  <si>
    <t xml:space="preserve">  proposed action</t>
  </si>
  <si>
    <t xml:space="preserve">  State the need and justification</t>
  </si>
  <si>
    <t xml:space="preserve">  for the proposed action</t>
  </si>
  <si>
    <t>Subtotal</t>
  </si>
  <si>
    <t>Equivalent Methods Petitions (260.21)</t>
  </si>
  <si>
    <t xml:space="preserve">  Describe the proposed methods' </t>
  </si>
  <si>
    <t xml:space="preserve">  procedural steps and equipment</t>
  </si>
  <si>
    <t xml:space="preserve">  Describe wastes/waste matrices for</t>
  </si>
  <si>
    <t xml:space="preserve">  Compare results from proposed </t>
  </si>
  <si>
    <t xml:space="preserve">  Assess any limiting factors for </t>
  </si>
  <si>
    <t xml:space="preserve">  Describe the quality and control</t>
  </si>
  <si>
    <t xml:space="preserve">  procedures</t>
  </si>
  <si>
    <t xml:space="preserve">  Provide any additional information</t>
  </si>
  <si>
    <t>Delisting Petition (260.22)</t>
  </si>
  <si>
    <t xml:space="preserve">  Provide general information on the</t>
  </si>
  <si>
    <t xml:space="preserve">  laboratory conducting the tests</t>
  </si>
  <si>
    <t xml:space="preserve">  the waste samples</t>
  </si>
  <si>
    <t xml:space="preserve">  and testing</t>
  </si>
  <si>
    <t xml:space="preserve">  Provide information on the location</t>
  </si>
  <si>
    <t xml:space="preserve">  of the facility</t>
  </si>
  <si>
    <t xml:space="preserve">  Describe the manufacturing processes</t>
  </si>
  <si>
    <t xml:space="preserve">  or other operations and feed </t>
  </si>
  <si>
    <t xml:space="preserve">  Assess variability of generator's</t>
  </si>
  <si>
    <t xml:space="preserve">  waste stream</t>
  </si>
  <si>
    <t xml:space="preserve">  Describe the waste</t>
  </si>
  <si>
    <t xml:space="preserve">  Estimate the average maximum </t>
  </si>
  <si>
    <t xml:space="preserve">  monthly and annual quantities of</t>
  </si>
  <si>
    <t xml:space="preserve">  waste covered by the demonstration</t>
  </si>
  <si>
    <t xml:space="preserve">  Provide pertinent data on discussion</t>
  </si>
  <si>
    <t xml:space="preserve">  Describe the methodologies and </t>
  </si>
  <si>
    <t xml:space="preserve">  equipment used for representative</t>
  </si>
  <si>
    <t xml:space="preserve">  samples</t>
  </si>
  <si>
    <t xml:space="preserve">  Describe the sample handling and</t>
  </si>
  <si>
    <t xml:space="preserve">  preparation techniques</t>
  </si>
  <si>
    <t xml:space="preserve">  Describe the tests performed and</t>
  </si>
  <si>
    <t xml:space="preserve">  their results</t>
  </si>
  <si>
    <t xml:space="preserve">  Provide the name and model numbers</t>
  </si>
  <si>
    <t xml:space="preserve">  of instruments used</t>
  </si>
  <si>
    <t xml:space="preserve">  Certify petition</t>
  </si>
  <si>
    <t>Total: Rulemaking Petitions</t>
  </si>
  <si>
    <t>varies</t>
  </si>
  <si>
    <t>EXHIBIT 3</t>
  </si>
  <si>
    <t>SOLID WASTE AND BOILER VARIANCE REQUIREMENTS</t>
  </si>
  <si>
    <t>Solid Waste and Boiler Variance Requirements</t>
  </si>
  <si>
    <t>Variance from Classification as a Solid Waste (260.31)(a) and 260.33(a))</t>
  </si>
  <si>
    <t xml:space="preserve">  Provide information on the manner </t>
  </si>
  <si>
    <t xml:space="preserve">  in which the material is expected</t>
  </si>
  <si>
    <t xml:space="preserve">  to be recycled</t>
  </si>
  <si>
    <t xml:space="preserve">  Explain why the petitioner has</t>
  </si>
  <si>
    <t xml:space="preserve">  accumulated for one or more years</t>
  </si>
  <si>
    <t xml:space="preserve">  without recycling 75% of the volume</t>
  </si>
  <si>
    <t xml:space="preserve">  accumulated at the beginning of</t>
  </si>
  <si>
    <t xml:space="preserve">  the year</t>
  </si>
  <si>
    <t xml:space="preserve">  Provide information on the quantity</t>
  </si>
  <si>
    <t xml:space="preserve">  of material already accumulated and </t>
  </si>
  <si>
    <t xml:space="preserve">  the quantity expected to be </t>
  </si>
  <si>
    <t xml:space="preserve">  generated and accumulated before</t>
  </si>
  <si>
    <t xml:space="preserve">  the material is recycled</t>
  </si>
  <si>
    <t xml:space="preserve">  Provide information on the extent to</t>
  </si>
  <si>
    <t xml:space="preserve">  which the material is handled to</t>
  </si>
  <si>
    <t xml:space="preserve">  minimize loss</t>
  </si>
  <si>
    <t xml:space="preserve">  Provide any additional relevant</t>
  </si>
  <si>
    <t xml:space="preserve">  information</t>
  </si>
  <si>
    <t>Variance From Classification as a Solid Waste (260.31(b) and 260.33(a))</t>
  </si>
  <si>
    <t xml:space="preserve">  viability of the production process</t>
  </si>
  <si>
    <t xml:space="preserve">  using virgin materials solely, rather</t>
  </si>
  <si>
    <t xml:space="preserve">  than reclaimed materials</t>
  </si>
  <si>
    <t xml:space="preserve">  Describe the extent to which the</t>
  </si>
  <si>
    <t xml:space="preserve">  material is handled before </t>
  </si>
  <si>
    <t xml:space="preserve">  reclamation to minimize loss</t>
  </si>
  <si>
    <t xml:space="preserve">  between reclamation and return to</t>
  </si>
  <si>
    <t xml:space="preserve">  original primary production process</t>
  </si>
  <si>
    <t xml:space="preserve">  operation and production process</t>
  </si>
  <si>
    <t xml:space="preserve">  Describe whether the reclaimed</t>
  </si>
  <si>
    <t xml:space="preserve">  material is used for the purpose for</t>
  </si>
  <si>
    <t xml:space="preserve">  which it was originally produced</t>
  </si>
  <si>
    <t xml:space="preserve">  when returned to the original process</t>
  </si>
  <si>
    <t xml:space="preserve">  Describe whether the person who</t>
  </si>
  <si>
    <t xml:space="preserve">  of processing the material has </t>
  </si>
  <si>
    <t xml:space="preserve">  undergone and the degree of further</t>
  </si>
  <si>
    <t xml:space="preserve">  processing that is required</t>
  </si>
  <si>
    <t xml:space="preserve">  Provide information on the value of</t>
  </si>
  <si>
    <t xml:space="preserve">  the reclaimed material</t>
  </si>
  <si>
    <t xml:space="preserve">  reclaimed material is like an</t>
  </si>
  <si>
    <t xml:space="preserve">  analogous raw material</t>
  </si>
  <si>
    <t xml:space="preserve">  market for the reclaimed material</t>
  </si>
  <si>
    <t xml:space="preserve">  is guaranteed</t>
  </si>
  <si>
    <t>Variance for Classification as a Boiler (260.32 and 260.33(a))</t>
  </si>
  <si>
    <t xml:space="preserve">  has provisions for recovering and</t>
  </si>
  <si>
    <t xml:space="preserve">  exporting thermal energy from steam,</t>
  </si>
  <si>
    <t xml:space="preserve">  heated fluids, or heated gases</t>
  </si>
  <si>
    <t xml:space="preserve">  combustion chamber and energy</t>
  </si>
  <si>
    <t xml:space="preserve">  recovery equipment are of integral</t>
  </si>
  <si>
    <t xml:space="preserve">  design</t>
  </si>
  <si>
    <t xml:space="preserve">  recovery, calculated in terms of the</t>
  </si>
  <si>
    <t xml:space="preserve">  recovered energy compared with the </t>
  </si>
  <si>
    <t xml:space="preserve">  thermal value of fuel</t>
  </si>
  <si>
    <t xml:space="preserve">  exported energy is utilized</t>
  </si>
  <si>
    <t xml:space="preserve">  use as a 'boiler' functioning primarily</t>
  </si>
  <si>
    <t xml:space="preserve">  to produce steam, heated fluids, or</t>
  </si>
  <si>
    <t xml:space="preserve">  heated gases</t>
  </si>
  <si>
    <t xml:space="preserve">Total: Solid Waste and Boiler </t>
  </si>
  <si>
    <t>Variance Requirements</t>
  </si>
  <si>
    <t>EXHIBIT 4</t>
  </si>
  <si>
    <t>EXCLUSIONS FROM THE DEFINITION OF HAZARDOUS WASTE</t>
  </si>
  <si>
    <t>Hazardous Waste Exclusions</t>
  </si>
  <si>
    <t>Nonwastewater Exemption (261.3(c)(2)(ii)(C))</t>
  </si>
  <si>
    <t xml:space="preserve">  and certification </t>
  </si>
  <si>
    <t>Exemption for Chromium-Containing Waste (261.4(b)(6))</t>
  </si>
  <si>
    <t>Exemption for Samples (261.4(d)(2)(ii)(A))</t>
  </si>
  <si>
    <t xml:space="preserve">  Collect and maintain information on the</t>
  </si>
  <si>
    <t>Exemption for Treatability Study Samples (261.4)(e)(2)-(3))</t>
  </si>
  <si>
    <t xml:space="preserve">  Collect, copy, file and maintain</t>
  </si>
  <si>
    <t xml:space="preserve">  the required information</t>
  </si>
  <si>
    <t xml:space="preserve">  Prepare and submit a request for an</t>
  </si>
  <si>
    <t xml:space="preserve">  increase of the quantity limit</t>
  </si>
  <si>
    <t xml:space="preserve">  Notify the Regional Administrator</t>
  </si>
  <si>
    <t xml:space="preserve">  Maintain records for three years</t>
  </si>
  <si>
    <t xml:space="preserve">  Prepare and submit the annual report</t>
  </si>
  <si>
    <t xml:space="preserve">  Prepare and submit the </t>
  </si>
  <si>
    <t xml:space="preserve">  termination letter</t>
  </si>
  <si>
    <t>Total: Exclusions</t>
  </si>
  <si>
    <t>*  Assumes all generators and collectors must submit Biennial Reports</t>
  </si>
  <si>
    <t>EXHIBIT 5</t>
  </si>
  <si>
    <t>HAZARDOUS WASTE LISTING EXEMPTIONS</t>
  </si>
  <si>
    <t>Hazardous Waste Listing Exemptions</t>
  </si>
  <si>
    <t>Develop data and documents to support</t>
  </si>
  <si>
    <t>criteria for exemption</t>
  </si>
  <si>
    <t>Maintain records</t>
  </si>
  <si>
    <t>Deletion of Certain Hazardous Waste Codes Following Equipment Cleaning and Replacement (261.35)</t>
  </si>
  <si>
    <t>Prepare equipment cleaning or</t>
  </si>
  <si>
    <t>replacement plan</t>
  </si>
  <si>
    <t>Prepare and maintain documentation</t>
  </si>
  <si>
    <t>supporting cleaning/replacement of</t>
  </si>
  <si>
    <t>equipment in accordance with plan</t>
  </si>
  <si>
    <t>Total: Lists of Hazardous Waste</t>
  </si>
  <si>
    <t>EXHIBIT 6</t>
  </si>
  <si>
    <t>TOTAL ANNUAL ESTIMATED RESPONDENT BURDEN</t>
  </si>
  <si>
    <t>Cost</t>
  </si>
  <si>
    <t>Reading the Regulations</t>
  </si>
  <si>
    <t>Solid Waste and Boiler Variances</t>
  </si>
  <si>
    <t xml:space="preserve">Hazardous Waste Listing Exemptions </t>
  </si>
  <si>
    <t>TOTAL ANNUAL BURDEN</t>
  </si>
  <si>
    <t>EXHIBIT 8</t>
  </si>
  <si>
    <t>AVERAGE RESPONDENT BURDEN</t>
  </si>
  <si>
    <t>Average</t>
  </si>
  <si>
    <t>Record-</t>
  </si>
  <si>
    <t>Reporting</t>
  </si>
  <si>
    <t>Burden per</t>
  </si>
  <si>
    <t>Type of Petition or Demonstration</t>
  </si>
  <si>
    <t>Equivalent Methods Petitions</t>
  </si>
  <si>
    <t>Delisting Petition</t>
  </si>
  <si>
    <t>Solid Waste Variance</t>
  </si>
  <si>
    <t>Boiler Variance</t>
  </si>
  <si>
    <t>Wastewater Exemption</t>
  </si>
  <si>
    <t>Nonwastewater Exemption</t>
  </si>
  <si>
    <t>Chromium Exemption</t>
  </si>
  <si>
    <t>Exemption for Samples</t>
  </si>
  <si>
    <t>Exemption for Treatability Study Samples</t>
  </si>
  <si>
    <t>Equipment Cleaning and Replacement</t>
  </si>
  <si>
    <t>ANNUAL ESTIMATED AGENCY BURDEN AND COST</t>
  </si>
  <si>
    <t>INFORMATION COLLECTION</t>
  </si>
  <si>
    <t>Review general petition information</t>
  </si>
  <si>
    <t>Enter information into a database</t>
  </si>
  <si>
    <t>Hold meetings</t>
  </si>
  <si>
    <t>Deliberate*</t>
  </si>
  <si>
    <t>Make a draft determination, and</t>
  </si>
  <si>
    <t>publish draft Federal Register Notice</t>
  </si>
  <si>
    <t>Review comments and deliberate</t>
  </si>
  <si>
    <t>Make determination and publish final</t>
  </si>
  <si>
    <t>Federal Register notice</t>
  </si>
  <si>
    <t>Deliberate</t>
  </si>
  <si>
    <t>Review of Solid Waste and Boiler Variance Demonstrations (260.31(a),(b),(c), 260.32, and 260.33(a))</t>
  </si>
  <si>
    <t>Publicize draft determination</t>
  </si>
  <si>
    <t>Hold hearing, if required</t>
  </si>
  <si>
    <t>* Assumes that five submissions will be withdrawn at the draft determination stage</t>
  </si>
  <si>
    <t>Review requests for quantity increases</t>
  </si>
  <si>
    <t>for treatability study and issue decision</t>
  </si>
  <si>
    <t>TOTAL: AGENCY ACTIVITIES</t>
  </si>
  <si>
    <t>Labor</t>
  </si>
  <si>
    <t>Hours and Costs Per Respondent Per Activity</t>
  </si>
  <si>
    <t>Total Hours and Costs</t>
  </si>
  <si>
    <t>of</t>
  </si>
  <si>
    <t>Leg.</t>
  </si>
  <si>
    <t>Mgr.</t>
  </si>
  <si>
    <t>Tech.</t>
  </si>
  <si>
    <t>Cler.</t>
  </si>
  <si>
    <t>Respon.</t>
  </si>
  <si>
    <t>Capital/</t>
  </si>
  <si>
    <t>Total</t>
  </si>
  <si>
    <t>Hours/</t>
  </si>
  <si>
    <t>Cost/</t>
  </si>
  <si>
    <t>Startup</t>
  </si>
  <si>
    <t>O &amp; M</t>
  </si>
  <si>
    <t>or</t>
  </si>
  <si>
    <t>Year</t>
  </si>
  <si>
    <t>Activ.</t>
  </si>
  <si>
    <t>/Hour</t>
  </si>
  <si>
    <t>Labor Cost</t>
  </si>
  <si>
    <t>Index</t>
  </si>
  <si>
    <t>1998$</t>
  </si>
  <si>
    <t>1999$</t>
  </si>
  <si>
    <t>2000$</t>
  </si>
  <si>
    <t>2001$</t>
  </si>
  <si>
    <t>legal</t>
  </si>
  <si>
    <t>managerial</t>
  </si>
  <si>
    <t>technical</t>
  </si>
  <si>
    <t>clerical</t>
  </si>
  <si>
    <t xml:space="preserve">Number of </t>
  </si>
  <si>
    <t>Respondents</t>
  </si>
  <si>
    <t>Activities</t>
  </si>
  <si>
    <t>Hours/ Year</t>
  </si>
  <si>
    <t xml:space="preserve">Total </t>
  </si>
  <si>
    <t>Total Labor</t>
  </si>
  <si>
    <t>Cost / Year</t>
  </si>
  <si>
    <t>Total Capital</t>
  </si>
  <si>
    <t>Total O&amp;M</t>
  </si>
  <si>
    <t xml:space="preserve">  Describe the degree to which the</t>
  </si>
  <si>
    <t xml:space="preserve">  Describe the extent to which the unit</t>
  </si>
  <si>
    <t xml:space="preserve">  Describe the efficiency of energy</t>
  </si>
  <si>
    <t xml:space="preserve">  Describe the extent to which </t>
  </si>
  <si>
    <t xml:space="preserve">  Describe the extent to which the </t>
  </si>
  <si>
    <t xml:space="preserve">  device is in common and customary</t>
  </si>
  <si>
    <t>Exemption for Treatability Study Samples Undergoing Testing (261.4)(f))</t>
  </si>
  <si>
    <t>File nonwastewater notification</t>
  </si>
  <si>
    <t>Review of Equivalent Methods Petitions (260.20 and 260.21)</t>
  </si>
  <si>
    <t>Review of Delisting Petitions (260.20 and 260.22)</t>
  </si>
  <si>
    <t>SPREAD  SHEET VALUE</t>
  </si>
  <si>
    <t xml:space="preserve">  Provide information on the economic</t>
  </si>
  <si>
    <t xml:space="preserve">  Provide information on the degree</t>
  </si>
  <si>
    <t>GS Level and Step</t>
  </si>
  <si>
    <t>AVERAGE AGENCY BURDEN</t>
  </si>
  <si>
    <t>Cost/Year</t>
  </si>
  <si>
    <t>Review requests for two-year extension</t>
  </si>
  <si>
    <t>of treatability study and issue decision</t>
  </si>
  <si>
    <t xml:space="preserve">  Describe the proposed method</t>
  </si>
  <si>
    <t xml:space="preserve">  proposed method</t>
  </si>
  <si>
    <t xml:space="preserve">  method with results from</t>
  </si>
  <si>
    <t xml:space="preserve">  prescribed method</t>
  </si>
  <si>
    <t xml:space="preserve">  the proposed method</t>
  </si>
  <si>
    <t xml:space="preserve">  of factors per 261.11(a)(3)</t>
  </si>
  <si>
    <t>Variance From Classification as a Solid Waste (260.31(c) and 260.33(a))</t>
  </si>
  <si>
    <t xml:space="preserve">  treatability studies involving bioremediation</t>
  </si>
  <si>
    <t xml:space="preserve">  extension of up to two years for </t>
  </si>
  <si>
    <t>NOTE:</t>
  </si>
  <si>
    <t xml:space="preserve">Total costs, O&amp;M, and labor differ </t>
  </si>
  <si>
    <t>from the printed version because</t>
  </si>
  <si>
    <t>it had a mistake in the calculation</t>
  </si>
  <si>
    <t>which is corrected here.</t>
  </si>
  <si>
    <t>only for one respondent, and labor</t>
  </si>
  <si>
    <t>was obtained by subtracting O&amp;M</t>
  </si>
  <si>
    <t>from total costs, which included</t>
  </si>
  <si>
    <t>the correct O&amp;M cost</t>
  </si>
  <si>
    <t xml:space="preserve">Namely, O&amp;M cost was counted </t>
  </si>
  <si>
    <t xml:space="preserve">EXHIBIT </t>
  </si>
  <si>
    <t>Delete this exhibit???</t>
  </si>
  <si>
    <t>GS- 15, Step 6</t>
  </si>
  <si>
    <t>GS- 13, Step 2</t>
  </si>
  <si>
    <t>GS- 5, Step 5</t>
  </si>
  <si>
    <t>GS- 10, Step 5</t>
  </si>
  <si>
    <t xml:space="preserve">  materials producing the waste</t>
  </si>
  <si>
    <t xml:space="preserve">  generates the material also reclaims it</t>
  </si>
  <si>
    <t xml:space="preserve">  Demonstrate the wastewater exclusion</t>
  </si>
  <si>
    <t xml:space="preserve">  Prepare and submit notification</t>
  </si>
  <si>
    <t xml:space="preserve">  Maintain documents in facility files</t>
  </si>
  <si>
    <t xml:space="preserve">  Demonstrate the waste meets the</t>
  </si>
  <si>
    <t>Review and keep records of applications</t>
  </si>
  <si>
    <t xml:space="preserve">Review, approve, or deny, and keep records of the notifications and updates </t>
  </si>
  <si>
    <t>File notification of testing of treatability sample</t>
  </si>
  <si>
    <t>File annual report on treatability study testing</t>
  </si>
  <si>
    <t>File termination letter of treatability study testing</t>
  </si>
  <si>
    <t>Deliberate and issue draft determination</t>
  </si>
  <si>
    <t>Request additional information if required</t>
  </si>
  <si>
    <t>CPI</t>
  </si>
  <si>
    <t xml:space="preserve">ID Listing </t>
  </si>
  <si>
    <t>sample and analysis costs</t>
  </si>
  <si>
    <t>ICR</t>
  </si>
  <si>
    <t>documenting equipment cleaning</t>
  </si>
  <si>
    <t>Wood Preserving Processes Exclusion</t>
  </si>
  <si>
    <t>Mineral Processing Exclusion</t>
  </si>
  <si>
    <t>Exemption for Waste from Non-Specific Sources</t>
  </si>
  <si>
    <t>Exemption for Treatability Study Samples Undergoing Testing</t>
  </si>
  <si>
    <t>Three years</t>
  </si>
  <si>
    <t>Exclusion for Spent Wood Preserving Solutions and Wastewaters from Wood Preserving Processes (261.4(a)(9)(iii))</t>
  </si>
  <si>
    <t xml:space="preserve">  Update notification, if needed</t>
  </si>
  <si>
    <t xml:space="preserve">  Provide the dates of sampling</t>
  </si>
  <si>
    <t xml:space="preserve">  Provide detailed information on the</t>
  </si>
  <si>
    <t xml:space="preserve">  individuals sampling and testing</t>
  </si>
  <si>
    <t xml:space="preserve">  Describe the industry-wide prevalence</t>
  </si>
  <si>
    <t xml:space="preserve">  of the practice</t>
  </si>
  <si>
    <t xml:space="preserve">  material generation and reclamation, and</t>
  </si>
  <si>
    <t xml:space="preserve">  Describe the time periods between</t>
  </si>
  <si>
    <t xml:space="preserve">  Describe the location of the reclamation</t>
  </si>
  <si>
    <t xml:space="preserve">  Examine the extent to which an end</t>
  </si>
  <si>
    <t xml:space="preserve">  reclaimed material is handled to</t>
  </si>
  <si>
    <t>Exclusion for Secondary Materials from the Mineral Processing Industry (261.4(a)(17))</t>
  </si>
  <si>
    <t xml:space="preserve">  Prepare and submit application</t>
  </si>
  <si>
    <t xml:space="preserve">  hazardous waste exclusion</t>
  </si>
  <si>
    <t xml:space="preserve">  sample and the collector</t>
  </si>
  <si>
    <t xml:space="preserve">  information (in the Biennial Report)*</t>
  </si>
  <si>
    <t xml:space="preserve">  Prepare and report to EPA required</t>
  </si>
  <si>
    <t>Hazardous Wastes from Non-Specific Sources (261.31(b)(2)(ii))</t>
  </si>
  <si>
    <t>Prepare and maintain certification that equipment was cleaned or replaced in accordance with plan</t>
  </si>
  <si>
    <t>Review the demonstrations</t>
  </si>
  <si>
    <t>Request additional information if necessary</t>
  </si>
  <si>
    <t>Review comments and make final determination</t>
  </si>
  <si>
    <t>Review of Hazardous Waste Exclusion Petitions (261.3 and 261.4)</t>
  </si>
  <si>
    <t>2002$</t>
  </si>
  <si>
    <t>Requirements for Generators</t>
  </si>
  <si>
    <t>Notification (261.4(a)(20)(ii)(B))</t>
  </si>
  <si>
    <t>Complete and submit notification</t>
  </si>
  <si>
    <t>Record of Shipments (261.4(a)(ii)(C))</t>
  </si>
  <si>
    <t>Keep records of shipping activities</t>
  </si>
  <si>
    <t>Requirements for Manufacturers</t>
  </si>
  <si>
    <t>Annual report (261.4(a)(20)(iii)(D))</t>
  </si>
  <si>
    <t>Complete and submit the annual report</t>
  </si>
  <si>
    <t>Sample and analyze the product</t>
  </si>
  <si>
    <t>Keep sampling and analysis records</t>
  </si>
  <si>
    <t>Zinc Fertilizer Exclusion</t>
  </si>
  <si>
    <t>Exclusion for Recycled Hazardous Secondary Materials to Make Zinc Fertilizer Products (261.4(a)(20)-(21))</t>
  </si>
  <si>
    <t>Notification (261.4(a)(20)(iii)(B))</t>
  </si>
  <si>
    <t>Record of Shipments (261.4(a)(iii)(C))</t>
  </si>
  <si>
    <t>Product sampling and analysis (261.4(a)(21)(ii)(iii))</t>
  </si>
  <si>
    <t>Process haz. materials generator notification</t>
  </si>
  <si>
    <t>Process zinc fertilizer manufacturer notification</t>
  </si>
  <si>
    <t>Process zinc fertilizer manufacturer annual report</t>
  </si>
  <si>
    <t>EXHIBIT 2</t>
  </si>
  <si>
    <t>2007$</t>
  </si>
  <si>
    <t>O&amp;M Cost</t>
  </si>
  <si>
    <t>TOTAL</t>
  </si>
  <si>
    <t>CPI, All Items - per CPI tables at http://www.bls.gov/cpi/cpi_dr.htm</t>
  </si>
  <si>
    <t>6/2001</t>
  </si>
  <si>
    <t>6/2002</t>
  </si>
  <si>
    <t>6/2003</t>
  </si>
  <si>
    <t>6/2004</t>
  </si>
  <si>
    <t>6/2005</t>
  </si>
  <si>
    <t>6/2006</t>
  </si>
  <si>
    <t>6/2007</t>
  </si>
  <si>
    <t>Used for the 2004 ICR Renewal</t>
  </si>
  <si>
    <t>Zinc Fertilizers</t>
  </si>
  <si>
    <t>Determine that the organic dyes and/or pigments production nonwastewater is not K181</t>
  </si>
  <si>
    <t>Document the basis for determining that the organic dyes and/or pigments production nonwastewater is not K181 on an annual basis</t>
  </si>
  <si>
    <t>Keep supporting documentation on site</t>
  </si>
  <si>
    <t>Document the basis for determining that the annual quantity of nonwastewaters expected to be generated is less than 1,000 metric tons</t>
  </si>
  <si>
    <t>Track the actual quantity of nonwastewaters generated throughout the year</t>
  </si>
  <si>
    <t>Keep a running total of the K181 constituent mass loadings over the course of the calendar year</t>
  </si>
  <si>
    <t>Determine which K181 constituents are reasonably expected to be present in the wastes based on testing</t>
  </si>
  <si>
    <t>Develop waste sampling and analysis plan</t>
  </si>
  <si>
    <t>Collect and analyze samples in accordance with the waste sampling and analysis plan</t>
  </si>
  <si>
    <t>Record analytical results</t>
  </si>
  <si>
    <t>Record the waste quantity represented by the sampling and analysis results</t>
  </si>
  <si>
    <t>Calculate constituent-specific mass loadings</t>
  </si>
  <si>
    <t>Determine whether the annual mass loadings are below the K181 listing levels</t>
  </si>
  <si>
    <t>If annual testing requirements are suspended, use knowledge of the waste to support subsequent annual determination</t>
  </si>
  <si>
    <t>If annual testing requirements are suspended, keep records of the process knowledge information used to support a nonhazardous determination</t>
  </si>
  <si>
    <t>If the manufacturing or waste treatment processes generating the wastes are significantly altered, retain a description of the process change</t>
  </si>
  <si>
    <t>Maintain documentation demonstrating that each shipment of waste was received by a landfill cell subject to the landfill design standards set out in the listing description</t>
  </si>
  <si>
    <t>PROCEDURES FOR DEMONSTRATING THAT ORGANIC DYES AND/OR PIGMENTS PRODUCTION NONWASTEWATERS ARE NOT K181 (261.32(d))</t>
  </si>
  <si>
    <t>Determination Based on No K181 Constituents ((261.32(d)(1))</t>
  </si>
  <si>
    <t>Determination For Low Volume Wastes that Contain K181 Constituents (261.32(d)(2))</t>
  </si>
  <si>
    <t>Determination for High Volume Wastes with K181 Constituents (261.32(d)(3))</t>
  </si>
  <si>
    <t>RECORDKEEPING DEMONSTRATIONS FOR USE OF APPROPRIATE LANDFILLS (261.32(d)(4))</t>
  </si>
  <si>
    <t>Headworks (based on 2004 labor costs)</t>
  </si>
  <si>
    <t>CRT Recycling (based on 2004 labor costs)</t>
  </si>
  <si>
    <t>Organic Dyes &amp; Pigments Listing (based on 2004 labor costs)</t>
  </si>
  <si>
    <t>Solid Waste Exclusions</t>
  </si>
  <si>
    <t>Labels (261.39(a)(2))</t>
  </si>
  <si>
    <t xml:space="preserve">  Prepare and submit written notification</t>
  </si>
  <si>
    <t xml:space="preserve">  Prepare and submit additional information that</t>
  </si>
  <si>
    <t xml:space="preserve">  a receiving country requests in order to </t>
  </si>
  <si>
    <t xml:space="preserve">  respond to a notification</t>
  </si>
  <si>
    <t xml:space="preserve">  Keep copies of notifications and consents</t>
  </si>
  <si>
    <t xml:space="preserve">  Prepare and submit a one-time notification</t>
  </si>
  <si>
    <t xml:space="preserve">  Keep copies of a normal business records</t>
  </si>
  <si>
    <t xml:space="preserve">  shipment of exported CRTs will be reused</t>
  </si>
  <si>
    <t xml:space="preserve">  (e.g., contracts) demonstrating that each</t>
  </si>
  <si>
    <t>Export Notification for Used CRTs Destined for Reuse (261.41)</t>
  </si>
  <si>
    <t>Export Notification for Used CRTs Destined for Recycling (261.39(a)(5))</t>
  </si>
  <si>
    <t>Sub-Total: Hazardous Waste Exclusions</t>
  </si>
  <si>
    <t>Sub-Total: Solid Waste Exclusions</t>
  </si>
  <si>
    <t>Workman</t>
  </si>
  <si>
    <t>Workman (per CRT Recycling - 2004)</t>
  </si>
  <si>
    <t>for CRT Recycling</t>
  </si>
  <si>
    <t>Capital Cost</t>
  </si>
  <si>
    <t>`</t>
  </si>
  <si>
    <t>Review notification submitted by an exporter of used CRTs to determine whether or not the notification is complete</t>
  </si>
  <si>
    <t>Solicit form exporter, additional information requested by the receiving country</t>
  </si>
  <si>
    <t>Send written notification to the exporter if the receiving/transit country objects to the receipt of the used CRTs or withdraws a prior consent</t>
  </si>
  <si>
    <t>Provide, in conjunction with the Department of State, the complete notification to the receiving country</t>
  </si>
  <si>
    <t>Forward the receiving/transit country's written consent to the receipt of used CRTs to the exporter</t>
  </si>
  <si>
    <t>File copies of notifications, consents, and other related documents</t>
  </si>
  <si>
    <t>Review notification submitted by exporter of used CRTs</t>
  </si>
  <si>
    <t>File copies of notification</t>
  </si>
  <si>
    <t>zzz</t>
  </si>
  <si>
    <t>Revisions to the Headworks Exclusion in 261.3(a)(2)(iv)</t>
  </si>
  <si>
    <t>Prepare and submit site-specific sampling plan</t>
  </si>
  <si>
    <t>Conduct direct monitroing</t>
  </si>
  <si>
    <t>Update and submit the sampling plan if needed</t>
  </si>
  <si>
    <t>Direct Monitoring: Site-Specific Sampling Plan</t>
  </si>
  <si>
    <t>Facilities Claiming Expanded de minimis Exemption</t>
  </si>
  <si>
    <t>Keep records of documents</t>
  </si>
  <si>
    <t>Total First-Year Hours</t>
  </si>
  <si>
    <t>Annual Recurring Hours</t>
  </si>
  <si>
    <t>3-Year Average</t>
  </si>
  <si>
    <t>Total Firs-Year Labor Cost</t>
  </si>
  <si>
    <t>COST</t>
  </si>
  <si>
    <t>CHECKING:</t>
  </si>
  <si>
    <t>Annual Recurring Cost</t>
  </si>
  <si>
    <t>3-Year Annualized Cost</t>
  </si>
  <si>
    <t>Revisions to the Headworks Exclusion in 261.3(a)(2)(iv) ------ see ICR #1189.17, Exhibit 2 for formulas</t>
  </si>
  <si>
    <t>Review site-specific sampling plans</t>
  </si>
  <si>
    <t>Review updated site-specific sampling plans</t>
  </si>
  <si>
    <t>Listing Exemption for Organic Dyes and Pigments Production Nonwastewaters</t>
  </si>
  <si>
    <t>Exclusion for recycling of Used CRTs</t>
  </si>
  <si>
    <t>Revisions to Headworks Exclusion</t>
  </si>
  <si>
    <t>Updated for the 2007 ICR Newal</t>
  </si>
  <si>
    <t xml:space="preserve">NOTE:  No Agency activities for Dyes &amp; Pigments Listing Exemption, </t>
  </si>
  <si>
    <t>Voided by Courts -- see discusions in the Supporting Statement, under 6(d)</t>
  </si>
  <si>
    <t>Should be 20</t>
  </si>
  <si>
    <t>ANNUAL</t>
  </si>
  <si>
    <t>THREE-YEAR ANNUALIZED</t>
  </si>
  <si>
    <t>Bureau of Labor Statistics</t>
  </si>
  <si>
    <t>Sectors</t>
  </si>
  <si>
    <t>Median Hourly</t>
  </si>
  <si>
    <t>Mean Hourly</t>
  </si>
  <si>
    <t>Mean Annual</t>
  </si>
  <si>
    <t>Wage Estimates</t>
  </si>
  <si>
    <t>NAICS</t>
  </si>
  <si>
    <t>MANAGEMENT</t>
  </si>
  <si>
    <t>LEGAL</t>
  </si>
  <si>
    <t>TECHNICAL</t>
  </si>
  <si>
    <t>CLERICAL</t>
  </si>
  <si>
    <t>SOC 23-1011 - Lawyers</t>
  </si>
  <si>
    <t>SOC 11-0000</t>
  </si>
  <si>
    <t>SOC 17-3026</t>
  </si>
  <si>
    <t>SOC 43-9061</t>
  </si>
  <si>
    <t>99</t>
  </si>
  <si>
    <t>RESPONDENTS - INDUSTRY LABOR WAGE RATES:</t>
  </si>
  <si>
    <t>AGENCY - STATE GOVERNMENT LABOR WAGE RATES:</t>
  </si>
  <si>
    <t>Multiplier for fringe benefits and Overhead</t>
  </si>
  <si>
    <t>Office Clerks, General</t>
  </si>
  <si>
    <t>Management Occupations</t>
  </si>
  <si>
    <t>Lawyers</t>
  </si>
  <si>
    <t>SOC 23-1011</t>
  </si>
  <si>
    <t>Industrial Eng. Technicians</t>
  </si>
  <si>
    <t>http://www.bls.gov/oes/current/naics4_999200.htm#b17-0000</t>
  </si>
  <si>
    <t>LOADED RATES:</t>
  </si>
  <si>
    <t>per U.S. Department of Labor</t>
  </si>
  <si>
    <t xml:space="preserve">   by multiplying the average labor rates by</t>
  </si>
  <si>
    <t>SOC 19-4091</t>
  </si>
  <si>
    <t>Environmental Science and Protection Technicians</t>
  </si>
  <si>
    <t>WORKMAN</t>
  </si>
  <si>
    <t>SOC 53-7064</t>
  </si>
  <si>
    <t>Packers and Packagers, Hand</t>
  </si>
  <si>
    <t>See "Labor Rates"</t>
  </si>
  <si>
    <t>UNLOADED RATES:</t>
  </si>
  <si>
    <t>ICR No.</t>
  </si>
  <si>
    <t>1189.09</t>
  </si>
  <si>
    <t>1189.14</t>
  </si>
  <si>
    <t>1189.15</t>
  </si>
  <si>
    <t>1189.16</t>
  </si>
  <si>
    <t>1189.17</t>
  </si>
  <si>
    <t>Respondent Burden</t>
  </si>
  <si>
    <t>Hours</t>
  </si>
  <si>
    <t>Costs</t>
  </si>
  <si>
    <t>Agency Burden</t>
  </si>
  <si>
    <t>No Agency hour or cost burden</t>
  </si>
  <si>
    <t>1189.11</t>
  </si>
  <si>
    <t>TOTAL:</t>
  </si>
  <si>
    <t>(hours/year)</t>
  </si>
  <si>
    <t>(dollars/year)</t>
  </si>
  <si>
    <t>Dyes &amp; Pigments</t>
  </si>
  <si>
    <t>Headworks Exemption</t>
  </si>
  <si>
    <t>CRT Recycling</t>
  </si>
  <si>
    <t>2/24/05</t>
  </si>
  <si>
    <t>10/4/05</t>
  </si>
  <si>
    <t>7/28/06</t>
  </si>
  <si>
    <t>Final Rule</t>
  </si>
  <si>
    <t>annualized</t>
  </si>
  <si>
    <t>Agency Burden Hours from ICR#1189.14</t>
  </si>
  <si>
    <t>Agency Burden Hours changed from 209 hours to 115 hours</t>
  </si>
  <si>
    <t>Agency Burden Hours changed from 667 hours to 642 hours</t>
  </si>
  <si>
    <t>Respondent Burden Hours from ICR#1189.14</t>
  </si>
  <si>
    <t>3 years</t>
  </si>
  <si>
    <t>ANNUALIZED?</t>
  </si>
  <si>
    <t>#Respondents per year</t>
  </si>
  <si>
    <t>in ICR #1189.09 -- the 2001 Base ICR renewal</t>
  </si>
  <si>
    <t>in ICR #1189.11 -- Conditional exclusion for Zinc Fertilizers (2002)</t>
  </si>
  <si>
    <t>in ICR #1189.15 -- Listing Exemption for Organic Dyes &amp; Pigments Nonwastewaters</t>
  </si>
  <si>
    <t>in ICR #1189.16 -- Conditional Exclusion for Used CRTs</t>
  </si>
  <si>
    <t>in ICR #1189.17 -- Revisions to the Headworks Exclusion</t>
  </si>
  <si>
    <t>SEE COLUMNS Z TO AJ FOR CHANGED BURDEN HOURS</t>
  </si>
  <si>
    <t>CHANGED BURDEN HOURS:</t>
  </si>
  <si>
    <t xml:space="preserve">Revisions to the Headworks Exclusion at 261.3(a)(2)(iv)(A), (B), (D), (F) and (G) </t>
  </si>
  <si>
    <t>Conditional exclusion for used cathode ray tubes (CRTs) under 40 CFR 261.39(a) and 261.41</t>
  </si>
  <si>
    <t>Facilities can still do mass-balance computation</t>
  </si>
  <si>
    <t>DELETE THIS LINE???</t>
  </si>
  <si>
    <t>Wastewater Exemption (261.3(a)(2)(iv))</t>
  </si>
  <si>
    <t xml:space="preserve"> Read the Regulations</t>
  </si>
  <si>
    <t>Respondent Burden Hours Changed from 167 hours to 140 hours</t>
  </si>
  <si>
    <t>Respondent Burden Hours Changed from 621 hours to 560 hours</t>
  </si>
  <si>
    <t>(1982 - 84 = 100)</t>
  </si>
  <si>
    <t>Annual Avg.</t>
  </si>
  <si>
    <t>against the above totals</t>
  </si>
  <si>
    <t xml:space="preserve">   to account for fringe benefits </t>
  </si>
  <si>
    <t>and overhead</t>
  </si>
  <si>
    <t>Fringe Benefits</t>
  </si>
  <si>
    <t>Overhead</t>
  </si>
  <si>
    <t xml:space="preserve">In absence of data specific to industry, applied 12% Federal civilian overhead cost factor from Figure C1 of the REVISED February 2008 OMB Circular A-76 </t>
  </si>
  <si>
    <t>at http://www.whitehouse.gov/omb/circulars_a076_a76_incl_tech_correction/</t>
  </si>
  <si>
    <t>“All goods-producing” industry group fringe benefits percentage of 33.1% from “Table 6. Private industry, by major industry group” of the US Bureau of Labor Statistics (BLS) “Employer Costs for Employee Compensation” (ECEC), December 2010</t>
  </si>
  <si>
    <t>at http://www.bls.gov/schedule/archives/eci_nr.htm</t>
  </si>
  <si>
    <t xml:space="preserve">34.4% fringe benefits percentage from “Table 3. State and local government, by major occupational and industry group” of the US Bureau of Labor Statistics (BLS) “Employer Costs for Employee Compensation” (ECEC), December 2010 at </t>
  </si>
  <si>
    <t>Industry:</t>
  </si>
  <si>
    <t>Agency:</t>
  </si>
  <si>
    <t>In absence of data specific to state governments, applied 12% Federal civilian overhead cost factor from Figure C1 of the REVISED February 2008 OMB Circular A-76</t>
  </si>
  <si>
    <t>Keep Records of Shipments</t>
  </si>
  <si>
    <t>Facilities Claiming Conditional Exclusion from the F019 Listing (261.31)(b)(4)(iii)</t>
  </si>
  <si>
    <t>6/4/08</t>
  </si>
  <si>
    <t>F019 Listing Exemption</t>
  </si>
  <si>
    <t>6/2010</t>
  </si>
  <si>
    <t>2010$</t>
  </si>
  <si>
    <t>Updated for the 2010 ICR Newal</t>
  </si>
  <si>
    <t>Used for the 2010 ICR Renewal</t>
  </si>
  <si>
    <t>Based on the CPI Consumer Price Index for All Urban Consumers for June 2007, avilable at http://www.bls.gov/cpi/cpid0706.pdf</t>
  </si>
  <si>
    <t>Based on the CPI Consumer Price Index for June 2010, avilable at http://www.bls.gov/cpi/cpid1006.pdf</t>
  </si>
  <si>
    <t>F019 Listing Amendment</t>
  </si>
  <si>
    <t>1189.21</t>
  </si>
  <si>
    <t>2010 Base ICR Renewal</t>
  </si>
  <si>
    <t>1189.24</t>
  </si>
  <si>
    <t>Keeping</t>
  </si>
  <si>
    <t>(hours)</t>
  </si>
  <si>
    <t>Legal</t>
  </si>
  <si>
    <t>Management</t>
  </si>
  <si>
    <t>Technical</t>
  </si>
  <si>
    <t>Clerical</t>
  </si>
  <si>
    <t>Burden</t>
  </si>
  <si>
    <t>Recordkeeping</t>
  </si>
  <si>
    <t>(hours/respondent)</t>
  </si>
  <si>
    <t>Total Hours:</t>
  </si>
  <si>
    <t>at http://www.bls.gov/oes/oes_emp.htm</t>
  </si>
  <si>
    <t>Reading the regulations -- all respondents</t>
  </si>
  <si>
    <t>ICR #1189.15 -- Listing Exemption for Organic Dyes &amp; Pigments Nonwastewaters</t>
  </si>
  <si>
    <t>ICR #1189.16 -- Conditional Exclusion for Used CRTs</t>
  </si>
  <si>
    <t>ICR #1189.17 -- Revisions to the Headworks Exclusion</t>
  </si>
  <si>
    <t>TOTAL Average Reporting Burden per Respondent:</t>
  </si>
  <si>
    <t>TOTAL Average Recordkeeping Burden per Respondent:</t>
  </si>
  <si>
    <t xml:space="preserve">#Respondents </t>
  </si>
  <si>
    <t>for the 2010 Base ICR Renewal, ICR#1189.24</t>
  </si>
  <si>
    <t>for the 2004 Base ICR Renewal, ICR#1189.14</t>
  </si>
  <si>
    <t xml:space="preserve">Total = </t>
  </si>
  <si>
    <t xml:space="preserve">Total = 2,535 </t>
  </si>
  <si>
    <t>for the 2007 Base ICR Renewal, ICR#1189.20</t>
  </si>
  <si>
    <t>Total =</t>
  </si>
  <si>
    <t>for the 2001 Base ICR Renewal, ICR#1189.09</t>
  </si>
  <si>
    <t>Recent ICRs since 1189.09:</t>
  </si>
  <si>
    <t>in ICR #1189.21 -- F019 Listing Exemption</t>
  </si>
  <si>
    <t>ICR #1189.21 -- F019 Listing Exemption</t>
  </si>
  <si>
    <t>http://www.bls.gov/oes/current/oes_nat.htm</t>
  </si>
  <si>
    <t xml:space="preserve">National Cross-Industry -- </t>
  </si>
  <si>
    <t>(See Below)</t>
  </si>
  <si>
    <t xml:space="preserve">from Exhibit 6 </t>
  </si>
  <si>
    <t>2004 Base ICR Renewal</t>
  </si>
  <si>
    <t>1189.20</t>
  </si>
  <si>
    <t>2007 Base ICR Renewal</t>
  </si>
  <si>
    <t>Why different from the above totals?</t>
  </si>
  <si>
    <t>Changes as compared to the OMB Inventory</t>
  </si>
  <si>
    <t>Increase due to increased labor rates and O&amp;M costs?</t>
  </si>
  <si>
    <t>Renewed on 7/3/08; to expire on 1/31/12</t>
  </si>
  <si>
    <t>2001 Base ICR Renewal</t>
  </si>
  <si>
    <t>2007 OMB Inventory (per Peggy Vyas):</t>
  </si>
  <si>
    <t>2010 OMB Inventory (per Peggy Vyas 11/15/11):</t>
  </si>
  <si>
    <t xml:space="preserve">ICR </t>
  </si>
  <si>
    <t>2004 Base ICR, 1189.14 = 1189.09 + 1189.11</t>
  </si>
  <si>
    <t>2007 Base ICR, 1189.20 = 1189.14 + 1189.15 + 1189.16 + 1189.17</t>
  </si>
  <si>
    <t>2010 Base ICR, 1189.24 = 1189.20 + 1189.21</t>
  </si>
  <si>
    <t>Changes against the above totals</t>
  </si>
  <si>
    <t>Increase</t>
  </si>
  <si>
    <t>Changes against the OMB inventory of approved ICR burdens (see below)</t>
  </si>
  <si>
    <r>
      <t xml:space="preserve">NOTE: Somehow, the </t>
    </r>
    <r>
      <rPr>
        <b/>
        <sz val="11"/>
        <color indexed="17"/>
        <rFont val="Helv"/>
      </rPr>
      <t>F019 Listing Amendment</t>
    </r>
    <r>
      <rPr>
        <b/>
        <sz val="11"/>
        <rFont val="Helv"/>
      </rPr>
      <t xml:space="preserve"> ICR applied the 2004 labor rate data used in</t>
    </r>
  </si>
  <si>
    <t>the ICR Nr. 801.15 (Generators &amp; Transporters) Supporting Statement, but not the latest data</t>
  </si>
  <si>
    <t>Based on national cross-industry labor wage rates</t>
  </si>
  <si>
    <t>Cost Index</t>
  </si>
  <si>
    <t>Employment</t>
  </si>
  <si>
    <t>Industry Labor Cost</t>
  </si>
  <si>
    <t>= [1+ (Fringe Benefits %) / (100% - Fringe Benefits %)] x (1+ Overhead %)</t>
  </si>
  <si>
    <t>ICR #1189.20</t>
  </si>
  <si>
    <t>ICR #1189.24</t>
  </si>
  <si>
    <t>ICR #1189.14</t>
  </si>
  <si>
    <r>
      <t xml:space="preserve">Agency Burden Hours changed from 642 hours to </t>
    </r>
    <r>
      <rPr>
        <b/>
        <sz val="8"/>
        <color indexed="10"/>
        <rFont val="Helv"/>
      </rPr>
      <t>300</t>
    </r>
    <r>
      <rPr>
        <b/>
        <sz val="8"/>
        <color indexed="17"/>
        <rFont val="Helv"/>
      </rPr>
      <t xml:space="preserve"> hours</t>
    </r>
  </si>
  <si>
    <r>
      <t xml:space="preserve">Respondent Burden Hours Changed from 140 hours to </t>
    </r>
    <r>
      <rPr>
        <b/>
        <sz val="8"/>
        <color indexed="10"/>
        <rFont val="Helv"/>
      </rPr>
      <t>91</t>
    </r>
    <r>
      <rPr>
        <b/>
        <sz val="8"/>
        <color indexed="17"/>
        <rFont val="Helv"/>
      </rPr>
      <t xml:space="preserve"> hours</t>
    </r>
  </si>
  <si>
    <r>
      <t xml:space="preserve">Respondent Burden Hours Changed from 560 hours to </t>
    </r>
    <r>
      <rPr>
        <b/>
        <sz val="8"/>
        <color indexed="10"/>
        <rFont val="Helv"/>
      </rPr>
      <t>364</t>
    </r>
    <r>
      <rPr>
        <b/>
        <sz val="8"/>
        <color indexed="17"/>
        <rFont val="Helv"/>
      </rPr>
      <t xml:space="preserve"> hours</t>
    </r>
  </si>
  <si>
    <t>Agency Burden Hours NOTchanged</t>
  </si>
  <si>
    <t>Solvent-Contaminated Wipes Exclusion</t>
  </si>
  <si>
    <t>Revisions to Exclusions for CRTs</t>
  </si>
  <si>
    <r>
      <t>CO</t>
    </r>
    <r>
      <rPr>
        <vertAlign val="subscript"/>
        <sz val="8"/>
        <rFont val="Helv"/>
      </rPr>
      <t>2</t>
    </r>
    <r>
      <rPr>
        <sz val="8"/>
        <rFont val="Helv"/>
      </rPr>
      <t xml:space="preserve"> Exclusion</t>
    </r>
  </si>
  <si>
    <t>z</t>
  </si>
  <si>
    <t>National Occupational Employment and Wage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</si>
</sst>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
    <numFmt numFmtId="165" formatCode="0_)"/>
    <numFmt numFmtId="166" formatCode="0.0_)"/>
    <numFmt numFmtId="167" formatCode="#,##0.0_);\(#,##0.0\)"/>
    <numFmt numFmtId="168" formatCode="General_)"/>
    <numFmt numFmtId="169" formatCode="&quot;$&quot;#,##0.00"/>
    <numFmt numFmtId="170" formatCode="_(&quot;$&quot;* #,##0_);_(&quot;$&quot;* \(#,##0\);_(&quot;$&quot;* &quot;-&quot;??_);_(@_)"/>
    <numFmt numFmtId="171" formatCode="&quot;$&quot;#,##0"/>
    <numFmt numFmtId="172" formatCode="0.0000"/>
  </numFmts>
  <fonts count="76" x14ac:knownFonts="1">
    <font>
      <sz val="8"/>
      <name val="Helv"/>
    </font>
    <font>
      <sz val="10"/>
      <name val="Arial"/>
    </font>
    <font>
      <b/>
      <sz val="8"/>
      <name val="Helv"/>
    </font>
    <font>
      <sz val="8"/>
      <name val="Helv"/>
    </font>
    <font>
      <u/>
      <sz val="8"/>
      <color indexed="12"/>
      <name val="Helv"/>
    </font>
    <font>
      <sz val="8"/>
      <color indexed="12"/>
      <name val="Helv"/>
    </font>
    <font>
      <b/>
      <sz val="8"/>
      <color indexed="12"/>
      <name val="Helv"/>
    </font>
    <font>
      <b/>
      <sz val="8"/>
      <color indexed="8"/>
      <name val="Helv"/>
    </font>
    <font>
      <sz val="8"/>
      <color indexed="8"/>
      <name val="Helv"/>
    </font>
    <font>
      <b/>
      <sz val="8"/>
      <name val="Arial"/>
      <family val="2"/>
    </font>
    <font>
      <sz val="8"/>
      <name val="Arial"/>
    </font>
    <font>
      <sz val="8"/>
      <name val="Arial"/>
      <family val="2"/>
    </font>
    <font>
      <b/>
      <sz val="8"/>
      <color indexed="60"/>
      <name val="Helv"/>
    </font>
    <font>
      <b/>
      <sz val="10"/>
      <name val="Helv"/>
    </font>
    <font>
      <sz val="8"/>
      <name val="Helv"/>
    </font>
    <font>
      <b/>
      <sz val="8"/>
      <color indexed="10"/>
      <name val="Helv"/>
    </font>
    <font>
      <b/>
      <sz val="12"/>
      <name val="Helv"/>
    </font>
    <font>
      <sz val="10"/>
      <name val="Helv"/>
    </font>
    <font>
      <b/>
      <sz val="10"/>
      <color indexed="8"/>
      <name val="Verdana"/>
      <family val="2"/>
    </font>
    <font>
      <sz val="10"/>
      <color indexed="10"/>
      <name val="Helv"/>
    </font>
    <font>
      <b/>
      <sz val="14"/>
      <name val="Helv"/>
    </font>
    <font>
      <sz val="10"/>
      <color indexed="12"/>
      <name val="Helv"/>
    </font>
    <font>
      <sz val="12"/>
      <name val="Helv"/>
    </font>
    <font>
      <b/>
      <sz val="12"/>
      <color indexed="60"/>
      <name val="Helv"/>
    </font>
    <font>
      <sz val="10"/>
      <color indexed="8"/>
      <name val="Helv"/>
    </font>
    <font>
      <sz val="10"/>
      <color indexed="8"/>
      <name val="Verdana"/>
      <family val="2"/>
    </font>
    <font>
      <sz val="11"/>
      <name val="Helv"/>
    </font>
    <font>
      <b/>
      <sz val="11"/>
      <name val="Helv"/>
    </font>
    <font>
      <b/>
      <sz val="11"/>
      <color indexed="12"/>
      <name val="Helv"/>
    </font>
    <font>
      <sz val="11"/>
      <color indexed="16"/>
      <name val="Helv"/>
    </font>
    <font>
      <sz val="8"/>
      <color indexed="16"/>
      <name val="Helv"/>
    </font>
    <font>
      <b/>
      <sz val="11"/>
      <color indexed="16"/>
      <name val="Helv"/>
    </font>
    <font>
      <sz val="8"/>
      <color indexed="10"/>
      <name val="Helv"/>
    </font>
    <font>
      <b/>
      <sz val="11"/>
      <color indexed="10"/>
      <name val="Helv"/>
    </font>
    <font>
      <sz val="11"/>
      <color indexed="10"/>
      <name val="Helv"/>
    </font>
    <font>
      <sz val="11"/>
      <color indexed="8"/>
      <name val="Helv"/>
    </font>
    <font>
      <b/>
      <strike/>
      <sz val="12"/>
      <name val="Helv"/>
    </font>
    <font>
      <strike/>
      <sz val="8"/>
      <name val="Helv"/>
    </font>
    <font>
      <strike/>
      <sz val="10"/>
      <name val="Helv"/>
    </font>
    <font>
      <b/>
      <strike/>
      <sz val="10"/>
      <name val="Helv"/>
    </font>
    <font>
      <b/>
      <strike/>
      <sz val="8"/>
      <name val="Helv"/>
    </font>
    <font>
      <b/>
      <strike/>
      <sz val="10"/>
      <color indexed="8"/>
      <name val="Helv"/>
    </font>
    <font>
      <strike/>
      <sz val="10"/>
      <color indexed="8"/>
      <name val="Helv"/>
    </font>
    <font>
      <b/>
      <strike/>
      <sz val="10"/>
      <color indexed="12"/>
      <name val="Helv"/>
    </font>
    <font>
      <strike/>
      <sz val="10"/>
      <color indexed="12"/>
      <name val="Helv"/>
    </font>
    <font>
      <strike/>
      <sz val="12"/>
      <name val="Helv"/>
    </font>
    <font>
      <b/>
      <strike/>
      <sz val="10"/>
      <color indexed="60"/>
      <name val="Helv"/>
    </font>
    <font>
      <sz val="9"/>
      <name val="Times New Roman"/>
      <family val="1"/>
    </font>
    <font>
      <strike/>
      <sz val="14"/>
      <name val="Helv"/>
    </font>
    <font>
      <sz val="12"/>
      <color indexed="56"/>
      <name val="Verdana"/>
      <family val="2"/>
    </font>
    <font>
      <b/>
      <sz val="9"/>
      <name val="Helv"/>
    </font>
    <font>
      <b/>
      <sz val="11"/>
      <color indexed="17"/>
      <name val="Helv"/>
    </font>
    <font>
      <b/>
      <sz val="8"/>
      <color indexed="17"/>
      <name val="Helv"/>
    </font>
    <font>
      <sz val="10"/>
      <name val="Arial"/>
      <family val="2"/>
    </font>
    <font>
      <sz val="9"/>
      <color rgb="FF000000"/>
      <name val="Arial"/>
      <family val="2"/>
    </font>
    <font>
      <sz val="8"/>
      <color rgb="FF0000FF"/>
      <name val="Helv"/>
    </font>
    <font>
      <b/>
      <sz val="8"/>
      <color rgb="FF006600"/>
      <name val="Helv"/>
    </font>
    <font>
      <sz val="8"/>
      <color rgb="FF006600"/>
      <name val="Helv"/>
    </font>
    <font>
      <b/>
      <sz val="10"/>
      <color rgb="FF006600"/>
      <name val="Helv"/>
    </font>
    <font>
      <sz val="10"/>
      <color rgb="FF006600"/>
      <name val="Helv"/>
    </font>
    <font>
      <b/>
      <sz val="12"/>
      <color rgb="FF006600"/>
      <name val="Helv"/>
    </font>
    <font>
      <sz val="8"/>
      <color theme="1"/>
      <name val="Arial"/>
      <family val="2"/>
    </font>
    <font>
      <sz val="8"/>
      <color theme="1"/>
      <name val="Helv"/>
    </font>
    <font>
      <sz val="10"/>
      <color rgb="FF006600"/>
      <name val="Verdana"/>
      <family val="2"/>
    </font>
    <font>
      <b/>
      <sz val="10"/>
      <color rgb="FF006600"/>
      <name val="Verdana"/>
      <family val="2"/>
    </font>
    <font>
      <b/>
      <sz val="11"/>
      <color rgb="FF006600"/>
      <name val="Helv"/>
    </font>
    <font>
      <b/>
      <sz val="11"/>
      <color theme="1"/>
      <name val="Helv"/>
    </font>
    <font>
      <sz val="11"/>
      <color theme="1"/>
      <name val="Helv"/>
    </font>
    <font>
      <b/>
      <sz val="11"/>
      <color rgb="FFFF0000"/>
      <name val="Helv"/>
    </font>
    <font>
      <b/>
      <sz val="8"/>
      <color rgb="FF0000FF"/>
      <name val="Helv"/>
    </font>
    <font>
      <b/>
      <sz val="8"/>
      <color theme="1"/>
      <name val="Helv"/>
    </font>
    <font>
      <b/>
      <sz val="9"/>
      <color theme="1"/>
      <name val="Helv"/>
    </font>
    <font>
      <sz val="8"/>
      <color rgb="FFFF0000"/>
      <name val="Helv"/>
    </font>
    <font>
      <b/>
      <sz val="10"/>
      <color theme="1"/>
      <name val="Helv"/>
    </font>
    <font>
      <b/>
      <sz val="8"/>
      <color theme="1"/>
      <name val="Arial"/>
      <family val="2"/>
    </font>
    <font>
      <vertAlign val="subscript"/>
      <sz val="8"/>
      <name val="Helv"/>
    </font>
  </fonts>
  <fills count="20">
    <fill>
      <patternFill patternType="none"/>
    </fill>
    <fill>
      <patternFill patternType="gray125"/>
    </fill>
    <fill>
      <patternFill patternType="solid">
        <fgColor indexed="8"/>
      </patternFill>
    </fill>
    <fill>
      <patternFill patternType="solid">
        <fgColor indexed="63"/>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9"/>
        <bgColor indexed="64"/>
      </patternFill>
    </fill>
    <fill>
      <patternFill patternType="solid">
        <fgColor indexed="44"/>
        <bgColor indexed="8"/>
      </patternFill>
    </fill>
    <fill>
      <patternFill patternType="solid">
        <fgColor indexed="44"/>
        <bgColor indexed="64"/>
      </patternFill>
    </fill>
    <fill>
      <patternFill patternType="solid">
        <fgColor indexed="8"/>
        <bgColor indexed="64"/>
      </patternFill>
    </fill>
    <fill>
      <patternFill patternType="solid">
        <fgColor indexed="22"/>
        <bgColor indexed="8"/>
      </patternFill>
    </fill>
    <fill>
      <patternFill patternType="solid">
        <fgColor rgb="FFCCFFCC"/>
        <bgColor indexed="64"/>
      </patternFill>
    </fill>
    <fill>
      <patternFill patternType="solid">
        <fgColor rgb="FFC0C0C0"/>
        <bgColor indexed="8"/>
      </patternFill>
    </fill>
    <fill>
      <patternFill patternType="solid">
        <fgColor rgb="FFFFFF99"/>
        <bgColor indexed="64"/>
      </patternFill>
    </fill>
    <fill>
      <patternFill patternType="solid">
        <fgColor theme="0"/>
        <bgColor indexed="64"/>
      </patternFill>
    </fill>
    <fill>
      <patternFill patternType="solid">
        <fgColor theme="0"/>
        <bgColor indexed="8"/>
      </patternFill>
    </fill>
    <fill>
      <patternFill patternType="solid">
        <fgColor theme="0" tint="-0.249977111117893"/>
        <bgColor indexed="8"/>
      </patternFill>
    </fill>
    <fill>
      <patternFill patternType="solid">
        <fgColor theme="0" tint="-0.249977111117893"/>
        <bgColor indexed="64"/>
      </patternFill>
    </fill>
    <fill>
      <patternFill patternType="solid">
        <fgColor theme="0" tint="-0.249977111117893"/>
        <bgColor indexed="65"/>
      </patternFill>
    </fill>
  </fills>
  <borders count="52">
    <border>
      <left/>
      <right/>
      <top/>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8"/>
      </bottom>
      <diagonal/>
    </border>
    <border>
      <left style="thin">
        <color indexed="64"/>
      </left>
      <right style="thin">
        <color indexed="8"/>
      </right>
      <top style="thin">
        <color indexed="8"/>
      </top>
      <bottom style="thin">
        <color indexed="64"/>
      </bottom>
      <diagonal/>
    </border>
    <border>
      <left style="thin">
        <color indexed="8"/>
      </left>
      <right/>
      <top style="thick">
        <color indexed="8"/>
      </top>
      <bottom style="thin">
        <color indexed="64"/>
      </bottom>
      <diagonal/>
    </border>
    <border>
      <left/>
      <right/>
      <top style="thick">
        <color indexed="8"/>
      </top>
      <bottom style="thin">
        <color indexed="64"/>
      </bottom>
      <diagonal/>
    </border>
    <border>
      <left/>
      <right style="thin">
        <color indexed="8"/>
      </right>
      <top style="thick">
        <color indexed="8"/>
      </top>
      <bottom style="thin">
        <color indexed="64"/>
      </bottom>
      <diagonal/>
    </border>
    <border>
      <left style="thin">
        <color indexed="8"/>
      </left>
      <right style="thin">
        <color indexed="8"/>
      </right>
      <top style="thin">
        <color indexed="8"/>
      </top>
      <bottom style="thick">
        <color indexed="8"/>
      </bottom>
      <diagonal/>
    </border>
    <border>
      <left/>
      <right/>
      <top style="thick">
        <color indexed="8"/>
      </top>
      <bottom style="thin">
        <color indexed="8"/>
      </bottom>
      <diagonal/>
    </border>
    <border>
      <left style="thin">
        <color indexed="64"/>
      </left>
      <right style="thin">
        <color indexed="64"/>
      </right>
      <top style="thin">
        <color indexed="64"/>
      </top>
      <bottom style="thick">
        <color indexed="64"/>
      </bottom>
      <diagonal/>
    </border>
    <border>
      <left style="thin">
        <color indexed="8"/>
      </left>
      <right/>
      <top style="thick">
        <color indexed="8"/>
      </top>
      <bottom style="thin">
        <color indexed="8"/>
      </bottom>
      <diagonal/>
    </border>
    <border>
      <left style="thin">
        <color indexed="8"/>
      </left>
      <right style="thin">
        <color indexed="8"/>
      </right>
      <top style="thick">
        <color indexed="8"/>
      </top>
      <bottom style="thin">
        <color indexed="8"/>
      </bottom>
      <diagonal/>
    </border>
    <border>
      <left style="thin">
        <color indexed="64"/>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thick">
        <color indexed="64"/>
      </bottom>
      <diagonal/>
    </border>
    <border>
      <left style="thin">
        <color indexed="8"/>
      </left>
      <right style="thin">
        <color indexed="64"/>
      </right>
      <top style="thin">
        <color indexed="8"/>
      </top>
      <bottom style="thin">
        <color indexed="64"/>
      </bottom>
      <diagonal/>
    </border>
    <border>
      <left style="thin">
        <color indexed="8"/>
      </left>
      <right/>
      <top style="thin">
        <color indexed="64"/>
      </top>
      <bottom style="thin">
        <color indexed="64"/>
      </bottom>
      <diagonal/>
    </border>
    <border>
      <left style="thin">
        <color indexed="64"/>
      </left>
      <right/>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8"/>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690">
    <xf numFmtId="0" fontId="0" fillId="0" borderId="0" xfId="0"/>
    <xf numFmtId="0" fontId="0" fillId="0" borderId="0" xfId="0" applyAlignment="1" applyProtection="1">
      <alignment horizontal="left"/>
    </xf>
    <xf numFmtId="0" fontId="0" fillId="0" borderId="0" xfId="0" applyProtection="1"/>
    <xf numFmtId="164" fontId="0" fillId="0" borderId="0" xfId="0" applyNumberFormat="1" applyProtection="1"/>
    <xf numFmtId="39" fontId="0" fillId="0" borderId="0" xfId="0" applyNumberFormat="1" applyProtection="1"/>
    <xf numFmtId="7" fontId="0" fillId="0" borderId="0" xfId="0" applyNumberFormat="1" applyProtection="1"/>
    <xf numFmtId="37" fontId="0" fillId="0" borderId="0" xfId="0" applyNumberFormat="1" applyProtection="1"/>
    <xf numFmtId="166" fontId="0" fillId="0" borderId="0" xfId="0" applyNumberFormat="1" applyProtection="1"/>
    <xf numFmtId="167" fontId="0" fillId="0" borderId="0" xfId="0" applyNumberFormat="1" applyProtection="1"/>
    <xf numFmtId="0" fontId="2" fillId="0" borderId="0" xfId="0" applyFont="1" applyAlignment="1" applyProtection="1">
      <alignment horizontal="left"/>
    </xf>
    <xf numFmtId="0" fontId="2" fillId="0" borderId="0" xfId="0" applyFont="1"/>
    <xf numFmtId="0" fontId="2" fillId="0" borderId="0" xfId="0" applyFont="1" applyAlignment="1" applyProtection="1">
      <alignment horizontal="center"/>
    </xf>
    <xf numFmtId="0" fontId="0" fillId="2" borderId="0" xfId="0" applyFill="1"/>
    <xf numFmtId="164" fontId="0" fillId="0" borderId="1" xfId="0" applyNumberFormat="1" applyBorder="1" applyProtection="1"/>
    <xf numFmtId="0" fontId="0" fillId="2" borderId="2" xfId="0" applyFill="1" applyBorder="1"/>
    <xf numFmtId="164" fontId="0" fillId="2" borderId="0" xfId="0" applyNumberFormat="1" applyFill="1" applyProtection="1"/>
    <xf numFmtId="39" fontId="0" fillId="2" borderId="0" xfId="0" applyNumberFormat="1" applyFill="1" applyProtection="1"/>
    <xf numFmtId="0" fontId="0" fillId="2" borderId="3" xfId="0" applyFill="1" applyBorder="1"/>
    <xf numFmtId="164" fontId="0" fillId="0" borderId="3" xfId="0" applyNumberFormat="1" applyBorder="1" applyProtection="1"/>
    <xf numFmtId="0" fontId="0" fillId="0" borderId="4" xfId="0" applyBorder="1" applyAlignment="1" applyProtection="1">
      <alignment horizontal="left"/>
    </xf>
    <xf numFmtId="164" fontId="0" fillId="0" borderId="5" xfId="0" applyNumberFormat="1" applyBorder="1" applyProtection="1"/>
    <xf numFmtId="164" fontId="0" fillId="2" borderId="6" xfId="0" applyNumberFormat="1" applyFill="1" applyBorder="1" applyProtection="1"/>
    <xf numFmtId="164" fontId="0" fillId="0" borderId="2" xfId="0" applyNumberFormat="1" applyBorder="1" applyProtection="1"/>
    <xf numFmtId="0" fontId="0" fillId="0" borderId="2" xfId="0" applyBorder="1" applyAlignment="1" applyProtection="1">
      <alignment horizontal="left"/>
    </xf>
    <xf numFmtId="164" fontId="0" fillId="0" borderId="7" xfId="0" applyNumberFormat="1" applyBorder="1" applyProtection="1"/>
    <xf numFmtId="164" fontId="0" fillId="2" borderId="5" xfId="0" applyNumberFormat="1" applyFill="1" applyBorder="1" applyProtection="1"/>
    <xf numFmtId="164" fontId="0" fillId="0" borderId="4" xfId="0" applyNumberFormat="1" applyBorder="1" applyProtection="1"/>
    <xf numFmtId="164" fontId="0" fillId="2" borderId="1" xfId="0" applyNumberFormat="1" applyFill="1" applyBorder="1" applyProtection="1"/>
    <xf numFmtId="168" fontId="2" fillId="0" borderId="0" xfId="0" applyNumberFormat="1" applyFont="1" applyAlignment="1" applyProtection="1">
      <alignment horizontal="center"/>
    </xf>
    <xf numFmtId="164" fontId="0" fillId="0" borderId="8" xfId="0" applyNumberFormat="1" applyBorder="1" applyProtection="1"/>
    <xf numFmtId="164" fontId="0" fillId="2" borderId="4" xfId="0" applyNumberFormat="1" applyFill="1" applyBorder="1" applyProtection="1"/>
    <xf numFmtId="0" fontId="2" fillId="0" borderId="0" xfId="0" applyFont="1" applyFill="1"/>
    <xf numFmtId="44" fontId="0" fillId="0" borderId="0" xfId="2" applyFont="1"/>
    <xf numFmtId="44" fontId="0" fillId="0" borderId="0" xfId="0" applyNumberFormat="1"/>
    <xf numFmtId="0" fontId="0" fillId="0" borderId="9" xfId="0" applyBorder="1"/>
    <xf numFmtId="0" fontId="0" fillId="3" borderId="0" xfId="0" applyFill="1"/>
    <xf numFmtId="165" fontId="0" fillId="3" borderId="0" xfId="0" applyNumberFormat="1" applyFill="1" applyProtection="1"/>
    <xf numFmtId="44" fontId="0" fillId="0" borderId="0" xfId="2" applyFont="1" applyProtection="1"/>
    <xf numFmtId="0" fontId="0" fillId="0" borderId="0" xfId="0" applyBorder="1"/>
    <xf numFmtId="164" fontId="0" fillId="0" borderId="10" xfId="0" applyNumberFormat="1" applyBorder="1" applyProtection="1"/>
    <xf numFmtId="7" fontId="0" fillId="0" borderId="0" xfId="0" applyNumberFormat="1"/>
    <xf numFmtId="0" fontId="2" fillId="0" borderId="0" xfId="0" applyFont="1" applyFill="1" applyBorder="1"/>
    <xf numFmtId="0" fontId="0" fillId="0" borderId="0" xfId="0" applyFill="1" applyBorder="1"/>
    <xf numFmtId="168" fontId="2" fillId="0" borderId="0" xfId="0" applyNumberFormat="1" applyFont="1" applyFill="1" applyBorder="1" applyAlignment="1" applyProtection="1">
      <alignment horizontal="left"/>
    </xf>
    <xf numFmtId="168" fontId="2" fillId="0" borderId="0" xfId="0" applyNumberFormat="1" applyFont="1" applyFill="1" applyBorder="1" applyAlignment="1" applyProtection="1">
      <alignment horizontal="center"/>
    </xf>
    <xf numFmtId="7" fontId="0" fillId="0" borderId="0" xfId="0" applyNumberFormat="1" applyFill="1" applyBorder="1"/>
    <xf numFmtId="7" fontId="0" fillId="0" borderId="0" xfId="0" applyNumberFormat="1" applyFill="1" applyBorder="1" applyProtection="1"/>
    <xf numFmtId="0" fontId="0" fillId="0" borderId="0" xfId="0" applyFill="1" applyAlignment="1" applyProtection="1">
      <alignment horizontal="left"/>
    </xf>
    <xf numFmtId="0" fontId="0" fillId="0" borderId="0" xfId="0" applyFill="1" applyProtection="1"/>
    <xf numFmtId="0" fontId="0" fillId="0" borderId="0" xfId="0" applyFill="1"/>
    <xf numFmtId="5" fontId="2" fillId="0" borderId="0" xfId="0" applyNumberFormat="1" applyFont="1" applyFill="1" applyProtection="1"/>
    <xf numFmtId="168" fontId="2" fillId="0" borderId="0" xfId="0" applyNumberFormat="1" applyFont="1" applyFill="1" applyAlignment="1" applyProtection="1">
      <alignment horizontal="center"/>
    </xf>
    <xf numFmtId="5" fontId="0" fillId="0" borderId="0" xfId="0" applyNumberFormat="1" applyFill="1" applyProtection="1"/>
    <xf numFmtId="7" fontId="0" fillId="0" borderId="0" xfId="0" applyNumberFormat="1" applyFill="1" applyProtection="1"/>
    <xf numFmtId="0" fontId="0" fillId="0" borderId="9" xfId="0" applyBorder="1" applyAlignment="1">
      <alignment horizontal="right"/>
    </xf>
    <xf numFmtId="0" fontId="2" fillId="4" borderId="7" xfId="0" applyFont="1" applyFill="1" applyBorder="1" applyAlignment="1" applyProtection="1">
      <alignment horizontal="left"/>
    </xf>
    <xf numFmtId="0" fontId="0" fillId="4" borderId="9" xfId="0" applyFill="1" applyBorder="1" applyAlignment="1">
      <alignment horizontal="right"/>
    </xf>
    <xf numFmtId="0" fontId="0" fillId="4" borderId="9" xfId="0" applyFill="1" applyBorder="1"/>
    <xf numFmtId="5" fontId="0" fillId="4" borderId="3" xfId="0" applyNumberFormat="1" applyFill="1" applyBorder="1" applyProtection="1"/>
    <xf numFmtId="5" fontId="0" fillId="0" borderId="9" xfId="0" applyNumberFormat="1" applyBorder="1" applyProtection="1"/>
    <xf numFmtId="43" fontId="0" fillId="0" borderId="9" xfId="1" applyFont="1" applyBorder="1" applyProtection="1"/>
    <xf numFmtId="43" fontId="0" fillId="4" borderId="9" xfId="1" applyFont="1" applyFill="1" applyBorder="1"/>
    <xf numFmtId="1" fontId="2" fillId="0" borderId="0" xfId="0" applyNumberFormat="1" applyFont="1"/>
    <xf numFmtId="1" fontId="0" fillId="0" borderId="0" xfId="0" applyNumberFormat="1"/>
    <xf numFmtId="1" fontId="0" fillId="2" borderId="0" xfId="0" applyNumberFormat="1" applyFill="1"/>
    <xf numFmtId="1" fontId="0" fillId="0" borderId="0" xfId="0" applyNumberFormat="1" applyProtection="1"/>
    <xf numFmtId="5" fontId="0" fillId="0" borderId="0" xfId="0" applyNumberFormat="1"/>
    <xf numFmtId="0" fontId="0" fillId="0" borderId="9" xfId="0" applyBorder="1" applyAlignment="1" applyProtection="1">
      <alignment horizontal="left"/>
    </xf>
    <xf numFmtId="0" fontId="0" fillId="0" borderId="0" xfId="0" applyBorder="1" applyAlignment="1" applyProtection="1">
      <alignment horizontal="left"/>
    </xf>
    <xf numFmtId="164" fontId="0" fillId="0" borderId="9" xfId="0" applyNumberFormat="1" applyBorder="1" applyProtection="1"/>
    <xf numFmtId="164" fontId="0" fillId="0" borderId="6" xfId="0" applyNumberFormat="1" applyBorder="1" applyProtection="1"/>
    <xf numFmtId="2" fontId="0" fillId="0" borderId="9" xfId="0" applyNumberFormat="1" applyFill="1" applyBorder="1"/>
    <xf numFmtId="2" fontId="0" fillId="0" borderId="5" xfId="0" applyNumberFormat="1" applyBorder="1" applyProtection="1"/>
    <xf numFmtId="2" fontId="0" fillId="0" borderId="9" xfId="0" applyNumberFormat="1" applyBorder="1" applyProtection="1"/>
    <xf numFmtId="8" fontId="0" fillId="0" borderId="0" xfId="0" applyNumberFormat="1"/>
    <xf numFmtId="2" fontId="0" fillId="0" borderId="0" xfId="0" applyNumberFormat="1" applyBorder="1" applyProtection="1"/>
    <xf numFmtId="0" fontId="5" fillId="0" borderId="0" xfId="0" applyFont="1"/>
    <xf numFmtId="0" fontId="6" fillId="0" borderId="0" xfId="0" applyFont="1"/>
    <xf numFmtId="0" fontId="6" fillId="0" borderId="0" xfId="0" applyFont="1" applyAlignment="1">
      <alignment wrapText="1"/>
    </xf>
    <xf numFmtId="0" fontId="7" fillId="0" borderId="0" xfId="0" applyFont="1" applyAlignment="1">
      <alignment horizontal="right" wrapText="1"/>
    </xf>
    <xf numFmtId="2" fontId="6" fillId="0" borderId="0" xfId="0" applyNumberFormat="1" applyFont="1"/>
    <xf numFmtId="169" fontId="6" fillId="0" borderId="0" xfId="0" applyNumberFormat="1" applyFont="1" applyProtection="1"/>
    <xf numFmtId="0" fontId="6" fillId="0" borderId="0" xfId="0" applyFont="1" applyAlignment="1">
      <alignment horizontal="left" wrapText="1"/>
    </xf>
    <xf numFmtId="170" fontId="6" fillId="0" borderId="0" xfId="0" applyNumberFormat="1" applyFont="1"/>
    <xf numFmtId="0" fontId="9" fillId="0" borderId="0" xfId="0" applyFont="1" applyAlignment="1">
      <alignment horizontal="center"/>
    </xf>
    <xf numFmtId="0" fontId="5" fillId="0" borderId="0" xfId="0" quotePrefix="1" applyFont="1"/>
    <xf numFmtId="0" fontId="8" fillId="0" borderId="0" xfId="0" applyFont="1"/>
    <xf numFmtId="0" fontId="0" fillId="5" borderId="0" xfId="0" applyFill="1"/>
    <xf numFmtId="0" fontId="0" fillId="5" borderId="0" xfId="0" applyFill="1" applyAlignment="1">
      <alignment vertical="top"/>
    </xf>
    <xf numFmtId="0" fontId="0" fillId="6" borderId="0" xfId="0" applyFill="1"/>
    <xf numFmtId="169" fontId="0" fillId="0" borderId="0" xfId="0" applyNumberFormat="1"/>
    <xf numFmtId="0" fontId="10" fillId="0" borderId="0" xfId="0" applyFont="1"/>
    <xf numFmtId="171" fontId="10" fillId="0" borderId="0" xfId="0" applyNumberFormat="1" applyFont="1"/>
    <xf numFmtId="0" fontId="12" fillId="0" borderId="0" xfId="0" applyFont="1"/>
    <xf numFmtId="0" fontId="12" fillId="7" borderId="0" xfId="0" applyFont="1" applyFill="1"/>
    <xf numFmtId="44" fontId="5" fillId="0" borderId="0" xfId="2" applyFont="1"/>
    <xf numFmtId="44" fontId="5" fillId="0" borderId="0" xfId="0" applyNumberFormat="1" applyFont="1"/>
    <xf numFmtId="42" fontId="6" fillId="0" borderId="0" xfId="2" applyNumberFormat="1" applyFont="1"/>
    <xf numFmtId="42" fontId="6" fillId="0" borderId="0" xfId="0" applyNumberFormat="1" applyFont="1"/>
    <xf numFmtId="169" fontId="5" fillId="0" borderId="0" xfId="0" applyNumberFormat="1" applyFont="1"/>
    <xf numFmtId="42" fontId="5" fillId="0" borderId="0" xfId="0" applyNumberFormat="1" applyFont="1"/>
    <xf numFmtId="169" fontId="12" fillId="0" borderId="0" xfId="0" applyNumberFormat="1" applyFont="1" applyProtection="1"/>
    <xf numFmtId="170" fontId="12" fillId="0" borderId="0" xfId="0" applyNumberFormat="1" applyFont="1"/>
    <xf numFmtId="169" fontId="7" fillId="0" borderId="0" xfId="0" applyNumberFormat="1" applyFont="1" applyProtection="1"/>
    <xf numFmtId="164" fontId="5" fillId="0" borderId="5" xfId="0" applyNumberFormat="1" applyFont="1" applyBorder="1" applyProtection="1"/>
    <xf numFmtId="164" fontId="5" fillId="0" borderId="4" xfId="0" applyNumberFormat="1" applyFont="1" applyBorder="1" applyProtection="1"/>
    <xf numFmtId="164" fontId="5" fillId="0" borderId="1" xfId="0" applyNumberFormat="1" applyFont="1" applyBorder="1" applyProtection="1"/>
    <xf numFmtId="172" fontId="2" fillId="0" borderId="0" xfId="0" applyNumberFormat="1" applyFont="1" applyFill="1" applyBorder="1" applyAlignment="1" applyProtection="1">
      <alignment horizontal="left"/>
    </xf>
    <xf numFmtId="7" fontId="2" fillId="0" borderId="0" xfId="0" applyNumberFormat="1" applyFont="1" applyFill="1" applyBorder="1"/>
    <xf numFmtId="0" fontId="2" fillId="8" borderId="1" xfId="0" applyFont="1" applyFill="1" applyBorder="1" applyAlignment="1" applyProtection="1">
      <alignment horizontal="left"/>
    </xf>
    <xf numFmtId="7" fontId="5" fillId="0" borderId="0" xfId="0" applyNumberFormat="1" applyFont="1" applyFill="1" applyBorder="1" applyProtection="1"/>
    <xf numFmtId="7" fontId="5" fillId="0" borderId="0" xfId="0" applyNumberFormat="1" applyFont="1"/>
    <xf numFmtId="0" fontId="5" fillId="0" borderId="0" xfId="0" applyFont="1" applyFill="1" applyBorder="1"/>
    <xf numFmtId="7" fontId="5" fillId="0" borderId="0" xfId="0" applyNumberFormat="1" applyFont="1" applyFill="1" applyBorder="1"/>
    <xf numFmtId="2" fontId="5" fillId="0" borderId="0" xfId="0" applyNumberFormat="1" applyFont="1"/>
    <xf numFmtId="2" fontId="0" fillId="0" borderId="11" xfId="0" applyNumberFormat="1" applyBorder="1" applyProtection="1"/>
    <xf numFmtId="0" fontId="0" fillId="0" borderId="12" xfId="0" applyBorder="1"/>
    <xf numFmtId="0" fontId="0" fillId="0" borderId="10" xfId="0" applyBorder="1" applyAlignment="1" applyProtection="1">
      <alignment horizontal="left"/>
    </xf>
    <xf numFmtId="2" fontId="0" fillId="0" borderId="13" xfId="0" applyNumberFormat="1" applyBorder="1" applyProtection="1"/>
    <xf numFmtId="0" fontId="0" fillId="0" borderId="14" xfId="0" applyBorder="1" applyAlignment="1" applyProtection="1">
      <alignment horizontal="left"/>
    </xf>
    <xf numFmtId="164" fontId="0" fillId="0" borderId="13" xfId="0" applyNumberFormat="1" applyBorder="1" applyProtection="1"/>
    <xf numFmtId="3" fontId="0" fillId="0" borderId="0" xfId="0" applyNumberFormat="1"/>
    <xf numFmtId="171" fontId="0" fillId="0" borderId="0" xfId="0" applyNumberFormat="1"/>
    <xf numFmtId="41" fontId="5" fillId="0" borderId="15" xfId="0" applyNumberFormat="1" applyFont="1" applyBorder="1"/>
    <xf numFmtId="0" fontId="5" fillId="0" borderId="15" xfId="0" applyFont="1" applyBorder="1"/>
    <xf numFmtId="3" fontId="5" fillId="0" borderId="15" xfId="0" applyNumberFormat="1" applyFont="1" applyBorder="1"/>
    <xf numFmtId="5" fontId="5" fillId="0" borderId="15" xfId="0" applyNumberFormat="1" applyFont="1" applyBorder="1"/>
    <xf numFmtId="0" fontId="2" fillId="0" borderId="12" xfId="0" applyFont="1" applyBorder="1"/>
    <xf numFmtId="0" fontId="6" fillId="0" borderId="16" xfId="0" quotePrefix="1" applyFont="1" applyBorder="1"/>
    <xf numFmtId="0" fontId="2" fillId="0" borderId="17" xfId="0" applyFont="1" applyBorder="1"/>
    <xf numFmtId="5" fontId="5" fillId="0" borderId="0" xfId="0" applyNumberFormat="1" applyFont="1"/>
    <xf numFmtId="0" fontId="5" fillId="9" borderId="0" xfId="0" applyFont="1" applyFill="1"/>
    <xf numFmtId="5" fontId="0" fillId="0" borderId="0" xfId="0" applyNumberFormat="1" applyFill="1" applyBorder="1" applyProtection="1"/>
    <xf numFmtId="5" fontId="5" fillId="0" borderId="0" xfId="0" applyNumberFormat="1" applyFont="1" applyFill="1" applyBorder="1" applyProtection="1"/>
    <xf numFmtId="0" fontId="14" fillId="0" borderId="0" xfId="0" applyFont="1"/>
    <xf numFmtId="3" fontId="0" fillId="0" borderId="0" xfId="0" applyNumberFormat="1" applyAlignment="1">
      <alignment vertical="top"/>
    </xf>
    <xf numFmtId="171" fontId="0" fillId="0" borderId="0" xfId="0" applyNumberFormat="1" applyAlignment="1">
      <alignment vertical="top"/>
    </xf>
    <xf numFmtId="3" fontId="5" fillId="0" borderId="0" xfId="0" applyNumberFormat="1" applyFont="1" applyBorder="1" applyAlignment="1">
      <alignment vertical="top"/>
    </xf>
    <xf numFmtId="5" fontId="5" fillId="0" borderId="0" xfId="0" applyNumberFormat="1" applyFont="1" applyBorder="1" applyAlignment="1">
      <alignment vertical="top"/>
    </xf>
    <xf numFmtId="0" fontId="15" fillId="0" borderId="0" xfId="0" applyFont="1"/>
    <xf numFmtId="0" fontId="16" fillId="0" borderId="0" xfId="0" applyFont="1"/>
    <xf numFmtId="0" fontId="17" fillId="0" borderId="0" xfId="0" applyFont="1"/>
    <xf numFmtId="0" fontId="13" fillId="0" borderId="0" xfId="0" applyFont="1"/>
    <xf numFmtId="0" fontId="18" fillId="0" borderId="10" xfId="0" applyFont="1" applyBorder="1" applyAlignment="1">
      <alignment horizontal="center" vertical="top" wrapText="1"/>
    </xf>
    <xf numFmtId="8" fontId="17" fillId="0" borderId="0" xfId="0" applyNumberFormat="1" applyFont="1"/>
    <xf numFmtId="6" fontId="17" fillId="0" borderId="0" xfId="0" applyNumberFormat="1" applyFont="1"/>
    <xf numFmtId="0" fontId="13" fillId="0" borderId="0" xfId="0" quotePrefix="1" applyFont="1"/>
    <xf numFmtId="0" fontId="19" fillId="0" borderId="0" xfId="0" applyFont="1"/>
    <xf numFmtId="0" fontId="2" fillId="0" borderId="0" xfId="0" applyFont="1" applyAlignment="1">
      <alignment vertical="top" wrapText="1"/>
    </xf>
    <xf numFmtId="171" fontId="17" fillId="0" borderId="0" xfId="0" applyNumberFormat="1" applyFont="1"/>
    <xf numFmtId="0" fontId="20" fillId="0" borderId="0" xfId="0" applyFont="1"/>
    <xf numFmtId="8" fontId="21" fillId="0" borderId="0" xfId="0" applyNumberFormat="1" applyFont="1"/>
    <xf numFmtId="0" fontId="22" fillId="0" borderId="0" xfId="0" applyFont="1"/>
    <xf numFmtId="172" fontId="23" fillId="0" borderId="0" xfId="0" applyNumberFormat="1" applyFont="1"/>
    <xf numFmtId="169" fontId="21" fillId="0" borderId="0" xfId="0" applyNumberFormat="1" applyFont="1"/>
    <xf numFmtId="169" fontId="24" fillId="0" borderId="0" xfId="0" applyNumberFormat="1" applyFont="1"/>
    <xf numFmtId="171" fontId="24" fillId="0" borderId="0" xfId="0" applyNumberFormat="1" applyFont="1"/>
    <xf numFmtId="8" fontId="13" fillId="0" borderId="0" xfId="0" applyNumberFormat="1" applyFont="1"/>
    <xf numFmtId="0" fontId="8" fillId="0" borderId="0" xfId="0" applyFont="1" applyAlignment="1">
      <alignment vertical="top"/>
    </xf>
    <xf numFmtId="0" fontId="18" fillId="0" borderId="0" xfId="0" applyFont="1" applyBorder="1" applyAlignment="1">
      <alignment horizontal="center" vertical="top" wrapText="1"/>
    </xf>
    <xf numFmtId="8" fontId="25" fillId="0" borderId="0" xfId="0" applyNumberFormat="1" applyFont="1" applyBorder="1" applyAlignment="1">
      <alignment horizontal="right" vertical="top" wrapText="1"/>
    </xf>
    <xf numFmtId="6" fontId="25" fillId="0" borderId="0" xfId="0" applyNumberFormat="1" applyFont="1" applyBorder="1" applyAlignment="1">
      <alignment horizontal="right" vertical="top" wrapText="1"/>
    </xf>
    <xf numFmtId="0" fontId="26" fillId="0" borderId="0" xfId="0" applyFont="1"/>
    <xf numFmtId="0" fontId="26" fillId="0" borderId="0" xfId="0" quotePrefix="1" applyFont="1"/>
    <xf numFmtId="3" fontId="26" fillId="0" borderId="0" xfId="0" applyNumberFormat="1" applyFont="1"/>
    <xf numFmtId="6" fontId="26" fillId="0" borderId="0" xfId="0" applyNumberFormat="1" applyFont="1"/>
    <xf numFmtId="3" fontId="27" fillId="0" borderId="0" xfId="0" applyNumberFormat="1" applyFont="1"/>
    <xf numFmtId="6" fontId="27" fillId="0" borderId="0" xfId="0" applyNumberFormat="1" applyFont="1"/>
    <xf numFmtId="0" fontId="27" fillId="0" borderId="0" xfId="0" applyFont="1"/>
    <xf numFmtId="0" fontId="28" fillId="0" borderId="0" xfId="0" applyFont="1"/>
    <xf numFmtId="0" fontId="29" fillId="0" borderId="0" xfId="0" applyFont="1"/>
    <xf numFmtId="0" fontId="30" fillId="0" borderId="0" xfId="0" applyFont="1"/>
    <xf numFmtId="0" fontId="27" fillId="0" borderId="0" xfId="0" quotePrefix="1" applyFont="1"/>
    <xf numFmtId="171" fontId="31" fillId="0" borderId="0" xfId="0" applyNumberFormat="1" applyFont="1"/>
    <xf numFmtId="0" fontId="0" fillId="0" borderId="0" xfId="0" quotePrefix="1"/>
    <xf numFmtId="2" fontId="0" fillId="0" borderId="0" xfId="0" applyNumberFormat="1"/>
    <xf numFmtId="164" fontId="0" fillId="0" borderId="10" xfId="0" applyNumberFormat="1" applyFill="1" applyBorder="1" applyProtection="1"/>
    <xf numFmtId="4" fontId="0" fillId="0" borderId="0" xfId="0" applyNumberFormat="1"/>
    <xf numFmtId="3" fontId="5" fillId="0" borderId="0" xfId="0" applyNumberFormat="1" applyFont="1"/>
    <xf numFmtId="0" fontId="32" fillId="0" borderId="0" xfId="0" applyFont="1"/>
    <xf numFmtId="0" fontId="2" fillId="0" borderId="0" xfId="0" applyFont="1" applyBorder="1"/>
    <xf numFmtId="164" fontId="5" fillId="2" borderId="6" xfId="0" applyNumberFormat="1" applyFont="1" applyFill="1" applyBorder="1" applyProtection="1"/>
    <xf numFmtId="164" fontId="5" fillId="2" borderId="4" xfId="0" applyNumberFormat="1" applyFont="1" applyFill="1" applyBorder="1" applyProtection="1"/>
    <xf numFmtId="164" fontId="5" fillId="2" borderId="5" xfId="0" applyNumberFormat="1" applyFont="1" applyFill="1" applyBorder="1" applyProtection="1"/>
    <xf numFmtId="2" fontId="5" fillId="10" borderId="0" xfId="0" applyNumberFormat="1" applyFont="1" applyFill="1"/>
    <xf numFmtId="164" fontId="5" fillId="0" borderId="10" xfId="0" applyNumberFormat="1" applyFont="1" applyFill="1" applyBorder="1" applyProtection="1"/>
    <xf numFmtId="5" fontId="28" fillId="0" borderId="0" xfId="0" applyNumberFormat="1" applyFont="1"/>
    <xf numFmtId="0" fontId="34" fillId="0" borderId="0" xfId="0" applyFont="1"/>
    <xf numFmtId="37" fontId="34" fillId="0" borderId="0" xfId="0" applyNumberFormat="1" applyFont="1"/>
    <xf numFmtId="5" fontId="34" fillId="0" borderId="0" xfId="0" applyNumberFormat="1" applyFont="1"/>
    <xf numFmtId="5" fontId="35" fillId="0" borderId="0" xfId="0" applyNumberFormat="1" applyFont="1"/>
    <xf numFmtId="0" fontId="36" fillId="0" borderId="0" xfId="0" applyFont="1"/>
    <xf numFmtId="0" fontId="37" fillId="0" borderId="0" xfId="0" applyFont="1"/>
    <xf numFmtId="0" fontId="38" fillId="0" borderId="0" xfId="0" applyFont="1"/>
    <xf numFmtId="0" fontId="39" fillId="0" borderId="0" xfId="0" quotePrefix="1" applyFont="1"/>
    <xf numFmtId="0" fontId="38" fillId="0" borderId="0" xfId="0" quotePrefix="1" applyFont="1"/>
    <xf numFmtId="8" fontId="38" fillId="0" borderId="0" xfId="0" applyNumberFormat="1" applyFont="1"/>
    <xf numFmtId="6" fontId="38" fillId="0" borderId="0" xfId="0" applyNumberFormat="1" applyFont="1"/>
    <xf numFmtId="0" fontId="40" fillId="0" borderId="0" xfId="0" quotePrefix="1" applyFont="1"/>
    <xf numFmtId="0" fontId="39" fillId="0" borderId="0" xfId="0" applyFont="1"/>
    <xf numFmtId="8" fontId="38" fillId="0" borderId="0" xfId="0" quotePrefix="1" applyNumberFormat="1" applyFont="1"/>
    <xf numFmtId="6" fontId="38" fillId="0" borderId="0" xfId="0" quotePrefix="1" applyNumberFormat="1" applyFont="1"/>
    <xf numFmtId="0" fontId="41" fillId="0" borderId="0" xfId="0" applyFont="1"/>
    <xf numFmtId="169" fontId="38" fillId="0" borderId="0" xfId="0" applyNumberFormat="1" applyFont="1"/>
    <xf numFmtId="169" fontId="42" fillId="0" borderId="0" xfId="0" applyNumberFormat="1" applyFont="1"/>
    <xf numFmtId="42" fontId="38" fillId="0" borderId="0" xfId="0" applyNumberFormat="1" applyFont="1"/>
    <xf numFmtId="169" fontId="43" fillId="0" borderId="0" xfId="0" applyNumberFormat="1" applyFont="1"/>
    <xf numFmtId="171" fontId="42" fillId="0" borderId="0" xfId="0" applyNumberFormat="1" applyFont="1"/>
    <xf numFmtId="169" fontId="44" fillId="0" borderId="0" xfId="0" applyNumberFormat="1" applyFont="1"/>
    <xf numFmtId="0" fontId="45" fillId="0" borderId="0" xfId="0" applyFont="1"/>
    <xf numFmtId="172" fontId="46" fillId="0" borderId="0" xfId="0" applyNumberFormat="1" applyFont="1" applyAlignment="1">
      <alignment horizontal="left"/>
    </xf>
    <xf numFmtId="0" fontId="40" fillId="0" borderId="0" xfId="0" applyFont="1"/>
    <xf numFmtId="0" fontId="54" fillId="0" borderId="0" xfId="0" applyFont="1"/>
    <xf numFmtId="0" fontId="0" fillId="0" borderId="0" xfId="0" applyFont="1"/>
    <xf numFmtId="0" fontId="0" fillId="0" borderId="0" xfId="0" applyFont="1" applyFill="1"/>
    <xf numFmtId="170" fontId="5" fillId="0" borderId="0" xfId="0" applyNumberFormat="1" applyFont="1"/>
    <xf numFmtId="0" fontId="0" fillId="0" borderId="0" xfId="0" applyFont="1" applyFill="1" applyProtection="1"/>
    <xf numFmtId="0" fontId="0" fillId="12" borderId="0" xfId="0" applyFill="1"/>
    <xf numFmtId="7" fontId="0" fillId="12" borderId="0" xfId="0" applyNumberFormat="1" applyFill="1" applyBorder="1" applyProtection="1"/>
    <xf numFmtId="7" fontId="56" fillId="0" borderId="0" xfId="0" applyNumberFormat="1" applyFont="1" applyProtection="1"/>
    <xf numFmtId="0" fontId="57" fillId="0" borderId="0" xfId="0" applyFont="1"/>
    <xf numFmtId="0" fontId="56" fillId="0" borderId="0" xfId="0" applyFont="1"/>
    <xf numFmtId="170" fontId="56" fillId="0" borderId="0" xfId="0" applyNumberFormat="1" applyFont="1"/>
    <xf numFmtId="2" fontId="56" fillId="0" borderId="0" xfId="0" applyNumberFormat="1" applyFont="1"/>
    <xf numFmtId="169" fontId="56" fillId="0" borderId="0" xfId="0" applyNumberFormat="1" applyFont="1"/>
    <xf numFmtId="0" fontId="57" fillId="0" borderId="0" xfId="0" applyFont="1" applyFill="1" applyBorder="1"/>
    <xf numFmtId="0" fontId="56" fillId="0" borderId="0" xfId="0" quotePrefix="1" applyFont="1"/>
    <xf numFmtId="7" fontId="57" fillId="0" borderId="0" xfId="0" applyNumberFormat="1" applyFont="1" applyFill="1" applyBorder="1" applyProtection="1"/>
    <xf numFmtId="164" fontId="57" fillId="0" borderId="5" xfId="0" applyNumberFormat="1" applyFont="1" applyBorder="1" applyProtection="1"/>
    <xf numFmtId="0" fontId="3" fillId="12" borderId="0" xfId="0" applyFont="1" applyFill="1"/>
    <xf numFmtId="5" fontId="3" fillId="12" borderId="0" xfId="0" applyNumberFormat="1" applyFont="1" applyFill="1" applyBorder="1" applyProtection="1"/>
    <xf numFmtId="0" fontId="56" fillId="0" borderId="0" xfId="0" applyFont="1" applyAlignment="1">
      <alignment horizontal="right" vertical="top" wrapText="1"/>
    </xf>
    <xf numFmtId="7" fontId="56" fillId="0" borderId="0" xfId="0" applyNumberFormat="1" applyFont="1" applyFill="1" applyBorder="1"/>
    <xf numFmtId="169" fontId="58" fillId="0" borderId="0" xfId="0" applyNumberFormat="1" applyFont="1"/>
    <xf numFmtId="171" fontId="59" fillId="0" borderId="0" xfId="0" applyNumberFormat="1" applyFont="1"/>
    <xf numFmtId="169" fontId="59" fillId="0" borderId="0" xfId="0" applyNumberFormat="1" applyFont="1"/>
    <xf numFmtId="0" fontId="60" fillId="0" borderId="0" xfId="0" applyFont="1"/>
    <xf numFmtId="8" fontId="58" fillId="0" borderId="0" xfId="0" applyNumberFormat="1" applyFont="1"/>
    <xf numFmtId="6" fontId="59" fillId="0" borderId="0" xfId="0" applyNumberFormat="1" applyFont="1"/>
    <xf numFmtId="0" fontId="59" fillId="0" borderId="0" xfId="0" applyFont="1"/>
    <xf numFmtId="8" fontId="59" fillId="0" borderId="0" xfId="0" applyNumberFormat="1" applyFont="1"/>
    <xf numFmtId="7" fontId="57" fillId="0" borderId="0" xfId="0" applyNumberFormat="1" applyFont="1"/>
    <xf numFmtId="3" fontId="56" fillId="0" borderId="0" xfId="0" applyNumberFormat="1" applyFont="1"/>
    <xf numFmtId="168" fontId="61" fillId="0" borderId="9" xfId="0" applyNumberFormat="1" applyFont="1" applyBorder="1" applyAlignment="1" applyProtection="1">
      <alignment horizontal="left" vertical="top" wrapText="1"/>
    </xf>
    <xf numFmtId="2" fontId="61" fillId="0" borderId="9" xfId="0" applyNumberFormat="1" applyFont="1" applyBorder="1" applyAlignment="1" applyProtection="1">
      <alignment horizontal="center" wrapText="1"/>
    </xf>
    <xf numFmtId="169" fontId="61" fillId="0" borderId="9" xfId="2" applyNumberFormat="1" applyFont="1" applyBorder="1" applyAlignment="1" applyProtection="1">
      <alignment horizontal="center" wrapText="1"/>
    </xf>
    <xf numFmtId="3" fontId="61" fillId="0" borderId="9" xfId="1" applyNumberFormat="1" applyFont="1" applyFill="1" applyBorder="1" applyAlignment="1" applyProtection="1">
      <alignment horizontal="right" wrapText="1"/>
    </xf>
    <xf numFmtId="3" fontId="61" fillId="0" borderId="9" xfId="0" applyNumberFormat="1" applyFont="1" applyBorder="1" applyAlignment="1">
      <alignment horizontal="right"/>
    </xf>
    <xf numFmtId="171" fontId="61" fillId="0" borderId="9" xfId="0" applyNumberFormat="1" applyFont="1" applyBorder="1" applyAlignment="1" applyProtection="1">
      <alignment horizontal="right" wrapText="1"/>
    </xf>
    <xf numFmtId="0" fontId="62" fillId="12" borderId="0" xfId="0" applyFont="1" applyFill="1"/>
    <xf numFmtId="7" fontId="62" fillId="12" borderId="0" xfId="0" applyNumberFormat="1" applyFont="1" applyFill="1" applyBorder="1" applyProtection="1"/>
    <xf numFmtId="0" fontId="62" fillId="0" borderId="0" xfId="0" applyFont="1"/>
    <xf numFmtId="10" fontId="63" fillId="0" borderId="0" xfId="4" applyNumberFormat="1" applyFont="1"/>
    <xf numFmtId="9" fontId="63" fillId="0" borderId="0" xfId="4" applyFont="1" applyBorder="1" applyAlignment="1">
      <alignment horizontal="center" vertical="top" wrapText="1"/>
    </xf>
    <xf numFmtId="172" fontId="59" fillId="0" borderId="0" xfId="0" applyNumberFormat="1" applyFont="1" applyAlignment="1">
      <alignment horizontal="left"/>
    </xf>
    <xf numFmtId="0" fontId="63" fillId="0" borderId="0" xfId="0" applyFont="1"/>
    <xf numFmtId="39" fontId="62" fillId="13" borderId="1" xfId="0" applyNumberFormat="1" applyFont="1" applyFill="1" applyBorder="1" applyProtection="1"/>
    <xf numFmtId="39" fontId="62" fillId="13" borderId="3" xfId="0" applyNumberFormat="1" applyFont="1" applyFill="1" applyBorder="1" applyProtection="1"/>
    <xf numFmtId="8" fontId="56" fillId="0" borderId="0" xfId="0" applyNumberFormat="1" applyFont="1"/>
    <xf numFmtId="0" fontId="64" fillId="0" borderId="0" xfId="0" quotePrefix="1" applyFont="1" applyBorder="1" applyAlignment="1">
      <alignment horizontal="left" vertical="top"/>
    </xf>
    <xf numFmtId="0" fontId="65" fillId="0" borderId="0" xfId="0" applyFont="1"/>
    <xf numFmtId="0" fontId="66" fillId="0" borderId="0" xfId="0" applyFont="1"/>
    <xf numFmtId="3" fontId="66" fillId="0" borderId="0" xfId="0" applyNumberFormat="1" applyFont="1"/>
    <xf numFmtId="171" fontId="66" fillId="0" borderId="0" xfId="0" applyNumberFormat="1" applyFont="1"/>
    <xf numFmtId="0" fontId="67" fillId="0" borderId="0" xfId="0" applyFont="1"/>
    <xf numFmtId="0" fontId="65" fillId="0" borderId="0" xfId="0" quotePrefix="1" applyFont="1"/>
    <xf numFmtId="39" fontId="0" fillId="0" borderId="0" xfId="0" applyNumberFormat="1"/>
    <xf numFmtId="2" fontId="0" fillId="0" borderId="18" xfId="0" applyNumberFormat="1" applyBorder="1" applyProtection="1"/>
    <xf numFmtId="0" fontId="0" fillId="0" borderId="0" xfId="0" quotePrefix="1" applyAlignment="1">
      <alignment horizontal="center"/>
    </xf>
    <xf numFmtId="37" fontId="65" fillId="0" borderId="0" xfId="0" applyNumberFormat="1" applyFont="1"/>
    <xf numFmtId="5" fontId="65" fillId="0" borderId="0" xfId="0" applyNumberFormat="1" applyFont="1"/>
    <xf numFmtId="0" fontId="68" fillId="14" borderId="0" xfId="0" applyFont="1" applyFill="1"/>
    <xf numFmtId="3" fontId="68" fillId="14" borderId="0" xfId="0" applyNumberFormat="1" applyFont="1" applyFill="1"/>
    <xf numFmtId="171" fontId="68" fillId="14" borderId="0" xfId="0" applyNumberFormat="1" applyFont="1" applyFill="1"/>
    <xf numFmtId="171" fontId="33" fillId="14" borderId="0" xfId="0" applyNumberFormat="1" applyFont="1" applyFill="1"/>
    <xf numFmtId="171" fontId="31" fillId="14" borderId="0" xfId="0" applyNumberFormat="1" applyFont="1" applyFill="1"/>
    <xf numFmtId="0" fontId="29" fillId="14" borderId="0" xfId="0" applyFont="1" applyFill="1"/>
    <xf numFmtId="8" fontId="62" fillId="0" borderId="0" xfId="0" applyNumberFormat="1" applyFont="1"/>
    <xf numFmtId="5" fontId="2" fillId="12" borderId="0" xfId="0" applyNumberFormat="1" applyFont="1" applyFill="1" applyBorder="1" applyProtection="1"/>
    <xf numFmtId="0" fontId="56" fillId="0" borderId="0" xfId="0" applyFont="1" applyAlignment="1">
      <alignment horizontal="right" vertical="top"/>
    </xf>
    <xf numFmtId="0" fontId="0" fillId="0" borderId="11" xfId="0" applyBorder="1" applyAlignment="1" applyProtection="1">
      <alignment horizontal="left"/>
    </xf>
    <xf numFmtId="0" fontId="55" fillId="0" borderId="11" xfId="0" applyFont="1" applyBorder="1" applyAlignment="1" applyProtection="1">
      <alignment horizontal="left"/>
    </xf>
    <xf numFmtId="0" fontId="56" fillId="0" borderId="0" xfId="0" applyFont="1" applyBorder="1"/>
    <xf numFmtId="0" fontId="55" fillId="0" borderId="11" xfId="0" applyFont="1" applyBorder="1" applyAlignment="1" applyProtection="1">
      <alignment horizontal="left" vertical="top"/>
    </xf>
    <xf numFmtId="0" fontId="0" fillId="0" borderId="11" xfId="0" applyBorder="1"/>
    <xf numFmtId="0" fontId="0" fillId="0" borderId="0" xfId="0" quotePrefix="1" applyFont="1" applyAlignment="1" applyProtection="1">
      <alignment horizontal="center"/>
    </xf>
    <xf numFmtId="17" fontId="60" fillId="0" borderId="0" xfId="0" applyNumberFormat="1" applyFont="1"/>
    <xf numFmtId="0" fontId="55" fillId="0" borderId="0" xfId="0" applyFont="1"/>
    <xf numFmtId="0" fontId="62" fillId="0" borderId="9" xfId="0" applyFont="1" applyBorder="1" applyAlignment="1">
      <alignment horizontal="right"/>
    </xf>
    <xf numFmtId="0" fontId="62" fillId="0" borderId="19" xfId="0" applyFont="1" applyBorder="1"/>
    <xf numFmtId="37" fontId="62" fillId="0" borderId="19" xfId="0" applyNumberFormat="1" applyFont="1" applyBorder="1" applyProtection="1"/>
    <xf numFmtId="168" fontId="11" fillId="15" borderId="0" xfId="0" applyNumberFormat="1" applyFont="1" applyFill="1" applyBorder="1" applyAlignment="1" applyProtection="1">
      <alignment horizontal="left"/>
    </xf>
    <xf numFmtId="0" fontId="47" fillId="15" borderId="0" xfId="0" applyFont="1" applyFill="1"/>
    <xf numFmtId="0" fontId="14" fillId="15" borderId="0" xfId="0" applyFont="1" applyFill="1"/>
    <xf numFmtId="0" fontId="0" fillId="15" borderId="0" xfId="0" applyFill="1"/>
    <xf numFmtId="0" fontId="3" fillId="16" borderId="0" xfId="0" applyFont="1" applyFill="1" applyBorder="1" applyAlignment="1" applyProtection="1">
      <alignment horizontal="left"/>
    </xf>
    <xf numFmtId="41" fontId="13" fillId="0" borderId="0" xfId="1" applyNumberFormat="1" applyFont="1"/>
    <xf numFmtId="5" fontId="13" fillId="0" borderId="0" xfId="0" applyNumberFormat="1" applyFont="1"/>
    <xf numFmtId="4" fontId="0" fillId="0" borderId="9" xfId="0" applyNumberFormat="1" applyBorder="1" applyProtection="1"/>
    <xf numFmtId="4" fontId="5" fillId="0" borderId="9" xfId="0" applyNumberFormat="1" applyFont="1" applyBorder="1" applyAlignment="1" applyProtection="1">
      <alignment vertical="top"/>
    </xf>
    <xf numFmtId="4" fontId="5" fillId="0" borderId="9" xfId="0" applyNumberFormat="1" applyFont="1" applyBorder="1" applyProtection="1"/>
    <xf numFmtId="4" fontId="55" fillId="0" borderId="9" xfId="0" applyNumberFormat="1" applyFont="1" applyBorder="1" applyProtection="1"/>
    <xf numFmtId="4" fontId="2" fillId="0" borderId="0" xfId="0" applyNumberFormat="1" applyFont="1"/>
    <xf numFmtId="4" fontId="0" fillId="0" borderId="9" xfId="0" applyNumberFormat="1" applyFill="1" applyBorder="1"/>
    <xf numFmtId="4" fontId="0" fillId="0" borderId="6" xfId="0" applyNumberFormat="1" applyBorder="1" applyProtection="1"/>
    <xf numFmtId="4" fontId="0" fillId="0" borderId="5" xfId="0" applyNumberFormat="1" applyBorder="1" applyProtection="1"/>
    <xf numFmtId="4" fontId="0" fillId="0" borderId="13" xfId="0" applyNumberFormat="1" applyBorder="1" applyProtection="1"/>
    <xf numFmtId="4" fontId="0" fillId="0" borderId="20" xfId="0" applyNumberFormat="1" applyBorder="1" applyProtection="1"/>
    <xf numFmtId="0" fontId="69" fillId="0" borderId="0" xfId="0" applyFont="1"/>
    <xf numFmtId="3" fontId="2" fillId="0" borderId="0" xfId="0" applyNumberFormat="1" applyFont="1"/>
    <xf numFmtId="0" fontId="56" fillId="0" borderId="0" xfId="0" applyFont="1" applyAlignment="1">
      <alignment horizontal="right"/>
    </xf>
    <xf numFmtId="3" fontId="69" fillId="0" borderId="0" xfId="0" applyNumberFormat="1" applyFont="1"/>
    <xf numFmtId="0" fontId="56" fillId="0" borderId="0" xfId="0" applyFont="1" applyFill="1"/>
    <xf numFmtId="0" fontId="69" fillId="0" borderId="0" xfId="0" applyFont="1" applyFill="1" applyBorder="1"/>
    <xf numFmtId="0" fontId="16" fillId="15" borderId="0" xfId="0" applyFont="1" applyFill="1"/>
    <xf numFmtId="0" fontId="48" fillId="0" borderId="0" xfId="0" applyFont="1"/>
    <xf numFmtId="0" fontId="49" fillId="0" borderId="0" xfId="0" applyFont="1" applyAlignment="1">
      <alignment vertical="top"/>
    </xf>
    <xf numFmtId="0" fontId="20" fillId="0" borderId="0" xfId="0" applyFont="1" applyAlignment="1">
      <alignment vertical="top"/>
    </xf>
    <xf numFmtId="0" fontId="0" fillId="0" borderId="0" xfId="0" applyAlignment="1">
      <alignment vertical="top"/>
    </xf>
    <xf numFmtId="0" fontId="16" fillId="0" borderId="0" xfId="0" applyFont="1" applyAlignment="1">
      <alignment vertical="top"/>
    </xf>
    <xf numFmtId="0" fontId="2" fillId="0" borderId="0" xfId="0" quotePrefix="1" applyFont="1"/>
    <xf numFmtId="171" fontId="70" fillId="0" borderId="0" xfId="0" applyNumberFormat="1" applyFont="1"/>
    <xf numFmtId="6" fontId="65" fillId="0" borderId="0" xfId="0" applyNumberFormat="1" applyFont="1"/>
    <xf numFmtId="0" fontId="50" fillId="0" borderId="0" xfId="0" applyFont="1"/>
    <xf numFmtId="3" fontId="65" fillId="0" borderId="0" xfId="0" applyNumberFormat="1" applyFont="1"/>
    <xf numFmtId="171" fontId="65" fillId="0" borderId="0" xfId="0" applyNumberFormat="1" applyFont="1"/>
    <xf numFmtId="0" fontId="27" fillId="14" borderId="0" xfId="0" applyFont="1" applyFill="1"/>
    <xf numFmtId="0" fontId="0" fillId="14" borderId="0" xfId="0" applyFill="1"/>
    <xf numFmtId="3" fontId="66" fillId="14" borderId="0" xfId="0" applyNumberFormat="1" applyFont="1" applyFill="1"/>
    <xf numFmtId="0" fontId="30" fillId="14" borderId="0" xfId="0" applyFont="1" applyFill="1"/>
    <xf numFmtId="0" fontId="55" fillId="0" borderId="0" xfId="0" applyFont="1" applyAlignment="1">
      <alignment horizontal="right" vertical="top" wrapText="1"/>
    </xf>
    <xf numFmtId="7" fontId="55" fillId="0" borderId="0" xfId="0" applyNumberFormat="1" applyFont="1" applyFill="1" applyBorder="1"/>
    <xf numFmtId="0" fontId="56" fillId="14" borderId="0" xfId="0" applyFont="1" applyFill="1"/>
    <xf numFmtId="0" fontId="66" fillId="14" borderId="0" xfId="0" applyFont="1" applyFill="1"/>
    <xf numFmtId="0" fontId="67" fillId="14" borderId="0" xfId="0" applyFont="1" applyFill="1"/>
    <xf numFmtId="7" fontId="56" fillId="14" borderId="0" xfId="0" applyNumberFormat="1" applyFont="1" applyFill="1" applyBorder="1"/>
    <xf numFmtId="7" fontId="71" fillId="14" borderId="0" xfId="0" applyNumberFormat="1" applyFont="1" applyFill="1" applyBorder="1"/>
    <xf numFmtId="172" fontId="56" fillId="0" borderId="0" xfId="0" applyNumberFormat="1" applyFont="1"/>
    <xf numFmtId="0" fontId="4" fillId="0" borderId="0" xfId="3" applyAlignment="1" applyProtection="1">
      <alignment vertical="top"/>
    </xf>
    <xf numFmtId="0" fontId="4" fillId="0" borderId="0" xfId="3" applyAlignment="1" applyProtection="1"/>
    <xf numFmtId="0" fontId="53" fillId="0" borderId="0" xfId="0" applyFont="1"/>
    <xf numFmtId="0" fontId="2" fillId="0" borderId="0" xfId="0" applyFont="1" applyBorder="1" applyAlignment="1" applyProtection="1">
      <alignment horizontal="left"/>
    </xf>
    <xf numFmtId="2" fontId="57" fillId="0" borderId="0" xfId="0" applyNumberFormat="1" applyFont="1"/>
    <xf numFmtId="164" fontId="57" fillId="0" borderId="1" xfId="0" applyNumberFormat="1" applyFont="1" applyBorder="1" applyProtection="1"/>
    <xf numFmtId="2" fontId="57" fillId="10" borderId="0" xfId="0" applyNumberFormat="1" applyFont="1" applyFill="1"/>
    <xf numFmtId="164" fontId="57" fillId="0" borderId="10" xfId="0" applyNumberFormat="1" applyFont="1" applyFill="1" applyBorder="1" applyProtection="1"/>
    <xf numFmtId="164" fontId="5" fillId="0" borderId="21" xfId="0" applyNumberFormat="1" applyFont="1" applyBorder="1" applyProtection="1"/>
    <xf numFmtId="164" fontId="5" fillId="0" borderId="10" xfId="0" applyNumberFormat="1" applyFont="1" applyBorder="1" applyProtection="1"/>
    <xf numFmtId="164" fontId="57" fillId="0" borderId="21" xfId="0" applyNumberFormat="1" applyFont="1" applyBorder="1" applyProtection="1"/>
    <xf numFmtId="164" fontId="57" fillId="0" borderId="10" xfId="0" applyNumberFormat="1" applyFont="1" applyBorder="1" applyProtection="1"/>
    <xf numFmtId="0" fontId="72" fillId="0" borderId="0" xfId="0" applyFont="1"/>
    <xf numFmtId="164" fontId="57" fillId="2" borderId="6" xfId="0" applyNumberFormat="1" applyFont="1" applyFill="1" applyBorder="1" applyProtection="1"/>
    <xf numFmtId="164" fontId="57" fillId="2" borderId="4" xfId="0" applyNumberFormat="1" applyFont="1" applyFill="1" applyBorder="1" applyProtection="1"/>
    <xf numFmtId="164" fontId="57" fillId="2" borderId="5" xfId="0" applyNumberFormat="1" applyFont="1" applyFill="1" applyBorder="1" applyProtection="1"/>
    <xf numFmtId="164" fontId="57" fillId="0" borderId="4" xfId="0" applyNumberFormat="1" applyFont="1" applyBorder="1" applyProtection="1"/>
    <xf numFmtId="0" fontId="26" fillId="14" borderId="0" xfId="0" applyFont="1" applyFill="1"/>
    <xf numFmtId="39" fontId="62" fillId="0" borderId="1" xfId="0" applyNumberFormat="1" applyFont="1" applyBorder="1" applyProtection="1"/>
    <xf numFmtId="39" fontId="62" fillId="0" borderId="2" xfId="0" applyNumberFormat="1" applyFont="1" applyBorder="1" applyProtection="1"/>
    <xf numFmtId="39" fontId="62" fillId="2" borderId="1" xfId="0" applyNumberFormat="1" applyFont="1" applyFill="1" applyBorder="1" applyProtection="1"/>
    <xf numFmtId="164" fontId="62" fillId="0" borderId="1" xfId="0" applyNumberFormat="1" applyFont="1" applyBorder="1" applyProtection="1"/>
    <xf numFmtId="0" fontId="70" fillId="0" borderId="0" xfId="0" applyFont="1" applyAlignment="1" applyProtection="1">
      <alignment horizontal="left"/>
    </xf>
    <xf numFmtId="0" fontId="70" fillId="0" borderId="0" xfId="0" applyFont="1"/>
    <xf numFmtId="0" fontId="62" fillId="0" borderId="0" xfId="0" applyFont="1" applyAlignment="1" applyProtection="1">
      <alignment horizontal="left"/>
    </xf>
    <xf numFmtId="0" fontId="62" fillId="0" borderId="0" xfId="0" applyFont="1" applyProtection="1"/>
    <xf numFmtId="168" fontId="70" fillId="0" borderId="0" xfId="0" applyNumberFormat="1" applyFont="1" applyAlignment="1" applyProtection="1">
      <alignment horizontal="left"/>
    </xf>
    <xf numFmtId="168" fontId="70" fillId="0" borderId="0" xfId="0" applyNumberFormat="1" applyFont="1" applyAlignment="1" applyProtection="1">
      <alignment horizontal="center"/>
    </xf>
    <xf numFmtId="0" fontId="70" fillId="2" borderId="0" xfId="0" applyFont="1" applyFill="1"/>
    <xf numFmtId="0" fontId="70" fillId="0" borderId="11" xfId="0" applyFont="1" applyBorder="1"/>
    <xf numFmtId="0" fontId="70" fillId="0" borderId="0" xfId="0" applyFont="1" applyBorder="1"/>
    <xf numFmtId="168" fontId="70" fillId="0" borderId="0" xfId="0" applyNumberFormat="1" applyFont="1" applyBorder="1" applyAlignment="1" applyProtection="1">
      <alignment horizontal="center"/>
    </xf>
    <xf numFmtId="0" fontId="70" fillId="0" borderId="15" xfId="0" applyFont="1" applyBorder="1"/>
    <xf numFmtId="5" fontId="70" fillId="0" borderId="15" xfId="0" applyNumberFormat="1" applyFont="1" applyBorder="1" applyProtection="1"/>
    <xf numFmtId="168" fontId="70" fillId="0" borderId="11" xfId="0" applyNumberFormat="1" applyFont="1" applyBorder="1" applyAlignment="1" applyProtection="1">
      <alignment horizontal="center"/>
    </xf>
    <xf numFmtId="0" fontId="62" fillId="0" borderId="0" xfId="0" applyFont="1" applyAlignment="1">
      <alignment horizontal="center"/>
    </xf>
    <xf numFmtId="5" fontId="70" fillId="0" borderId="15" xfId="0" applyNumberFormat="1" applyFont="1" applyBorder="1" applyAlignment="1" applyProtection="1">
      <alignment horizontal="center"/>
    </xf>
    <xf numFmtId="7" fontId="70" fillId="0" borderId="11" xfId="0" applyNumberFormat="1" applyFont="1" applyBorder="1" applyAlignment="1" applyProtection="1">
      <alignment horizontal="center"/>
    </xf>
    <xf numFmtId="7" fontId="70" fillId="0" borderId="0" xfId="0" applyNumberFormat="1" applyFont="1" applyAlignment="1" applyProtection="1">
      <alignment horizontal="center"/>
    </xf>
    <xf numFmtId="168" fontId="70" fillId="0" borderId="15" xfId="0" applyNumberFormat="1" applyFont="1" applyBorder="1" applyAlignment="1" applyProtection="1">
      <alignment horizontal="center"/>
    </xf>
    <xf numFmtId="0" fontId="62" fillId="2" borderId="0" xfId="0" applyFont="1" applyFill="1"/>
    <xf numFmtId="37" fontId="62" fillId="2" borderId="0" xfId="0" applyNumberFormat="1" applyFont="1" applyFill="1" applyProtection="1"/>
    <xf numFmtId="5" fontId="62" fillId="2" borderId="0" xfId="0" applyNumberFormat="1" applyFont="1" applyFill="1" applyProtection="1"/>
    <xf numFmtId="0" fontId="62" fillId="0" borderId="2" xfId="0" applyFont="1" applyBorder="1"/>
    <xf numFmtId="0" fontId="62" fillId="0" borderId="3" xfId="0" applyFont="1" applyBorder="1"/>
    <xf numFmtId="0" fontId="73" fillId="0" borderId="1" xfId="0" applyFont="1" applyBorder="1" applyAlignment="1" applyProtection="1">
      <alignment horizontal="left"/>
    </xf>
    <xf numFmtId="0" fontId="62" fillId="0" borderId="6" xfId="0" applyFont="1" applyBorder="1"/>
    <xf numFmtId="0" fontId="62" fillId="0" borderId="5" xfId="0" applyFont="1" applyBorder="1"/>
    <xf numFmtId="0" fontId="62" fillId="0" borderId="1" xfId="0" applyFont="1" applyBorder="1" applyAlignment="1" applyProtection="1">
      <alignment horizontal="left"/>
    </xf>
    <xf numFmtId="7" fontId="62" fillId="0" borderId="5" xfId="0" applyNumberFormat="1" applyFont="1" applyBorder="1" applyProtection="1"/>
    <xf numFmtId="7" fontId="62" fillId="0" borderId="1" xfId="0" applyNumberFormat="1" applyFont="1" applyBorder="1" applyProtection="1"/>
    <xf numFmtId="3" fontId="62" fillId="0" borderId="1" xfId="0" applyNumberFormat="1" applyFont="1" applyBorder="1" applyProtection="1"/>
    <xf numFmtId="5" fontId="62" fillId="0" borderId="4" xfId="0" applyNumberFormat="1" applyFont="1" applyBorder="1" applyProtection="1"/>
    <xf numFmtId="0" fontId="62" fillId="2" borderId="2" xfId="0" applyFont="1" applyFill="1" applyBorder="1"/>
    <xf numFmtId="164" fontId="62" fillId="2" borderId="0" xfId="0" applyNumberFormat="1" applyFont="1" applyFill="1" applyProtection="1"/>
    <xf numFmtId="39" fontId="62" fillId="2" borderId="0" xfId="0" applyNumberFormat="1" applyFont="1" applyFill="1" applyProtection="1"/>
    <xf numFmtId="0" fontId="62" fillId="2" borderId="3" xfId="0" applyFont="1" applyFill="1" applyBorder="1"/>
    <xf numFmtId="0" fontId="62" fillId="11" borderId="2" xfId="0" applyFont="1" applyFill="1" applyBorder="1" applyAlignment="1" applyProtection="1">
      <alignment horizontal="left"/>
    </xf>
    <xf numFmtId="164" fontId="62" fillId="11" borderId="2" xfId="0" applyNumberFormat="1" applyFont="1" applyFill="1" applyBorder="1" applyProtection="1"/>
    <xf numFmtId="7" fontId="62" fillId="11" borderId="2" xfId="0" applyNumberFormat="1" applyFont="1" applyFill="1" applyBorder="1" applyProtection="1"/>
    <xf numFmtId="3" fontId="62" fillId="11" borderId="2" xfId="0" applyNumberFormat="1" applyFont="1" applyFill="1" applyBorder="1" applyProtection="1"/>
    <xf numFmtId="39" fontId="62" fillId="11" borderId="2" xfId="0" applyNumberFormat="1" applyFont="1" applyFill="1" applyBorder="1" applyProtection="1"/>
    <xf numFmtId="5" fontId="62" fillId="11" borderId="7" xfId="0" applyNumberFormat="1" applyFont="1" applyFill="1" applyBorder="1" applyProtection="1"/>
    <xf numFmtId="0" fontId="70" fillId="0" borderId="2" xfId="0" applyFont="1" applyBorder="1"/>
    <xf numFmtId="168" fontId="70" fillId="0" borderId="23" xfId="0" applyNumberFormat="1" applyFont="1" applyBorder="1" applyAlignment="1" applyProtection="1">
      <alignment horizontal="center"/>
    </xf>
    <xf numFmtId="0" fontId="62" fillId="0" borderId="23" xfId="0" applyFont="1" applyBorder="1"/>
    <xf numFmtId="0" fontId="70" fillId="0" borderId="3" xfId="0" applyFont="1" applyBorder="1"/>
    <xf numFmtId="168" fontId="70" fillId="0" borderId="2" xfId="0" applyNumberFormat="1" applyFont="1" applyBorder="1" applyAlignment="1" applyProtection="1">
      <alignment horizontal="center"/>
    </xf>
    <xf numFmtId="7" fontId="70" fillId="0" borderId="2" xfId="0" applyNumberFormat="1" applyFont="1" applyBorder="1" applyProtection="1"/>
    <xf numFmtId="7" fontId="70" fillId="0" borderId="0" xfId="0" applyNumberFormat="1" applyFont="1" applyProtection="1"/>
    <xf numFmtId="0" fontId="62" fillId="2" borderId="2" xfId="0" applyFont="1" applyFill="1" applyBorder="1" applyAlignment="1">
      <alignment horizontal="center"/>
    </xf>
    <xf numFmtId="0" fontId="62" fillId="2" borderId="0" xfId="0" applyFont="1" applyFill="1" applyAlignment="1">
      <alignment horizontal="center"/>
    </xf>
    <xf numFmtId="0" fontId="70" fillId="0" borderId="1" xfId="0" applyFont="1" applyBorder="1" applyAlignment="1" applyProtection="1">
      <alignment horizontal="left"/>
    </xf>
    <xf numFmtId="0" fontId="62" fillId="0" borderId="1" xfId="0" applyFont="1" applyBorder="1"/>
    <xf numFmtId="0" fontId="70" fillId="11" borderId="1" xfId="0" applyFont="1" applyFill="1" applyBorder="1" applyAlignment="1" applyProtection="1">
      <alignment horizontal="left"/>
    </xf>
    <xf numFmtId="164" fontId="62" fillId="11" borderId="6" xfId="0" applyNumberFormat="1" applyFont="1" applyFill="1" applyBorder="1" applyProtection="1"/>
    <xf numFmtId="0" fontId="62" fillId="11" borderId="6" xfId="0" applyFont="1" applyFill="1" applyBorder="1"/>
    <xf numFmtId="39" fontId="62" fillId="11" borderId="6" xfId="0" applyNumberFormat="1" applyFont="1" applyFill="1" applyBorder="1" applyProtection="1"/>
    <xf numFmtId="0" fontId="62" fillId="11" borderId="5" xfId="0" applyFont="1" applyFill="1" applyBorder="1"/>
    <xf numFmtId="0" fontId="62" fillId="0" borderId="7" xfId="0" applyFont="1" applyBorder="1" applyAlignment="1" applyProtection="1">
      <alignment horizontal="left"/>
    </xf>
    <xf numFmtId="164" fontId="62" fillId="0" borderId="3" xfId="0" applyNumberFormat="1" applyFont="1" applyBorder="1" applyProtection="1"/>
    <xf numFmtId="164" fontId="62" fillId="0" borderId="8" xfId="0" applyNumberFormat="1" applyFont="1" applyBorder="1" applyProtection="1"/>
    <xf numFmtId="1" fontId="62" fillId="0" borderId="3" xfId="0" applyNumberFormat="1" applyFont="1" applyBorder="1" applyProtection="1"/>
    <xf numFmtId="39" fontId="62" fillId="0" borderId="3" xfId="0" applyNumberFormat="1" applyFont="1" applyBorder="1" applyProtection="1"/>
    <xf numFmtId="0" fontId="62" fillId="0" borderId="4" xfId="0" applyFont="1" applyBorder="1" applyAlignment="1" applyProtection="1">
      <alignment horizontal="left"/>
    </xf>
    <xf numFmtId="164" fontId="62" fillId="0" borderId="5" xfId="0" applyNumberFormat="1" applyFont="1" applyBorder="1" applyProtection="1"/>
    <xf numFmtId="164" fontId="62" fillId="0" borderId="4" xfId="0" applyNumberFormat="1" applyFont="1" applyBorder="1" applyProtection="1"/>
    <xf numFmtId="42" fontId="62" fillId="0" borderId="5" xfId="0" applyNumberFormat="1" applyFont="1" applyBorder="1" applyProtection="1"/>
    <xf numFmtId="1" fontId="62" fillId="0" borderId="5" xfId="0" applyNumberFormat="1" applyFont="1" applyBorder="1" applyProtection="1"/>
    <xf numFmtId="39" fontId="62" fillId="0" borderId="4" xfId="0" applyNumberFormat="1" applyFont="1" applyBorder="1" applyProtection="1"/>
    <xf numFmtId="7" fontId="62" fillId="0" borderId="4" xfId="0" applyNumberFormat="1" applyFont="1" applyBorder="1" applyProtection="1"/>
    <xf numFmtId="164" fontId="62" fillId="0" borderId="7" xfId="0" applyNumberFormat="1" applyFont="1" applyBorder="1" applyProtection="1"/>
    <xf numFmtId="0" fontId="62" fillId="0" borderId="24" xfId="0" applyFont="1" applyBorder="1" applyAlignment="1" applyProtection="1">
      <alignment horizontal="left"/>
    </xf>
    <xf numFmtId="1" fontId="62" fillId="0" borderId="4" xfId="0" applyNumberFormat="1" applyFont="1" applyBorder="1" applyProtection="1"/>
    <xf numFmtId="0" fontId="62" fillId="2" borderId="1" xfId="0" applyFont="1" applyFill="1" applyBorder="1"/>
    <xf numFmtId="164" fontId="62" fillId="2" borderId="6" xfId="0" applyNumberFormat="1" applyFont="1" applyFill="1" applyBorder="1" applyProtection="1"/>
    <xf numFmtId="0" fontId="62" fillId="2" borderId="6" xfId="0" applyFont="1" applyFill="1" applyBorder="1"/>
    <xf numFmtId="1" fontId="62" fillId="2" borderId="1" xfId="0" applyNumberFormat="1" applyFont="1" applyFill="1" applyBorder="1"/>
    <xf numFmtId="39" fontId="62" fillId="2" borderId="6" xfId="0" applyNumberFormat="1" applyFont="1" applyFill="1" applyBorder="1" applyProtection="1"/>
    <xf numFmtId="0" fontId="62" fillId="2" borderId="5" xfId="0" applyFont="1" applyFill="1" applyBorder="1"/>
    <xf numFmtId="1" fontId="62" fillId="0" borderId="1" xfId="0" applyNumberFormat="1" applyFont="1" applyBorder="1" applyProtection="1"/>
    <xf numFmtId="1" fontId="62" fillId="2" borderId="6" xfId="0" applyNumberFormat="1" applyFont="1" applyFill="1" applyBorder="1"/>
    <xf numFmtId="7" fontId="62" fillId="11" borderId="6" xfId="0" applyNumberFormat="1" applyFont="1" applyFill="1" applyBorder="1" applyProtection="1"/>
    <xf numFmtId="1" fontId="62" fillId="11" borderId="6" xfId="0" applyNumberFormat="1" applyFont="1" applyFill="1" applyBorder="1" applyProtection="1"/>
    <xf numFmtId="7" fontId="62" fillId="11" borderId="5" xfId="0" applyNumberFormat="1" applyFont="1" applyFill="1" applyBorder="1" applyProtection="1"/>
    <xf numFmtId="164" fontId="62" fillId="0" borderId="10" xfId="0" applyNumberFormat="1" applyFont="1" applyBorder="1" applyProtection="1"/>
    <xf numFmtId="164" fontId="62" fillId="0" borderId="2" xfId="0" applyNumberFormat="1" applyFont="1" applyBorder="1" applyProtection="1"/>
    <xf numFmtId="0" fontId="62" fillId="0" borderId="0" xfId="0" applyFont="1" applyBorder="1"/>
    <xf numFmtId="1" fontId="62" fillId="0" borderId="2" xfId="0" applyNumberFormat="1" applyFont="1" applyBorder="1"/>
    <xf numFmtId="0" fontId="62" fillId="0" borderId="7" xfId="0" applyFont="1" applyBorder="1"/>
    <xf numFmtId="1" fontId="62" fillId="0" borderId="3" xfId="0" applyNumberFormat="1" applyFont="1" applyBorder="1"/>
    <xf numFmtId="7" fontId="62" fillId="0" borderId="3" xfId="0" applyNumberFormat="1" applyFont="1" applyBorder="1" applyProtection="1"/>
    <xf numFmtId="0" fontId="62" fillId="0" borderId="2" xfId="0" applyFont="1" applyBorder="1" applyAlignment="1" applyProtection="1">
      <alignment horizontal="left"/>
    </xf>
    <xf numFmtId="1" fontId="62" fillId="0" borderId="7" xfId="0" applyNumberFormat="1" applyFont="1" applyBorder="1"/>
    <xf numFmtId="7" fontId="62" fillId="0" borderId="6" xfId="0" applyNumberFormat="1" applyFont="1" applyBorder="1" applyProtection="1"/>
    <xf numFmtId="7" fontId="62" fillId="0" borderId="9" xfId="0" applyNumberFormat="1" applyFont="1" applyBorder="1" applyProtection="1"/>
    <xf numFmtId="164" fontId="62" fillId="2" borderId="4" xfId="0" applyNumberFormat="1" applyFont="1" applyFill="1" applyBorder="1" applyProtection="1"/>
    <xf numFmtId="164" fontId="62" fillId="2" borderId="5" xfId="0" applyNumberFormat="1" applyFont="1" applyFill="1" applyBorder="1" applyProtection="1"/>
    <xf numFmtId="1" fontId="62" fillId="2" borderId="4" xfId="0" applyNumberFormat="1" applyFont="1" applyFill="1" applyBorder="1"/>
    <xf numFmtId="39" fontId="62" fillId="2" borderId="5" xfId="0" applyNumberFormat="1" applyFont="1" applyFill="1" applyBorder="1" applyProtection="1"/>
    <xf numFmtId="39" fontId="62" fillId="0" borderId="5" xfId="0" applyNumberFormat="1" applyFont="1" applyBorder="1" applyProtection="1"/>
    <xf numFmtId="164" fontId="62" fillId="2" borderId="1" xfId="0" applyNumberFormat="1" applyFont="1" applyFill="1" applyBorder="1" applyProtection="1"/>
    <xf numFmtId="165" fontId="62" fillId="11" borderId="1" xfId="0" applyNumberFormat="1" applyFont="1" applyFill="1" applyBorder="1" applyAlignment="1" applyProtection="1">
      <alignment horizontal="right"/>
    </xf>
    <xf numFmtId="164" fontId="62" fillId="11" borderId="1" xfId="0" applyNumberFormat="1" applyFont="1" applyFill="1" applyBorder="1" applyAlignment="1" applyProtection="1">
      <alignment horizontal="right"/>
    </xf>
    <xf numFmtId="7" fontId="62" fillId="11" borderId="1" xfId="0" applyNumberFormat="1" applyFont="1" applyFill="1" applyBorder="1" applyProtection="1"/>
    <xf numFmtId="1" fontId="62" fillId="11" borderId="1" xfId="0" applyNumberFormat="1" applyFont="1" applyFill="1" applyBorder="1" applyAlignment="1" applyProtection="1">
      <alignment horizontal="right"/>
    </xf>
    <xf numFmtId="1" fontId="62" fillId="2" borderId="0" xfId="0" applyNumberFormat="1" applyFont="1" applyFill="1" applyProtection="1"/>
    <xf numFmtId="7" fontId="62" fillId="17" borderId="4" xfId="0" applyNumberFormat="1" applyFont="1" applyFill="1" applyBorder="1" applyProtection="1"/>
    <xf numFmtId="1" fontId="70" fillId="0" borderId="0" xfId="0" applyNumberFormat="1" applyFont="1"/>
    <xf numFmtId="1" fontId="70" fillId="2" borderId="0" xfId="0" applyNumberFormat="1" applyFont="1" applyFill="1"/>
    <xf numFmtId="1" fontId="70" fillId="0" borderId="23" xfId="0" applyNumberFormat="1" applyFont="1" applyBorder="1" applyAlignment="1" applyProtection="1">
      <alignment horizontal="center"/>
    </xf>
    <xf numFmtId="7" fontId="70" fillId="0" borderId="11" xfId="0" applyNumberFormat="1" applyFont="1" applyBorder="1" applyProtection="1"/>
    <xf numFmtId="1" fontId="62" fillId="0" borderId="0" xfId="0" applyNumberFormat="1" applyFont="1"/>
    <xf numFmtId="0" fontId="70" fillId="0" borderId="2" xfId="0" applyFont="1" applyBorder="1" applyAlignment="1" applyProtection="1">
      <alignment horizontal="left"/>
    </xf>
    <xf numFmtId="164" fontId="62" fillId="0" borderId="0" xfId="0" applyNumberFormat="1" applyFont="1" applyProtection="1"/>
    <xf numFmtId="39" fontId="62" fillId="0" borderId="0" xfId="0" applyNumberFormat="1" applyFont="1" applyProtection="1"/>
    <xf numFmtId="1" fontId="62" fillId="0" borderId="7" xfId="0" applyNumberFormat="1" applyFont="1" applyBorder="1" applyProtection="1"/>
    <xf numFmtId="1" fontId="62" fillId="2" borderId="5" xfId="0" applyNumberFormat="1" applyFont="1" applyFill="1" applyBorder="1"/>
    <xf numFmtId="39" fontId="62" fillId="0" borderId="7" xfId="0" applyNumberFormat="1" applyFont="1" applyBorder="1" applyProtection="1"/>
    <xf numFmtId="0" fontId="62" fillId="0" borderId="25" xfId="0" applyFont="1" applyBorder="1" applyAlignment="1" applyProtection="1">
      <alignment horizontal="left"/>
    </xf>
    <xf numFmtId="0" fontId="62" fillId="2" borderId="4" xfId="0" applyFont="1" applyFill="1" applyBorder="1"/>
    <xf numFmtId="1" fontId="62" fillId="11" borderId="6" xfId="0" applyNumberFormat="1" applyFont="1" applyFill="1" applyBorder="1"/>
    <xf numFmtId="164" fontId="62" fillId="2" borderId="2" xfId="0" applyNumberFormat="1" applyFont="1" applyFill="1" applyBorder="1" applyProtection="1"/>
    <xf numFmtId="1" fontId="62" fillId="2" borderId="2" xfId="0" applyNumberFormat="1" applyFont="1" applyFill="1" applyBorder="1"/>
    <xf numFmtId="39" fontId="62" fillId="2" borderId="2" xfId="0" applyNumberFormat="1" applyFont="1" applyFill="1" applyBorder="1" applyProtection="1"/>
    <xf numFmtId="0" fontId="62" fillId="2" borderId="7" xfId="0" applyFont="1" applyFill="1" applyBorder="1"/>
    <xf numFmtId="0" fontId="70" fillId="11" borderId="2" xfId="0" applyFont="1" applyFill="1" applyBorder="1" applyAlignment="1" applyProtection="1">
      <alignment horizontal="left"/>
    </xf>
    <xf numFmtId="0" fontId="62" fillId="11" borderId="2" xfId="0" applyFont="1" applyFill="1" applyBorder="1"/>
    <xf numFmtId="1" fontId="62" fillId="11" borderId="2" xfId="0" applyNumberFormat="1" applyFont="1" applyFill="1" applyBorder="1"/>
    <xf numFmtId="0" fontId="62" fillId="11" borderId="7" xfId="0" applyFont="1" applyFill="1" applyBorder="1"/>
    <xf numFmtId="43" fontId="62" fillId="11" borderId="1" xfId="1" applyFont="1" applyFill="1" applyBorder="1" applyProtection="1"/>
    <xf numFmtId="7" fontId="70" fillId="0" borderId="0" xfId="0" applyNumberFormat="1" applyFont="1" applyBorder="1" applyProtection="1"/>
    <xf numFmtId="1" fontId="62" fillId="0" borderId="0" xfId="0" applyNumberFormat="1" applyFont="1" applyProtection="1"/>
    <xf numFmtId="7" fontId="62" fillId="0" borderId="10" xfId="0" applyNumberFormat="1" applyFont="1" applyBorder="1" applyProtection="1"/>
    <xf numFmtId="1" fontId="62" fillId="0" borderId="6" xfId="0" applyNumberFormat="1" applyFont="1" applyBorder="1" applyProtection="1"/>
    <xf numFmtId="39" fontId="62" fillId="0" borderId="10" xfId="0" applyNumberFormat="1" applyFont="1" applyBorder="1" applyProtection="1"/>
    <xf numFmtId="164" fontId="62" fillId="0" borderId="13" xfId="0" applyNumberFormat="1" applyFont="1" applyBorder="1" applyProtection="1"/>
    <xf numFmtId="7" fontId="62" fillId="0" borderId="4" xfId="0" quotePrefix="1" applyNumberFormat="1" applyFont="1" applyBorder="1" applyProtection="1"/>
    <xf numFmtId="169" fontId="62" fillId="0" borderId="5" xfId="0" applyNumberFormat="1" applyFont="1" applyBorder="1" applyProtection="1"/>
    <xf numFmtId="41" fontId="62" fillId="0" borderId="5" xfId="0" applyNumberFormat="1" applyFont="1" applyBorder="1" applyProtection="1"/>
    <xf numFmtId="4" fontId="62" fillId="0" borderId="5" xfId="0" applyNumberFormat="1" applyFont="1" applyBorder="1" applyProtection="1"/>
    <xf numFmtId="5" fontId="62" fillId="0" borderId="5" xfId="0" applyNumberFormat="1" applyFont="1" applyBorder="1" applyProtection="1"/>
    <xf numFmtId="7" fontId="62" fillId="0" borderId="7" xfId="0" applyNumberFormat="1" applyFont="1" applyBorder="1" applyProtection="1"/>
    <xf numFmtId="164" fontId="62" fillId="11" borderId="26" xfId="0" applyNumberFormat="1" applyFont="1" applyFill="1" applyBorder="1" applyProtection="1"/>
    <xf numFmtId="0" fontId="62" fillId="11" borderId="26" xfId="0" applyFont="1" applyFill="1" applyBorder="1"/>
    <xf numFmtId="1" fontId="62" fillId="11" borderId="26" xfId="0" applyNumberFormat="1" applyFont="1" applyFill="1" applyBorder="1"/>
    <xf numFmtId="39" fontId="62" fillId="11" borderId="26" xfId="0" applyNumberFormat="1" applyFont="1" applyFill="1" applyBorder="1" applyProtection="1"/>
    <xf numFmtId="0" fontId="62" fillId="11" borderId="27" xfId="0" applyFont="1" applyFill="1" applyBorder="1"/>
    <xf numFmtId="164" fontId="62" fillId="0" borderId="9" xfId="0" applyNumberFormat="1" applyFont="1" applyFill="1" applyBorder="1" applyProtection="1"/>
    <xf numFmtId="1" fontId="62" fillId="0" borderId="9" xfId="0" applyNumberFormat="1" applyFont="1" applyFill="1" applyBorder="1"/>
    <xf numFmtId="164" fontId="62" fillId="0" borderId="6" xfId="0" applyNumberFormat="1" applyFont="1" applyBorder="1" applyProtection="1"/>
    <xf numFmtId="39" fontId="62" fillId="0" borderId="6" xfId="0" applyNumberFormat="1" applyFont="1" applyBorder="1" applyProtection="1"/>
    <xf numFmtId="0" fontId="62" fillId="0" borderId="8" xfId="0" applyFont="1" applyBorder="1"/>
    <xf numFmtId="7" fontId="62" fillId="0" borderId="2" xfId="0" applyNumberFormat="1" applyFont="1" applyBorder="1" applyProtection="1"/>
    <xf numFmtId="1" fontId="62" fillId="0" borderId="2" xfId="0" applyNumberFormat="1" applyFont="1" applyBorder="1" applyProtection="1"/>
    <xf numFmtId="39" fontId="62" fillId="11" borderId="1" xfId="0" applyNumberFormat="1" applyFont="1" applyFill="1" applyBorder="1" applyProtection="1"/>
    <xf numFmtId="5" fontId="62" fillId="11" borderId="4" xfId="0" applyNumberFormat="1" applyFont="1" applyFill="1" applyBorder="1" applyProtection="1"/>
    <xf numFmtId="7" fontId="62" fillId="2" borderId="0" xfId="0" applyNumberFormat="1" applyFont="1" applyFill="1" applyProtection="1"/>
    <xf numFmtId="7" fontId="62" fillId="11" borderId="4" xfId="0" applyNumberFormat="1" applyFont="1" applyFill="1" applyBorder="1" applyProtection="1"/>
    <xf numFmtId="0" fontId="73" fillId="11" borderId="1" xfId="0" applyFont="1" applyFill="1" applyBorder="1" applyAlignment="1" applyProtection="1">
      <alignment horizontal="left"/>
    </xf>
    <xf numFmtId="0" fontId="70" fillId="17" borderId="1" xfId="0" applyFont="1" applyFill="1" applyBorder="1" applyAlignment="1" applyProtection="1">
      <alignment horizontal="left"/>
    </xf>
    <xf numFmtId="164" fontId="62" fillId="18" borderId="6" xfId="0" applyNumberFormat="1" applyFont="1" applyFill="1" applyBorder="1" applyProtection="1"/>
    <xf numFmtId="164" fontId="62" fillId="18" borderId="13" xfId="0" applyNumberFormat="1" applyFont="1" applyFill="1" applyBorder="1" applyProtection="1"/>
    <xf numFmtId="164" fontId="62" fillId="18" borderId="5" xfId="0" applyNumberFormat="1" applyFont="1" applyFill="1" applyBorder="1" applyProtection="1"/>
    <xf numFmtId="0" fontId="70" fillId="18" borderId="2" xfId="0" applyFont="1" applyFill="1" applyBorder="1" applyAlignment="1" applyProtection="1">
      <alignment horizontal="left"/>
    </xf>
    <xf numFmtId="0" fontId="62" fillId="19" borderId="1" xfId="0" applyFont="1" applyFill="1" applyBorder="1"/>
    <xf numFmtId="164" fontId="62" fillId="17" borderId="6" xfId="0" applyNumberFormat="1" applyFont="1" applyFill="1" applyBorder="1" applyProtection="1"/>
    <xf numFmtId="5" fontId="62" fillId="17" borderId="4" xfId="0" applyNumberFormat="1" applyFont="1" applyFill="1" applyBorder="1" applyProtection="1"/>
    <xf numFmtId="0" fontId="70" fillId="2" borderId="15" xfId="0" applyFont="1" applyFill="1" applyBorder="1"/>
    <xf numFmtId="5" fontId="62" fillId="2" borderId="15" xfId="0" applyNumberFormat="1" applyFont="1" applyFill="1" applyBorder="1" applyProtection="1"/>
    <xf numFmtId="0" fontId="62" fillId="0" borderId="15" xfId="0" applyFont="1" applyBorder="1"/>
    <xf numFmtId="0" fontId="70" fillId="2" borderId="2" xfId="0" applyFont="1" applyFill="1" applyBorder="1"/>
    <xf numFmtId="1" fontId="62" fillId="2" borderId="0" xfId="0" applyNumberFormat="1" applyFont="1" applyFill="1"/>
    <xf numFmtId="0" fontId="62" fillId="2" borderId="15" xfId="0" applyFont="1" applyFill="1" applyBorder="1"/>
    <xf numFmtId="0" fontId="62" fillId="11" borderId="28" xfId="0" applyFont="1" applyFill="1" applyBorder="1"/>
    <xf numFmtId="7" fontId="62" fillId="0" borderId="24" xfId="0" applyNumberFormat="1" applyFont="1" applyBorder="1" applyProtection="1"/>
    <xf numFmtId="0" fontId="70" fillId="0" borderId="7" xfId="0" applyFont="1" applyBorder="1" applyAlignment="1" applyProtection="1">
      <alignment horizontal="left"/>
    </xf>
    <xf numFmtId="7" fontId="62" fillId="0" borderId="15" xfId="0" applyNumberFormat="1" applyFont="1" applyBorder="1" applyProtection="1"/>
    <xf numFmtId="164" fontId="62" fillId="11" borderId="0" xfId="0" applyNumberFormat="1" applyFont="1" applyFill="1" applyProtection="1"/>
    <xf numFmtId="0" fontId="62" fillId="11" borderId="0" xfId="0" applyFont="1" applyFill="1"/>
    <xf numFmtId="1" fontId="62" fillId="11" borderId="0" xfId="0" applyNumberFormat="1" applyFont="1" applyFill="1"/>
    <xf numFmtId="39" fontId="62" fillId="11" borderId="0" xfId="0" applyNumberFormat="1" applyFont="1" applyFill="1" applyProtection="1"/>
    <xf numFmtId="0" fontId="62" fillId="11" borderId="15" xfId="0" applyFont="1" applyFill="1" applyBorder="1"/>
    <xf numFmtId="0" fontId="62" fillId="0" borderId="7" xfId="0" applyFont="1" applyBorder="1" applyAlignment="1" applyProtection="1">
      <alignment horizontal="left" wrapText="1"/>
    </xf>
    <xf numFmtId="168" fontId="61" fillId="0" borderId="9" xfId="0" applyNumberFormat="1" applyFont="1" applyFill="1" applyBorder="1" applyAlignment="1" applyProtection="1">
      <alignment horizontal="left" wrapText="1"/>
    </xf>
    <xf numFmtId="3" fontId="61" fillId="0" borderId="9" xfId="1" applyNumberFormat="1" applyFont="1" applyBorder="1" applyAlignment="1" applyProtection="1">
      <alignment horizontal="right" wrapText="1"/>
    </xf>
    <xf numFmtId="168" fontId="61" fillId="0" borderId="9" xfId="0" applyNumberFormat="1" applyFont="1" applyBorder="1" applyAlignment="1" applyProtection="1">
      <alignment horizontal="left" wrapText="1"/>
    </xf>
    <xf numFmtId="0" fontId="74" fillId="4" borderId="9" xfId="0" applyFont="1" applyFill="1" applyBorder="1" applyAlignment="1"/>
    <xf numFmtId="2" fontId="61" fillId="4" borderId="9" xfId="0" applyNumberFormat="1" applyFont="1" applyFill="1" applyBorder="1" applyAlignment="1" applyProtection="1">
      <alignment horizontal="center" wrapText="1"/>
    </xf>
    <xf numFmtId="169" fontId="61" fillId="4" borderId="9" xfId="2" applyNumberFormat="1" applyFont="1" applyFill="1" applyBorder="1" applyAlignment="1" applyProtection="1">
      <alignment horizontal="center" wrapText="1"/>
    </xf>
    <xf numFmtId="3" fontId="61" fillId="4" borderId="9" xfId="1" applyNumberFormat="1" applyFont="1" applyFill="1" applyBorder="1" applyAlignment="1" applyProtection="1">
      <alignment horizontal="right" wrapText="1"/>
    </xf>
    <xf numFmtId="3" fontId="61" fillId="4" borderId="9" xfId="0" applyNumberFormat="1" applyFont="1" applyFill="1" applyBorder="1" applyAlignment="1">
      <alignment horizontal="right"/>
    </xf>
    <xf numFmtId="171" fontId="61" fillId="4" borderId="9" xfId="0" applyNumberFormat="1" applyFont="1" applyFill="1" applyBorder="1" applyAlignment="1" applyProtection="1">
      <alignment horizontal="right" wrapText="1"/>
    </xf>
    <xf numFmtId="2" fontId="61" fillId="0" borderId="9" xfId="0" applyNumberFormat="1" applyFont="1" applyFill="1" applyBorder="1" applyAlignment="1" applyProtection="1">
      <alignment horizontal="center" wrapText="1"/>
    </xf>
    <xf numFmtId="169" fontId="61" fillId="0" borderId="9" xfId="2" applyNumberFormat="1" applyFont="1" applyFill="1" applyBorder="1" applyAlignment="1" applyProtection="1">
      <alignment horizontal="center" wrapText="1"/>
    </xf>
    <xf numFmtId="3" fontId="61" fillId="0" borderId="9" xfId="0" applyNumberFormat="1" applyFont="1" applyFill="1" applyBorder="1" applyAlignment="1">
      <alignment horizontal="right"/>
    </xf>
    <xf numFmtId="171" fontId="61" fillId="0" borderId="9" xfId="0" applyNumberFormat="1" applyFont="1" applyFill="1" applyBorder="1" applyAlignment="1" applyProtection="1">
      <alignment horizontal="right" wrapText="1"/>
    </xf>
    <xf numFmtId="168" fontId="74" fillId="4" borderId="9" xfId="0" applyNumberFormat="1" applyFont="1" applyFill="1" applyBorder="1" applyAlignment="1" applyProtection="1">
      <alignment horizontal="left" wrapText="1"/>
    </xf>
    <xf numFmtId="0" fontId="70" fillId="11" borderId="7" xfId="0" applyFont="1" applyFill="1" applyBorder="1" applyAlignment="1" applyProtection="1">
      <alignment horizontal="left"/>
    </xf>
    <xf numFmtId="0" fontId="62" fillId="11" borderId="3" xfId="0" applyFont="1" applyFill="1" applyBorder="1" applyAlignment="1" applyProtection="1">
      <alignment horizontal="right"/>
    </xf>
    <xf numFmtId="1" fontId="62" fillId="11" borderId="3" xfId="0" applyNumberFormat="1" applyFont="1" applyFill="1" applyBorder="1" applyAlignment="1" applyProtection="1">
      <alignment horizontal="right"/>
    </xf>
    <xf numFmtId="37" fontId="62" fillId="17" borderId="3" xfId="0" applyNumberFormat="1" applyFont="1" applyFill="1" applyBorder="1" applyProtection="1"/>
    <xf numFmtId="0" fontId="70" fillId="0" borderId="0" xfId="0" applyFont="1" applyAlignment="1" applyProtection="1">
      <alignment horizontal="center"/>
    </xf>
    <xf numFmtId="0" fontId="62" fillId="3" borderId="0" xfId="0" applyFont="1" applyFill="1"/>
    <xf numFmtId="1" fontId="62" fillId="0" borderId="9" xfId="0" applyNumberFormat="1" applyFont="1" applyBorder="1"/>
    <xf numFmtId="0" fontId="62" fillId="0" borderId="9" xfId="0" applyFont="1" applyBorder="1"/>
    <xf numFmtId="37" fontId="70" fillId="0" borderId="9" xfId="0" applyNumberFormat="1" applyFont="1" applyBorder="1" applyProtection="1"/>
    <xf numFmtId="5" fontId="70" fillId="0" borderId="5" xfId="0" applyNumberFormat="1" applyFont="1" applyBorder="1" applyProtection="1"/>
    <xf numFmtId="37" fontId="62" fillId="0" borderId="9" xfId="0" applyNumberFormat="1" applyFont="1" applyBorder="1" applyProtection="1"/>
    <xf numFmtId="5" fontId="70" fillId="0" borderId="29" xfId="0" applyNumberFormat="1" applyFont="1" applyBorder="1" applyProtection="1"/>
    <xf numFmtId="5" fontId="62" fillId="0" borderId="10" xfId="0" applyNumberFormat="1" applyFont="1" applyBorder="1" applyProtection="1"/>
    <xf numFmtId="5" fontId="70" fillId="0" borderId="3" xfId="0" applyNumberFormat="1" applyFont="1" applyBorder="1" applyProtection="1"/>
    <xf numFmtId="5" fontId="62" fillId="0" borderId="3" xfId="0" applyNumberFormat="1" applyFont="1" applyBorder="1" applyProtection="1"/>
    <xf numFmtId="5" fontId="70" fillId="0" borderId="10" xfId="0" applyNumberFormat="1" applyFont="1" applyBorder="1" applyProtection="1"/>
    <xf numFmtId="5" fontId="70" fillId="0" borderId="9" xfId="0" applyNumberFormat="1" applyFont="1" applyBorder="1" applyProtection="1"/>
    <xf numFmtId="5" fontId="62" fillId="0" borderId="9" xfId="0" applyNumberFormat="1" applyFont="1" applyBorder="1" applyProtection="1"/>
    <xf numFmtId="165" fontId="62" fillId="3" borderId="3" xfId="0" applyNumberFormat="1" applyFont="1" applyFill="1" applyBorder="1" applyProtection="1"/>
    <xf numFmtId="164" fontId="70" fillId="3" borderId="0" xfId="0" applyNumberFormat="1" applyFont="1" applyFill="1" applyProtection="1"/>
    <xf numFmtId="164" fontId="62" fillId="3" borderId="0" xfId="0" applyNumberFormat="1" applyFont="1" applyFill="1" applyProtection="1"/>
    <xf numFmtId="0" fontId="70" fillId="3" borderId="0" xfId="0" applyFont="1" applyFill="1"/>
    <xf numFmtId="5" fontId="70" fillId="2" borderId="3" xfId="0" applyNumberFormat="1" applyFont="1" applyFill="1" applyBorder="1" applyProtection="1"/>
    <xf numFmtId="165" fontId="62" fillId="3" borderId="0" xfId="0" applyNumberFormat="1" applyFont="1" applyFill="1" applyProtection="1"/>
    <xf numFmtId="7" fontId="70" fillId="2" borderId="0" xfId="0" applyNumberFormat="1" applyFont="1" applyFill="1" applyProtection="1"/>
    <xf numFmtId="0" fontId="70" fillId="0" borderId="23" xfId="0" applyFont="1" applyBorder="1"/>
    <xf numFmtId="0" fontId="62" fillId="11" borderId="1" xfId="0" applyFont="1" applyFill="1" applyBorder="1" applyAlignment="1" applyProtection="1">
      <alignment horizontal="left"/>
    </xf>
    <xf numFmtId="169" fontId="62" fillId="0" borderId="1" xfId="0" applyNumberFormat="1" applyFont="1" applyBorder="1" applyProtection="1"/>
    <xf numFmtId="7" fontId="62" fillId="0" borderId="8" xfId="0" applyNumberFormat="1" applyFont="1" applyBorder="1" applyProtection="1"/>
    <xf numFmtId="1" fontId="62" fillId="0" borderId="1" xfId="0" applyNumberFormat="1" applyFont="1" applyBorder="1" applyAlignment="1" applyProtection="1">
      <alignment horizontal="right"/>
    </xf>
    <xf numFmtId="7" fontId="62" fillId="0" borderId="1" xfId="2" applyNumberFormat="1" applyFont="1" applyBorder="1" applyProtection="1"/>
    <xf numFmtId="7" fontId="62" fillId="0" borderId="9" xfId="2" applyNumberFormat="1" applyFont="1" applyBorder="1" applyProtection="1"/>
    <xf numFmtId="0" fontId="62" fillId="0" borderId="1" xfId="0" applyFont="1" applyBorder="1" applyAlignment="1" applyProtection="1">
      <alignment horizontal="right"/>
    </xf>
    <xf numFmtId="43" fontId="62" fillId="0" borderId="1" xfId="1" applyFont="1" applyBorder="1" applyProtection="1"/>
    <xf numFmtId="43" fontId="62" fillId="2" borderId="0" xfId="1" applyFont="1" applyFill="1" applyProtection="1"/>
    <xf numFmtId="0" fontId="70" fillId="4" borderId="30" xfId="0" applyFont="1" applyFill="1" applyBorder="1" applyAlignment="1" applyProtection="1">
      <alignment horizontal="left"/>
    </xf>
    <xf numFmtId="164" fontId="62" fillId="4" borderId="31" xfId="0" applyNumberFormat="1" applyFont="1" applyFill="1" applyBorder="1" applyProtection="1"/>
    <xf numFmtId="7" fontId="62" fillId="4" borderId="31" xfId="0" applyNumberFormat="1" applyFont="1" applyFill="1" applyBorder="1" applyProtection="1"/>
    <xf numFmtId="37" fontId="62" fillId="4" borderId="31" xfId="0" applyNumberFormat="1" applyFont="1" applyFill="1" applyBorder="1" applyProtection="1"/>
    <xf numFmtId="39" fontId="62" fillId="4" borderId="31" xfId="0" applyNumberFormat="1" applyFont="1" applyFill="1" applyBorder="1" applyProtection="1"/>
    <xf numFmtId="7" fontId="62" fillId="4" borderId="32" xfId="0" applyNumberFormat="1" applyFont="1" applyFill="1" applyBorder="1" applyProtection="1"/>
    <xf numFmtId="164" fontId="62" fillId="0" borderId="9" xfId="0" applyNumberFormat="1" applyFont="1" applyBorder="1" applyProtection="1"/>
    <xf numFmtId="169" fontId="62" fillId="0" borderId="9" xfId="0" applyNumberFormat="1" applyFont="1" applyBorder="1" applyProtection="1"/>
    <xf numFmtId="1" fontId="62" fillId="0" borderId="9" xfId="0" applyNumberFormat="1" applyFont="1" applyBorder="1" applyProtection="1"/>
    <xf numFmtId="39" fontId="62" fillId="0" borderId="9" xfId="0" applyNumberFormat="1" applyFont="1" applyBorder="1" applyProtection="1"/>
    <xf numFmtId="169" fontId="62" fillId="0" borderId="4" xfId="0" applyNumberFormat="1" applyFont="1" applyBorder="1" applyProtection="1"/>
    <xf numFmtId="0" fontId="62" fillId="0" borderId="33" xfId="0" applyFont="1" applyFill="1" applyBorder="1"/>
    <xf numFmtId="164" fontId="62" fillId="0" borderId="33" xfId="0" applyNumberFormat="1" applyFont="1" applyFill="1" applyBorder="1" applyProtection="1"/>
    <xf numFmtId="7" fontId="62" fillId="0" borderId="33" xfId="0" applyNumberFormat="1" applyFont="1" applyFill="1" applyBorder="1"/>
    <xf numFmtId="1" fontId="62" fillId="0" borderId="33" xfId="0" applyNumberFormat="1" applyFont="1" applyFill="1" applyBorder="1"/>
    <xf numFmtId="39" fontId="62" fillId="0" borderId="33" xfId="0" applyNumberFormat="1" applyFont="1" applyFill="1" applyBorder="1" applyProtection="1"/>
    <xf numFmtId="7" fontId="62" fillId="11" borderId="34" xfId="0" applyNumberFormat="1" applyFont="1" applyFill="1" applyBorder="1" applyProtection="1"/>
    <xf numFmtId="37" fontId="62" fillId="11" borderId="0" xfId="0" applyNumberFormat="1" applyFont="1" applyFill="1" applyProtection="1"/>
    <xf numFmtId="7" fontId="62" fillId="11" borderId="3" xfId="0" applyNumberFormat="1" applyFont="1" applyFill="1" applyBorder="1" applyProtection="1"/>
    <xf numFmtId="0" fontId="62" fillId="0" borderId="1" xfId="0" applyFont="1" applyFill="1" applyBorder="1" applyAlignment="1">
      <alignment wrapText="1"/>
    </xf>
    <xf numFmtId="164" fontId="62" fillId="0" borderId="1" xfId="0" applyNumberFormat="1" applyFont="1" applyFill="1" applyBorder="1" applyProtection="1"/>
    <xf numFmtId="1" fontId="62" fillId="0" borderId="1" xfId="0" applyNumberFormat="1" applyFont="1" applyFill="1" applyBorder="1"/>
    <xf numFmtId="169" fontId="62" fillId="0" borderId="2" xfId="0" applyNumberFormat="1" applyFont="1" applyBorder="1" applyProtection="1"/>
    <xf numFmtId="169" fontId="62" fillId="0" borderId="7" xfId="0" applyNumberFormat="1" applyFont="1" applyBorder="1" applyProtection="1"/>
    <xf numFmtId="169" fontId="62" fillId="0" borderId="6" xfId="0" applyNumberFormat="1" applyFont="1" applyBorder="1" applyProtection="1"/>
    <xf numFmtId="3" fontId="62" fillId="0" borderId="6" xfId="0" applyNumberFormat="1" applyFont="1" applyBorder="1" applyProtection="1"/>
    <xf numFmtId="4" fontId="62" fillId="0" borderId="4" xfId="0" applyNumberFormat="1" applyFont="1" applyBorder="1" applyProtection="1"/>
    <xf numFmtId="164" fontId="62" fillId="0" borderId="0" xfId="0" applyNumberFormat="1" applyFont="1" applyBorder="1" applyProtection="1"/>
    <xf numFmtId="169" fontId="62" fillId="0" borderId="0" xfId="0" applyNumberFormat="1" applyFont="1" applyBorder="1" applyProtection="1"/>
    <xf numFmtId="3" fontId="62" fillId="0" borderId="0" xfId="0" applyNumberFormat="1" applyFont="1" applyBorder="1" applyProtection="1"/>
    <xf numFmtId="4" fontId="62" fillId="0" borderId="3" xfId="0" applyNumberFormat="1" applyFont="1" applyBorder="1" applyProtection="1"/>
    <xf numFmtId="1" fontId="62" fillId="0" borderId="0" xfId="0" applyNumberFormat="1" applyFont="1" applyBorder="1" applyProtection="1"/>
    <xf numFmtId="0" fontId="62" fillId="3" borderId="0" xfId="0" applyFont="1" applyFill="1" applyBorder="1"/>
    <xf numFmtId="164" fontId="62" fillId="3" borderId="0" xfId="0" applyNumberFormat="1" applyFont="1" applyFill="1" applyBorder="1" applyProtection="1"/>
    <xf numFmtId="39" fontId="62" fillId="3" borderId="0" xfId="0" applyNumberFormat="1" applyFont="1" applyFill="1" applyBorder="1" applyProtection="1"/>
    <xf numFmtId="164" fontId="62" fillId="0" borderId="35" xfId="0" applyNumberFormat="1" applyFont="1" applyFill="1" applyBorder="1" applyProtection="1"/>
    <xf numFmtId="7" fontId="62" fillId="0" borderId="35" xfId="0" applyNumberFormat="1" applyFont="1" applyFill="1" applyBorder="1"/>
    <xf numFmtId="0" fontId="62" fillId="0" borderId="35" xfId="0" applyFont="1" applyFill="1" applyBorder="1" applyAlignment="1">
      <alignment horizontal="right"/>
    </xf>
    <xf numFmtId="39" fontId="70" fillId="0" borderId="1" xfId="0" applyNumberFormat="1" applyFont="1" applyBorder="1" applyAlignment="1" applyProtection="1">
      <alignment horizontal="right"/>
    </xf>
    <xf numFmtId="7" fontId="70" fillId="0" borderId="1" xfId="0" applyNumberFormat="1" applyFont="1" applyBorder="1" applyAlignment="1" applyProtection="1">
      <alignment horizontal="right"/>
    </xf>
    <xf numFmtId="0" fontId="70" fillId="0" borderId="1" xfId="0" applyFont="1" applyBorder="1" applyAlignment="1" applyProtection="1">
      <alignment horizontal="right"/>
    </xf>
    <xf numFmtId="0" fontId="70" fillId="17" borderId="36" xfId="0" applyFont="1" applyFill="1" applyBorder="1" applyAlignment="1" applyProtection="1">
      <alignment horizontal="left"/>
    </xf>
    <xf numFmtId="164" fontId="62" fillId="18" borderId="34" xfId="0" applyNumberFormat="1" applyFont="1" applyFill="1" applyBorder="1" applyProtection="1"/>
    <xf numFmtId="164" fontId="62" fillId="18" borderId="36" xfId="0" applyNumberFormat="1" applyFont="1" applyFill="1" applyBorder="1" applyProtection="1"/>
    <xf numFmtId="7" fontId="62" fillId="18" borderId="37" xfId="0" applyNumberFormat="1" applyFont="1" applyFill="1" applyBorder="1" applyProtection="1"/>
    <xf numFmtId="169" fontId="62" fillId="18" borderId="34" xfId="0" applyNumberFormat="1" applyFont="1" applyFill="1" applyBorder="1" applyProtection="1"/>
    <xf numFmtId="169" fontId="62" fillId="18" borderId="36" xfId="0" applyNumberFormat="1" applyFont="1" applyFill="1" applyBorder="1" applyProtection="1"/>
    <xf numFmtId="1" fontId="62" fillId="18" borderId="34" xfId="0" applyNumberFormat="1" applyFont="1" applyFill="1" applyBorder="1" applyProtection="1"/>
    <xf numFmtId="39" fontId="62" fillId="18" borderId="36" xfId="0" applyNumberFormat="1" applyFont="1" applyFill="1" applyBorder="1" applyProtection="1"/>
    <xf numFmtId="0" fontId="62" fillId="18" borderId="36" xfId="0" applyFont="1" applyFill="1" applyBorder="1"/>
    <xf numFmtId="169" fontId="62" fillId="18" borderId="37" xfId="0" applyNumberFormat="1" applyFont="1" applyFill="1" applyBorder="1" applyProtection="1"/>
    <xf numFmtId="1" fontId="62" fillId="18" borderId="37" xfId="0" applyNumberFormat="1" applyFont="1" applyFill="1" applyBorder="1" applyProtection="1"/>
    <xf numFmtId="7" fontId="62" fillId="18" borderId="37" xfId="0" quotePrefix="1" applyNumberFormat="1" applyFont="1" applyFill="1" applyBorder="1" applyProtection="1"/>
    <xf numFmtId="164" fontId="62" fillId="17" borderId="34" xfId="0" applyNumberFormat="1" applyFont="1" applyFill="1" applyBorder="1" applyProtection="1"/>
    <xf numFmtId="37" fontId="70" fillId="15" borderId="38" xfId="1" applyNumberFormat="1" applyFont="1" applyFill="1" applyBorder="1" applyProtection="1"/>
    <xf numFmtId="5" fontId="70" fillId="15" borderId="38" xfId="0" applyNumberFormat="1" applyFont="1" applyFill="1" applyBorder="1" applyProtection="1"/>
    <xf numFmtId="0" fontId="62" fillId="0" borderId="39" xfId="0" applyFont="1" applyBorder="1" applyAlignment="1" applyProtection="1">
      <alignment horizontal="left"/>
    </xf>
    <xf numFmtId="0" fontId="62" fillId="0" borderId="40" xfId="0" applyFont="1" applyBorder="1" applyAlignment="1" applyProtection="1">
      <alignment horizontal="left"/>
    </xf>
    <xf numFmtId="0" fontId="62" fillId="0" borderId="24" xfId="0" applyFont="1" applyBorder="1" applyAlignment="1" applyProtection="1">
      <alignment horizontal="left" vertical="top" wrapText="1"/>
    </xf>
    <xf numFmtId="0" fontId="62" fillId="0" borderId="41" xfId="0" applyFont="1" applyBorder="1" applyAlignment="1" applyProtection="1">
      <alignment horizontal="left" vertical="top" wrapText="1"/>
    </xf>
    <xf numFmtId="0" fontId="62" fillId="7" borderId="42" xfId="0" applyFont="1" applyFill="1" applyBorder="1" applyAlignment="1">
      <alignment vertical="top" wrapText="1"/>
    </xf>
    <xf numFmtId="0" fontId="62" fillId="0" borderId="39" xfId="0" applyFont="1" applyBorder="1" applyAlignment="1" applyProtection="1">
      <alignment horizontal="left" vertical="top" wrapText="1"/>
    </xf>
    <xf numFmtId="0" fontId="62" fillId="0" borderId="40" xfId="0" applyFont="1" applyBorder="1" applyAlignment="1" applyProtection="1">
      <alignment horizontal="left" vertical="top" wrapText="1"/>
    </xf>
    <xf numFmtId="0" fontId="62" fillId="3" borderId="2" xfId="0" applyFont="1" applyFill="1" applyBorder="1"/>
    <xf numFmtId="0" fontId="62" fillId="0" borderId="43" xfId="0" applyFont="1" applyFill="1" applyBorder="1"/>
    <xf numFmtId="0" fontId="62" fillId="0" borderId="44" xfId="0" applyFont="1" applyBorder="1" applyAlignment="1" applyProtection="1">
      <alignment horizontal="left"/>
    </xf>
    <xf numFmtId="0" fontId="70" fillId="18" borderId="2" xfId="0" applyFont="1" applyFill="1" applyBorder="1"/>
    <xf numFmtId="0" fontId="62" fillId="0" borderId="10" xfId="0" applyFont="1" applyBorder="1" applyAlignment="1" applyProtection="1">
      <alignment horizontal="left"/>
    </xf>
    <xf numFmtId="0" fontId="70" fillId="18" borderId="10" xfId="0" applyFont="1" applyFill="1" applyBorder="1" applyAlignment="1" applyProtection="1">
      <alignment horizontal="left"/>
    </xf>
    <xf numFmtId="0" fontId="70" fillId="11" borderId="45" xfId="0" applyFont="1" applyFill="1" applyBorder="1" applyAlignment="1" applyProtection="1">
      <alignment horizontal="left"/>
    </xf>
    <xf numFmtId="0" fontId="62" fillId="0" borderId="39" xfId="0" applyFont="1" applyFill="1" applyBorder="1"/>
    <xf numFmtId="0" fontId="62" fillId="0" borderId="46" xfId="0" applyFont="1" applyBorder="1" applyAlignment="1" applyProtection="1">
      <alignment horizontal="left"/>
    </xf>
    <xf numFmtId="0" fontId="62" fillId="0" borderId="47" xfId="0" applyFont="1" applyBorder="1" applyAlignment="1" applyProtection="1">
      <alignment horizontal="left"/>
    </xf>
    <xf numFmtId="0" fontId="62" fillId="0" borderId="11" xfId="0" applyFont="1" applyBorder="1" applyAlignment="1" applyProtection="1">
      <alignment horizontal="left"/>
    </xf>
    <xf numFmtId="0" fontId="62" fillId="0" borderId="9" xfId="0" applyFont="1" applyBorder="1" applyAlignment="1" applyProtection="1">
      <alignment horizontal="left"/>
    </xf>
    <xf numFmtId="0" fontId="70" fillId="2" borderId="48" xfId="0" applyFont="1" applyFill="1" applyBorder="1"/>
    <xf numFmtId="3" fontId="70" fillId="0" borderId="0" xfId="1" applyNumberFormat="1" applyFont="1"/>
    <xf numFmtId="171" fontId="70" fillId="0" borderId="0" xfId="2" applyNumberFormat="1" applyFont="1"/>
    <xf numFmtId="5" fontId="62" fillId="0" borderId="0" xfId="2" applyNumberFormat="1" applyFont="1"/>
    <xf numFmtId="5" fontId="70" fillId="0" borderId="0" xfId="2" applyNumberFormat="1" applyFont="1"/>
    <xf numFmtId="0" fontId="0" fillId="0" borderId="9" xfId="0" applyBorder="1" applyAlignment="1" applyProtection="1">
      <alignment horizontal="left" wrapText="1"/>
    </xf>
    <xf numFmtId="4" fontId="56" fillId="0" borderId="0" xfId="0" applyNumberFormat="1" applyFont="1" applyBorder="1" applyProtection="1"/>
    <xf numFmtId="4" fontId="56" fillId="0" borderId="50" xfId="0" applyNumberFormat="1" applyFont="1" applyBorder="1" applyProtection="1"/>
    <xf numFmtId="0" fontId="56" fillId="0" borderId="49" xfId="0" applyFont="1" applyBorder="1"/>
    <xf numFmtId="0" fontId="0" fillId="0" borderId="49" xfId="0" applyBorder="1"/>
    <xf numFmtId="4" fontId="56" fillId="0" borderId="49" xfId="0" applyNumberFormat="1" applyFont="1" applyBorder="1" applyProtection="1"/>
    <xf numFmtId="2" fontId="0" fillId="0" borderId="51" xfId="0" applyNumberFormat="1" applyBorder="1" applyProtection="1"/>
    <xf numFmtId="0" fontId="0" fillId="0" borderId="9" xfId="0" applyFont="1" applyBorder="1" applyAlignment="1" applyProtection="1">
      <alignment horizontal="left" vertical="top" wrapText="1"/>
    </xf>
    <xf numFmtId="2" fontId="0" fillId="0" borderId="9" xfId="0" applyNumberFormat="1" applyFont="1" applyBorder="1" applyAlignment="1" applyProtection="1">
      <alignment vertical="top"/>
    </xf>
    <xf numFmtId="0" fontId="0" fillId="0" borderId="9" xfId="0" applyFont="1" applyBorder="1" applyAlignment="1" applyProtection="1">
      <alignment horizontal="left"/>
    </xf>
    <xf numFmtId="2" fontId="0" fillId="0" borderId="9" xfId="0" applyNumberFormat="1" applyFont="1" applyBorder="1" applyProtection="1"/>
    <xf numFmtId="0" fontId="0" fillId="0" borderId="49" xfId="0" applyFont="1" applyBorder="1"/>
    <xf numFmtId="2" fontId="0" fillId="0" borderId="49" xfId="0" applyNumberFormat="1" applyFont="1" applyBorder="1" applyProtection="1"/>
    <xf numFmtId="0" fontId="0" fillId="0" borderId="49" xfId="0" applyFont="1" applyFill="1" applyBorder="1"/>
    <xf numFmtId="2" fontId="0" fillId="0" borderId="49" xfId="0" applyNumberFormat="1" applyFont="1" applyFill="1" applyBorder="1" applyProtection="1"/>
    <xf numFmtId="168" fontId="74" fillId="18" borderId="9" xfId="0" applyNumberFormat="1" applyFont="1" applyFill="1" applyBorder="1" applyAlignment="1" applyProtection="1">
      <alignment horizontal="left" wrapText="1"/>
    </xf>
    <xf numFmtId="0" fontId="13" fillId="0" borderId="21" xfId="0" applyFont="1" applyBorder="1" applyAlignment="1">
      <alignment horizontal="center"/>
    </xf>
    <xf numFmtId="0" fontId="0" fillId="0" borderId="22" xfId="0" applyBorder="1" applyAlignment="1">
      <alignment horizontal="center"/>
    </xf>
    <xf numFmtId="0" fontId="0" fillId="0" borderId="13" xfId="0" applyBorder="1" applyAlignment="1">
      <alignment horizont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bls.gov/oes/current/oes_nat.htm" TargetMode="External"/><Relationship Id="rId1" Type="http://schemas.openxmlformats.org/officeDocument/2006/relationships/hyperlink" Target="http://www.bls.gov/oes/current/naics4_999200.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28" transitionEvaluation="1"/>
  <dimension ref="A2:Z451"/>
  <sheetViews>
    <sheetView showGridLines="0" topLeftCell="A28" zoomScaleNormal="100" workbookViewId="0">
      <selection activeCell="E45" sqref="E45"/>
    </sheetView>
  </sheetViews>
  <sheetFormatPr defaultColWidth="9.83203125" defaultRowHeight="10.5" x14ac:dyDescent="0.15"/>
  <cols>
    <col min="1" max="1" width="31.6640625" customWidth="1"/>
    <col min="2" max="3" width="10.83203125" customWidth="1"/>
    <col min="4" max="4" width="12" customWidth="1"/>
    <col min="5" max="7" width="10.83203125" customWidth="1"/>
    <col min="8" max="8" width="9.1640625" customWidth="1"/>
    <col min="9" max="9" width="9.5" customWidth="1"/>
    <col min="10" max="10" width="8.1640625" customWidth="1"/>
    <col min="11" max="11" width="10.83203125" customWidth="1"/>
    <col min="12" max="12" width="13.1640625" customWidth="1"/>
    <col min="13" max="13" width="6.83203125" style="49" customWidth="1"/>
    <col min="14" max="14" width="13.1640625" customWidth="1"/>
    <col min="15" max="15" width="11.6640625" style="42" bestFit="1" customWidth="1"/>
    <col min="16" max="16" width="13.83203125" style="42" bestFit="1" customWidth="1"/>
    <col min="17" max="17" width="10.83203125" customWidth="1"/>
    <col min="18" max="24" width="7.5" customWidth="1"/>
  </cols>
  <sheetData>
    <row r="2" spans="1:26" x14ac:dyDescent="0.15">
      <c r="A2" t="s">
        <v>597</v>
      </c>
      <c r="B2" s="87" t="s">
        <v>596</v>
      </c>
      <c r="C2">
        <v>136.30000000000001</v>
      </c>
      <c r="D2">
        <v>140.4</v>
      </c>
      <c r="E2">
        <v>146.5</v>
      </c>
      <c r="F2">
        <v>150.6</v>
      </c>
      <c r="G2" s="93" t="s">
        <v>351</v>
      </c>
      <c r="J2" s="77"/>
      <c r="K2" s="287" t="s">
        <v>536</v>
      </c>
      <c r="L2" s="221"/>
      <c r="N2" s="221" t="s">
        <v>536</v>
      </c>
      <c r="O2" s="221"/>
      <c r="P2" s="49"/>
      <c r="Q2" s="86"/>
      <c r="S2" s="42"/>
    </row>
    <row r="3" spans="1:26" ht="31.5" x14ac:dyDescent="0.15">
      <c r="B3" s="88" t="s">
        <v>595</v>
      </c>
      <c r="C3" t="s">
        <v>213</v>
      </c>
      <c r="D3" t="s">
        <v>214</v>
      </c>
      <c r="E3" t="s">
        <v>215</v>
      </c>
      <c r="F3" t="s">
        <v>320</v>
      </c>
      <c r="G3" s="79" t="s">
        <v>240</v>
      </c>
      <c r="K3" s="330" t="s">
        <v>240</v>
      </c>
      <c r="L3" s="221"/>
      <c r="N3" s="231" t="s">
        <v>240</v>
      </c>
      <c r="O3" s="221"/>
      <c r="P3" s="49"/>
      <c r="Q3" s="158"/>
      <c r="S3" s="42"/>
    </row>
    <row r="4" spans="1:26" x14ac:dyDescent="0.15">
      <c r="B4" s="10" t="s">
        <v>217</v>
      </c>
      <c r="C4" s="32">
        <v>99.8</v>
      </c>
      <c r="D4" s="32">
        <f>C4*$D$2/$C$2</f>
        <v>102.80205429200292</v>
      </c>
      <c r="E4" s="33">
        <f>D4*$E$2/$D$2</f>
        <v>107.26852531181216</v>
      </c>
      <c r="F4" s="74">
        <v>121.08</v>
      </c>
      <c r="G4" s="101">
        <v>130.33000000000001</v>
      </c>
      <c r="K4" s="331">
        <v>81.13</v>
      </c>
      <c r="L4" s="221"/>
      <c r="N4" s="232">
        <f>'Labor Rates'!$F$19</f>
        <v>131.82182361733931</v>
      </c>
      <c r="O4" s="221" t="s">
        <v>467</v>
      </c>
      <c r="P4" s="49"/>
      <c r="Q4" s="10" t="s">
        <v>217</v>
      </c>
      <c r="S4" s="107"/>
    </row>
    <row r="5" spans="1:26" x14ac:dyDescent="0.15">
      <c r="B5" s="10" t="s">
        <v>218</v>
      </c>
      <c r="C5" s="32">
        <v>75.91</v>
      </c>
      <c r="D5" s="32">
        <f>C5*$D$2/$C$2</f>
        <v>78.193426265590602</v>
      </c>
      <c r="E5" s="33">
        <f>D5*$E$2/$D$2</f>
        <v>81.590719002201013</v>
      </c>
      <c r="F5" s="74">
        <v>92.09</v>
      </c>
      <c r="G5" s="101">
        <v>113.39</v>
      </c>
      <c r="K5" s="331">
        <v>65.61</v>
      </c>
      <c r="L5" s="221"/>
      <c r="N5" s="232">
        <f>'Labor Rates'!$J$19</f>
        <v>105.60478325859492</v>
      </c>
      <c r="O5" s="221" t="s">
        <v>467</v>
      </c>
      <c r="P5" s="49"/>
      <c r="Q5" s="10" t="s">
        <v>218</v>
      </c>
      <c r="S5" s="42"/>
    </row>
    <row r="6" spans="1:26" x14ac:dyDescent="0.15">
      <c r="B6" s="10" t="s">
        <v>219</v>
      </c>
      <c r="C6" s="32">
        <v>49.69</v>
      </c>
      <c r="D6" s="32">
        <f>C6*$D$2/$C$2</f>
        <v>51.184710198092439</v>
      </c>
      <c r="E6" s="33">
        <f>D6*$E$2/$D$2</f>
        <v>53.408547322083635</v>
      </c>
      <c r="F6" s="33">
        <v>60.28</v>
      </c>
      <c r="G6" s="101">
        <v>83.74</v>
      </c>
      <c r="K6" s="331">
        <v>36.340000000000003</v>
      </c>
      <c r="L6" s="221"/>
      <c r="N6" s="232">
        <f>'Labor Rates'!$N$19</f>
        <v>51.09476831091181</v>
      </c>
      <c r="O6" s="221" t="s">
        <v>467</v>
      </c>
      <c r="P6" s="49"/>
      <c r="Q6" s="10" t="s">
        <v>219</v>
      </c>
      <c r="S6" s="42"/>
    </row>
    <row r="7" spans="1:26" x14ac:dyDescent="0.15">
      <c r="B7" s="10" t="s">
        <v>220</v>
      </c>
      <c r="C7" s="32">
        <v>25.99</v>
      </c>
      <c r="D7" s="32">
        <f>C7*$D$2/$C$2</f>
        <v>26.771797505502565</v>
      </c>
      <c r="E7" s="33">
        <f>D7*$E$2/$D$2</f>
        <v>27.934959647835655</v>
      </c>
      <c r="F7" s="33">
        <v>31.53</v>
      </c>
      <c r="G7" s="101">
        <v>31.14</v>
      </c>
      <c r="K7" s="331">
        <v>17.989999999999998</v>
      </c>
      <c r="L7" s="221"/>
      <c r="N7" s="232">
        <f>'Labor Rates'!$R$19</f>
        <v>33.11449925261585</v>
      </c>
      <c r="O7" s="221" t="s">
        <v>467</v>
      </c>
      <c r="P7" s="49"/>
      <c r="Q7" s="10" t="s">
        <v>220</v>
      </c>
      <c r="S7" s="42"/>
    </row>
    <row r="8" spans="1:26" x14ac:dyDescent="0.15">
      <c r="B8" s="10" t="s">
        <v>394</v>
      </c>
      <c r="C8" s="32"/>
      <c r="D8" s="32"/>
      <c r="E8" s="33"/>
      <c r="F8" s="33"/>
      <c r="G8" s="103"/>
      <c r="K8" s="331">
        <v>13.81</v>
      </c>
      <c r="L8" s="221"/>
      <c r="N8" s="232">
        <f>'Labor Rates'!$V$19</f>
        <v>18.54947683109118</v>
      </c>
      <c r="O8" s="221" t="s">
        <v>467</v>
      </c>
      <c r="P8" s="49"/>
      <c r="Q8" s="10" t="s">
        <v>394</v>
      </c>
      <c r="S8" s="42"/>
    </row>
    <row r="9" spans="1:26" ht="12.75" x14ac:dyDescent="0.2">
      <c r="C9" s="32"/>
      <c r="D9" s="32"/>
      <c r="E9" s="33"/>
      <c r="F9" s="33"/>
      <c r="G9" s="103"/>
      <c r="K9" s="336" t="s">
        <v>594</v>
      </c>
      <c r="L9" s="333"/>
      <c r="M9" s="334"/>
      <c r="N9" s="335"/>
      <c r="O9" s="332"/>
      <c r="P9" s="327"/>
      <c r="S9" s="42"/>
    </row>
    <row r="10" spans="1:26" x14ac:dyDescent="0.15">
      <c r="G10" s="86"/>
      <c r="K10" s="76"/>
      <c r="M10"/>
      <c r="P10" s="43"/>
    </row>
    <row r="11" spans="1:26" x14ac:dyDescent="0.15">
      <c r="B11" s="89" t="s">
        <v>286</v>
      </c>
      <c r="G11" s="86"/>
      <c r="K11" s="76"/>
      <c r="M11"/>
      <c r="P11" s="43"/>
      <c r="Q11" s="76" t="s">
        <v>343</v>
      </c>
      <c r="R11" s="76"/>
      <c r="S11" s="76"/>
      <c r="T11" s="76"/>
      <c r="U11" s="76"/>
      <c r="V11" s="76"/>
      <c r="W11" s="76"/>
      <c r="X11" s="85" t="s">
        <v>514</v>
      </c>
    </row>
    <row r="12" spans="1:26" x14ac:dyDescent="0.15">
      <c r="B12" s="89" t="s">
        <v>212</v>
      </c>
      <c r="C12">
        <v>162</v>
      </c>
      <c r="D12">
        <v>164.7</v>
      </c>
      <c r="E12">
        <v>169.2</v>
      </c>
      <c r="F12">
        <v>174.5</v>
      </c>
      <c r="G12" s="86"/>
      <c r="K12" s="76"/>
      <c r="L12" s="76" t="s">
        <v>340</v>
      </c>
      <c r="M12" s="76"/>
      <c r="N12" s="220"/>
      <c r="O12" s="221" t="s">
        <v>534</v>
      </c>
      <c r="P12" s="43"/>
      <c r="Q12" s="85"/>
      <c r="R12" s="85" t="s">
        <v>344</v>
      </c>
      <c r="S12" s="85" t="s">
        <v>345</v>
      </c>
      <c r="T12" s="85" t="s">
        <v>346</v>
      </c>
      <c r="U12" s="85" t="s">
        <v>347</v>
      </c>
      <c r="V12" s="85" t="s">
        <v>348</v>
      </c>
      <c r="W12" s="85" t="s">
        <v>349</v>
      </c>
      <c r="X12" s="85" t="s">
        <v>350</v>
      </c>
      <c r="Z12" s="226" t="s">
        <v>533</v>
      </c>
    </row>
    <row r="13" spans="1:26" x14ac:dyDescent="0.15">
      <c r="C13" t="s">
        <v>213</v>
      </c>
      <c r="D13" t="s">
        <v>214</v>
      </c>
      <c r="E13" t="s">
        <v>215</v>
      </c>
      <c r="F13" t="s">
        <v>216</v>
      </c>
      <c r="G13" s="94" t="s">
        <v>351</v>
      </c>
      <c r="K13" s="76" t="s">
        <v>428</v>
      </c>
      <c r="L13" s="213"/>
      <c r="M13" s="214"/>
      <c r="N13" s="221" t="s">
        <v>535</v>
      </c>
      <c r="O13" s="221"/>
      <c r="P13" s="43"/>
      <c r="Q13" s="76"/>
      <c r="R13" s="76">
        <v>178</v>
      </c>
      <c r="S13" s="76">
        <v>179.9</v>
      </c>
      <c r="T13" s="76">
        <v>183.7</v>
      </c>
      <c r="U13" s="76">
        <v>189.7</v>
      </c>
      <c r="V13" s="76">
        <v>194.5</v>
      </c>
      <c r="W13" s="76">
        <v>202.9</v>
      </c>
      <c r="X13" s="76">
        <v>208.35</v>
      </c>
      <c r="Z13" s="221">
        <v>217.97</v>
      </c>
    </row>
    <row r="14" spans="1:26" x14ac:dyDescent="0.15">
      <c r="A14" t="s">
        <v>287</v>
      </c>
      <c r="B14" t="s">
        <v>288</v>
      </c>
      <c r="C14" s="32">
        <v>40600</v>
      </c>
      <c r="D14" s="32">
        <f>C14*$D$12/$C$12</f>
        <v>41276.666666666664</v>
      </c>
      <c r="E14" s="33">
        <f>D14*$E$12/$D$12</f>
        <v>42404.444444444445</v>
      </c>
      <c r="F14" s="33">
        <f>E14*$F$12/$E$12</f>
        <v>43732.716049382725</v>
      </c>
      <c r="G14" s="102">
        <f>ROUND(F14,0)</f>
        <v>43733</v>
      </c>
      <c r="K14" s="215">
        <f>ROUND(L14,0)</f>
        <v>48033</v>
      </c>
      <c r="L14" s="114">
        <f>$G14*($X$13/$U$13)</f>
        <v>48032.527938850813</v>
      </c>
      <c r="M14" s="76"/>
      <c r="N14" s="222">
        <f>ROUND(O14,0)</f>
        <v>50250</v>
      </c>
      <c r="O14" s="223">
        <f>$L14*($Z$13/$X$13)</f>
        <v>50250.300527148131</v>
      </c>
      <c r="P14" s="337"/>
      <c r="Z14" s="221" t="s">
        <v>538</v>
      </c>
    </row>
    <row r="15" spans="1:26" x14ac:dyDescent="0.15">
      <c r="A15" t="s">
        <v>289</v>
      </c>
      <c r="B15" t="s">
        <v>290</v>
      </c>
      <c r="C15" s="32">
        <v>1030</v>
      </c>
      <c r="D15" s="32">
        <f>C15*$D$12/$C$12</f>
        <v>1047.1666666666667</v>
      </c>
      <c r="E15" s="33">
        <f>D15*$E$12/$D$12</f>
        <v>1075.7777777777778</v>
      </c>
      <c r="F15" s="33">
        <f>E15*$F$12/$E$12</f>
        <v>1109.4753086419753</v>
      </c>
      <c r="G15" s="102">
        <f t="shared" ref="G15:G24" si="0">ROUND(F15,0)</f>
        <v>1109</v>
      </c>
      <c r="K15" s="215">
        <f t="shared" ref="K15:K24" si="1">ROUND(L15,0)</f>
        <v>1218</v>
      </c>
      <c r="L15" s="114">
        <f>$G15*($X$13/$U$13)</f>
        <v>1218.0292567211386</v>
      </c>
      <c r="M15" s="213"/>
      <c r="N15" s="222">
        <f t="shared" ref="N15:N26" si="2">ROUND(O15,0)</f>
        <v>1274</v>
      </c>
      <c r="O15" s="223">
        <f t="shared" ref="O15:O26" si="3">$L15*($Z$13/$X$13)</f>
        <v>1274.2684765419083</v>
      </c>
      <c r="P15" s="43"/>
      <c r="X15" s="76" t="s">
        <v>537</v>
      </c>
      <c r="Z15" s="221"/>
    </row>
    <row r="16" spans="1:26" x14ac:dyDescent="0.15">
      <c r="C16" s="32">
        <v>8800</v>
      </c>
      <c r="D16" s="32">
        <f>C16*$D$12/$C$12</f>
        <v>8946.6666666666661</v>
      </c>
      <c r="E16" s="33">
        <f>D16*$E$12/$D$12</f>
        <v>9191.1111111111095</v>
      </c>
      <c r="F16" s="33">
        <f>E16*$F$12/$E$12</f>
        <v>9479.0123456790116</v>
      </c>
      <c r="G16" s="102">
        <f t="shared" si="0"/>
        <v>9479</v>
      </c>
      <c r="K16" s="215">
        <f t="shared" si="1"/>
        <v>10411</v>
      </c>
      <c r="L16" s="114">
        <f>$G16*($X$13/$U$13)</f>
        <v>10410.910121244069</v>
      </c>
      <c r="M16" s="213"/>
      <c r="N16" s="222">
        <f t="shared" si="2"/>
        <v>10892</v>
      </c>
      <c r="O16" s="223">
        <f t="shared" si="3"/>
        <v>10891.605851344228</v>
      </c>
      <c r="P16" s="43"/>
      <c r="R16">
        <v>2001</v>
      </c>
      <c r="S16">
        <v>2002</v>
      </c>
      <c r="T16">
        <v>2003</v>
      </c>
      <c r="U16">
        <v>2004</v>
      </c>
      <c r="V16">
        <v>2005</v>
      </c>
      <c r="W16">
        <v>2006</v>
      </c>
      <c r="X16">
        <v>2007</v>
      </c>
      <c r="Z16" s="221">
        <v>2010</v>
      </c>
    </row>
    <row r="17" spans="1:26" x14ac:dyDescent="0.15">
      <c r="C17" s="32">
        <v>1300</v>
      </c>
      <c r="D17" s="32">
        <f t="shared" ref="D17:D24" si="4">C17*$D$12/$C$12</f>
        <v>1321.6666666666665</v>
      </c>
      <c r="E17" s="33">
        <f t="shared" ref="E17:E24" si="5">D17*$E$12/$D$12</f>
        <v>1357.7777777777776</v>
      </c>
      <c r="F17" s="33">
        <f t="shared" ref="F17:F24" si="6">E17*$F$12/$E$12</f>
        <v>1400.3086419753085</v>
      </c>
      <c r="G17" s="102">
        <f t="shared" si="0"/>
        <v>1400</v>
      </c>
      <c r="K17" s="215">
        <f t="shared" si="1"/>
        <v>1538</v>
      </c>
      <c r="L17" s="114">
        <f>$G17*($X$13/$U$13)</f>
        <v>1537.6383763837637</v>
      </c>
      <c r="M17" s="213"/>
      <c r="N17" s="222">
        <f t="shared" si="2"/>
        <v>1609</v>
      </c>
      <c r="O17" s="223">
        <f t="shared" si="3"/>
        <v>1608.6346863468634</v>
      </c>
      <c r="P17" s="43"/>
      <c r="Q17" t="s">
        <v>515</v>
      </c>
      <c r="R17">
        <v>177.1</v>
      </c>
      <c r="S17">
        <v>179.9</v>
      </c>
      <c r="T17">
        <v>184</v>
      </c>
      <c r="U17">
        <v>188.9</v>
      </c>
      <c r="V17">
        <v>195.3</v>
      </c>
      <c r="W17">
        <v>201.6</v>
      </c>
      <c r="X17">
        <v>207.34</v>
      </c>
      <c r="Z17" s="221">
        <v>218.06</v>
      </c>
    </row>
    <row r="18" spans="1:26" x14ac:dyDescent="0.15">
      <c r="C18" s="32">
        <v>26000</v>
      </c>
      <c r="D18" s="32">
        <f t="shared" si="4"/>
        <v>26433.333333333332</v>
      </c>
      <c r="E18" s="33">
        <f t="shared" si="5"/>
        <v>27155.555555555551</v>
      </c>
      <c r="F18" s="33">
        <f t="shared" si="6"/>
        <v>28006.172839506173</v>
      </c>
      <c r="G18" s="102">
        <f t="shared" si="0"/>
        <v>28006</v>
      </c>
      <c r="K18" s="215">
        <f t="shared" si="1"/>
        <v>30759</v>
      </c>
      <c r="L18" s="114">
        <f>$G18*($X$13/$U$13)</f>
        <v>30759.357406431205</v>
      </c>
      <c r="M18" s="213"/>
      <c r="N18" s="222">
        <f t="shared" si="2"/>
        <v>32180</v>
      </c>
      <c r="O18" s="223">
        <f t="shared" si="3"/>
        <v>32179.587875593043</v>
      </c>
      <c r="P18" s="43"/>
    </row>
    <row r="19" spans="1:26" x14ac:dyDescent="0.15">
      <c r="C19" s="32">
        <v>4500</v>
      </c>
      <c r="D19" s="32">
        <f t="shared" si="4"/>
        <v>4575</v>
      </c>
      <c r="E19" s="33">
        <f t="shared" si="5"/>
        <v>4700</v>
      </c>
      <c r="F19" s="33">
        <f t="shared" si="6"/>
        <v>4847.2222222222226</v>
      </c>
      <c r="G19" s="102">
        <f t="shared" si="0"/>
        <v>4847</v>
      </c>
      <c r="K19" s="215">
        <f t="shared" si="1"/>
        <v>5324</v>
      </c>
      <c r="L19" s="114">
        <f t="shared" ref="L19:L24" si="7">$G19*($X$13/$U$13)</f>
        <v>5323.5237216657879</v>
      </c>
      <c r="M19" s="213"/>
      <c r="N19" s="222">
        <f t="shared" si="2"/>
        <v>5569</v>
      </c>
      <c r="O19" s="223">
        <f t="shared" si="3"/>
        <v>5569.3230890880341</v>
      </c>
      <c r="P19" s="43"/>
    </row>
    <row r="20" spans="1:26" x14ac:dyDescent="0.15">
      <c r="C20" s="32">
        <v>20</v>
      </c>
      <c r="D20" s="32">
        <f t="shared" si="4"/>
        <v>20.333333333333332</v>
      </c>
      <c r="E20" s="33">
        <f t="shared" si="5"/>
        <v>20.888888888888889</v>
      </c>
      <c r="F20" s="33">
        <f t="shared" si="6"/>
        <v>21.543209876543212</v>
      </c>
      <c r="G20" s="102">
        <f t="shared" si="0"/>
        <v>22</v>
      </c>
      <c r="K20" s="215">
        <f t="shared" si="1"/>
        <v>24</v>
      </c>
      <c r="L20" s="114">
        <f t="shared" si="7"/>
        <v>24.162888771744861</v>
      </c>
      <c r="M20" s="213"/>
      <c r="N20" s="222">
        <f t="shared" si="2"/>
        <v>25</v>
      </c>
      <c r="O20" s="223">
        <f t="shared" si="3"/>
        <v>25.278545071164999</v>
      </c>
      <c r="P20" s="43"/>
    </row>
    <row r="21" spans="1:26" x14ac:dyDescent="0.15">
      <c r="C21" s="32">
        <v>5</v>
      </c>
      <c r="D21" s="32">
        <f t="shared" si="4"/>
        <v>5.083333333333333</v>
      </c>
      <c r="E21" s="33">
        <f t="shared" si="5"/>
        <v>5.2222222222222223</v>
      </c>
      <c r="F21" s="33">
        <f t="shared" si="6"/>
        <v>5.3858024691358031</v>
      </c>
      <c r="G21" s="102">
        <f t="shared" si="0"/>
        <v>5</v>
      </c>
      <c r="K21" s="215">
        <f t="shared" si="1"/>
        <v>5</v>
      </c>
      <c r="L21" s="114">
        <f t="shared" si="7"/>
        <v>5.4915656299420137</v>
      </c>
      <c r="M21" s="213"/>
      <c r="N21" s="222">
        <f t="shared" si="2"/>
        <v>6</v>
      </c>
      <c r="O21" s="223">
        <f t="shared" si="3"/>
        <v>5.7451238798102269</v>
      </c>
      <c r="P21" s="43"/>
    </row>
    <row r="22" spans="1:26" x14ac:dyDescent="0.15">
      <c r="C22" s="32">
        <v>10</v>
      </c>
      <c r="D22" s="32">
        <f t="shared" si="4"/>
        <v>10.166666666666666</v>
      </c>
      <c r="E22" s="33">
        <f t="shared" si="5"/>
        <v>10.444444444444445</v>
      </c>
      <c r="F22" s="33">
        <f t="shared" si="6"/>
        <v>10.771604938271606</v>
      </c>
      <c r="G22" s="102">
        <f t="shared" si="0"/>
        <v>11</v>
      </c>
      <c r="K22" s="215">
        <f t="shared" si="1"/>
        <v>12</v>
      </c>
      <c r="L22" s="114">
        <f t="shared" si="7"/>
        <v>12.08144438587243</v>
      </c>
      <c r="M22" s="213"/>
      <c r="N22" s="222">
        <f t="shared" si="2"/>
        <v>13</v>
      </c>
      <c r="O22" s="223">
        <f t="shared" si="3"/>
        <v>12.639272535582499</v>
      </c>
      <c r="P22" s="43"/>
    </row>
    <row r="23" spans="1:26" x14ac:dyDescent="0.15">
      <c r="C23" s="32">
        <v>3</v>
      </c>
      <c r="D23" s="32">
        <f t="shared" si="4"/>
        <v>3.05</v>
      </c>
      <c r="E23" s="33">
        <f t="shared" si="5"/>
        <v>3.1333333333333333</v>
      </c>
      <c r="F23" s="33">
        <f t="shared" si="6"/>
        <v>3.2314814814814814</v>
      </c>
      <c r="G23" s="102">
        <f t="shared" si="0"/>
        <v>3</v>
      </c>
      <c r="K23" s="215">
        <f t="shared" si="1"/>
        <v>3</v>
      </c>
      <c r="L23" s="114">
        <f t="shared" si="7"/>
        <v>3.2949393779652079</v>
      </c>
      <c r="M23" s="213"/>
      <c r="N23" s="222">
        <f t="shared" si="2"/>
        <v>3</v>
      </c>
      <c r="O23" s="223">
        <f t="shared" si="3"/>
        <v>3.4470743278861358</v>
      </c>
      <c r="P23" s="43"/>
    </row>
    <row r="24" spans="1:26" x14ac:dyDescent="0.15">
      <c r="C24" s="32">
        <v>1010</v>
      </c>
      <c r="D24" s="32">
        <f t="shared" si="4"/>
        <v>1026.8333333333333</v>
      </c>
      <c r="E24" s="33">
        <f t="shared" si="5"/>
        <v>1054.8888888888889</v>
      </c>
      <c r="F24" s="33">
        <f t="shared" si="6"/>
        <v>1087.9320987654323</v>
      </c>
      <c r="G24" s="102">
        <f t="shared" si="0"/>
        <v>1088</v>
      </c>
      <c r="K24" s="215">
        <f t="shared" si="1"/>
        <v>1195</v>
      </c>
      <c r="L24" s="114">
        <f t="shared" si="7"/>
        <v>1194.964681075382</v>
      </c>
      <c r="M24" s="216"/>
      <c r="N24" s="222">
        <f t="shared" si="2"/>
        <v>1250</v>
      </c>
      <c r="O24" s="223">
        <f t="shared" si="3"/>
        <v>1250.1389562467052</v>
      </c>
      <c r="P24" s="43"/>
    </row>
    <row r="25" spans="1:26" x14ac:dyDescent="0.15">
      <c r="K25" s="215">
        <f>ROUND(L25,0)</f>
        <v>1977</v>
      </c>
      <c r="L25" s="114">
        <f>$G26*($X$13/$U$13)</f>
        <v>1976.9636267791248</v>
      </c>
      <c r="M25" s="216"/>
      <c r="N25" s="222">
        <f t="shared" si="2"/>
        <v>2068</v>
      </c>
      <c r="O25" s="223">
        <f t="shared" si="3"/>
        <v>2068.2445967316817</v>
      </c>
      <c r="P25" s="43"/>
    </row>
    <row r="26" spans="1:26" x14ac:dyDescent="0.15">
      <c r="A26" s="76" t="s">
        <v>352</v>
      </c>
      <c r="B26" s="76"/>
      <c r="C26" s="95"/>
      <c r="D26" s="95"/>
      <c r="E26" s="96"/>
      <c r="F26" s="96"/>
      <c r="G26" s="97">
        <v>1800</v>
      </c>
      <c r="H26" s="76"/>
      <c r="I26" s="76"/>
      <c r="K26" s="215">
        <f t="shared" ref="K26:K31" si="8">ROUND(L26,0)</f>
        <v>1977</v>
      </c>
      <c r="L26" s="114">
        <f>$G26*($X$13/$U$13)</f>
        <v>1976.9636267791248</v>
      </c>
      <c r="M26" s="216"/>
      <c r="N26" s="222">
        <f t="shared" si="2"/>
        <v>2068</v>
      </c>
      <c r="O26" s="223">
        <f t="shared" si="3"/>
        <v>2068.2445967316817</v>
      </c>
      <c r="P26" s="43"/>
    </row>
    <row r="27" spans="1:26" x14ac:dyDescent="0.15">
      <c r="A27" s="76"/>
      <c r="B27" s="76"/>
      <c r="C27" s="95"/>
      <c r="D27" s="95"/>
      <c r="E27" s="96"/>
      <c r="F27" s="96"/>
      <c r="G27" s="98"/>
      <c r="H27" s="76"/>
      <c r="I27" s="76"/>
      <c r="K27" s="215"/>
      <c r="L27" s="114"/>
      <c r="M27" s="216"/>
      <c r="N27" s="220"/>
      <c r="O27" s="221"/>
      <c r="P27" s="43"/>
    </row>
    <row r="28" spans="1:26" x14ac:dyDescent="0.15">
      <c r="A28" s="76" t="s">
        <v>376</v>
      </c>
      <c r="B28" s="76"/>
      <c r="C28" s="95"/>
      <c r="D28" s="95"/>
      <c r="E28" s="96"/>
      <c r="F28" s="96"/>
      <c r="G28" s="98">
        <v>0.38</v>
      </c>
      <c r="H28" s="99">
        <v>0.38</v>
      </c>
      <c r="I28" s="99"/>
      <c r="K28" s="99">
        <f>L28</f>
        <v>0.417358987875593</v>
      </c>
      <c r="L28" s="114">
        <f>$H28*($X$13/$U$13)</f>
        <v>0.417358987875593</v>
      </c>
      <c r="M28" s="216"/>
      <c r="N28" s="224">
        <f>O28</f>
        <v>0.43662941486557721</v>
      </c>
      <c r="O28" s="223">
        <f>$L28*($Z$13/$X$13)</f>
        <v>0.43662941486557721</v>
      </c>
      <c r="P28" s="43"/>
    </row>
    <row r="29" spans="1:26" x14ac:dyDescent="0.15">
      <c r="A29" s="76" t="s">
        <v>375</v>
      </c>
      <c r="B29" s="76"/>
      <c r="C29" s="95"/>
      <c r="D29" s="95"/>
      <c r="E29" s="96"/>
      <c r="F29" s="96"/>
      <c r="G29" s="98"/>
      <c r="H29" s="99">
        <v>4103</v>
      </c>
      <c r="K29" s="215">
        <f t="shared" si="8"/>
        <v>4506</v>
      </c>
      <c r="L29" s="114">
        <f>$H29*($X$13/$U$13)</f>
        <v>4506.3787559304164</v>
      </c>
      <c r="M29" s="216"/>
      <c r="N29" s="222">
        <f>ROUND(O29,0)</f>
        <v>4714</v>
      </c>
      <c r="O29" s="223">
        <f>$L29*($Z$13/$X$13)</f>
        <v>4714.4486557722721</v>
      </c>
      <c r="P29" s="43"/>
    </row>
    <row r="30" spans="1:26" x14ac:dyDescent="0.15">
      <c r="A30" s="76" t="s">
        <v>377</v>
      </c>
      <c r="B30" s="76"/>
      <c r="C30" s="95"/>
      <c r="D30" s="95"/>
      <c r="E30" s="96"/>
      <c r="F30" s="96"/>
      <c r="G30" s="98"/>
      <c r="H30" s="99">
        <v>4036</v>
      </c>
      <c r="K30" s="215">
        <f t="shared" si="8"/>
        <v>4433</v>
      </c>
      <c r="L30" s="114">
        <f>$H30*($X$13/$U$13)</f>
        <v>4432.7917764891936</v>
      </c>
      <c r="M30" s="216"/>
      <c r="N30" s="222">
        <f>ROUND(O30,0)</f>
        <v>4637</v>
      </c>
      <c r="O30" s="223">
        <f>$L30*($Z$13/$X$13)</f>
        <v>4637.4639957828158</v>
      </c>
      <c r="P30" s="43"/>
    </row>
    <row r="31" spans="1:26" x14ac:dyDescent="0.15">
      <c r="A31" s="76"/>
      <c r="B31" s="76"/>
      <c r="C31" s="76"/>
      <c r="D31" s="76"/>
      <c r="E31" s="76"/>
      <c r="F31" s="95"/>
      <c r="G31" s="100"/>
      <c r="H31" s="99">
        <v>6616</v>
      </c>
      <c r="K31" s="215">
        <f t="shared" si="8"/>
        <v>7266</v>
      </c>
      <c r="L31" s="114">
        <f>$H31*($X$13/$U$13)</f>
        <v>7266.4396415392721</v>
      </c>
      <c r="M31" s="216"/>
      <c r="N31" s="222">
        <f>ROUND(O31,0)</f>
        <v>7602</v>
      </c>
      <c r="O31" s="223">
        <f>$L31*($Z$13/$X$13)</f>
        <v>7601.9479177648918</v>
      </c>
      <c r="P31" s="43"/>
    </row>
    <row r="32" spans="1:26" x14ac:dyDescent="0.15">
      <c r="I32" s="90"/>
      <c r="K32" s="83"/>
      <c r="L32" s="80"/>
      <c r="M32" s="48"/>
      <c r="N32" s="220"/>
      <c r="O32" s="225"/>
      <c r="P32" s="43"/>
    </row>
    <row r="33" spans="1:18" x14ac:dyDescent="0.15">
      <c r="A33" s="221" t="s">
        <v>532</v>
      </c>
      <c r="I33" s="90"/>
      <c r="L33" s="224">
        <v>0</v>
      </c>
      <c r="M33" s="48"/>
      <c r="N33" s="224">
        <f>O33</f>
        <v>0</v>
      </c>
      <c r="O33" s="223">
        <f>$L33*($Z$13/$X$13)</f>
        <v>0</v>
      </c>
      <c r="P33" s="43"/>
    </row>
    <row r="34" spans="1:18" x14ac:dyDescent="0.15">
      <c r="A34" s="221"/>
      <c r="I34" s="90"/>
      <c r="L34" s="224"/>
      <c r="M34" s="48"/>
      <c r="N34" s="224"/>
      <c r="O34" s="223"/>
      <c r="P34" s="43"/>
    </row>
    <row r="35" spans="1:18" x14ac:dyDescent="0.15">
      <c r="L35" s="2"/>
      <c r="M35" s="48"/>
      <c r="P35" s="43"/>
    </row>
    <row r="36" spans="1:18" x14ac:dyDescent="0.15">
      <c r="A36" s="360" t="s">
        <v>0</v>
      </c>
      <c r="B36" s="361"/>
      <c r="C36" s="361"/>
      <c r="D36" s="251"/>
      <c r="E36" s="251"/>
      <c r="F36" s="251"/>
      <c r="G36" s="251"/>
      <c r="H36" s="251"/>
      <c r="I36" s="251"/>
      <c r="J36" s="251"/>
      <c r="K36" s="251"/>
      <c r="L36" s="362"/>
      <c r="M36" s="47"/>
      <c r="P36" s="41"/>
    </row>
    <row r="37" spans="1:18" x14ac:dyDescent="0.15">
      <c r="A37" s="360" t="s">
        <v>1</v>
      </c>
      <c r="B37" s="361"/>
      <c r="C37" s="361"/>
      <c r="D37" s="251"/>
      <c r="E37" s="251"/>
      <c r="F37" s="251"/>
      <c r="G37" s="251"/>
      <c r="H37" s="251"/>
      <c r="I37" s="251"/>
      <c r="J37" s="251"/>
      <c r="K37" s="251"/>
      <c r="L37" s="363"/>
      <c r="M37" s="48"/>
    </row>
    <row r="38" spans="1:18" x14ac:dyDescent="0.15">
      <c r="A38" s="360" t="s">
        <v>2</v>
      </c>
      <c r="B38" s="361"/>
      <c r="C38" s="361"/>
      <c r="D38" s="251"/>
      <c r="E38" s="251"/>
      <c r="F38" s="251"/>
      <c r="G38" s="251"/>
      <c r="H38" s="251"/>
      <c r="I38" s="251"/>
      <c r="J38" s="251"/>
      <c r="K38" s="251"/>
      <c r="L38" s="251"/>
    </row>
    <row r="39" spans="1:18" x14ac:dyDescent="0.15">
      <c r="A39" s="361"/>
      <c r="B39" s="361"/>
      <c r="C39" s="361"/>
      <c r="D39" s="361"/>
      <c r="E39" s="361"/>
      <c r="F39" s="361"/>
      <c r="G39" s="361"/>
      <c r="H39" s="361"/>
      <c r="I39" s="361"/>
      <c r="J39" s="361"/>
      <c r="K39" s="361"/>
      <c r="L39" s="361"/>
      <c r="M39" s="31"/>
      <c r="O39" s="43"/>
      <c r="P39" s="44"/>
    </row>
    <row r="40" spans="1:18" x14ac:dyDescent="0.15">
      <c r="A40" s="361"/>
      <c r="B40" s="361"/>
      <c r="C40" s="361"/>
      <c r="D40" s="364" t="s">
        <v>193</v>
      </c>
      <c r="E40" s="361"/>
      <c r="F40" s="361"/>
      <c r="G40" s="361"/>
      <c r="H40" s="361"/>
      <c r="I40" s="361"/>
      <c r="J40" s="361"/>
      <c r="K40" s="365" t="s">
        <v>194</v>
      </c>
      <c r="L40" s="361"/>
      <c r="M40" s="31"/>
      <c r="P40" s="44"/>
    </row>
    <row r="41" spans="1:18" ht="3.75" customHeight="1" x14ac:dyDescent="0.15">
      <c r="A41" s="361"/>
      <c r="B41" s="366"/>
      <c r="C41" s="366"/>
      <c r="D41" s="366"/>
      <c r="E41" s="366"/>
      <c r="F41" s="366"/>
      <c r="G41" s="366"/>
      <c r="H41" s="366"/>
      <c r="I41" s="366"/>
      <c r="J41" s="366"/>
      <c r="K41" s="366"/>
      <c r="L41" s="366"/>
      <c r="M41" s="31"/>
      <c r="P41" s="44"/>
    </row>
    <row r="42" spans="1:18" x14ac:dyDescent="0.15">
      <c r="A42" s="361"/>
      <c r="B42" s="367"/>
      <c r="C42" s="361"/>
      <c r="D42" s="361"/>
      <c r="E42" s="361"/>
      <c r="F42" s="361"/>
      <c r="G42" s="361"/>
      <c r="H42" s="361"/>
      <c r="I42" s="368"/>
      <c r="J42" s="369" t="s">
        <v>3</v>
      </c>
      <c r="K42" s="251"/>
      <c r="L42" s="370"/>
      <c r="M42" s="41"/>
    </row>
    <row r="43" spans="1:18" x14ac:dyDescent="0.15">
      <c r="A43" s="361"/>
      <c r="B43" s="367"/>
      <c r="C43" s="361"/>
      <c r="D43" s="361"/>
      <c r="E43" s="361"/>
      <c r="F43" s="361"/>
      <c r="G43" s="361"/>
      <c r="H43" s="361"/>
      <c r="I43" s="361"/>
      <c r="J43" s="365" t="s">
        <v>195</v>
      </c>
      <c r="K43" s="251"/>
      <c r="L43" s="371"/>
      <c r="M43" s="50"/>
    </row>
    <row r="44" spans="1:18" x14ac:dyDescent="0.15">
      <c r="A44" s="361"/>
      <c r="B44" s="372" t="s">
        <v>196</v>
      </c>
      <c r="C44" s="365" t="s">
        <v>197</v>
      </c>
      <c r="D44" s="365" t="s">
        <v>198</v>
      </c>
      <c r="E44" s="365" t="s">
        <v>199</v>
      </c>
      <c r="F44" s="365" t="s">
        <v>200</v>
      </c>
      <c r="G44" s="365" t="s">
        <v>192</v>
      </c>
      <c r="H44" s="365" t="s">
        <v>201</v>
      </c>
      <c r="I44" s="373"/>
      <c r="J44" s="365" t="s">
        <v>200</v>
      </c>
      <c r="K44" s="365" t="s">
        <v>202</v>
      </c>
      <c r="L44" s="374" t="s">
        <v>202</v>
      </c>
      <c r="N44" s="50" t="s">
        <v>342</v>
      </c>
      <c r="O44" s="10" t="s">
        <v>342</v>
      </c>
      <c r="P44" s="44" t="s">
        <v>342</v>
      </c>
      <c r="Q44" s="10"/>
      <c r="R44" s="10"/>
    </row>
    <row r="45" spans="1:18" ht="11.25" x14ac:dyDescent="0.2">
      <c r="A45" s="364" t="s">
        <v>4</v>
      </c>
      <c r="B45" s="375">
        <v>131.82</v>
      </c>
      <c r="C45" s="376">
        <v>105.6</v>
      </c>
      <c r="D45" s="376">
        <v>51.09</v>
      </c>
      <c r="E45" s="376">
        <v>33.11</v>
      </c>
      <c r="F45" s="365" t="s">
        <v>203</v>
      </c>
      <c r="G45" s="365" t="s">
        <v>204</v>
      </c>
      <c r="H45" s="365" t="s">
        <v>205</v>
      </c>
      <c r="I45" s="365" t="s">
        <v>206</v>
      </c>
      <c r="J45" s="365" t="s">
        <v>207</v>
      </c>
      <c r="K45" s="365" t="s">
        <v>203</v>
      </c>
      <c r="L45" s="374" t="s">
        <v>204</v>
      </c>
      <c r="N45" s="84" t="s">
        <v>211</v>
      </c>
      <c r="O45" s="84" t="s">
        <v>341</v>
      </c>
      <c r="P45" s="44" t="s">
        <v>396</v>
      </c>
      <c r="Q45" s="10"/>
      <c r="R45" s="10"/>
    </row>
    <row r="46" spans="1:18" x14ac:dyDescent="0.15">
      <c r="A46" s="364" t="s">
        <v>5</v>
      </c>
      <c r="B46" s="372" t="s">
        <v>210</v>
      </c>
      <c r="C46" s="365" t="s">
        <v>210</v>
      </c>
      <c r="D46" s="365" t="s">
        <v>210</v>
      </c>
      <c r="E46" s="365" t="s">
        <v>210</v>
      </c>
      <c r="F46" s="365" t="s">
        <v>208</v>
      </c>
      <c r="G46" s="365" t="s">
        <v>208</v>
      </c>
      <c r="H46" s="365" t="s">
        <v>151</v>
      </c>
      <c r="I46" s="365" t="s">
        <v>151</v>
      </c>
      <c r="J46" s="365" t="s">
        <v>209</v>
      </c>
      <c r="K46" s="365" t="s">
        <v>208</v>
      </c>
      <c r="L46" s="377" t="s">
        <v>208</v>
      </c>
      <c r="N46" s="51"/>
      <c r="O46" s="10"/>
      <c r="P46" s="44"/>
      <c r="Q46" s="10"/>
      <c r="R46" s="10"/>
    </row>
    <row r="47" spans="1:18" ht="2.25" customHeight="1" x14ac:dyDescent="0.15">
      <c r="A47" s="378"/>
      <c r="B47" s="378"/>
      <c r="C47" s="378"/>
      <c r="D47" s="378"/>
      <c r="E47" s="378"/>
      <c r="F47" s="378"/>
      <c r="G47" s="378"/>
      <c r="H47" s="378"/>
      <c r="I47" s="378"/>
      <c r="J47" s="379"/>
      <c r="K47" s="378"/>
      <c r="L47" s="380"/>
      <c r="N47" s="52"/>
      <c r="O47"/>
    </row>
    <row r="48" spans="1:18" x14ac:dyDescent="0.15">
      <c r="A48" s="381"/>
      <c r="B48" s="361"/>
      <c r="C48" s="361"/>
      <c r="D48" s="361"/>
      <c r="E48" s="361"/>
      <c r="F48" s="361"/>
      <c r="G48" s="251"/>
      <c r="H48" s="251"/>
      <c r="I48" s="251"/>
      <c r="J48" s="361"/>
      <c r="K48" s="251"/>
      <c r="L48" s="382"/>
      <c r="N48" s="42"/>
      <c r="O48"/>
    </row>
    <row r="49" spans="1:16" ht="12.75" x14ac:dyDescent="0.2">
      <c r="A49" s="383" t="s">
        <v>7</v>
      </c>
      <c r="B49" s="384"/>
      <c r="C49" s="384"/>
      <c r="D49" s="384"/>
      <c r="E49" s="384"/>
      <c r="F49" s="384"/>
      <c r="G49" s="384"/>
      <c r="H49" s="384"/>
      <c r="I49" s="384"/>
      <c r="J49" s="384"/>
      <c r="K49" s="384"/>
      <c r="L49" s="385"/>
      <c r="N49" s="42"/>
      <c r="O49"/>
    </row>
    <row r="50" spans="1:16" x14ac:dyDescent="0.15">
      <c r="A50" s="386" t="s">
        <v>511</v>
      </c>
      <c r="B50" s="359">
        <v>0.25</v>
      </c>
      <c r="C50" s="359">
        <v>0.5</v>
      </c>
      <c r="D50" s="359">
        <v>1</v>
      </c>
      <c r="E50" s="359">
        <v>0</v>
      </c>
      <c r="F50" s="359">
        <v>1.75</v>
      </c>
      <c r="G50" s="387">
        <f>(+B50*$B$45)+(+C50*$C$45)+(+D50*$D$45)+(+E50*$E$45)</f>
        <v>136.845</v>
      </c>
      <c r="H50" s="388">
        <v>0</v>
      </c>
      <c r="I50" s="388">
        <v>0</v>
      </c>
      <c r="J50" s="389">
        <f>$N$64</f>
        <v>2603</v>
      </c>
      <c r="K50" s="356">
        <f>F50*J50</f>
        <v>4555.25</v>
      </c>
      <c r="L50" s="390">
        <f>J50*(G50+H50+I50)</f>
        <v>356207.53499999997</v>
      </c>
      <c r="N50" s="227">
        <f>G50*J50</f>
        <v>356207.53499999997</v>
      </c>
      <c r="O50" s="40">
        <f>I50*J50</f>
        <v>0</v>
      </c>
      <c r="P50" s="46">
        <f>H50*J50</f>
        <v>0</v>
      </c>
    </row>
    <row r="51" spans="1:16" ht="3" customHeight="1" x14ac:dyDescent="0.15">
      <c r="A51" s="391"/>
      <c r="B51" s="392"/>
      <c r="C51" s="392"/>
      <c r="D51" s="392"/>
      <c r="E51" s="392"/>
      <c r="F51" s="392"/>
      <c r="G51" s="378"/>
      <c r="H51" s="378"/>
      <c r="I51" s="378"/>
      <c r="J51" s="378"/>
      <c r="K51" s="393"/>
      <c r="L51" s="394"/>
      <c r="N51" s="42"/>
      <c r="O51"/>
      <c r="P51" s="45"/>
    </row>
    <row r="52" spans="1:16" x14ac:dyDescent="0.15">
      <c r="A52" s="395" t="s">
        <v>8</v>
      </c>
      <c r="B52" s="396">
        <f t="shared" ref="B52:L52" si="9">(B50)</f>
        <v>0.25</v>
      </c>
      <c r="C52" s="396">
        <f t="shared" si="9"/>
        <v>0.5</v>
      </c>
      <c r="D52" s="396">
        <f t="shared" si="9"/>
        <v>1</v>
      </c>
      <c r="E52" s="396">
        <v>0</v>
      </c>
      <c r="F52" s="396">
        <f t="shared" si="9"/>
        <v>1.75</v>
      </c>
      <c r="G52" s="397">
        <f t="shared" si="9"/>
        <v>136.845</v>
      </c>
      <c r="H52" s="397">
        <f t="shared" si="9"/>
        <v>0</v>
      </c>
      <c r="I52" s="397">
        <f t="shared" si="9"/>
        <v>0</v>
      </c>
      <c r="J52" s="398">
        <f t="shared" si="9"/>
        <v>2603</v>
      </c>
      <c r="K52" s="399">
        <f t="shared" si="9"/>
        <v>4555.25</v>
      </c>
      <c r="L52" s="400">
        <f t="shared" si="9"/>
        <v>356207.53499999997</v>
      </c>
      <c r="N52" s="241">
        <f>SUM(N49:N50)</f>
        <v>356207.53499999997</v>
      </c>
      <c r="O52" s="40">
        <f>SUM(O49:O50)</f>
        <v>0</v>
      </c>
      <c r="P52" s="40">
        <f>SUM(P49:P50)</f>
        <v>0</v>
      </c>
    </row>
    <row r="53" spans="1:16" ht="3" customHeight="1" x14ac:dyDescent="0.15">
      <c r="A53" s="378"/>
      <c r="B53" s="392"/>
      <c r="C53" s="392"/>
      <c r="D53" s="392"/>
      <c r="E53" s="392"/>
      <c r="F53" s="392"/>
      <c r="G53" s="378"/>
      <c r="H53" s="378"/>
      <c r="I53" s="378"/>
      <c r="J53" s="378"/>
      <c r="K53" s="393"/>
      <c r="L53" s="378"/>
      <c r="O53" s="45"/>
      <c r="P53" s="45"/>
    </row>
    <row r="54" spans="1:16" ht="9.9499999999999993" customHeight="1" x14ac:dyDescent="0.15">
      <c r="B54" s="3"/>
      <c r="C54" s="3"/>
      <c r="D54" s="3"/>
      <c r="E54" s="3"/>
      <c r="F54" s="3"/>
      <c r="J54" s="76" t="s">
        <v>491</v>
      </c>
      <c r="K54" s="4"/>
      <c r="O54" s="45"/>
      <c r="P54" s="45"/>
    </row>
    <row r="55" spans="1:16" ht="9.9499999999999993" customHeight="1" x14ac:dyDescent="0.15">
      <c r="B55" s="3"/>
      <c r="C55" s="3"/>
      <c r="D55" s="3"/>
      <c r="E55" s="3"/>
      <c r="F55" s="3"/>
      <c r="K55" s="4"/>
      <c r="O55" s="45"/>
      <c r="P55" s="45"/>
    </row>
    <row r="56" spans="1:16" ht="9.9499999999999993" customHeight="1" x14ac:dyDescent="0.15">
      <c r="B56" s="3"/>
      <c r="C56" s="3"/>
      <c r="D56" s="3"/>
      <c r="E56" s="3"/>
      <c r="F56" s="3"/>
      <c r="K56" s="4"/>
      <c r="O56" s="45"/>
      <c r="P56" s="45"/>
    </row>
    <row r="57" spans="1:16" ht="9.9499999999999993" customHeight="1" x14ac:dyDescent="0.15">
      <c r="B57" s="3"/>
    </row>
    <row r="58" spans="1:16" x14ac:dyDescent="0.15">
      <c r="B58" s="10" t="s">
        <v>560</v>
      </c>
      <c r="C58" s="4"/>
      <c r="E58" s="49"/>
      <c r="G58" s="45"/>
      <c r="H58" s="45"/>
      <c r="J58" t="s">
        <v>490</v>
      </c>
      <c r="K58" t="s">
        <v>498</v>
      </c>
      <c r="M58"/>
    </row>
    <row r="59" spans="1:16" x14ac:dyDescent="0.15">
      <c r="B59">
        <v>126</v>
      </c>
      <c r="C59" t="s">
        <v>499</v>
      </c>
      <c r="E59" s="49"/>
      <c r="G59" s="42"/>
      <c r="H59" s="42"/>
      <c r="K59" s="121">
        <f>B59</f>
        <v>126</v>
      </c>
      <c r="M59" s="10" t="s">
        <v>563</v>
      </c>
      <c r="N59" s="309">
        <f>K59</f>
        <v>126</v>
      </c>
      <c r="O59" s="41" t="s">
        <v>567</v>
      </c>
    </row>
    <row r="60" spans="1:16" x14ac:dyDescent="0.15">
      <c r="B60">
        <v>29</v>
      </c>
      <c r="C60" t="s">
        <v>500</v>
      </c>
      <c r="E60" s="49"/>
      <c r="G60" s="42"/>
      <c r="H60" s="42" t="s">
        <v>431</v>
      </c>
      <c r="K60" s="121">
        <f>B60</f>
        <v>29</v>
      </c>
      <c r="M60" s="10" t="s">
        <v>563</v>
      </c>
      <c r="N60" s="309">
        <f>N59+SUM(K60:K60)</f>
        <v>155</v>
      </c>
      <c r="O60" s="41" t="s">
        <v>562</v>
      </c>
    </row>
    <row r="61" spans="1:16" x14ac:dyDescent="0.15">
      <c r="B61" s="76">
        <v>33</v>
      </c>
      <c r="C61" s="76" t="s">
        <v>501</v>
      </c>
      <c r="E61" s="49"/>
      <c r="G61" s="42"/>
      <c r="H61" s="42"/>
      <c r="J61" s="174" t="s">
        <v>487</v>
      </c>
      <c r="K61" s="178">
        <f>B61</f>
        <v>33</v>
      </c>
      <c r="M61"/>
    </row>
    <row r="62" spans="1:16" x14ac:dyDescent="0.15">
      <c r="B62" s="178">
        <v>3775</v>
      </c>
      <c r="C62" s="76" t="s">
        <v>502</v>
      </c>
      <c r="E62" s="49"/>
      <c r="G62" s="42"/>
      <c r="H62" s="42"/>
      <c r="J62" s="174" t="s">
        <v>489</v>
      </c>
      <c r="K62" s="178">
        <f>B62/3</f>
        <v>1258.3333333333333</v>
      </c>
      <c r="L62" t="s">
        <v>491</v>
      </c>
      <c r="M62"/>
    </row>
    <row r="63" spans="1:16" x14ac:dyDescent="0.15">
      <c r="B63" s="178">
        <v>3266</v>
      </c>
      <c r="C63" s="76" t="s">
        <v>503</v>
      </c>
      <c r="E63" s="49"/>
      <c r="G63" s="42"/>
      <c r="H63" s="42"/>
      <c r="J63" s="174" t="s">
        <v>488</v>
      </c>
      <c r="K63" s="178">
        <f>B63/3</f>
        <v>1088.6666666666667</v>
      </c>
      <c r="L63" t="s">
        <v>491</v>
      </c>
      <c r="M63" s="308" t="s">
        <v>564</v>
      </c>
      <c r="N63" s="311">
        <f>N60+SUM(K61:K63)</f>
        <v>2535</v>
      </c>
      <c r="O63" s="313" t="s">
        <v>565</v>
      </c>
    </row>
    <row r="64" spans="1:16" x14ac:dyDescent="0.15">
      <c r="B64" s="242">
        <v>68</v>
      </c>
      <c r="C64" s="221" t="s">
        <v>569</v>
      </c>
      <c r="E64" s="49"/>
      <c r="G64" s="42"/>
      <c r="H64" s="42"/>
      <c r="J64" s="174" t="s">
        <v>531</v>
      </c>
      <c r="K64" s="242">
        <v>68</v>
      </c>
      <c r="M64" s="312" t="s">
        <v>566</v>
      </c>
      <c r="N64" s="242">
        <f>N63+SUM(K64:K64)</f>
        <v>2603</v>
      </c>
      <c r="O64" s="221" t="s">
        <v>561</v>
      </c>
    </row>
    <row r="65" spans="2:14" x14ac:dyDescent="0.15">
      <c r="B65" s="242"/>
      <c r="C65" s="221"/>
      <c r="E65" s="49"/>
      <c r="G65" s="42"/>
      <c r="J65" s="310" t="s">
        <v>481</v>
      </c>
      <c r="K65" s="242">
        <f>SUM(K59:K64)</f>
        <v>2603</v>
      </c>
      <c r="L65" s="221"/>
    </row>
    <row r="68" spans="2:14" x14ac:dyDescent="0.15">
      <c r="B68" s="10" t="s">
        <v>568</v>
      </c>
    </row>
    <row r="69" spans="2:14" ht="11.25" x14ac:dyDescent="0.2">
      <c r="C69" s="76" t="s">
        <v>555</v>
      </c>
      <c r="H69" s="291" t="s">
        <v>370</v>
      </c>
      <c r="I69" s="291"/>
      <c r="J69" s="291"/>
      <c r="K69" s="291"/>
      <c r="L69" s="291"/>
      <c r="M69" s="291"/>
      <c r="N69" s="291"/>
    </row>
    <row r="70" spans="2:14" ht="12" x14ac:dyDescent="0.2">
      <c r="C70" s="76" t="s">
        <v>556</v>
      </c>
      <c r="H70" s="292" t="s">
        <v>507</v>
      </c>
      <c r="I70" s="293"/>
      <c r="J70" s="293"/>
      <c r="K70" s="294"/>
      <c r="M70"/>
    </row>
    <row r="71" spans="2:14" x14ac:dyDescent="0.15">
      <c r="C71" s="76" t="s">
        <v>557</v>
      </c>
      <c r="H71" s="295" t="s">
        <v>407</v>
      </c>
      <c r="I71" s="294"/>
      <c r="J71" s="294"/>
      <c r="K71" s="294"/>
      <c r="M71"/>
    </row>
    <row r="72" spans="2:14" x14ac:dyDescent="0.15">
      <c r="C72" s="221" t="s">
        <v>570</v>
      </c>
      <c r="H72" s="294" t="s">
        <v>530</v>
      </c>
      <c r="I72" s="294"/>
      <c r="J72" s="294"/>
      <c r="K72" s="294"/>
      <c r="M72"/>
    </row>
    <row r="73" spans="2:14" x14ac:dyDescent="0.15">
      <c r="H73" s="294"/>
      <c r="I73" s="294"/>
      <c r="J73" s="294"/>
      <c r="K73" s="294"/>
    </row>
    <row r="135" spans="2:16" x14ac:dyDescent="0.15">
      <c r="B135" s="10"/>
      <c r="C135" s="10"/>
      <c r="D135" s="10"/>
      <c r="E135" s="10"/>
      <c r="F135" s="10"/>
      <c r="G135" s="10"/>
      <c r="H135" s="10"/>
      <c r="I135" s="10"/>
      <c r="J135" s="62"/>
      <c r="K135" s="10"/>
      <c r="L135" s="10"/>
      <c r="M135" s="31"/>
      <c r="O135" s="45"/>
      <c r="P135" s="45"/>
    </row>
    <row r="136" spans="2:16" x14ac:dyDescent="0.15">
      <c r="B136" s="10"/>
      <c r="C136" s="10"/>
      <c r="D136" s="10"/>
      <c r="E136" s="10"/>
      <c r="F136" s="10"/>
      <c r="G136" s="10"/>
      <c r="H136" s="10"/>
      <c r="I136" s="10"/>
      <c r="J136" s="62"/>
      <c r="K136" s="10"/>
      <c r="L136" s="10"/>
      <c r="M136" s="31"/>
      <c r="O136" s="45"/>
      <c r="P136" s="45"/>
    </row>
    <row r="137" spans="2:16" x14ac:dyDescent="0.15">
      <c r="B137" s="10"/>
      <c r="C137" s="10"/>
      <c r="D137" s="10"/>
      <c r="E137" s="10"/>
      <c r="F137" s="10"/>
      <c r="G137" s="10"/>
      <c r="H137" s="10"/>
      <c r="I137" s="10"/>
      <c r="J137" s="62"/>
      <c r="K137" s="10"/>
      <c r="L137" s="10"/>
      <c r="M137" s="31"/>
      <c r="O137" s="45"/>
      <c r="P137" s="45"/>
    </row>
    <row r="138" spans="2:16" x14ac:dyDescent="0.15">
      <c r="B138" s="10"/>
      <c r="C138" s="10"/>
      <c r="D138" s="10"/>
      <c r="E138" s="10"/>
      <c r="F138" s="10"/>
      <c r="G138" s="10"/>
      <c r="H138" s="10"/>
      <c r="I138" s="10"/>
      <c r="J138" s="62"/>
      <c r="K138" s="10"/>
      <c r="L138" s="10"/>
      <c r="M138" s="31"/>
      <c r="O138" s="45"/>
      <c r="P138" s="45"/>
    </row>
    <row r="139" spans="2:16" x14ac:dyDescent="0.15">
      <c r="B139" s="10"/>
      <c r="C139" s="10"/>
      <c r="D139" s="10"/>
      <c r="E139" s="10"/>
      <c r="F139" s="10"/>
      <c r="G139" s="10"/>
      <c r="H139" s="10"/>
      <c r="I139" s="10"/>
      <c r="J139" s="62"/>
      <c r="K139" s="10"/>
      <c r="L139" s="10"/>
      <c r="M139" s="31"/>
      <c r="O139" s="45"/>
      <c r="P139" s="45"/>
    </row>
    <row r="140" spans="2:16" x14ac:dyDescent="0.15">
      <c r="B140" s="10"/>
      <c r="C140" s="10"/>
      <c r="D140" s="10"/>
      <c r="E140" s="10"/>
      <c r="F140" s="10"/>
      <c r="G140" s="10"/>
      <c r="H140" s="10"/>
      <c r="I140" s="10"/>
      <c r="J140" s="62"/>
      <c r="K140" s="10"/>
      <c r="L140" s="10"/>
      <c r="M140" s="31"/>
      <c r="O140" s="45"/>
      <c r="P140" s="45"/>
    </row>
    <row r="255" spans="2:16" x14ac:dyDescent="0.15">
      <c r="B255" s="3"/>
      <c r="C255" s="3"/>
      <c r="D255" s="3"/>
      <c r="E255" s="3"/>
      <c r="F255" s="3"/>
      <c r="J255" s="63"/>
      <c r="K255" s="4"/>
      <c r="O255" s="45"/>
      <c r="P255" s="45"/>
    </row>
    <row r="256" spans="2:16" x14ac:dyDescent="0.15">
      <c r="B256" s="3"/>
      <c r="C256" s="3"/>
      <c r="D256" s="3"/>
      <c r="E256" s="3"/>
      <c r="F256" s="3"/>
      <c r="J256" s="63"/>
      <c r="K256" s="4"/>
      <c r="O256" s="45"/>
      <c r="P256" s="45"/>
    </row>
    <row r="257" spans="2:16" x14ac:dyDescent="0.15">
      <c r="B257" s="3"/>
      <c r="C257" s="3"/>
      <c r="D257" s="3"/>
      <c r="E257" s="3"/>
      <c r="F257" s="3"/>
      <c r="J257" s="65"/>
      <c r="K257" s="4"/>
      <c r="O257" s="45"/>
      <c r="P257" s="45"/>
    </row>
    <row r="258" spans="2:16" x14ac:dyDescent="0.15">
      <c r="B258" s="3"/>
      <c r="C258" s="3"/>
      <c r="D258" s="3"/>
      <c r="E258" s="3"/>
      <c r="F258" s="3"/>
      <c r="J258" s="63"/>
      <c r="K258" s="4"/>
      <c r="O258" s="45"/>
      <c r="P258" s="45"/>
    </row>
    <row r="319" spans="1:16" ht="9.9499999999999993" customHeight="1" x14ac:dyDescent="0.15">
      <c r="A319" s="10"/>
      <c r="B319" s="3"/>
      <c r="C319" s="3"/>
      <c r="D319" s="3"/>
      <c r="E319" s="3"/>
      <c r="F319" s="3"/>
      <c r="G319" s="5"/>
      <c r="H319" s="5"/>
      <c r="I319" s="5"/>
      <c r="J319" s="65"/>
      <c r="K319" s="4"/>
      <c r="L319" s="5"/>
      <c r="M319" s="53"/>
      <c r="O319" s="45"/>
      <c r="P319" s="45"/>
    </row>
    <row r="320" spans="1:16" ht="9.9499999999999993" customHeight="1" x14ac:dyDescent="0.15">
      <c r="A320" s="10"/>
      <c r="B320" s="3"/>
      <c r="C320" s="3"/>
      <c r="D320" s="3"/>
      <c r="E320" s="3"/>
      <c r="F320" s="3"/>
      <c r="G320" s="5"/>
      <c r="H320" s="5"/>
      <c r="I320" s="5"/>
      <c r="J320" s="65"/>
      <c r="K320" s="4"/>
      <c r="L320" s="5"/>
      <c r="M320" s="53"/>
      <c r="O320" s="45"/>
      <c r="P320" s="45"/>
    </row>
    <row r="321" spans="1:16" ht="9.9499999999999993" customHeight="1" x14ac:dyDescent="0.15">
      <c r="A321" s="10"/>
      <c r="B321" s="3"/>
      <c r="C321" s="3"/>
      <c r="D321" s="3"/>
      <c r="E321" s="3"/>
      <c r="F321" s="3"/>
      <c r="G321" s="5"/>
      <c r="H321" s="5"/>
      <c r="I321" s="5"/>
      <c r="J321" s="65"/>
      <c r="K321" s="4"/>
      <c r="L321" s="5"/>
      <c r="M321" s="53"/>
      <c r="O321" s="45"/>
      <c r="P321" s="45"/>
    </row>
    <row r="322" spans="1:16" ht="9.9499999999999993" customHeight="1" x14ac:dyDescent="0.15">
      <c r="A322" s="10"/>
      <c r="B322" s="3"/>
      <c r="C322" s="3"/>
      <c r="D322" s="3"/>
      <c r="E322" s="3"/>
      <c r="F322" s="3"/>
      <c r="G322" s="5"/>
      <c r="H322" s="5"/>
      <c r="I322" s="5"/>
      <c r="J322" s="65"/>
      <c r="K322" s="4"/>
      <c r="L322" s="5"/>
      <c r="M322" s="53"/>
      <c r="O322" s="45"/>
      <c r="P322" s="45"/>
    </row>
    <row r="323" spans="1:16" ht="9.9499999999999993" customHeight="1" x14ac:dyDescent="0.15">
      <c r="A323" s="10"/>
      <c r="B323" s="3"/>
      <c r="C323" s="3"/>
      <c r="D323" s="3"/>
      <c r="E323" s="3"/>
      <c r="F323" s="3"/>
      <c r="G323" s="5"/>
      <c r="H323" s="5"/>
      <c r="I323" s="5"/>
      <c r="J323" s="65"/>
      <c r="K323" s="4"/>
      <c r="L323" s="5"/>
      <c r="M323" s="53"/>
      <c r="O323" s="45"/>
      <c r="P323" s="45"/>
    </row>
    <row r="360" spans="1:11" x14ac:dyDescent="0.15">
      <c r="A360" s="10"/>
      <c r="B360" s="3"/>
      <c r="C360" s="3"/>
      <c r="D360" s="3"/>
      <c r="E360" s="3"/>
      <c r="F360" s="3"/>
      <c r="J360" s="63"/>
      <c r="K360" s="4"/>
    </row>
    <row r="361" spans="1:11" x14ac:dyDescent="0.15">
      <c r="A361" s="10"/>
    </row>
    <row r="362" spans="1:11" x14ac:dyDescent="0.15">
      <c r="A362" s="10"/>
    </row>
    <row r="363" spans="1:11" x14ac:dyDescent="0.15">
      <c r="A363" s="10"/>
    </row>
    <row r="364" spans="1:11" x14ac:dyDescent="0.15">
      <c r="A364" s="10"/>
      <c r="B364" s="3"/>
      <c r="C364" s="3"/>
      <c r="D364" s="3"/>
      <c r="E364" s="3"/>
      <c r="F364" s="3"/>
      <c r="K364" s="4"/>
    </row>
    <row r="365" spans="1:11" ht="3" customHeight="1" x14ac:dyDescent="0.15"/>
    <row r="366" spans="1:11" x14ac:dyDescent="0.15">
      <c r="B366" s="6"/>
      <c r="C366" s="6"/>
    </row>
    <row r="367" spans="1:11" x14ac:dyDescent="0.15">
      <c r="B367" s="6"/>
      <c r="C367" s="6"/>
    </row>
    <row r="368" spans="1:11" x14ac:dyDescent="0.15">
      <c r="B368" s="3"/>
      <c r="C368" s="3"/>
      <c r="D368" s="3"/>
      <c r="E368" s="3"/>
      <c r="F368" s="3"/>
      <c r="K368" s="4"/>
    </row>
    <row r="369" spans="2:11" x14ac:dyDescent="0.15">
      <c r="B369" s="3"/>
      <c r="C369" s="3"/>
      <c r="D369" s="3"/>
      <c r="E369" s="3"/>
      <c r="F369" s="3"/>
      <c r="K369" s="4"/>
    </row>
    <row r="370" spans="2:11" x14ac:dyDescent="0.15">
      <c r="B370" s="3"/>
      <c r="C370" s="3"/>
      <c r="D370" s="3"/>
      <c r="E370" s="3"/>
      <c r="F370" s="3"/>
      <c r="K370" s="4"/>
    </row>
    <row r="371" spans="2:11" x14ac:dyDescent="0.15">
      <c r="B371" s="3"/>
      <c r="C371" s="3"/>
      <c r="D371" s="3"/>
      <c r="E371" s="3"/>
      <c r="F371" s="3"/>
      <c r="K371" s="4"/>
    </row>
    <row r="372" spans="2:11" x14ac:dyDescent="0.15">
      <c r="B372" s="3"/>
      <c r="C372" s="3"/>
      <c r="D372" s="3"/>
      <c r="E372" s="3"/>
      <c r="F372" s="3"/>
      <c r="K372" s="4"/>
    </row>
    <row r="373" spans="2:11" x14ac:dyDescent="0.15">
      <c r="B373" s="3"/>
      <c r="C373" s="3"/>
      <c r="D373" s="3"/>
      <c r="E373" s="3"/>
      <c r="F373" s="3"/>
      <c r="K373" s="4"/>
    </row>
    <row r="374" spans="2:11" x14ac:dyDescent="0.15">
      <c r="B374" s="3"/>
      <c r="C374" s="3"/>
      <c r="D374" s="3"/>
      <c r="E374" s="3"/>
      <c r="F374" s="3"/>
      <c r="K374" s="4"/>
    </row>
    <row r="375" spans="2:11" x14ac:dyDescent="0.15">
      <c r="B375" s="3"/>
      <c r="C375" s="3"/>
      <c r="D375" s="3"/>
      <c r="E375" s="3"/>
      <c r="F375" s="3"/>
      <c r="K375" s="4"/>
    </row>
    <row r="376" spans="2:11" x14ac:dyDescent="0.15">
      <c r="B376" s="3"/>
      <c r="C376" s="3"/>
      <c r="D376" s="3"/>
      <c r="E376" s="3"/>
      <c r="F376" s="3"/>
      <c r="K376" s="4"/>
    </row>
    <row r="377" spans="2:11" x14ac:dyDescent="0.15">
      <c r="B377" s="3"/>
      <c r="C377" s="3"/>
      <c r="D377" s="3"/>
      <c r="E377" s="3"/>
      <c r="F377" s="3"/>
      <c r="K377" s="4"/>
    </row>
    <row r="378" spans="2:11" x14ac:dyDescent="0.15">
      <c r="B378" s="3"/>
      <c r="C378" s="3"/>
      <c r="D378" s="3"/>
      <c r="E378" s="3"/>
      <c r="F378" s="3"/>
      <c r="K378" s="4"/>
    </row>
    <row r="379" spans="2:11" x14ac:dyDescent="0.15">
      <c r="B379" s="3"/>
      <c r="C379" s="3"/>
      <c r="D379" s="3"/>
      <c r="E379" s="3"/>
      <c r="F379" s="3"/>
      <c r="K379" s="4"/>
    </row>
    <row r="380" spans="2:11" x14ac:dyDescent="0.15">
      <c r="B380" s="3"/>
      <c r="C380" s="3"/>
      <c r="D380" s="3"/>
      <c r="E380" s="3"/>
      <c r="F380" s="3"/>
      <c r="K380" s="4"/>
    </row>
    <row r="381" spans="2:11" x14ac:dyDescent="0.15">
      <c r="B381" s="3"/>
      <c r="C381" s="3"/>
      <c r="D381" s="3"/>
      <c r="E381" s="3"/>
      <c r="F381" s="3"/>
      <c r="K381" s="4"/>
    </row>
    <row r="382" spans="2:11" x14ac:dyDescent="0.15">
      <c r="B382" s="3"/>
      <c r="C382" s="3"/>
      <c r="D382" s="3"/>
      <c r="E382" s="3"/>
      <c r="F382" s="3"/>
      <c r="K382" s="4"/>
    </row>
    <row r="383" spans="2:11" x14ac:dyDescent="0.15">
      <c r="B383" s="3"/>
      <c r="C383" s="3"/>
      <c r="D383" s="3"/>
      <c r="E383" s="3"/>
      <c r="F383" s="3"/>
      <c r="K383" s="4"/>
    </row>
    <row r="384" spans="2:11" x14ac:dyDescent="0.15">
      <c r="B384" s="3"/>
      <c r="C384" s="3"/>
      <c r="D384" s="3"/>
      <c r="E384" s="3"/>
      <c r="F384" s="3"/>
      <c r="K384" s="4"/>
    </row>
    <row r="385" spans="2:11" x14ac:dyDescent="0.15">
      <c r="B385" s="3"/>
      <c r="C385" s="3"/>
      <c r="D385" s="3"/>
      <c r="E385" s="3"/>
      <c r="F385" s="3"/>
      <c r="K385" s="4"/>
    </row>
    <row r="386" spans="2:11" x14ac:dyDescent="0.15">
      <c r="B386" s="3"/>
      <c r="C386" s="3"/>
      <c r="D386" s="3"/>
      <c r="E386" s="3"/>
      <c r="F386" s="3"/>
      <c r="K386" s="4"/>
    </row>
    <row r="387" spans="2:11" x14ac:dyDescent="0.15">
      <c r="B387" s="3"/>
      <c r="C387" s="3"/>
      <c r="D387" s="3"/>
      <c r="E387" s="3"/>
      <c r="F387" s="3"/>
      <c r="K387" s="4"/>
    </row>
    <row r="388" spans="2:11" x14ac:dyDescent="0.15">
      <c r="B388" s="3"/>
      <c r="C388" s="3"/>
      <c r="D388" s="3"/>
      <c r="E388" s="3"/>
      <c r="F388" s="3"/>
      <c r="K388" s="4"/>
    </row>
    <row r="389" spans="2:11" x14ac:dyDescent="0.15">
      <c r="B389" s="3"/>
      <c r="C389" s="3"/>
      <c r="D389" s="3"/>
      <c r="E389" s="3"/>
      <c r="F389" s="3"/>
      <c r="K389" s="4"/>
    </row>
    <row r="390" spans="2:11" x14ac:dyDescent="0.15">
      <c r="B390" s="3"/>
      <c r="C390" s="3"/>
      <c r="D390" s="3"/>
      <c r="E390" s="3"/>
      <c r="F390" s="3"/>
      <c r="K390" s="4"/>
    </row>
    <row r="391" spans="2:11" x14ac:dyDescent="0.15">
      <c r="B391" s="3"/>
      <c r="C391" s="3"/>
      <c r="D391" s="3"/>
      <c r="E391" s="3"/>
      <c r="F391" s="3"/>
      <c r="K391" s="4"/>
    </row>
    <row r="392" spans="2:11" x14ac:dyDescent="0.15">
      <c r="B392" s="3"/>
      <c r="C392" s="3"/>
      <c r="D392" s="3"/>
      <c r="E392" s="3"/>
      <c r="F392" s="3"/>
      <c r="K392" s="4"/>
    </row>
    <row r="393" spans="2:11" x14ac:dyDescent="0.15">
      <c r="B393" s="3"/>
      <c r="C393" s="3"/>
      <c r="D393" s="3"/>
      <c r="E393" s="3"/>
      <c r="F393" s="3"/>
      <c r="K393" s="4"/>
    </row>
    <row r="394" spans="2:11" x14ac:dyDescent="0.15">
      <c r="B394" s="3"/>
      <c r="C394" s="3"/>
      <c r="D394" s="3"/>
      <c r="E394" s="3"/>
      <c r="F394" s="3"/>
      <c r="K394" s="4"/>
    </row>
    <row r="395" spans="2:11" x14ac:dyDescent="0.15">
      <c r="B395" s="3"/>
      <c r="C395" s="3"/>
      <c r="D395" s="3"/>
      <c r="E395" s="3"/>
      <c r="F395" s="3"/>
      <c r="K395" s="4"/>
    </row>
    <row r="396" spans="2:11" x14ac:dyDescent="0.15">
      <c r="B396" s="3"/>
      <c r="C396" s="3"/>
      <c r="D396" s="3"/>
      <c r="E396" s="3"/>
      <c r="F396" s="3"/>
      <c r="K396" s="4"/>
    </row>
    <row r="397" spans="2:11" x14ac:dyDescent="0.15">
      <c r="B397" s="3"/>
      <c r="C397" s="3"/>
      <c r="D397" s="3"/>
      <c r="E397" s="3"/>
      <c r="F397" s="3"/>
      <c r="K397" s="4"/>
    </row>
    <row r="398" spans="2:11" x14ac:dyDescent="0.15">
      <c r="B398" s="3"/>
      <c r="C398" s="3"/>
      <c r="D398" s="3"/>
      <c r="E398" s="3"/>
      <c r="F398" s="3"/>
      <c r="K398" s="4"/>
    </row>
    <row r="399" spans="2:11" x14ac:dyDescent="0.15">
      <c r="B399" s="3"/>
      <c r="C399" s="3"/>
      <c r="D399" s="3"/>
      <c r="E399" s="3"/>
      <c r="F399" s="3"/>
      <c r="K399" s="4"/>
    </row>
    <row r="400" spans="2:11" x14ac:dyDescent="0.15">
      <c r="B400" s="3"/>
      <c r="C400" s="3"/>
      <c r="D400" s="3"/>
      <c r="E400" s="3"/>
      <c r="F400" s="3"/>
      <c r="K400" s="4"/>
    </row>
    <row r="401" spans="2:11" x14ac:dyDescent="0.15">
      <c r="B401" s="3"/>
      <c r="C401" s="3"/>
      <c r="D401" s="3"/>
      <c r="E401" s="3"/>
      <c r="F401" s="3"/>
      <c r="K401" s="4"/>
    </row>
    <row r="402" spans="2:11" x14ac:dyDescent="0.15">
      <c r="B402" s="3"/>
      <c r="C402" s="3"/>
      <c r="D402" s="3"/>
      <c r="E402" s="3"/>
      <c r="F402" s="3"/>
      <c r="K402" s="4"/>
    </row>
    <row r="403" spans="2:11" x14ac:dyDescent="0.15">
      <c r="B403" s="3"/>
      <c r="C403" s="3"/>
      <c r="D403" s="3"/>
      <c r="E403" s="3"/>
      <c r="F403" s="3"/>
      <c r="K403" s="8"/>
    </row>
    <row r="404" spans="2:11" x14ac:dyDescent="0.15">
      <c r="B404" s="3"/>
      <c r="C404" s="3"/>
      <c r="D404" s="3"/>
      <c r="E404" s="3"/>
      <c r="F404" s="3"/>
      <c r="K404" s="8"/>
    </row>
    <row r="405" spans="2:11" x14ac:dyDescent="0.15">
      <c r="K405" s="8"/>
    </row>
    <row r="406" spans="2:11" x14ac:dyDescent="0.15">
      <c r="K406" s="8"/>
    </row>
    <row r="407" spans="2:11" x14ac:dyDescent="0.15">
      <c r="K407" s="8"/>
    </row>
    <row r="408" spans="2:11" x14ac:dyDescent="0.15">
      <c r="K408" s="8"/>
    </row>
    <row r="409" spans="2:11" x14ac:dyDescent="0.15">
      <c r="K409" s="8"/>
    </row>
    <row r="410" spans="2:11" x14ac:dyDescent="0.15">
      <c r="K410" s="8"/>
    </row>
    <row r="411" spans="2:11" x14ac:dyDescent="0.15">
      <c r="K411" s="8"/>
    </row>
    <row r="412" spans="2:11" x14ac:dyDescent="0.15">
      <c r="K412" s="8"/>
    </row>
    <row r="413" spans="2:11" x14ac:dyDescent="0.15">
      <c r="K413" s="8"/>
    </row>
    <row r="414" spans="2:11" x14ac:dyDescent="0.15">
      <c r="K414" s="8"/>
    </row>
    <row r="415" spans="2:11" x14ac:dyDescent="0.15">
      <c r="K415" s="8"/>
    </row>
    <row r="416" spans="2:11" x14ac:dyDescent="0.15">
      <c r="K416" s="8"/>
    </row>
    <row r="417" spans="11:11" x14ac:dyDescent="0.15">
      <c r="K417" s="8"/>
    </row>
    <row r="418" spans="11:11" x14ac:dyDescent="0.15">
      <c r="K418" s="8"/>
    </row>
    <row r="419" spans="11:11" x14ac:dyDescent="0.15">
      <c r="K419" s="8"/>
    </row>
    <row r="420" spans="11:11" x14ac:dyDescent="0.15">
      <c r="K420" s="8"/>
    </row>
    <row r="421" spans="11:11" x14ac:dyDescent="0.15">
      <c r="K421" s="8"/>
    </row>
    <row r="422" spans="11:11" x14ac:dyDescent="0.15">
      <c r="K422" s="8"/>
    </row>
    <row r="423" spans="11:11" x14ac:dyDescent="0.15">
      <c r="K423" s="8"/>
    </row>
    <row r="424" spans="11:11" x14ac:dyDescent="0.15">
      <c r="K424" s="8"/>
    </row>
    <row r="425" spans="11:11" x14ac:dyDescent="0.15">
      <c r="K425" s="8"/>
    </row>
    <row r="426" spans="11:11" x14ac:dyDescent="0.15">
      <c r="K426" s="8"/>
    </row>
    <row r="427" spans="11:11" x14ac:dyDescent="0.15">
      <c r="K427" s="8"/>
    </row>
    <row r="428" spans="11:11" x14ac:dyDescent="0.15">
      <c r="K428" s="8"/>
    </row>
    <row r="429" spans="11:11" x14ac:dyDescent="0.15">
      <c r="K429" s="8"/>
    </row>
    <row r="430" spans="11:11" x14ac:dyDescent="0.15">
      <c r="K430" s="8"/>
    </row>
    <row r="431" spans="11:11" x14ac:dyDescent="0.15">
      <c r="K431" s="8"/>
    </row>
    <row r="432" spans="11:11" x14ac:dyDescent="0.15">
      <c r="K432" s="8"/>
    </row>
    <row r="433" spans="11:11" x14ac:dyDescent="0.15">
      <c r="K433" s="8"/>
    </row>
    <row r="434" spans="11:11" x14ac:dyDescent="0.15">
      <c r="K434" s="8"/>
    </row>
    <row r="435" spans="11:11" x14ac:dyDescent="0.15">
      <c r="K435" s="8"/>
    </row>
    <row r="436" spans="11:11" x14ac:dyDescent="0.15">
      <c r="K436" s="8"/>
    </row>
    <row r="437" spans="11:11" x14ac:dyDescent="0.15">
      <c r="K437" s="8"/>
    </row>
    <row r="438" spans="11:11" x14ac:dyDescent="0.15">
      <c r="K438" s="8"/>
    </row>
    <row r="439" spans="11:11" x14ac:dyDescent="0.15">
      <c r="K439" s="8"/>
    </row>
    <row r="440" spans="11:11" x14ac:dyDescent="0.15">
      <c r="K440" s="8"/>
    </row>
    <row r="441" spans="11:11" x14ac:dyDescent="0.15">
      <c r="K441" s="8"/>
    </row>
    <row r="442" spans="11:11" x14ac:dyDescent="0.15">
      <c r="K442" s="8"/>
    </row>
    <row r="443" spans="11:11" x14ac:dyDescent="0.15">
      <c r="K443" s="7"/>
    </row>
    <row r="444" spans="11:11" x14ac:dyDescent="0.15">
      <c r="K444" s="7"/>
    </row>
    <row r="445" spans="11:11" x14ac:dyDescent="0.15">
      <c r="K445" s="7"/>
    </row>
    <row r="446" spans="11:11" x14ac:dyDescent="0.15">
      <c r="K446" s="7"/>
    </row>
    <row r="447" spans="11:11" x14ac:dyDescent="0.15">
      <c r="K447" s="7"/>
    </row>
    <row r="448" spans="11:11" x14ac:dyDescent="0.15">
      <c r="K448" s="7"/>
    </row>
    <row r="449" spans="11:11" x14ac:dyDescent="0.15">
      <c r="K449" s="7"/>
    </row>
    <row r="450" spans="11:11" x14ac:dyDescent="0.15">
      <c r="K450" s="7"/>
    </row>
    <row r="451" spans="11:11" x14ac:dyDescent="0.15">
      <c r="K451" s="7"/>
    </row>
  </sheetData>
  <phoneticPr fontId="0" type="noConversion"/>
  <pageMargins left="0" right="0" top="0.5" bottom="0.5" header="0.5" footer="0.5"/>
  <pageSetup orientation="landscape" r:id="rId1"/>
  <headerFooter alignWithMargins="0">
    <oddFooter>Page &amp;P</oddFooter>
  </headerFooter>
  <rowBreaks count="7" manualBreakCount="7">
    <brk id="53" max="16383" man="1"/>
    <brk id="97" max="16383" man="1"/>
    <brk id="140" max="16383" man="1"/>
    <brk id="205" max="16383" man="1"/>
    <brk id="258" max="16383" man="1"/>
    <brk id="323" max="11" man="1"/>
    <brk id="359"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7"/>
  <sheetViews>
    <sheetView workbookViewId="0">
      <selection activeCell="A18" sqref="A18"/>
    </sheetView>
  </sheetViews>
  <sheetFormatPr defaultRowHeight="10.5" x14ac:dyDescent="0.15"/>
  <cols>
    <col min="1" max="1" width="35.33203125" bestFit="1" customWidth="1"/>
    <col min="2" max="3" width="12.83203125" bestFit="1" customWidth="1"/>
    <col min="4" max="4" width="13" bestFit="1" customWidth="1"/>
    <col min="5" max="5" width="10.6640625" bestFit="1" customWidth="1"/>
  </cols>
  <sheetData>
    <row r="1" spans="1:5" x14ac:dyDescent="0.15">
      <c r="A1" s="9" t="s">
        <v>267</v>
      </c>
    </row>
    <row r="2" spans="1:5" x14ac:dyDescent="0.15">
      <c r="A2" s="9" t="s">
        <v>244</v>
      </c>
      <c r="C2" s="11"/>
    </row>
    <row r="3" spans="1:5" x14ac:dyDescent="0.15">
      <c r="A3" s="10"/>
      <c r="B3" s="11"/>
      <c r="C3" s="11"/>
    </row>
    <row r="4" spans="1:5" x14ac:dyDescent="0.15">
      <c r="A4" s="10"/>
      <c r="B4" s="11"/>
      <c r="C4" s="11"/>
    </row>
    <row r="5" spans="1:5" x14ac:dyDescent="0.15">
      <c r="A5" s="9" t="s">
        <v>4</v>
      </c>
      <c r="B5" s="10" t="s">
        <v>221</v>
      </c>
      <c r="C5" s="10" t="s">
        <v>221</v>
      </c>
      <c r="D5" s="11" t="s">
        <v>225</v>
      </c>
      <c r="E5" s="11" t="s">
        <v>202</v>
      </c>
    </row>
    <row r="6" spans="1:5" x14ac:dyDescent="0.15">
      <c r="A6" s="9" t="s">
        <v>5</v>
      </c>
      <c r="B6" s="10" t="s">
        <v>222</v>
      </c>
      <c r="C6" s="10" t="s">
        <v>223</v>
      </c>
      <c r="D6" s="11" t="s">
        <v>224</v>
      </c>
      <c r="E6" s="11" t="s">
        <v>245</v>
      </c>
    </row>
    <row r="7" spans="1:5" ht="3" customHeight="1" x14ac:dyDescent="0.15">
      <c r="A7" s="12"/>
      <c r="B7" s="35"/>
      <c r="C7" s="35"/>
      <c r="D7" s="35"/>
      <c r="E7" s="12"/>
    </row>
    <row r="8" spans="1:5" x14ac:dyDescent="0.15">
      <c r="A8" s="19" t="s">
        <v>10</v>
      </c>
      <c r="B8" s="54" t="e">
        <f>'Exhibit 7'!#REF!</f>
        <v>#REF!</v>
      </c>
      <c r="C8" s="34">
        <v>2</v>
      </c>
      <c r="D8" s="60" t="e">
        <f>'Exhibit 7'!#REF!</f>
        <v>#REF!</v>
      </c>
      <c r="E8" s="59" t="e">
        <f>'Exhibit 7'!#REF!</f>
        <v>#REF!</v>
      </c>
    </row>
    <row r="9" spans="1:5" x14ac:dyDescent="0.15">
      <c r="A9" s="19" t="s">
        <v>153</v>
      </c>
      <c r="B9" s="54" t="e">
        <f>B8</f>
        <v>#REF!</v>
      </c>
      <c r="C9" s="34">
        <v>4</v>
      </c>
      <c r="D9" s="60" t="e">
        <f>'Exhibit 7'!#REF!</f>
        <v>#REF!</v>
      </c>
      <c r="E9" s="59" t="e">
        <f>'Exhibit 7'!#REF!</f>
        <v>#REF!</v>
      </c>
    </row>
    <row r="10" spans="1:5" x14ac:dyDescent="0.15">
      <c r="A10" s="19" t="s">
        <v>118</v>
      </c>
      <c r="B10" s="54" t="e">
        <f>B9</f>
        <v>#REF!</v>
      </c>
      <c r="C10" s="34">
        <v>3</v>
      </c>
      <c r="D10" s="60" t="e">
        <f>'Exhibit 7'!#REF!</f>
        <v>#REF!</v>
      </c>
      <c r="E10" s="59" t="e">
        <f>'Exhibit 7'!#REF!</f>
        <v>#REF!</v>
      </c>
    </row>
    <row r="11" spans="1:5" x14ac:dyDescent="0.15">
      <c r="A11" s="55" t="s">
        <v>155</v>
      </c>
      <c r="B11" s="56">
        <f>16</f>
        <v>16</v>
      </c>
      <c r="C11" s="57">
        <f>SUM(C8:C10)</f>
        <v>9</v>
      </c>
      <c r="D11" s="61" t="e">
        <f>SUM(D8:D10)</f>
        <v>#REF!</v>
      </c>
      <c r="E11" s="58" t="e">
        <f>SUM(E8:E10)</f>
        <v>#REF!</v>
      </c>
    </row>
    <row r="12" spans="1:5" ht="3" customHeight="1" x14ac:dyDescent="0.15">
      <c r="A12" s="12"/>
      <c r="B12" s="35"/>
      <c r="C12" s="35"/>
      <c r="D12" s="36"/>
      <c r="E12" s="15"/>
    </row>
    <row r="17" spans="1:1" x14ac:dyDescent="0.15">
      <c r="A17" t="s">
        <v>268</v>
      </c>
    </row>
  </sheetData>
  <phoneticPr fontId="0" type="noConversion"/>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76"/>
  <sheetViews>
    <sheetView zoomScaleNormal="100" workbookViewId="0">
      <selection activeCell="E11" sqref="E11"/>
    </sheetView>
  </sheetViews>
  <sheetFormatPr defaultRowHeight="10.5" x14ac:dyDescent="0.15"/>
  <cols>
    <col min="1" max="1" width="34.83203125" customWidth="1"/>
    <col min="2" max="3" width="9.83203125" bestFit="1" customWidth="1"/>
    <col min="7" max="7" width="10.6640625" bestFit="1" customWidth="1"/>
    <col min="9" max="9" width="10.6640625" customWidth="1"/>
    <col min="11" max="11" width="9.6640625" bestFit="1" customWidth="1"/>
    <col min="12" max="12" width="13.33203125" bestFit="1" customWidth="1"/>
    <col min="13" max="13" width="2.1640625" customWidth="1"/>
    <col min="14" max="16" width="13.1640625" customWidth="1"/>
    <col min="17" max="17" width="13.33203125" bestFit="1" customWidth="1"/>
    <col min="18" max="18" width="13.33203125" customWidth="1"/>
    <col min="31" max="31" width="14.83203125" customWidth="1"/>
  </cols>
  <sheetData>
    <row r="1" spans="1:39" x14ac:dyDescent="0.15">
      <c r="A1" s="360" t="s">
        <v>339</v>
      </c>
      <c r="B1" s="361"/>
      <c r="C1" s="361"/>
      <c r="D1" s="361"/>
      <c r="E1" s="361"/>
      <c r="F1" s="361"/>
      <c r="G1" s="361"/>
      <c r="H1" s="361"/>
      <c r="I1" s="361"/>
      <c r="J1" s="361"/>
      <c r="K1" s="361"/>
      <c r="L1" s="361"/>
      <c r="M1" s="31"/>
      <c r="O1" s="45"/>
      <c r="P1" s="45"/>
    </row>
    <row r="2" spans="1:39" x14ac:dyDescent="0.15">
      <c r="A2" s="360" t="s">
        <v>9</v>
      </c>
      <c r="B2" s="361"/>
      <c r="C2" s="361"/>
      <c r="D2" s="361"/>
      <c r="E2" s="361"/>
      <c r="F2" s="361"/>
      <c r="G2" s="361"/>
      <c r="H2" s="361"/>
      <c r="I2" s="361"/>
      <c r="J2" s="361"/>
      <c r="K2" s="361"/>
      <c r="L2" s="361"/>
      <c r="M2" s="31"/>
      <c r="O2" s="45"/>
      <c r="P2" s="45"/>
    </row>
    <row r="3" spans="1:39" x14ac:dyDescent="0.15">
      <c r="A3" s="360" t="s">
        <v>2</v>
      </c>
      <c r="B3" s="361"/>
      <c r="C3" s="361"/>
      <c r="D3" s="361"/>
      <c r="E3" s="361"/>
      <c r="F3" s="361"/>
      <c r="G3" s="361"/>
      <c r="H3" s="361"/>
      <c r="I3" s="361"/>
      <c r="J3" s="361"/>
      <c r="K3" s="361"/>
      <c r="L3" s="361"/>
      <c r="M3" s="31"/>
      <c r="O3" s="45"/>
      <c r="P3" s="45"/>
    </row>
    <row r="4" spans="1:39" x14ac:dyDescent="0.15">
      <c r="A4" s="361"/>
      <c r="B4" s="361"/>
      <c r="C4" s="361"/>
      <c r="D4" s="361"/>
      <c r="E4" s="361"/>
      <c r="F4" s="361"/>
      <c r="G4" s="361"/>
      <c r="H4" s="361"/>
      <c r="I4" s="361"/>
      <c r="J4" s="361"/>
      <c r="K4" s="361"/>
      <c r="L4" s="361"/>
      <c r="M4" s="31"/>
      <c r="O4" s="45"/>
      <c r="P4" s="45"/>
    </row>
    <row r="5" spans="1:39" x14ac:dyDescent="0.15">
      <c r="A5" s="361"/>
      <c r="B5" s="361"/>
      <c r="C5" s="361"/>
      <c r="D5" s="364" t="s">
        <v>193</v>
      </c>
      <c r="E5" s="361"/>
      <c r="F5" s="361"/>
      <c r="G5" s="361"/>
      <c r="H5" s="361"/>
      <c r="I5" s="361"/>
      <c r="J5" s="361"/>
      <c r="K5" s="365" t="s">
        <v>194</v>
      </c>
      <c r="L5" s="361"/>
      <c r="M5" s="31"/>
      <c r="O5" s="45"/>
      <c r="P5" s="45"/>
    </row>
    <row r="6" spans="1:39" ht="3.75" customHeight="1" x14ac:dyDescent="0.15">
      <c r="A6" s="361"/>
      <c r="B6" s="366"/>
      <c r="C6" s="366"/>
      <c r="D6" s="366"/>
      <c r="E6" s="366"/>
      <c r="F6" s="366"/>
      <c r="G6" s="366"/>
      <c r="H6" s="366"/>
      <c r="I6" s="366"/>
      <c r="J6" s="366"/>
      <c r="K6" s="366"/>
      <c r="L6" s="366"/>
      <c r="M6" s="31"/>
      <c r="O6" s="45"/>
      <c r="P6" s="45"/>
    </row>
    <row r="7" spans="1:39" x14ac:dyDescent="0.15">
      <c r="A7" s="361"/>
      <c r="B7" s="401"/>
      <c r="C7" s="361"/>
      <c r="D7" s="361"/>
      <c r="E7" s="361"/>
      <c r="F7" s="361"/>
      <c r="G7" s="361"/>
      <c r="H7" s="361"/>
      <c r="I7" s="368"/>
      <c r="J7" s="402" t="s">
        <v>3</v>
      </c>
      <c r="K7" s="403"/>
      <c r="L7" s="404"/>
      <c r="M7" s="41"/>
      <c r="O7" s="45"/>
      <c r="P7" s="45"/>
    </row>
    <row r="8" spans="1:39" x14ac:dyDescent="0.15">
      <c r="A8" s="361"/>
      <c r="B8" s="401"/>
      <c r="C8" s="361"/>
      <c r="D8" s="361"/>
      <c r="E8" s="361"/>
      <c r="F8" s="361"/>
      <c r="G8" s="361"/>
      <c r="H8" s="361"/>
      <c r="I8" s="361"/>
      <c r="J8" s="402" t="s">
        <v>195</v>
      </c>
      <c r="K8" s="403"/>
      <c r="L8" s="371"/>
      <c r="O8" s="45"/>
      <c r="P8" s="45"/>
    </row>
    <row r="9" spans="1:39" x14ac:dyDescent="0.15">
      <c r="A9" s="361"/>
      <c r="B9" s="405" t="s">
        <v>196</v>
      </c>
      <c r="C9" s="365" t="s">
        <v>197</v>
      </c>
      <c r="D9" s="365" t="s">
        <v>198</v>
      </c>
      <c r="E9" s="365" t="s">
        <v>199</v>
      </c>
      <c r="F9" s="365" t="s">
        <v>200</v>
      </c>
      <c r="G9" s="365" t="s">
        <v>192</v>
      </c>
      <c r="H9" s="365" t="s">
        <v>201</v>
      </c>
      <c r="I9" s="373"/>
      <c r="J9" s="402" t="s">
        <v>200</v>
      </c>
      <c r="K9" s="402" t="s">
        <v>202</v>
      </c>
      <c r="L9" s="374" t="s">
        <v>202</v>
      </c>
      <c r="N9" s="50" t="s">
        <v>342</v>
      </c>
      <c r="O9" s="10" t="s">
        <v>342</v>
      </c>
      <c r="P9" s="108" t="s">
        <v>342</v>
      </c>
      <c r="Q9" s="10" t="s">
        <v>342</v>
      </c>
      <c r="R9" s="10"/>
    </row>
    <row r="10" spans="1:39" ht="11.25" x14ac:dyDescent="0.2">
      <c r="A10" s="364" t="s">
        <v>4</v>
      </c>
      <c r="B10" s="406">
        <v>131.82</v>
      </c>
      <c r="C10" s="407">
        <v>105.6</v>
      </c>
      <c r="D10" s="407">
        <v>51.09</v>
      </c>
      <c r="E10" s="407">
        <v>33.11</v>
      </c>
      <c r="F10" s="365" t="s">
        <v>203</v>
      </c>
      <c r="G10" s="365" t="s">
        <v>204</v>
      </c>
      <c r="H10" s="365" t="s">
        <v>205</v>
      </c>
      <c r="I10" s="365" t="s">
        <v>206</v>
      </c>
      <c r="J10" s="402" t="s">
        <v>207</v>
      </c>
      <c r="K10" s="402" t="s">
        <v>203</v>
      </c>
      <c r="L10" s="374" t="s">
        <v>204</v>
      </c>
      <c r="N10" s="84" t="s">
        <v>211</v>
      </c>
      <c r="O10" s="84" t="s">
        <v>341</v>
      </c>
      <c r="P10" s="108" t="s">
        <v>396</v>
      </c>
      <c r="Q10" s="10" t="s">
        <v>151</v>
      </c>
      <c r="R10" s="10"/>
    </row>
    <row r="11" spans="1:39" x14ac:dyDescent="0.15">
      <c r="A11" s="364" t="s">
        <v>5</v>
      </c>
      <c r="B11" s="405" t="s">
        <v>210</v>
      </c>
      <c r="C11" s="365" t="s">
        <v>210</v>
      </c>
      <c r="D11" s="365" t="s">
        <v>210</v>
      </c>
      <c r="E11" s="365" t="s">
        <v>210</v>
      </c>
      <c r="F11" s="365" t="s">
        <v>208</v>
      </c>
      <c r="G11" s="365" t="s">
        <v>208</v>
      </c>
      <c r="H11" s="365" t="s">
        <v>151</v>
      </c>
      <c r="I11" s="365" t="s">
        <v>151</v>
      </c>
      <c r="J11" s="402" t="s">
        <v>209</v>
      </c>
      <c r="K11" s="402" t="s">
        <v>208</v>
      </c>
      <c r="L11" s="377" t="s">
        <v>208</v>
      </c>
      <c r="N11" s="51"/>
      <c r="P11" s="45"/>
    </row>
    <row r="12" spans="1:39" ht="2.25" customHeight="1" x14ac:dyDescent="0.15">
      <c r="A12" s="378"/>
      <c r="B12" s="408"/>
      <c r="C12" s="409"/>
      <c r="D12" s="409"/>
      <c r="E12" s="409"/>
      <c r="F12" s="409"/>
      <c r="G12" s="409"/>
      <c r="H12" s="409"/>
      <c r="I12" s="409"/>
      <c r="J12" s="379"/>
      <c r="K12" s="378"/>
      <c r="L12" s="380"/>
      <c r="N12" s="52"/>
      <c r="P12" s="45"/>
    </row>
    <row r="13" spans="1:39" x14ac:dyDescent="0.15">
      <c r="A13" s="381"/>
      <c r="B13" s="381"/>
      <c r="C13" s="251"/>
      <c r="D13" s="251"/>
      <c r="E13" s="251"/>
      <c r="F13" s="251"/>
      <c r="G13" s="251"/>
      <c r="H13" s="251"/>
      <c r="I13" s="251"/>
      <c r="J13" s="251"/>
      <c r="K13" s="251"/>
      <c r="L13" s="382"/>
      <c r="N13" s="42"/>
      <c r="P13" s="45"/>
    </row>
    <row r="14" spans="1:39" x14ac:dyDescent="0.15">
      <c r="A14" s="410" t="s">
        <v>10</v>
      </c>
      <c r="B14" s="411"/>
      <c r="C14" s="384"/>
      <c r="D14" s="384"/>
      <c r="E14" s="384"/>
      <c r="F14" s="384"/>
      <c r="G14" s="384"/>
      <c r="H14" s="384"/>
      <c r="I14" s="384"/>
      <c r="J14" s="384"/>
      <c r="K14" s="384"/>
      <c r="L14" s="385"/>
      <c r="N14" s="42"/>
      <c r="P14" s="45"/>
      <c r="T14" s="10" t="s">
        <v>601</v>
      </c>
      <c r="Z14" s="308" t="s">
        <v>599</v>
      </c>
      <c r="AF14" s="221" t="s">
        <v>600</v>
      </c>
    </row>
    <row r="15" spans="1:39" ht="9.9499999999999993" customHeight="1" x14ac:dyDescent="0.15">
      <c r="A15" s="412" t="s">
        <v>11</v>
      </c>
      <c r="B15" s="413"/>
      <c r="C15" s="413"/>
      <c r="D15" s="413"/>
      <c r="E15" s="413"/>
      <c r="F15" s="413"/>
      <c r="G15" s="414"/>
      <c r="H15" s="414"/>
      <c r="I15" s="414"/>
      <c r="J15" s="414"/>
      <c r="K15" s="415"/>
      <c r="L15" s="416"/>
      <c r="N15" s="42"/>
      <c r="P15" s="45"/>
      <c r="Z15" s="179" t="s">
        <v>505</v>
      </c>
      <c r="AF15" s="179" t="s">
        <v>505</v>
      </c>
    </row>
    <row r="16" spans="1:39" ht="9.9499999999999993" customHeight="1" x14ac:dyDescent="0.15">
      <c r="A16" s="417" t="s">
        <v>12</v>
      </c>
      <c r="B16" s="418"/>
      <c r="C16" s="418"/>
      <c r="D16" s="418"/>
      <c r="E16" s="418"/>
      <c r="F16" s="419"/>
      <c r="G16" s="382"/>
      <c r="H16" s="382"/>
      <c r="I16" s="382"/>
      <c r="J16" s="420"/>
      <c r="K16" s="421"/>
      <c r="L16" s="382"/>
      <c r="N16" s="42"/>
      <c r="P16" s="45"/>
      <c r="T16" s="10" t="s">
        <v>495</v>
      </c>
      <c r="Z16" s="77" t="s">
        <v>512</v>
      </c>
      <c r="AA16" s="76"/>
      <c r="AB16" s="76"/>
      <c r="AC16" s="76"/>
      <c r="AD16" s="76"/>
      <c r="AF16" s="221" t="s">
        <v>603</v>
      </c>
      <c r="AG16" s="220"/>
      <c r="AH16" s="220"/>
      <c r="AI16" s="220"/>
      <c r="AJ16" s="220"/>
      <c r="AM16" s="350"/>
    </row>
    <row r="17" spans="1:36" ht="9.9499999999999993" customHeight="1" x14ac:dyDescent="0.15">
      <c r="A17" s="422" t="s">
        <v>13</v>
      </c>
      <c r="B17" s="423">
        <v>1.6347305389221556</v>
      </c>
      <c r="C17" s="423">
        <v>5.4491017964071853</v>
      </c>
      <c r="D17" s="423">
        <v>16.347305389221557</v>
      </c>
      <c r="E17" s="423">
        <v>7.6287425149700585</v>
      </c>
      <c r="F17" s="424">
        <v>31.059880239520961</v>
      </c>
      <c r="G17" s="387">
        <f>(+B17*$B$10)+(+C17*$C$10)+(+D17*$D$10)+(+E17*$E$10)</f>
        <v>1878.6868263473052</v>
      </c>
      <c r="H17" s="387">
        <v>0</v>
      </c>
      <c r="I17" s="425">
        <f>'Exhibit 1'!N16</f>
        <v>10892</v>
      </c>
      <c r="J17" s="426">
        <v>5</v>
      </c>
      <c r="K17" s="427">
        <f>F17*J17</f>
        <v>155.29940119760479</v>
      </c>
      <c r="L17" s="428">
        <f>J17*(G17+H17+I17)</f>
        <v>63853.434131736518</v>
      </c>
      <c r="N17" s="46">
        <f>G17*J17</f>
        <v>9393.4341317365252</v>
      </c>
      <c r="O17" s="40">
        <f>I17*J17</f>
        <v>54460</v>
      </c>
      <c r="P17" s="40">
        <f>H17*J17</f>
        <v>0</v>
      </c>
      <c r="Q17" s="40">
        <f>SUM(N17:P17)</f>
        <v>63853.434131736525</v>
      </c>
      <c r="R17" s="40"/>
      <c r="T17" s="39">
        <v>3</v>
      </c>
      <c r="U17" s="120">
        <v>10</v>
      </c>
      <c r="V17" s="120">
        <v>30</v>
      </c>
      <c r="W17" s="120">
        <v>14</v>
      </c>
      <c r="X17" s="39">
        <f>SUM(T17:W17)</f>
        <v>57</v>
      </c>
      <c r="Z17" s="114">
        <f>T17*140/167</f>
        <v>2.5149700598802394</v>
      </c>
      <c r="AA17" s="114">
        <f>U17*140/167</f>
        <v>8.3832335329341312</v>
      </c>
      <c r="AB17" s="114">
        <f>V17*140/167</f>
        <v>25.149700598802394</v>
      </c>
      <c r="AC17" s="114">
        <f>W17*140/167</f>
        <v>11.736526946107784</v>
      </c>
      <c r="AD17" s="114">
        <f>X17*140/167</f>
        <v>47.784431137724553</v>
      </c>
      <c r="AE17" s="175"/>
      <c r="AF17" s="342">
        <f>Z17*91/140</f>
        <v>1.6347305389221556</v>
      </c>
      <c r="AG17" s="342">
        <f>AA17*91/140</f>
        <v>5.4491017964071853</v>
      </c>
      <c r="AH17" s="342">
        <f>AB17*91/140</f>
        <v>16.347305389221557</v>
      </c>
      <c r="AI17" s="342">
        <f>AC17*91/140</f>
        <v>7.6287425149700585</v>
      </c>
      <c r="AJ17" s="342">
        <f>AD17*91/140</f>
        <v>31.059880239520961</v>
      </c>
    </row>
    <row r="18" spans="1:36" ht="9.9499999999999993" customHeight="1" x14ac:dyDescent="0.15">
      <c r="A18" s="417" t="s">
        <v>14</v>
      </c>
      <c r="B18" s="418"/>
      <c r="C18" s="418"/>
      <c r="D18" s="418"/>
      <c r="E18" s="418"/>
      <c r="F18" s="429"/>
      <c r="G18" s="382"/>
      <c r="H18" s="382"/>
      <c r="I18" s="382"/>
      <c r="J18" s="420"/>
      <c r="K18" s="421"/>
      <c r="L18" s="382"/>
      <c r="N18" s="42"/>
      <c r="P18" s="45"/>
      <c r="T18" s="24"/>
      <c r="U18" s="18"/>
      <c r="V18" s="18"/>
      <c r="W18" s="18"/>
      <c r="X18" s="24"/>
      <c r="Z18" s="76"/>
      <c r="AA18" s="76"/>
      <c r="AB18" s="76"/>
      <c r="AC18" s="76"/>
      <c r="AD18" s="76"/>
      <c r="AF18" s="220"/>
      <c r="AG18" s="220"/>
      <c r="AH18" s="220"/>
      <c r="AI18" s="220"/>
      <c r="AJ18" s="220"/>
    </row>
    <row r="19" spans="1:36" ht="9.9499999999999993" customHeight="1" x14ac:dyDescent="0.15">
      <c r="A19" s="430" t="s">
        <v>15</v>
      </c>
      <c r="B19" s="423">
        <v>0</v>
      </c>
      <c r="C19" s="423">
        <v>5.4491017964071853</v>
      </c>
      <c r="D19" s="423">
        <v>54.491017964071858</v>
      </c>
      <c r="E19" s="423">
        <v>0</v>
      </c>
      <c r="F19" s="429">
        <v>59.94011976047905</v>
      </c>
      <c r="G19" s="387">
        <f>(+B19*$B$10)+(+C19*$C$10)+(+D19*$D$10)+(+E19*$E$10)</f>
        <v>3359.3712574850297</v>
      </c>
      <c r="H19" s="387">
        <v>0</v>
      </c>
      <c r="I19" s="387">
        <v>0</v>
      </c>
      <c r="J19" s="431">
        <v>5</v>
      </c>
      <c r="K19" s="427">
        <f>F19*J19</f>
        <v>299.70059880239523</v>
      </c>
      <c r="L19" s="428">
        <f>J19*(G19+H19+I19)</f>
        <v>16796.856287425147</v>
      </c>
      <c r="N19" s="46">
        <f>G19*J19</f>
        <v>16796.856287425147</v>
      </c>
      <c r="O19" s="40">
        <f>I19*J19</f>
        <v>0</v>
      </c>
      <c r="P19" s="40">
        <f>H19*J19</f>
        <v>0</v>
      </c>
      <c r="Q19" s="40">
        <f>SUM(N19:P19)</f>
        <v>16796.856287425147</v>
      </c>
      <c r="R19" s="40"/>
      <c r="T19" s="26">
        <v>0</v>
      </c>
      <c r="U19" s="20">
        <v>10</v>
      </c>
      <c r="V19" s="20">
        <v>100</v>
      </c>
      <c r="W19" s="20">
        <v>0</v>
      </c>
      <c r="X19" s="24">
        <f>SUM(T19:W19)</f>
        <v>110</v>
      </c>
      <c r="Z19" s="114">
        <f>T19*140/167</f>
        <v>0</v>
      </c>
      <c r="AA19" s="114">
        <f>U19*140/167</f>
        <v>8.3832335329341312</v>
      </c>
      <c r="AB19" s="114">
        <f>V19*140/167</f>
        <v>83.832335329341319</v>
      </c>
      <c r="AC19" s="114">
        <f>W19*140/167</f>
        <v>0</v>
      </c>
      <c r="AD19" s="114">
        <f>X19*140/167</f>
        <v>92.215568862275447</v>
      </c>
      <c r="AF19" s="342">
        <f>Z19*91/140</f>
        <v>0</v>
      </c>
      <c r="AG19" s="342">
        <f>AA19*91/140</f>
        <v>5.4491017964071853</v>
      </c>
      <c r="AH19" s="342">
        <f>AB19*91/140</f>
        <v>54.491017964071858</v>
      </c>
      <c r="AI19" s="342">
        <f>AC19*91/140</f>
        <v>0</v>
      </c>
      <c r="AJ19" s="342">
        <f>AD19*91/140</f>
        <v>59.94011976047905</v>
      </c>
    </row>
    <row r="20" spans="1:36" ht="3" customHeight="1" x14ac:dyDescent="0.15">
      <c r="A20" s="432"/>
      <c r="B20" s="433"/>
      <c r="C20" s="433"/>
      <c r="D20" s="433"/>
      <c r="E20" s="433"/>
      <c r="F20" s="433"/>
      <c r="G20" s="434"/>
      <c r="H20" s="434"/>
      <c r="I20" s="434"/>
      <c r="J20" s="435"/>
      <c r="K20" s="436"/>
      <c r="L20" s="437"/>
      <c r="N20" s="42"/>
      <c r="P20" s="45"/>
      <c r="T20" s="27"/>
      <c r="U20" s="21"/>
      <c r="V20" s="21"/>
      <c r="W20" s="21"/>
      <c r="X20" s="21"/>
      <c r="Z20" s="181"/>
      <c r="AA20" s="181"/>
      <c r="AB20" s="181"/>
      <c r="AC20" s="181"/>
      <c r="AD20" s="181"/>
      <c r="AF20" s="351"/>
      <c r="AG20" s="351"/>
      <c r="AH20" s="351"/>
      <c r="AI20" s="351"/>
      <c r="AJ20" s="351"/>
    </row>
    <row r="21" spans="1:36" ht="9.9499999999999993" customHeight="1" x14ac:dyDescent="0.15">
      <c r="A21" s="386" t="s">
        <v>16</v>
      </c>
      <c r="B21" s="359">
        <f>SUM(B15:B19)</f>
        <v>1.6347305389221556</v>
      </c>
      <c r="C21" s="359">
        <f>SUM(C15:C19)</f>
        <v>10.898203592814371</v>
      </c>
      <c r="D21" s="359">
        <f>SUM(D15:D19)</f>
        <v>70.838323353293418</v>
      </c>
      <c r="E21" s="359">
        <f>SUM(E15:E19)</f>
        <v>7.6287425149700585</v>
      </c>
      <c r="F21" s="359">
        <f>SUM(F15:F19)</f>
        <v>91.000000000000014</v>
      </c>
      <c r="G21" s="388">
        <f>SUM(G17:G20)</f>
        <v>5238.0580838323349</v>
      </c>
      <c r="H21" s="388">
        <f>SUM(H17:H20)</f>
        <v>0</v>
      </c>
      <c r="I21" s="388">
        <f>SUM(I17:I20)</f>
        <v>10892</v>
      </c>
      <c r="J21" s="438">
        <f>J19</f>
        <v>5</v>
      </c>
      <c r="K21" s="356">
        <f>SUM(K17:K20)</f>
        <v>455</v>
      </c>
      <c r="L21" s="428">
        <f>SUM(L15:L19)</f>
        <v>80650.290419161669</v>
      </c>
      <c r="N21" s="46"/>
      <c r="O21" s="46"/>
      <c r="P21" s="46"/>
      <c r="T21" s="13">
        <f>SUM(T15:T19)</f>
        <v>3</v>
      </c>
      <c r="U21" s="13">
        <f>SUM(U15:U19)</f>
        <v>20</v>
      </c>
      <c r="V21" s="13">
        <f>SUM(V15:V19)</f>
        <v>130</v>
      </c>
      <c r="W21" s="13">
        <f>SUM(W15:W19)</f>
        <v>14</v>
      </c>
      <c r="X21" s="39">
        <f>SUM(X15:X19)</f>
        <v>167</v>
      </c>
      <c r="Z21" s="106">
        <f>SUM(Z15:Z19)</f>
        <v>2.5149700598802394</v>
      </c>
      <c r="AA21" s="106">
        <f>SUM(AA15:AA19)</f>
        <v>16.766467065868262</v>
      </c>
      <c r="AB21" s="106">
        <f>SUM(AB15:AB19)</f>
        <v>108.98203592814372</v>
      </c>
      <c r="AC21" s="106">
        <f>SUM(AC15:AC19)</f>
        <v>11.736526946107784</v>
      </c>
      <c r="AD21" s="106">
        <f>SUM(AD15:AD19)</f>
        <v>140</v>
      </c>
      <c r="AF21" s="343">
        <f>SUM(AF15:AF19)</f>
        <v>1.6347305389221556</v>
      </c>
      <c r="AG21" s="343">
        <f>SUM(AG15:AG19)</f>
        <v>10.898203592814371</v>
      </c>
      <c r="AH21" s="343">
        <f>SUM(AH15:AH19)</f>
        <v>70.838323353293418</v>
      </c>
      <c r="AI21" s="343">
        <f>SUM(AI15:AI19)</f>
        <v>7.6287425149700585</v>
      </c>
      <c r="AJ21" s="343">
        <f>SUM(AJ15:AJ19)</f>
        <v>91.000000000000014</v>
      </c>
    </row>
    <row r="22" spans="1:36" ht="3" customHeight="1" x14ac:dyDescent="0.15">
      <c r="A22" s="432"/>
      <c r="B22" s="433"/>
      <c r="C22" s="433"/>
      <c r="D22" s="433"/>
      <c r="E22" s="433"/>
      <c r="F22" s="433"/>
      <c r="G22" s="434"/>
      <c r="H22" s="434"/>
      <c r="I22" s="434"/>
      <c r="J22" s="439"/>
      <c r="K22" s="436"/>
      <c r="L22" s="437"/>
      <c r="N22" s="42"/>
      <c r="P22" s="45"/>
    </row>
    <row r="23" spans="1:36" ht="9.9499999999999993" customHeight="1" x14ac:dyDescent="0.15">
      <c r="A23" s="412" t="s">
        <v>17</v>
      </c>
      <c r="B23" s="413"/>
      <c r="C23" s="413"/>
      <c r="D23" s="413"/>
      <c r="E23" s="413"/>
      <c r="F23" s="413"/>
      <c r="G23" s="440"/>
      <c r="H23" s="440"/>
      <c r="I23" s="440"/>
      <c r="J23" s="441"/>
      <c r="K23" s="415"/>
      <c r="L23" s="442"/>
      <c r="N23" s="46"/>
      <c r="P23" s="45"/>
    </row>
    <row r="24" spans="1:36" ht="9.9499999999999993" customHeight="1" x14ac:dyDescent="0.15">
      <c r="A24" s="422" t="s">
        <v>248</v>
      </c>
      <c r="B24" s="423">
        <v>0</v>
      </c>
      <c r="C24" s="423">
        <v>3</v>
      </c>
      <c r="D24" s="423">
        <v>20</v>
      </c>
      <c r="E24" s="423">
        <v>1</v>
      </c>
      <c r="F24" s="443">
        <f>SUM(B24:E24)</f>
        <v>24</v>
      </c>
      <c r="G24" s="387">
        <f>(+B24*$B$10)+(+C24*$C$10)+(+D24*$D$10)+(+E24*$E$10)</f>
        <v>1371.7099999999998</v>
      </c>
      <c r="H24" s="387">
        <v>0</v>
      </c>
      <c r="I24" s="387">
        <v>0</v>
      </c>
      <c r="J24" s="426">
        <v>1</v>
      </c>
      <c r="K24" s="427">
        <f>F24*J24</f>
        <v>24</v>
      </c>
      <c r="L24" s="428">
        <f>J24*(G24+H24+I24)</f>
        <v>1371.7099999999998</v>
      </c>
      <c r="N24" s="46">
        <f>G24*J24</f>
        <v>1371.7099999999998</v>
      </c>
      <c r="O24" s="40">
        <f>I24*J24</f>
        <v>0</v>
      </c>
      <c r="P24" s="40">
        <f>H24*J24</f>
        <v>0</v>
      </c>
      <c r="Q24" s="40">
        <f>SUM(N24:P24)</f>
        <v>1371.7099999999998</v>
      </c>
      <c r="R24" s="40"/>
    </row>
    <row r="25" spans="1:36" ht="9.9499999999999993" customHeight="1" x14ac:dyDescent="0.15">
      <c r="A25" s="417" t="s">
        <v>18</v>
      </c>
      <c r="B25" s="444"/>
      <c r="C25" s="444"/>
      <c r="D25" s="444"/>
      <c r="E25" s="444"/>
      <c r="F25" s="429"/>
      <c r="G25" s="445"/>
      <c r="H25" s="381"/>
      <c r="I25" s="381"/>
      <c r="J25" s="446"/>
      <c r="K25" s="357"/>
      <c r="L25" s="447"/>
      <c r="N25" s="42"/>
      <c r="P25" s="45"/>
    </row>
    <row r="26" spans="1:36" ht="9.9499999999999993" customHeight="1" x14ac:dyDescent="0.15">
      <c r="A26" s="422" t="s">
        <v>19</v>
      </c>
      <c r="B26" s="423">
        <v>0</v>
      </c>
      <c r="C26" s="423">
        <v>2</v>
      </c>
      <c r="D26" s="423">
        <v>10</v>
      </c>
      <c r="E26" s="423">
        <v>1</v>
      </c>
      <c r="F26" s="424">
        <f>SUM(B26:E26)</f>
        <v>13</v>
      </c>
      <c r="G26" s="387">
        <f>(+B26*$B$10)+(+C26*$C$10)+(+D26*$D$10)+(+E26*$E$10)</f>
        <v>755.21</v>
      </c>
      <c r="H26" s="387">
        <v>0</v>
      </c>
      <c r="I26" s="387">
        <v>0</v>
      </c>
      <c r="J26" s="426">
        <v>1</v>
      </c>
      <c r="K26" s="427">
        <f>F26*J26</f>
        <v>13</v>
      </c>
      <c r="L26" s="428">
        <f>J26*(G26+H26+I26)</f>
        <v>755.21</v>
      </c>
      <c r="N26" s="46">
        <f>G26*J26</f>
        <v>755.21</v>
      </c>
      <c r="O26" s="40">
        <f>I26*J26</f>
        <v>0</v>
      </c>
      <c r="P26" s="40">
        <f>H26*J26</f>
        <v>0</v>
      </c>
      <c r="Q26" s="40">
        <f>SUM(N26:P26)</f>
        <v>755.21</v>
      </c>
      <c r="R26" s="40"/>
    </row>
    <row r="27" spans="1:36" ht="9.9499999999999993" customHeight="1" x14ac:dyDescent="0.15">
      <c r="A27" s="417" t="s">
        <v>20</v>
      </c>
      <c r="B27" s="418"/>
      <c r="C27" s="418"/>
      <c r="D27" s="418"/>
      <c r="E27" s="418"/>
      <c r="F27" s="429"/>
      <c r="G27" s="382"/>
      <c r="H27" s="382"/>
      <c r="I27" s="382"/>
      <c r="J27" s="448"/>
      <c r="K27" s="421"/>
      <c r="L27" s="382"/>
      <c r="N27" s="42"/>
      <c r="P27" s="45"/>
    </row>
    <row r="28" spans="1:36" ht="9.9499999999999993" customHeight="1" x14ac:dyDescent="0.15">
      <c r="A28" s="422" t="s">
        <v>249</v>
      </c>
      <c r="B28" s="423">
        <v>0</v>
      </c>
      <c r="C28" s="423">
        <v>3</v>
      </c>
      <c r="D28" s="423">
        <v>20</v>
      </c>
      <c r="E28" s="423">
        <v>2</v>
      </c>
      <c r="F28" s="424">
        <f>SUM(B28:E28)</f>
        <v>25</v>
      </c>
      <c r="G28" s="387">
        <f>(+B28*$B$10)+(+C28*$C$10)+(+D28*$D$10)+(+E28*$E$10)</f>
        <v>1404.82</v>
      </c>
      <c r="H28" s="387">
        <v>0</v>
      </c>
      <c r="I28" s="387">
        <v>0</v>
      </c>
      <c r="J28" s="426">
        <v>1</v>
      </c>
      <c r="K28" s="427">
        <f>F28*J28</f>
        <v>25</v>
      </c>
      <c r="L28" s="428">
        <f>J28*(G28+H28+I28)</f>
        <v>1404.82</v>
      </c>
      <c r="N28" s="46">
        <f>G28*J28</f>
        <v>1404.82</v>
      </c>
      <c r="O28" s="40">
        <f>I28*J28</f>
        <v>0</v>
      </c>
      <c r="P28" s="40">
        <f>H28*J28</f>
        <v>0</v>
      </c>
      <c r="Q28" s="40">
        <f>SUM(N28:P28)</f>
        <v>1404.82</v>
      </c>
      <c r="R28" s="40"/>
    </row>
    <row r="29" spans="1:36" ht="9.9499999999999993" customHeight="1" x14ac:dyDescent="0.15">
      <c r="A29" s="417" t="s">
        <v>21</v>
      </c>
      <c r="B29" s="418"/>
      <c r="C29" s="418"/>
      <c r="D29" s="418"/>
      <c r="E29" s="418"/>
      <c r="F29" s="429"/>
      <c r="G29" s="382"/>
      <c r="H29" s="382"/>
      <c r="I29" s="382"/>
      <c r="J29" s="448"/>
      <c r="K29" s="421"/>
      <c r="L29" s="382"/>
      <c r="N29" s="42"/>
      <c r="P29" s="45"/>
    </row>
    <row r="30" spans="1:36" ht="9.9499999999999993" customHeight="1" x14ac:dyDescent="0.15">
      <c r="A30" s="417" t="s">
        <v>250</v>
      </c>
      <c r="B30" s="418"/>
      <c r="C30" s="418"/>
      <c r="D30" s="418"/>
      <c r="E30" s="418"/>
      <c r="F30" s="429"/>
      <c r="G30" s="382"/>
      <c r="H30" s="382"/>
      <c r="I30" s="382"/>
      <c r="J30" s="448"/>
      <c r="K30" s="421"/>
      <c r="L30" s="382"/>
      <c r="N30" s="42"/>
      <c r="P30" s="45"/>
    </row>
    <row r="31" spans="1:36" ht="9.9499999999999993" customHeight="1" x14ac:dyDescent="0.15">
      <c r="A31" s="422" t="s">
        <v>251</v>
      </c>
      <c r="B31" s="423">
        <v>0</v>
      </c>
      <c r="C31" s="423">
        <v>2</v>
      </c>
      <c r="D31" s="423">
        <v>10</v>
      </c>
      <c r="E31" s="423">
        <v>0</v>
      </c>
      <c r="F31" s="424">
        <f>SUM(B31:E31)</f>
        <v>12</v>
      </c>
      <c r="G31" s="387">
        <f>(+B31*$B$10)+(+C31*$C$10)+(+D31*$D$10)+(+E31*$E$10)</f>
        <v>722.1</v>
      </c>
      <c r="H31" s="387">
        <v>0</v>
      </c>
      <c r="I31" s="387">
        <v>0</v>
      </c>
      <c r="J31" s="426">
        <v>1</v>
      </c>
      <c r="K31" s="427">
        <f>F31*J31</f>
        <v>12</v>
      </c>
      <c r="L31" s="428">
        <f>J31*(G31+H31+I31)</f>
        <v>722.1</v>
      </c>
      <c r="N31" s="46">
        <f>G31*J31</f>
        <v>722.1</v>
      </c>
      <c r="O31" s="40">
        <f>I31*J31</f>
        <v>0</v>
      </c>
      <c r="P31" s="40">
        <f>H31*J31</f>
        <v>0</v>
      </c>
      <c r="Q31" s="40">
        <f>SUM(N31:P31)</f>
        <v>722.1</v>
      </c>
      <c r="R31" s="40"/>
    </row>
    <row r="32" spans="1:36" ht="9.9499999999999993" customHeight="1" x14ac:dyDescent="0.15">
      <c r="A32" s="417" t="s">
        <v>22</v>
      </c>
      <c r="B32" s="418"/>
      <c r="C32" s="418"/>
      <c r="D32" s="418"/>
      <c r="E32" s="418"/>
      <c r="F32" s="429"/>
      <c r="G32" s="382"/>
      <c r="H32" s="382"/>
      <c r="I32" s="382"/>
      <c r="J32" s="448"/>
      <c r="K32" s="421"/>
      <c r="L32" s="382"/>
      <c r="N32" s="42"/>
      <c r="P32" s="45"/>
    </row>
    <row r="33" spans="1:39" ht="9.9499999999999993" customHeight="1" x14ac:dyDescent="0.15">
      <c r="A33" s="422" t="s">
        <v>252</v>
      </c>
      <c r="B33" s="423">
        <v>0</v>
      </c>
      <c r="C33" s="423">
        <v>5</v>
      </c>
      <c r="D33" s="423">
        <v>30</v>
      </c>
      <c r="E33" s="423">
        <v>2</v>
      </c>
      <c r="F33" s="424">
        <f>SUM(B33:E33)</f>
        <v>37</v>
      </c>
      <c r="G33" s="387">
        <f>(+B33*$B$10)+(+C33*$C$10)+(+D33*$D$10)+(+E33*$E$10)</f>
        <v>2126.9199999999996</v>
      </c>
      <c r="H33" s="387">
        <v>0</v>
      </c>
      <c r="I33" s="387">
        <v>0</v>
      </c>
      <c r="J33" s="426">
        <v>1</v>
      </c>
      <c r="K33" s="427">
        <f>F33*J33</f>
        <v>37</v>
      </c>
      <c r="L33" s="428">
        <f>J33*(G33+H33+I33)</f>
        <v>2126.9199999999996</v>
      </c>
      <c r="N33" s="46">
        <f>G33*J33</f>
        <v>2126.9199999999996</v>
      </c>
      <c r="O33" s="40">
        <f>I33*J33</f>
        <v>0</v>
      </c>
      <c r="P33" s="40">
        <f>H33*J33</f>
        <v>0</v>
      </c>
      <c r="Q33" s="40">
        <f>SUM(N33:P33)</f>
        <v>2126.9199999999996</v>
      </c>
      <c r="R33" s="40"/>
    </row>
    <row r="34" spans="1:39" ht="9.9499999999999993" customHeight="1" x14ac:dyDescent="0.15">
      <c r="A34" s="417" t="s">
        <v>23</v>
      </c>
      <c r="B34" s="418"/>
      <c r="C34" s="418"/>
      <c r="D34" s="418"/>
      <c r="E34" s="418"/>
      <c r="F34" s="429"/>
      <c r="G34" s="382"/>
      <c r="H34" s="382"/>
      <c r="I34" s="382"/>
      <c r="J34" s="448"/>
      <c r="K34" s="421"/>
      <c r="L34" s="382"/>
      <c r="N34" s="42"/>
      <c r="P34" s="45"/>
    </row>
    <row r="35" spans="1:39" ht="9.9499999999999993" customHeight="1" x14ac:dyDescent="0.15">
      <c r="A35" s="422" t="s">
        <v>24</v>
      </c>
      <c r="B35" s="423">
        <v>0</v>
      </c>
      <c r="C35" s="423">
        <v>3</v>
      </c>
      <c r="D35" s="423">
        <v>20</v>
      </c>
      <c r="E35" s="423">
        <v>1</v>
      </c>
      <c r="F35" s="424">
        <f>SUM(B35:E35)</f>
        <v>24</v>
      </c>
      <c r="G35" s="387">
        <f>(+B35*$B$10)+(+C35*$C$10)+(+D35*$D$10)+(+E35*$E$10)</f>
        <v>1371.7099999999998</v>
      </c>
      <c r="H35" s="387">
        <v>0</v>
      </c>
      <c r="I35" s="387">
        <v>0</v>
      </c>
      <c r="J35" s="426">
        <v>1</v>
      </c>
      <c r="K35" s="427">
        <f>F35*J35</f>
        <v>24</v>
      </c>
      <c r="L35" s="428">
        <f>J35*(G35+H35+I35)</f>
        <v>1371.7099999999998</v>
      </c>
      <c r="N35" s="46">
        <f>G35*J35</f>
        <v>1371.7099999999998</v>
      </c>
      <c r="O35" s="40">
        <f>I35*J35</f>
        <v>0</v>
      </c>
      <c r="P35" s="40">
        <f>H35*J35</f>
        <v>0</v>
      </c>
      <c r="Q35" s="40">
        <f>SUM(N35:P35)</f>
        <v>1371.7099999999998</v>
      </c>
      <c r="R35" s="40"/>
    </row>
    <row r="36" spans="1:39" ht="9.9499999999999993" customHeight="1" x14ac:dyDescent="0.15">
      <c r="A36" s="422" t="s">
        <v>25</v>
      </c>
      <c r="B36" s="423">
        <v>0</v>
      </c>
      <c r="C36" s="423">
        <v>2</v>
      </c>
      <c r="D36" s="423">
        <v>10</v>
      </c>
      <c r="E36" s="423">
        <v>1</v>
      </c>
      <c r="F36" s="429">
        <f>SUM(B36:E36)</f>
        <v>13</v>
      </c>
      <c r="G36" s="387">
        <f>(+B36*$B$10)+(+C36*$C$10)+(+D36*$D$10)+(+E36*$E$10)</f>
        <v>755.21</v>
      </c>
      <c r="H36" s="387">
        <v>0</v>
      </c>
      <c r="I36" s="387">
        <v>0</v>
      </c>
      <c r="J36" s="426">
        <v>1</v>
      </c>
      <c r="K36" s="427">
        <f>F36*J36</f>
        <v>13</v>
      </c>
      <c r="L36" s="428">
        <f>J36*(G36+H36+I36)</f>
        <v>755.21</v>
      </c>
      <c r="N36" s="46">
        <f>G36*J36</f>
        <v>755.21</v>
      </c>
      <c r="O36" s="40">
        <f>I36*J36</f>
        <v>0</v>
      </c>
      <c r="P36" s="40">
        <f>H36*J36</f>
        <v>0</v>
      </c>
      <c r="Q36" s="40">
        <f>SUM(N36:P36)</f>
        <v>755.21</v>
      </c>
      <c r="R36" s="40"/>
    </row>
    <row r="37" spans="1:39" ht="3" customHeight="1" x14ac:dyDescent="0.15">
      <c r="A37" s="432"/>
      <c r="B37" s="433"/>
      <c r="C37" s="433"/>
      <c r="D37" s="433"/>
      <c r="E37" s="433"/>
      <c r="F37" s="433"/>
      <c r="G37" s="434"/>
      <c r="H37" s="434"/>
      <c r="I37" s="434"/>
      <c r="J37" s="439"/>
      <c r="K37" s="436"/>
      <c r="L37" s="437"/>
      <c r="N37" s="42"/>
      <c r="P37" s="45"/>
    </row>
    <row r="38" spans="1:39" ht="9.9499999999999993" customHeight="1" x14ac:dyDescent="0.15">
      <c r="A38" s="386" t="s">
        <v>16</v>
      </c>
      <c r="B38" s="359">
        <f>SUM(B24:B37)</f>
        <v>0</v>
      </c>
      <c r="C38" s="359">
        <f>SUM(C24:C37)</f>
        <v>20</v>
      </c>
      <c r="D38" s="359">
        <f>SUM(D24:D37)</f>
        <v>120</v>
      </c>
      <c r="E38" s="359">
        <f>SUM(E24:E37)</f>
        <v>8</v>
      </c>
      <c r="F38" s="359">
        <f>SUM(F24:F37)</f>
        <v>148</v>
      </c>
      <c r="G38" s="388">
        <f>SUM(G24:G36)</f>
        <v>8507.68</v>
      </c>
      <c r="H38" s="388">
        <f>SUM(H24:H36)</f>
        <v>0</v>
      </c>
      <c r="I38" s="388">
        <f>SUM(I24:I36)</f>
        <v>0</v>
      </c>
      <c r="J38" s="438">
        <v>1</v>
      </c>
      <c r="K38" s="356">
        <f>SUM(K24:K37)</f>
        <v>148</v>
      </c>
      <c r="L38" s="428">
        <f>SUM(L24:L37)</f>
        <v>8507.68</v>
      </c>
      <c r="N38" s="46"/>
      <c r="O38" s="46"/>
      <c r="P38" s="46"/>
      <c r="Z38" s="308" t="s">
        <v>599</v>
      </c>
      <c r="AF38" s="221" t="s">
        <v>600</v>
      </c>
    </row>
    <row r="39" spans="1:39" ht="3" customHeight="1" x14ac:dyDescent="0.15">
      <c r="A39" s="432"/>
      <c r="B39" s="433"/>
      <c r="C39" s="433"/>
      <c r="D39" s="433"/>
      <c r="E39" s="433"/>
      <c r="F39" s="433"/>
      <c r="G39" s="434"/>
      <c r="H39" s="434"/>
      <c r="I39" s="434"/>
      <c r="J39" s="439"/>
      <c r="K39" s="436"/>
      <c r="L39" s="437"/>
      <c r="N39" s="42"/>
      <c r="P39" s="45"/>
    </row>
    <row r="40" spans="1:39" ht="9.9499999999999993" customHeight="1" x14ac:dyDescent="0.15">
      <c r="A40" s="412" t="s">
        <v>26</v>
      </c>
      <c r="B40" s="413"/>
      <c r="C40" s="413"/>
      <c r="D40" s="413"/>
      <c r="E40" s="413"/>
      <c r="F40" s="413"/>
      <c r="G40" s="440"/>
      <c r="H40" s="440"/>
      <c r="I40" s="440"/>
      <c r="J40" s="441"/>
      <c r="K40" s="415"/>
      <c r="L40" s="442"/>
      <c r="N40" s="110" t="s">
        <v>497</v>
      </c>
      <c r="P40" s="45"/>
      <c r="Z40" s="179" t="s">
        <v>505</v>
      </c>
      <c r="AF40" s="179" t="s">
        <v>505</v>
      </c>
    </row>
    <row r="41" spans="1:39" ht="9.9499999999999993" customHeight="1" x14ac:dyDescent="0.15">
      <c r="A41" s="417" t="s">
        <v>27</v>
      </c>
      <c r="B41" s="418"/>
      <c r="C41" s="418"/>
      <c r="D41" s="418"/>
      <c r="E41" s="418"/>
      <c r="F41" s="419"/>
      <c r="G41" s="449"/>
      <c r="H41" s="449"/>
      <c r="I41" s="449"/>
      <c r="J41" s="420"/>
      <c r="K41" s="421"/>
      <c r="L41" s="449"/>
      <c r="N41" s="46"/>
      <c r="P41" s="45"/>
      <c r="T41" s="10" t="s">
        <v>495</v>
      </c>
      <c r="Z41" s="77" t="s">
        <v>513</v>
      </c>
      <c r="AA41" s="76"/>
      <c r="AB41" s="76"/>
      <c r="AC41" s="76"/>
      <c r="AD41" s="76"/>
      <c r="AF41" s="221" t="s">
        <v>604</v>
      </c>
      <c r="AG41" s="220"/>
      <c r="AH41" s="220"/>
      <c r="AI41" s="220"/>
      <c r="AJ41" s="220"/>
      <c r="AM41" s="350"/>
    </row>
    <row r="42" spans="1:39" ht="9.9499999999999993" customHeight="1" x14ac:dyDescent="0.15">
      <c r="A42" s="422" t="s">
        <v>28</v>
      </c>
      <c r="B42" s="423">
        <v>0</v>
      </c>
      <c r="C42" s="423">
        <v>0</v>
      </c>
      <c r="D42" s="423">
        <v>8.7922705314009661</v>
      </c>
      <c r="E42" s="423">
        <v>0</v>
      </c>
      <c r="F42" s="424">
        <v>15.38</v>
      </c>
      <c r="G42" s="387">
        <f>(+B42*$B$10)+(+C42*$C$10)+(+D42*$D$10)+(+E42*$E$10)</f>
        <v>449.19710144927541</v>
      </c>
      <c r="H42" s="387">
        <v>0</v>
      </c>
      <c r="I42" s="387">
        <v>0</v>
      </c>
      <c r="J42" s="426">
        <v>4</v>
      </c>
      <c r="K42" s="427">
        <f>F42*J42</f>
        <v>61.52</v>
      </c>
      <c r="L42" s="428">
        <f>J42*(G42+H42+I42)</f>
        <v>1796.7884057971016</v>
      </c>
      <c r="N42" s="46">
        <f>G42*J42</f>
        <v>1796.7884057971016</v>
      </c>
      <c r="O42" s="40">
        <f>I42*J42</f>
        <v>0</v>
      </c>
      <c r="P42" s="40">
        <f>H42*J42</f>
        <v>0</v>
      </c>
      <c r="Q42" s="40">
        <f>SUM(N42:P42)</f>
        <v>1796.7884057971016</v>
      </c>
      <c r="R42" s="40"/>
      <c r="T42" s="39">
        <v>0</v>
      </c>
      <c r="U42" s="120">
        <v>0</v>
      </c>
      <c r="V42" s="120">
        <v>15</v>
      </c>
      <c r="W42" s="120">
        <v>0</v>
      </c>
      <c r="X42" s="39">
        <f>SUM(T42:W42)</f>
        <v>15</v>
      </c>
      <c r="Z42" s="114">
        <f>T42*560/621</f>
        <v>0</v>
      </c>
      <c r="AA42" s="114">
        <f>U42*560/621</f>
        <v>0</v>
      </c>
      <c r="AB42" s="114">
        <f>V42*560/621</f>
        <v>13.526570048309178</v>
      </c>
      <c r="AC42" s="114">
        <f>W42*560/621</f>
        <v>0</v>
      </c>
      <c r="AD42" s="114">
        <f>X42*560/621</f>
        <v>13.526570048309178</v>
      </c>
      <c r="AF42" s="342">
        <f>Z42*364/560</f>
        <v>0</v>
      </c>
      <c r="AG42" s="342">
        <f>AA42*364/560</f>
        <v>0</v>
      </c>
      <c r="AH42" s="342">
        <f>AB42*364/560</f>
        <v>8.7922705314009661</v>
      </c>
      <c r="AI42" s="342">
        <f>AC42*364/560</f>
        <v>0</v>
      </c>
      <c r="AJ42" s="342">
        <f>AD42*364/560</f>
        <v>8.7922705314009661</v>
      </c>
    </row>
    <row r="43" spans="1:39" ht="9.9499999999999993" customHeight="1" x14ac:dyDescent="0.15">
      <c r="A43" s="417" t="s">
        <v>299</v>
      </c>
      <c r="B43" s="418"/>
      <c r="C43" s="418"/>
      <c r="D43" s="418"/>
      <c r="E43" s="418"/>
      <c r="F43" s="429"/>
      <c r="G43" s="449"/>
      <c r="H43" s="449"/>
      <c r="I43" s="449"/>
      <c r="J43" s="420"/>
      <c r="K43" s="421"/>
      <c r="L43" s="449"/>
      <c r="N43" s="46"/>
      <c r="P43" s="45"/>
      <c r="T43" s="24"/>
      <c r="U43" s="18"/>
      <c r="V43" s="18"/>
      <c r="W43" s="18"/>
      <c r="X43" s="24"/>
      <c r="Z43" s="76"/>
      <c r="AA43" s="76"/>
      <c r="AB43" s="76"/>
      <c r="AC43" s="76"/>
      <c r="AD43" s="76"/>
      <c r="AF43" s="220"/>
      <c r="AG43" s="220"/>
      <c r="AH43" s="220"/>
      <c r="AI43" s="220"/>
      <c r="AJ43" s="220"/>
    </row>
    <row r="44" spans="1:39" ht="9.9499999999999993" customHeight="1" x14ac:dyDescent="0.15">
      <c r="A44" s="417" t="s">
        <v>300</v>
      </c>
      <c r="B44" s="418"/>
      <c r="C44" s="418"/>
      <c r="D44" s="418"/>
      <c r="E44" s="418"/>
      <c r="F44" s="429"/>
      <c r="G44" s="449"/>
      <c r="H44" s="449"/>
      <c r="I44" s="449"/>
      <c r="J44" s="420"/>
      <c r="K44" s="421"/>
      <c r="L44" s="449"/>
      <c r="N44" s="46"/>
      <c r="P44" s="45"/>
      <c r="T44" s="24"/>
      <c r="U44" s="18"/>
      <c r="V44" s="18"/>
      <c r="W44" s="18"/>
      <c r="X44" s="24"/>
      <c r="Z44" s="76"/>
      <c r="AA44" s="76"/>
      <c r="AB44" s="76"/>
      <c r="AC44" s="76"/>
      <c r="AD44" s="76"/>
      <c r="AF44" s="220"/>
      <c r="AG44" s="220"/>
      <c r="AH44" s="220"/>
      <c r="AI44" s="220"/>
      <c r="AJ44" s="220"/>
    </row>
    <row r="45" spans="1:39" ht="9.9499999999999993" customHeight="1" x14ac:dyDescent="0.15">
      <c r="A45" s="422" t="s">
        <v>29</v>
      </c>
      <c r="B45" s="423">
        <v>0</v>
      </c>
      <c r="C45" s="423">
        <v>4.3961352657004831</v>
      </c>
      <c r="D45" s="423">
        <v>0.87922705314009664</v>
      </c>
      <c r="E45" s="423">
        <v>0.87922705314009664</v>
      </c>
      <c r="F45" s="424">
        <v>10.76</v>
      </c>
      <c r="G45" s="387">
        <f>(+B45*$B$10)+(+C45*$C$10)+(+D45*$D$10)+(+E45*$E$10)</f>
        <v>538.2628019323671</v>
      </c>
      <c r="H45" s="387">
        <v>0</v>
      </c>
      <c r="I45" s="387">
        <f>'Exhibit 1'!N17</f>
        <v>1609</v>
      </c>
      <c r="J45" s="426">
        <v>4</v>
      </c>
      <c r="K45" s="427">
        <f>F45*J45</f>
        <v>43.04</v>
      </c>
      <c r="L45" s="428">
        <f>J45*(G45+H45+I45)</f>
        <v>8589.0512077294679</v>
      </c>
      <c r="N45" s="46">
        <f>G45*J45</f>
        <v>2153.0512077294684</v>
      </c>
      <c r="O45" s="40">
        <f>I45*J45</f>
        <v>6436</v>
      </c>
      <c r="P45" s="40">
        <f>H45*J45</f>
        <v>0</v>
      </c>
      <c r="Q45" s="40">
        <f>SUM(N45:P45)</f>
        <v>8589.0512077294679</v>
      </c>
      <c r="R45" s="40"/>
      <c r="T45" s="26">
        <v>0</v>
      </c>
      <c r="U45" s="20">
        <v>7.5</v>
      </c>
      <c r="V45" s="20">
        <v>1.5</v>
      </c>
      <c r="W45" s="20">
        <v>1.5</v>
      </c>
      <c r="X45" s="26">
        <f>SUM(T45:W45)</f>
        <v>10.5</v>
      </c>
      <c r="Z45" s="114">
        <f>T45*560/621</f>
        <v>0</v>
      </c>
      <c r="AA45" s="114">
        <f>U45*560/621</f>
        <v>6.7632850241545892</v>
      </c>
      <c r="AB45" s="114">
        <f>V45*560/621</f>
        <v>1.3526570048309179</v>
      </c>
      <c r="AC45" s="114">
        <f>W45*560/621</f>
        <v>1.3526570048309179</v>
      </c>
      <c r="AD45" s="114">
        <f>X45*560/621</f>
        <v>9.4685990338164245</v>
      </c>
      <c r="AF45" s="342">
        <f>Z45*364/560</f>
        <v>0</v>
      </c>
      <c r="AG45" s="342">
        <f>AA45*364/560</f>
        <v>4.3961352657004831</v>
      </c>
      <c r="AH45" s="342">
        <f>AB45*364/560</f>
        <v>0.87922705314009664</v>
      </c>
      <c r="AI45" s="342">
        <f>AC45*364/560</f>
        <v>0.87922705314009664</v>
      </c>
      <c r="AJ45" s="342">
        <f>AD45*364/560</f>
        <v>6.1545893719806761</v>
      </c>
    </row>
    <row r="46" spans="1:39" ht="9.9499999999999993" customHeight="1" x14ac:dyDescent="0.15">
      <c r="A46" s="417" t="s">
        <v>298</v>
      </c>
      <c r="B46" s="418"/>
      <c r="C46" s="418"/>
      <c r="D46" s="418"/>
      <c r="E46" s="418"/>
      <c r="F46" s="429"/>
      <c r="G46" s="382"/>
      <c r="H46" s="382"/>
      <c r="I46" s="382"/>
      <c r="J46" s="448"/>
      <c r="K46" s="421"/>
      <c r="L46" s="382"/>
      <c r="N46" s="42"/>
      <c r="P46" s="45"/>
      <c r="T46" s="24"/>
      <c r="U46" s="18"/>
      <c r="V46" s="18"/>
      <c r="W46" s="18"/>
      <c r="X46" s="24"/>
      <c r="Z46" s="76"/>
      <c r="AA46" s="76"/>
      <c r="AB46" s="76"/>
      <c r="AC46" s="76"/>
      <c r="AD46" s="76"/>
      <c r="AF46" s="220"/>
      <c r="AG46" s="220"/>
      <c r="AH46" s="220"/>
      <c r="AI46" s="220"/>
      <c r="AJ46" s="220"/>
    </row>
    <row r="47" spans="1:39" ht="9.9499999999999993" customHeight="1" x14ac:dyDescent="0.15">
      <c r="A47" s="422" t="s">
        <v>30</v>
      </c>
      <c r="B47" s="423">
        <v>0</v>
      </c>
      <c r="C47" s="423">
        <v>0</v>
      </c>
      <c r="D47" s="423">
        <v>0.87922705314009664</v>
      </c>
      <c r="E47" s="423">
        <v>0</v>
      </c>
      <c r="F47" s="424">
        <v>1.54</v>
      </c>
      <c r="G47" s="387">
        <f>(+B47*$B$10)+(+C47*$C$10)+(+D47*$D$10)+(+E47*$E$10)</f>
        <v>44.919710144927542</v>
      </c>
      <c r="H47" s="387">
        <v>0</v>
      </c>
      <c r="I47" s="387">
        <v>0</v>
      </c>
      <c r="J47" s="426">
        <v>4</v>
      </c>
      <c r="K47" s="427">
        <f>F47*J47</f>
        <v>6.16</v>
      </c>
      <c r="L47" s="428">
        <f>J47*(G47+H47+I47)</f>
        <v>179.67884057971017</v>
      </c>
      <c r="N47" s="46">
        <f>G47*J47</f>
        <v>179.67884057971017</v>
      </c>
      <c r="O47" s="40">
        <f>I47*J47</f>
        <v>0</v>
      </c>
      <c r="P47" s="40">
        <f>H47*J47</f>
        <v>0</v>
      </c>
      <c r="Q47" s="40">
        <f>SUM(N47:P47)</f>
        <v>179.67884057971017</v>
      </c>
      <c r="R47" s="40"/>
      <c r="T47" s="26">
        <v>0</v>
      </c>
      <c r="U47" s="20">
        <v>0</v>
      </c>
      <c r="V47" s="20">
        <v>1.5</v>
      </c>
      <c r="W47" s="20">
        <v>0</v>
      </c>
      <c r="X47" s="26">
        <f>SUM(T47:W47)</f>
        <v>1.5</v>
      </c>
      <c r="Z47" s="114">
        <f>T47*560/621</f>
        <v>0</v>
      </c>
      <c r="AA47" s="114">
        <f>U47*560/621</f>
        <v>0</v>
      </c>
      <c r="AB47" s="114">
        <f>V47*560/621</f>
        <v>1.3526570048309179</v>
      </c>
      <c r="AC47" s="114">
        <f>W47*560/621</f>
        <v>0</v>
      </c>
      <c r="AD47" s="114">
        <f>X47*560/621</f>
        <v>1.3526570048309179</v>
      </c>
      <c r="AF47" s="342">
        <f>Z47*364/560</f>
        <v>0</v>
      </c>
      <c r="AG47" s="342">
        <f>AA47*364/560</f>
        <v>0</v>
      </c>
      <c r="AH47" s="342">
        <f>AB47*364/560</f>
        <v>0.87922705314009664</v>
      </c>
      <c r="AI47" s="342">
        <f>AC47*364/560</f>
        <v>0</v>
      </c>
      <c r="AJ47" s="342">
        <f>AD47*364/560</f>
        <v>0.87922705314009664</v>
      </c>
    </row>
    <row r="48" spans="1:39" ht="9.9499999999999993" customHeight="1" x14ac:dyDescent="0.15">
      <c r="A48" s="417" t="s">
        <v>31</v>
      </c>
      <c r="B48" s="418"/>
      <c r="C48" s="418"/>
      <c r="D48" s="418"/>
      <c r="E48" s="418"/>
      <c r="F48" s="429"/>
      <c r="G48" s="382"/>
      <c r="H48" s="382"/>
      <c r="I48" s="382"/>
      <c r="J48" s="448"/>
      <c r="K48" s="421"/>
      <c r="L48" s="382"/>
      <c r="N48" s="42"/>
      <c r="P48" s="45"/>
      <c r="T48" s="24"/>
      <c r="U48" s="18"/>
      <c r="V48" s="18"/>
      <c r="W48" s="18"/>
      <c r="X48" s="24"/>
      <c r="Z48" s="76"/>
      <c r="AA48" s="76"/>
      <c r="AB48" s="76"/>
      <c r="AC48" s="76"/>
      <c r="AD48" s="76"/>
      <c r="AF48" s="220"/>
      <c r="AG48" s="220"/>
      <c r="AH48" s="220"/>
      <c r="AI48" s="220"/>
      <c r="AJ48" s="220"/>
    </row>
    <row r="49" spans="1:36" ht="9.9499999999999993" customHeight="1" x14ac:dyDescent="0.15">
      <c r="A49" s="422" t="s">
        <v>32</v>
      </c>
      <c r="B49" s="423">
        <v>0</v>
      </c>
      <c r="C49" s="423">
        <v>0</v>
      </c>
      <c r="D49" s="423">
        <v>0.87922705314009664</v>
      </c>
      <c r="E49" s="423">
        <v>0.87922705314009664</v>
      </c>
      <c r="F49" s="424">
        <v>3.08</v>
      </c>
      <c r="G49" s="387">
        <f>(+B49*$B$10)+(+C49*$C$10)+(+D49*$D$10)+(+E49*$E$10)</f>
        <v>74.030917874396138</v>
      </c>
      <c r="H49" s="387">
        <v>0</v>
      </c>
      <c r="I49" s="387">
        <v>0</v>
      </c>
      <c r="J49" s="426">
        <v>4</v>
      </c>
      <c r="K49" s="427">
        <f>F49*J49</f>
        <v>12.32</v>
      </c>
      <c r="L49" s="428">
        <f>J49*(G49+H49+I49)</f>
        <v>296.12367149758455</v>
      </c>
      <c r="N49" s="46">
        <f>G49*J49</f>
        <v>296.12367149758455</v>
      </c>
      <c r="O49" s="40">
        <f>I49*J49</f>
        <v>0</v>
      </c>
      <c r="P49" s="40">
        <f>H49*J49</f>
        <v>0</v>
      </c>
      <c r="Q49" s="40">
        <f>SUM(N49:P49)</f>
        <v>296.12367149758455</v>
      </c>
      <c r="R49" s="40"/>
      <c r="T49" s="26">
        <v>0</v>
      </c>
      <c r="U49" s="20">
        <v>0</v>
      </c>
      <c r="V49" s="20">
        <v>1.5</v>
      </c>
      <c r="W49" s="20">
        <v>1.5</v>
      </c>
      <c r="X49" s="26">
        <f>SUM(T49:W49)</f>
        <v>3</v>
      </c>
      <c r="Z49" s="114">
        <f>T49*560/621</f>
        <v>0</v>
      </c>
      <c r="AA49" s="114">
        <f>U49*560/621</f>
        <v>0</v>
      </c>
      <c r="AB49" s="114">
        <f>V49*560/621</f>
        <v>1.3526570048309179</v>
      </c>
      <c r="AC49" s="114">
        <f>W49*560/621</f>
        <v>1.3526570048309179</v>
      </c>
      <c r="AD49" s="114">
        <f>X49*560/621</f>
        <v>2.7053140096618358</v>
      </c>
      <c r="AF49" s="342">
        <f>Z49*364/560</f>
        <v>0</v>
      </c>
      <c r="AG49" s="342">
        <f>AA49*364/560</f>
        <v>0</v>
      </c>
      <c r="AH49" s="342">
        <f>AB49*364/560</f>
        <v>0.87922705314009664</v>
      </c>
      <c r="AI49" s="342">
        <f>AC49*364/560</f>
        <v>0.87922705314009664</v>
      </c>
      <c r="AJ49" s="342">
        <f>AD49*364/560</f>
        <v>1.7584541062801933</v>
      </c>
    </row>
    <row r="50" spans="1:36" ht="9.9499999999999993" customHeight="1" x14ac:dyDescent="0.15">
      <c r="A50" s="417" t="s">
        <v>33</v>
      </c>
      <c r="B50" s="418"/>
      <c r="C50" s="418"/>
      <c r="D50" s="418"/>
      <c r="E50" s="418"/>
      <c r="F50" s="429"/>
      <c r="G50" s="382"/>
      <c r="H50" s="382"/>
      <c r="I50" s="382"/>
      <c r="J50" s="448"/>
      <c r="K50" s="421"/>
      <c r="L50" s="382"/>
      <c r="N50" s="42"/>
      <c r="P50" s="45"/>
      <c r="T50" s="24"/>
      <c r="U50" s="18"/>
      <c r="V50" s="18"/>
      <c r="W50" s="18"/>
      <c r="X50" s="24"/>
      <c r="Z50" s="76"/>
      <c r="AA50" s="76"/>
      <c r="AB50" s="76"/>
      <c r="AC50" s="76"/>
      <c r="AD50" s="76"/>
      <c r="AF50" s="220"/>
      <c r="AG50" s="220"/>
      <c r="AH50" s="220"/>
      <c r="AI50" s="220"/>
      <c r="AJ50" s="220"/>
    </row>
    <row r="51" spans="1:36" ht="9.9499999999999993" customHeight="1" x14ac:dyDescent="0.15">
      <c r="A51" s="417" t="s">
        <v>34</v>
      </c>
      <c r="B51" s="418"/>
      <c r="C51" s="418"/>
      <c r="D51" s="418"/>
      <c r="E51" s="418"/>
      <c r="F51" s="429"/>
      <c r="G51" s="382"/>
      <c r="H51" s="382"/>
      <c r="I51" s="382"/>
      <c r="J51" s="448"/>
      <c r="K51" s="421"/>
      <c r="L51" s="382"/>
      <c r="N51" s="42"/>
      <c r="P51" s="45"/>
      <c r="T51" s="24"/>
      <c r="U51" s="18"/>
      <c r="V51" s="18"/>
      <c r="W51" s="18"/>
      <c r="X51" s="24"/>
      <c r="Z51" s="76"/>
      <c r="AA51" s="76"/>
      <c r="AB51" s="76"/>
      <c r="AC51" s="76"/>
      <c r="AD51" s="76"/>
      <c r="AF51" s="220"/>
      <c r="AG51" s="220"/>
      <c r="AH51" s="220"/>
      <c r="AI51" s="220"/>
      <c r="AJ51" s="220"/>
    </row>
    <row r="52" spans="1:36" ht="9.9499999999999993" customHeight="1" x14ac:dyDescent="0.15">
      <c r="A52" s="422" t="s">
        <v>273</v>
      </c>
      <c r="B52" s="423">
        <v>0</v>
      </c>
      <c r="C52" s="423">
        <v>4.3961352657004831</v>
      </c>
      <c r="D52" s="423">
        <v>87.922705314009661</v>
      </c>
      <c r="E52" s="423">
        <v>0.87922705314009664</v>
      </c>
      <c r="F52" s="424">
        <v>163.1</v>
      </c>
      <c r="G52" s="387">
        <f>(+B52*$B$10)+(+C52*$C$10)+(+D52*$D$10)+(+E52*$E$10)</f>
        <v>4985.3141062801933</v>
      </c>
      <c r="H52" s="387">
        <v>0</v>
      </c>
      <c r="I52" s="387">
        <v>0</v>
      </c>
      <c r="J52" s="426">
        <v>4</v>
      </c>
      <c r="K52" s="427">
        <f>F52*J52</f>
        <v>652.4</v>
      </c>
      <c r="L52" s="428">
        <f>J52*(G52+H52+I52)</f>
        <v>19941.256425120773</v>
      </c>
      <c r="N52" s="46">
        <f>G52*J52</f>
        <v>19941.256425120773</v>
      </c>
      <c r="O52" s="40">
        <f>I52*J52</f>
        <v>0</v>
      </c>
      <c r="P52" s="40">
        <f>H52*J52</f>
        <v>0</v>
      </c>
      <c r="Q52" s="40">
        <f>SUM(N52:P52)</f>
        <v>19941.256425120773</v>
      </c>
      <c r="R52" s="40"/>
      <c r="T52" s="26">
        <v>0</v>
      </c>
      <c r="U52" s="20">
        <v>7.5</v>
      </c>
      <c r="V52" s="20">
        <v>150</v>
      </c>
      <c r="W52" s="20">
        <v>1.5</v>
      </c>
      <c r="X52" s="26">
        <f>SUM(T52:W52)</f>
        <v>159</v>
      </c>
      <c r="Z52" s="114">
        <f>T52*560/621</f>
        <v>0</v>
      </c>
      <c r="AA52" s="114">
        <f>U52*560/621</f>
        <v>6.7632850241545892</v>
      </c>
      <c r="AB52" s="114">
        <f>V52*560/621</f>
        <v>135.26570048309179</v>
      </c>
      <c r="AC52" s="114">
        <f>W52*560/621</f>
        <v>1.3526570048309179</v>
      </c>
      <c r="AD52" s="114">
        <f>X52*560/621</f>
        <v>143.38164251207729</v>
      </c>
      <c r="AF52" s="342">
        <f>Z52*364/560</f>
        <v>0</v>
      </c>
      <c r="AG52" s="342">
        <f>AA52*364/560</f>
        <v>4.3961352657004831</v>
      </c>
      <c r="AH52" s="342">
        <f>AB52*364/560</f>
        <v>87.922705314009661</v>
      </c>
      <c r="AI52" s="342">
        <f>AC52*364/560</f>
        <v>0.87922705314009664</v>
      </c>
      <c r="AJ52" s="342">
        <f>AD52*364/560</f>
        <v>93.19806763285024</v>
      </c>
    </row>
    <row r="53" spans="1:36" ht="9.9499999999999993" customHeight="1" x14ac:dyDescent="0.15">
      <c r="A53" s="417" t="s">
        <v>35</v>
      </c>
      <c r="B53" s="418"/>
      <c r="C53" s="418"/>
      <c r="D53" s="418"/>
      <c r="E53" s="418"/>
      <c r="F53" s="418"/>
      <c r="G53" s="382"/>
      <c r="H53" s="382"/>
      <c r="I53" s="382"/>
      <c r="J53" s="448"/>
      <c r="K53" s="421"/>
      <c r="L53" s="382"/>
      <c r="N53" s="42"/>
      <c r="P53" s="45"/>
      <c r="T53" s="24"/>
      <c r="U53" s="18"/>
      <c r="V53" s="18"/>
      <c r="W53" s="18"/>
      <c r="X53" s="18"/>
      <c r="Z53" s="76"/>
      <c r="AA53" s="76"/>
      <c r="AB53" s="76"/>
      <c r="AC53" s="76"/>
      <c r="AD53" s="76"/>
      <c r="AF53" s="220"/>
      <c r="AG53" s="220"/>
      <c r="AH53" s="220"/>
      <c r="AI53" s="220"/>
      <c r="AJ53" s="220"/>
    </row>
    <row r="54" spans="1:36" ht="9.9499999999999993" customHeight="1" x14ac:dyDescent="0.15">
      <c r="A54" s="422" t="s">
        <v>36</v>
      </c>
      <c r="B54" s="423">
        <v>0</v>
      </c>
      <c r="C54" s="423">
        <v>0</v>
      </c>
      <c r="D54" s="423">
        <v>87.922705314009661</v>
      </c>
      <c r="E54" s="423">
        <v>0</v>
      </c>
      <c r="F54" s="424">
        <v>153.86000000000001</v>
      </c>
      <c r="G54" s="387">
        <f>(+B54*$B$10)+(+C54*$C$10)+(+D54*$D$10)+(+E54*$E$10)</f>
        <v>4491.971014492754</v>
      </c>
      <c r="H54" s="387">
        <v>0</v>
      </c>
      <c r="I54" s="387">
        <v>0</v>
      </c>
      <c r="J54" s="426">
        <v>4</v>
      </c>
      <c r="K54" s="427">
        <f>F54*J54</f>
        <v>615.44000000000005</v>
      </c>
      <c r="L54" s="428">
        <f>J54*(G54+H54+I54)</f>
        <v>17967.884057971016</v>
      </c>
      <c r="N54" s="46">
        <f>G54*J54</f>
        <v>17967.884057971016</v>
      </c>
      <c r="O54" s="40">
        <f>I54*J54</f>
        <v>0</v>
      </c>
      <c r="P54" s="40">
        <f>H54*J54</f>
        <v>0</v>
      </c>
      <c r="Q54" s="40">
        <f>SUM(N54:P54)</f>
        <v>17967.884057971016</v>
      </c>
      <c r="R54" s="40"/>
      <c r="T54" s="26">
        <v>0</v>
      </c>
      <c r="U54" s="20">
        <v>0</v>
      </c>
      <c r="V54" s="20">
        <v>150</v>
      </c>
      <c r="W54" s="20">
        <v>0</v>
      </c>
      <c r="X54" s="26">
        <f>SUM(T54:W54)</f>
        <v>150</v>
      </c>
      <c r="Z54" s="114">
        <f t="shared" ref="Z54:AD55" si="0">T54*560/621</f>
        <v>0</v>
      </c>
      <c r="AA54" s="114">
        <f t="shared" si="0"/>
        <v>0</v>
      </c>
      <c r="AB54" s="114">
        <f t="shared" si="0"/>
        <v>135.26570048309179</v>
      </c>
      <c r="AC54" s="114">
        <f t="shared" si="0"/>
        <v>0</v>
      </c>
      <c r="AD54" s="114">
        <f t="shared" si="0"/>
        <v>135.26570048309179</v>
      </c>
      <c r="AF54" s="342">
        <f t="shared" ref="AF54:AJ55" si="1">Z54*364/560</f>
        <v>0</v>
      </c>
      <c r="AG54" s="342">
        <f t="shared" si="1"/>
        <v>0</v>
      </c>
      <c r="AH54" s="342">
        <f t="shared" si="1"/>
        <v>87.922705314009661</v>
      </c>
      <c r="AI54" s="342">
        <f t="shared" si="1"/>
        <v>0</v>
      </c>
      <c r="AJ54" s="342">
        <f t="shared" si="1"/>
        <v>87.922705314009661</v>
      </c>
    </row>
    <row r="55" spans="1:36" ht="9.9499999999999993" customHeight="1" x14ac:dyDescent="0.15">
      <c r="A55" s="422" t="s">
        <v>37</v>
      </c>
      <c r="B55" s="423">
        <v>0</v>
      </c>
      <c r="C55" s="423">
        <v>0</v>
      </c>
      <c r="D55" s="423">
        <v>17.584541062801932</v>
      </c>
      <c r="E55" s="423">
        <v>0.87922705314009664</v>
      </c>
      <c r="F55" s="424">
        <v>32.31</v>
      </c>
      <c r="G55" s="387">
        <f>(+B55*$B$10)+(+C55*$C$10)+(+D55*$D$10)+(+E55*$E$10)</f>
        <v>927.50541062801938</v>
      </c>
      <c r="H55" s="387">
        <v>0</v>
      </c>
      <c r="I55" s="387">
        <v>0</v>
      </c>
      <c r="J55" s="426">
        <v>4</v>
      </c>
      <c r="K55" s="427">
        <f>F55*J55</f>
        <v>129.24</v>
      </c>
      <c r="L55" s="428">
        <f>J55*(G55+H55+I55)</f>
        <v>3710.0216425120775</v>
      </c>
      <c r="N55" s="46">
        <f>G55*J55</f>
        <v>3710.0216425120775</v>
      </c>
      <c r="O55" s="40">
        <f>I55*J55</f>
        <v>0</v>
      </c>
      <c r="P55" s="40">
        <f>H55*J55</f>
        <v>0</v>
      </c>
      <c r="Q55" s="40">
        <f>SUM(N55:P55)</f>
        <v>3710.0216425120775</v>
      </c>
      <c r="R55" s="40"/>
      <c r="T55" s="26">
        <v>0</v>
      </c>
      <c r="U55" s="20">
        <v>0</v>
      </c>
      <c r="V55" s="20">
        <v>30</v>
      </c>
      <c r="W55" s="20">
        <v>1.5</v>
      </c>
      <c r="X55" s="26">
        <f>SUM(T55:W55)</f>
        <v>31.5</v>
      </c>
      <c r="Z55" s="114">
        <f t="shared" si="0"/>
        <v>0</v>
      </c>
      <c r="AA55" s="114">
        <f t="shared" si="0"/>
        <v>0</v>
      </c>
      <c r="AB55" s="114">
        <f t="shared" si="0"/>
        <v>27.053140096618357</v>
      </c>
      <c r="AC55" s="114">
        <f t="shared" si="0"/>
        <v>1.3526570048309179</v>
      </c>
      <c r="AD55" s="114">
        <f t="shared" si="0"/>
        <v>28.405797101449274</v>
      </c>
      <c r="AF55" s="342">
        <f t="shared" si="1"/>
        <v>0</v>
      </c>
      <c r="AG55" s="342">
        <f t="shared" si="1"/>
        <v>0</v>
      </c>
      <c r="AH55" s="342">
        <f t="shared" si="1"/>
        <v>17.584541062801932</v>
      </c>
      <c r="AI55" s="342">
        <f t="shared" si="1"/>
        <v>0.87922705314009664</v>
      </c>
      <c r="AJ55" s="342">
        <f t="shared" si="1"/>
        <v>18.463768115942027</v>
      </c>
    </row>
    <row r="56" spans="1:36" ht="9.9499999999999993" customHeight="1" x14ac:dyDescent="0.15">
      <c r="A56" s="417" t="s">
        <v>38</v>
      </c>
      <c r="B56" s="418"/>
      <c r="C56" s="418"/>
      <c r="D56" s="418"/>
      <c r="E56" s="418"/>
      <c r="F56" s="418"/>
      <c r="G56" s="382"/>
      <c r="H56" s="382"/>
      <c r="I56" s="382"/>
      <c r="J56" s="448"/>
      <c r="K56" s="421"/>
      <c r="L56" s="382"/>
      <c r="N56" s="42"/>
      <c r="P56" s="45"/>
      <c r="T56" s="24"/>
      <c r="U56" s="18"/>
      <c r="V56" s="18"/>
      <c r="W56" s="18"/>
      <c r="X56" s="18"/>
      <c r="Z56" s="76"/>
      <c r="AA56" s="76"/>
      <c r="AB56" s="76"/>
      <c r="AC56" s="76"/>
      <c r="AD56" s="76"/>
      <c r="AF56" s="220"/>
      <c r="AG56" s="220"/>
      <c r="AH56" s="220"/>
      <c r="AI56" s="220"/>
      <c r="AJ56" s="220"/>
    </row>
    <row r="57" spans="1:36" ht="9.9499999999999993" customHeight="1" x14ac:dyDescent="0.15">
      <c r="A57" s="417" t="s">
        <v>39</v>
      </c>
      <c r="B57" s="418"/>
      <c r="C57" s="418"/>
      <c r="D57" s="418"/>
      <c r="E57" s="418"/>
      <c r="F57" s="418"/>
      <c r="G57" s="382"/>
      <c r="H57" s="382"/>
      <c r="I57" s="382"/>
      <c r="J57" s="448"/>
      <c r="K57" s="421"/>
      <c r="L57" s="382"/>
      <c r="N57" s="42"/>
      <c r="P57" s="45"/>
      <c r="T57" s="24"/>
      <c r="U57" s="18"/>
      <c r="V57" s="18"/>
      <c r="W57" s="18"/>
      <c r="X57" s="18"/>
      <c r="Z57" s="76"/>
      <c r="AA57" s="76"/>
      <c r="AB57" s="76"/>
      <c r="AC57" s="76"/>
      <c r="AD57" s="76"/>
      <c r="AF57" s="220"/>
      <c r="AG57" s="220"/>
      <c r="AH57" s="220"/>
      <c r="AI57" s="220"/>
      <c r="AJ57" s="220"/>
    </row>
    <row r="58" spans="1:36" ht="9.9499999999999993" customHeight="1" x14ac:dyDescent="0.15">
      <c r="A58" s="422" t="s">
        <v>40</v>
      </c>
      <c r="B58" s="423">
        <v>0</v>
      </c>
      <c r="C58" s="423">
        <v>0</v>
      </c>
      <c r="D58" s="423">
        <v>17.584541062801932</v>
      </c>
      <c r="E58" s="423">
        <v>0</v>
      </c>
      <c r="F58" s="424">
        <v>30.77</v>
      </c>
      <c r="G58" s="387">
        <f>(+B58*$B$10)+(+C58*$C$10)+(+D58*$D$10)+(+E58*$E$10)</f>
        <v>898.39420289855082</v>
      </c>
      <c r="H58" s="387">
        <v>0</v>
      </c>
      <c r="I58" s="387">
        <v>0</v>
      </c>
      <c r="J58" s="426">
        <v>4</v>
      </c>
      <c r="K58" s="427">
        <f>F58*J58</f>
        <v>123.08</v>
      </c>
      <c r="L58" s="428">
        <f>J58*(G58+H58+I58)</f>
        <v>3593.5768115942033</v>
      </c>
      <c r="N58" s="46">
        <f>G58*J58</f>
        <v>3593.5768115942033</v>
      </c>
      <c r="O58" s="40">
        <f>I58*J58</f>
        <v>0</v>
      </c>
      <c r="P58" s="40">
        <f>H58*J58</f>
        <v>0</v>
      </c>
      <c r="Q58" s="40">
        <f>SUM(N58:P58)</f>
        <v>3593.5768115942033</v>
      </c>
      <c r="R58" s="40"/>
      <c r="T58" s="26">
        <v>0</v>
      </c>
      <c r="U58" s="20">
        <v>0</v>
      </c>
      <c r="V58" s="20">
        <v>30</v>
      </c>
      <c r="W58" s="20">
        <v>0</v>
      </c>
      <c r="X58" s="26">
        <f>SUM(T58:W58)</f>
        <v>30</v>
      </c>
      <c r="Z58" s="114">
        <f>T58*560/621</f>
        <v>0</v>
      </c>
      <c r="AA58" s="114">
        <f>U58*560/621</f>
        <v>0</v>
      </c>
      <c r="AB58" s="114">
        <f>V58*560/621</f>
        <v>27.053140096618357</v>
      </c>
      <c r="AC58" s="114">
        <f>W58*560/621</f>
        <v>0</v>
      </c>
      <c r="AD58" s="114">
        <f>X58*560/621</f>
        <v>27.053140096618357</v>
      </c>
      <c r="AF58" s="342">
        <f>Z58*364/560</f>
        <v>0</v>
      </c>
      <c r="AG58" s="342">
        <f>AA58*364/560</f>
        <v>0</v>
      </c>
      <c r="AH58" s="342">
        <f>AB58*364/560</f>
        <v>17.584541062801932</v>
      </c>
      <c r="AI58" s="342">
        <f>AC58*364/560</f>
        <v>0</v>
      </c>
      <c r="AJ58" s="342">
        <f>AD58*364/560</f>
        <v>17.584541062801932</v>
      </c>
    </row>
    <row r="59" spans="1:36" ht="9.9499999999999993" customHeight="1" x14ac:dyDescent="0.15">
      <c r="A59" s="417" t="s">
        <v>41</v>
      </c>
      <c r="B59" s="418"/>
      <c r="C59" s="418"/>
      <c r="D59" s="418"/>
      <c r="E59" s="418"/>
      <c r="F59" s="418"/>
      <c r="G59" s="382"/>
      <c r="H59" s="382"/>
      <c r="I59" s="382"/>
      <c r="J59" s="448"/>
      <c r="K59" s="421"/>
      <c r="L59" s="382"/>
      <c r="N59" s="42"/>
      <c r="P59" s="45"/>
      <c r="T59" s="24"/>
      <c r="U59" s="18"/>
      <c r="V59" s="18"/>
      <c r="W59" s="18"/>
      <c r="X59" s="18"/>
      <c r="Z59" s="76"/>
      <c r="AA59" s="76"/>
      <c r="AB59" s="76"/>
      <c r="AC59" s="76"/>
      <c r="AD59" s="76"/>
      <c r="AF59" s="220"/>
      <c r="AG59" s="220"/>
      <c r="AH59" s="220"/>
      <c r="AI59" s="220"/>
      <c r="AJ59" s="220"/>
    </row>
    <row r="60" spans="1:36" ht="9.9499999999999993" customHeight="1" x14ac:dyDescent="0.15">
      <c r="A60" s="422" t="s">
        <v>253</v>
      </c>
      <c r="B60" s="423">
        <v>0</v>
      </c>
      <c r="C60" s="423">
        <v>0</v>
      </c>
      <c r="D60" s="423">
        <v>43.961352657004831</v>
      </c>
      <c r="E60" s="423">
        <v>0.87922705314009664</v>
      </c>
      <c r="F60" s="424">
        <v>78.47</v>
      </c>
      <c r="G60" s="387">
        <f>(+B60*$B$10)+(+C60*$C$10)+(+D60*$D$10)+(+E60*$E$10)</f>
        <v>2275.0967149758458</v>
      </c>
      <c r="H60" s="387">
        <v>0</v>
      </c>
      <c r="I60" s="387">
        <v>0</v>
      </c>
      <c r="J60" s="426">
        <v>4</v>
      </c>
      <c r="K60" s="427">
        <f>F60*J60</f>
        <v>313.88</v>
      </c>
      <c r="L60" s="428">
        <f>J60*(G60+H60+I60)</f>
        <v>9100.3868599033831</v>
      </c>
      <c r="N60" s="46">
        <f>G60*J60</f>
        <v>9100.3868599033831</v>
      </c>
      <c r="O60" s="40">
        <f>I60*J60</f>
        <v>0</v>
      </c>
      <c r="P60" s="40">
        <f>H60*J60</f>
        <v>0</v>
      </c>
      <c r="Q60" s="40">
        <f>SUM(N60:P60)</f>
        <v>9100.3868599033831</v>
      </c>
      <c r="R60" s="40"/>
      <c r="T60" s="26">
        <v>0</v>
      </c>
      <c r="U60" s="20">
        <v>0</v>
      </c>
      <c r="V60" s="20">
        <v>75</v>
      </c>
      <c r="W60" s="20">
        <v>1.5</v>
      </c>
      <c r="X60" s="26">
        <f>SUM(T60:W60)</f>
        <v>76.5</v>
      </c>
      <c r="Z60" s="114">
        <f>T60*560/621</f>
        <v>0</v>
      </c>
      <c r="AA60" s="114">
        <f>U60*560/621</f>
        <v>0</v>
      </c>
      <c r="AB60" s="114">
        <f>V60*560/621</f>
        <v>67.632850241545896</v>
      </c>
      <c r="AC60" s="114">
        <f>W60*560/621</f>
        <v>1.3526570048309179</v>
      </c>
      <c r="AD60" s="114">
        <f>X60*560/621</f>
        <v>68.985507246376812</v>
      </c>
      <c r="AF60" s="342">
        <f>Z60*364/560</f>
        <v>0</v>
      </c>
      <c r="AG60" s="342">
        <f>AA60*364/560</f>
        <v>0</v>
      </c>
      <c r="AH60" s="342">
        <f>AB60*364/560</f>
        <v>43.961352657004831</v>
      </c>
      <c r="AI60" s="342">
        <f>AC60*364/560</f>
        <v>0.87922705314009664</v>
      </c>
      <c r="AJ60" s="342">
        <f>AD60*364/560</f>
        <v>44.840579710144929</v>
      </c>
    </row>
    <row r="61" spans="1:36" ht="9.9499999999999993" customHeight="1" x14ac:dyDescent="0.15">
      <c r="A61" s="450" t="s">
        <v>42</v>
      </c>
      <c r="B61" s="419"/>
      <c r="C61" s="429"/>
      <c r="D61" s="429"/>
      <c r="E61" s="418"/>
      <c r="F61" s="418"/>
      <c r="G61" s="382"/>
      <c r="H61" s="382"/>
      <c r="I61" s="382"/>
      <c r="J61" s="451"/>
      <c r="K61" s="421"/>
      <c r="L61" s="382"/>
      <c r="N61" s="42"/>
      <c r="P61" s="45"/>
      <c r="T61" s="29"/>
      <c r="U61" s="24"/>
      <c r="V61" s="24"/>
      <c r="W61" s="18"/>
      <c r="X61" s="18"/>
      <c r="Z61" s="76"/>
      <c r="AA61" s="76"/>
      <c r="AB61" s="76"/>
      <c r="AC61" s="76"/>
      <c r="AD61" s="76"/>
      <c r="AF61" s="220"/>
      <c r="AG61" s="220"/>
      <c r="AH61" s="220"/>
      <c r="AI61" s="220"/>
      <c r="AJ61" s="220"/>
    </row>
    <row r="62" spans="1:36" ht="9.9499999999999993" customHeight="1" x14ac:dyDescent="0.15">
      <c r="A62" s="450" t="s">
        <v>43</v>
      </c>
      <c r="B62" s="429"/>
      <c r="C62" s="418"/>
      <c r="D62" s="418"/>
      <c r="E62" s="418"/>
      <c r="F62" s="418"/>
      <c r="G62" s="382"/>
      <c r="H62" s="382"/>
      <c r="I62" s="382"/>
      <c r="J62" s="451"/>
      <c r="K62" s="421"/>
      <c r="L62" s="382"/>
      <c r="N62" s="42"/>
      <c r="P62" s="45"/>
      <c r="T62" s="24"/>
      <c r="U62" s="18"/>
      <c r="V62" s="18"/>
      <c r="W62" s="18"/>
      <c r="X62" s="18"/>
      <c r="Z62" s="76"/>
      <c r="AA62" s="76"/>
      <c r="AB62" s="76"/>
      <c r="AC62" s="76"/>
      <c r="AD62" s="76"/>
      <c r="AF62" s="220"/>
      <c r="AG62" s="220"/>
      <c r="AH62" s="220"/>
      <c r="AI62" s="220"/>
      <c r="AJ62" s="220"/>
    </row>
    <row r="63" spans="1:36" ht="9.9499999999999993" customHeight="1" x14ac:dyDescent="0.15">
      <c r="A63" s="386" t="s">
        <v>44</v>
      </c>
      <c r="B63" s="424">
        <v>0</v>
      </c>
      <c r="C63" s="423">
        <v>0</v>
      </c>
      <c r="D63" s="423">
        <v>35.169082125603865</v>
      </c>
      <c r="E63" s="423">
        <v>0.87922705314009664</v>
      </c>
      <c r="F63" s="424">
        <v>63.09</v>
      </c>
      <c r="G63" s="387">
        <f>(+B63*$B$10)+(+C63*$C$10)+(+D63*$D$10)+(+E63*$E$10)</f>
        <v>1825.8996135265702</v>
      </c>
      <c r="H63" s="387">
        <v>0</v>
      </c>
      <c r="I63" s="387">
        <f>'Exhibit 1'!N18</f>
        <v>32180</v>
      </c>
      <c r="J63" s="426">
        <v>4</v>
      </c>
      <c r="K63" s="427">
        <f>F63*J63</f>
        <v>252.36</v>
      </c>
      <c r="L63" s="428">
        <f>J63*(G63+H63+I63)</f>
        <v>136023.59845410628</v>
      </c>
      <c r="N63" s="46">
        <f>G63*J63</f>
        <v>7303.5984541062808</v>
      </c>
      <c r="O63" s="40">
        <f>I63*J63</f>
        <v>128720</v>
      </c>
      <c r="P63" s="40">
        <f>H63*J63</f>
        <v>0</v>
      </c>
      <c r="Q63" s="40">
        <f>SUM(N63:P63)</f>
        <v>136023.59845410628</v>
      </c>
      <c r="R63" s="40"/>
      <c r="T63" s="26">
        <v>0</v>
      </c>
      <c r="U63" s="20">
        <v>0</v>
      </c>
      <c r="V63" s="20">
        <v>60</v>
      </c>
      <c r="W63" s="20">
        <v>1.5</v>
      </c>
      <c r="X63" s="26">
        <f>SUM(T63:W63)</f>
        <v>61.5</v>
      </c>
      <c r="Z63" s="114">
        <f>T63*560/621</f>
        <v>0</v>
      </c>
      <c r="AA63" s="114">
        <f>U63*560/621</f>
        <v>0</v>
      </c>
      <c r="AB63" s="114">
        <f>V63*560/621</f>
        <v>54.106280193236714</v>
      </c>
      <c r="AC63" s="114">
        <f>W63*560/621</f>
        <v>1.3526570048309179</v>
      </c>
      <c r="AD63" s="114">
        <f>X63*560/621</f>
        <v>55.45893719806763</v>
      </c>
      <c r="AF63" s="342">
        <f>Z63*364/560</f>
        <v>0</v>
      </c>
      <c r="AG63" s="342">
        <f>AA63*364/560</f>
        <v>0</v>
      </c>
      <c r="AH63" s="342">
        <f>AB63*364/560</f>
        <v>35.169082125603865</v>
      </c>
      <c r="AI63" s="342">
        <f>AC63*364/560</f>
        <v>0.87922705314009664</v>
      </c>
      <c r="AJ63" s="342">
        <f>AD63*364/560</f>
        <v>36.048309178743956</v>
      </c>
    </row>
    <row r="64" spans="1:36" ht="9.9499999999999993" customHeight="1" x14ac:dyDescent="0.15">
      <c r="A64" s="450" t="s">
        <v>45</v>
      </c>
      <c r="B64" s="429"/>
      <c r="C64" s="418"/>
      <c r="D64" s="418"/>
      <c r="E64" s="418"/>
      <c r="F64" s="418"/>
      <c r="G64" s="382"/>
      <c r="H64" s="382"/>
      <c r="I64" s="382"/>
      <c r="J64" s="451"/>
      <c r="K64" s="421"/>
      <c r="L64" s="382"/>
      <c r="N64" s="42"/>
      <c r="P64" s="45"/>
      <c r="T64" s="24"/>
      <c r="U64" s="18"/>
      <c r="V64" s="18"/>
      <c r="W64" s="18"/>
      <c r="X64" s="18"/>
      <c r="Z64" s="76"/>
      <c r="AA64" s="76"/>
      <c r="AB64" s="76"/>
      <c r="AC64" s="76"/>
      <c r="AD64" s="76"/>
      <c r="AF64" s="220"/>
      <c r="AG64" s="220"/>
      <c r="AH64" s="220"/>
      <c r="AI64" s="220"/>
      <c r="AJ64" s="220"/>
    </row>
    <row r="65" spans="1:36" ht="9.9499999999999993" customHeight="1" x14ac:dyDescent="0.15">
      <c r="A65" s="386" t="s">
        <v>46</v>
      </c>
      <c r="B65" s="424">
        <v>0</v>
      </c>
      <c r="C65" s="423">
        <v>0</v>
      </c>
      <c r="D65" s="423">
        <v>17.584541062801932</v>
      </c>
      <c r="E65" s="423">
        <v>0.87922705314009664</v>
      </c>
      <c r="F65" s="424">
        <v>32.31</v>
      </c>
      <c r="G65" s="387">
        <f>(+B65*$B$10)+(+C65*$C$10)+(+D65*$D$10)+(+E65*$E$10)</f>
        <v>927.50541062801938</v>
      </c>
      <c r="H65" s="387">
        <v>0</v>
      </c>
      <c r="I65" s="387">
        <v>0</v>
      </c>
      <c r="J65" s="426">
        <v>4</v>
      </c>
      <c r="K65" s="427">
        <f>F65*J65</f>
        <v>129.24</v>
      </c>
      <c r="L65" s="428">
        <f>J65*(G65+H65+I65)</f>
        <v>3710.0216425120775</v>
      </c>
      <c r="N65" s="46">
        <f>G65*J65</f>
        <v>3710.0216425120775</v>
      </c>
      <c r="O65" s="40">
        <f>I65*J65</f>
        <v>0</v>
      </c>
      <c r="P65" s="40">
        <f>H65*J65</f>
        <v>0</v>
      </c>
      <c r="Q65" s="40">
        <f>SUM(N65:P65)</f>
        <v>3710.0216425120775</v>
      </c>
      <c r="R65" s="40"/>
      <c r="T65" s="26">
        <v>0</v>
      </c>
      <c r="U65" s="20">
        <v>0</v>
      </c>
      <c r="V65" s="20">
        <v>30</v>
      </c>
      <c r="W65" s="20">
        <v>1.5</v>
      </c>
      <c r="X65" s="26">
        <f>SUM(T65:W65)</f>
        <v>31.5</v>
      </c>
      <c r="Z65" s="114">
        <f>T65*560/621</f>
        <v>0</v>
      </c>
      <c r="AA65" s="114">
        <f>U65*560/621</f>
        <v>0</v>
      </c>
      <c r="AB65" s="114">
        <f>V65*560/621</f>
        <v>27.053140096618357</v>
      </c>
      <c r="AC65" s="114">
        <f>W65*560/621</f>
        <v>1.3526570048309179</v>
      </c>
      <c r="AD65" s="114">
        <f>X65*560/621</f>
        <v>28.405797101449274</v>
      </c>
      <c r="AF65" s="342">
        <f>Z65*364/560</f>
        <v>0</v>
      </c>
      <c r="AG65" s="342">
        <f>AA65*364/560</f>
        <v>0</v>
      </c>
      <c r="AH65" s="342">
        <f>AB65*364/560</f>
        <v>17.584541062801932</v>
      </c>
      <c r="AI65" s="342">
        <f>AC65*364/560</f>
        <v>0.87922705314009664</v>
      </c>
      <c r="AJ65" s="342">
        <f>AD65*364/560</f>
        <v>18.463768115942027</v>
      </c>
    </row>
    <row r="66" spans="1:36" ht="9.9499999999999993" customHeight="1" x14ac:dyDescent="0.15">
      <c r="A66" s="450" t="s">
        <v>47</v>
      </c>
      <c r="B66" s="429"/>
      <c r="C66" s="418"/>
      <c r="D66" s="418"/>
      <c r="E66" s="418"/>
      <c r="F66" s="418"/>
      <c r="G66" s="382"/>
      <c r="H66" s="382"/>
      <c r="I66" s="382"/>
      <c r="J66" s="451"/>
      <c r="K66" s="421"/>
      <c r="L66" s="382"/>
      <c r="N66" s="42"/>
      <c r="P66" s="45"/>
      <c r="T66" s="24"/>
      <c r="U66" s="18"/>
      <c r="V66" s="18"/>
      <c r="W66" s="18"/>
      <c r="X66" s="18"/>
      <c r="Z66" s="76"/>
      <c r="AA66" s="76"/>
      <c r="AB66" s="76"/>
      <c r="AC66" s="76"/>
      <c r="AD66" s="76"/>
      <c r="AF66" s="220"/>
      <c r="AG66" s="220"/>
      <c r="AH66" s="220"/>
      <c r="AI66" s="220"/>
      <c r="AJ66" s="220"/>
    </row>
    <row r="67" spans="1:36" ht="9.9499999999999993" customHeight="1" x14ac:dyDescent="0.15">
      <c r="A67" s="386" t="s">
        <v>48</v>
      </c>
      <c r="B67" s="424">
        <v>0</v>
      </c>
      <c r="C67" s="423">
        <v>0</v>
      </c>
      <c r="D67" s="423">
        <v>0.87922705314009664</v>
      </c>
      <c r="E67" s="423">
        <v>0.87922705314009664</v>
      </c>
      <c r="F67" s="424">
        <v>3.08</v>
      </c>
      <c r="G67" s="387">
        <f>(+B67*$B$10)+(+C67*$C$10)+(+D67*$D$10)+(+E67*$E$10)</f>
        <v>74.030917874396138</v>
      </c>
      <c r="H67" s="387">
        <v>0</v>
      </c>
      <c r="I67" s="387">
        <f>'Exhibit 1'!K19</f>
        <v>5324</v>
      </c>
      <c r="J67" s="426">
        <v>4</v>
      </c>
      <c r="K67" s="427">
        <f>F67*J67</f>
        <v>12.32</v>
      </c>
      <c r="L67" s="428">
        <f>J67*(G67+H67+I67)</f>
        <v>21592.123671497586</v>
      </c>
      <c r="N67" s="46">
        <f>G67*J67</f>
        <v>296.12367149758455</v>
      </c>
      <c r="O67" s="40">
        <f>I67*J67</f>
        <v>21296</v>
      </c>
      <c r="P67" s="40">
        <f>H67*J67</f>
        <v>0</v>
      </c>
      <c r="Q67" s="40">
        <f>SUM(N67:P67)</f>
        <v>21592.123671497586</v>
      </c>
      <c r="R67" s="40"/>
      <c r="T67" s="26">
        <v>0</v>
      </c>
      <c r="U67" s="20">
        <v>0</v>
      </c>
      <c r="V67" s="20">
        <v>1.5</v>
      </c>
      <c r="W67" s="20">
        <v>1.5</v>
      </c>
      <c r="X67" s="26">
        <f>SUM(T67:W67)</f>
        <v>3</v>
      </c>
      <c r="Z67" s="114">
        <f>T67*560/621</f>
        <v>0</v>
      </c>
      <c r="AA67" s="114">
        <f>U67*560/621</f>
        <v>0</v>
      </c>
      <c r="AB67" s="114">
        <f>V67*560/621</f>
        <v>1.3526570048309179</v>
      </c>
      <c r="AC67" s="114">
        <f>W67*560/621</f>
        <v>1.3526570048309179</v>
      </c>
      <c r="AD67" s="114">
        <f>X67*560/621</f>
        <v>2.7053140096618358</v>
      </c>
      <c r="AF67" s="342">
        <f>Z67*364/560</f>
        <v>0</v>
      </c>
      <c r="AG67" s="342">
        <f>AA67*364/560</f>
        <v>0</v>
      </c>
      <c r="AH67" s="342">
        <f>AB67*364/560</f>
        <v>0.87922705314009664</v>
      </c>
      <c r="AI67" s="342">
        <f>AC67*364/560</f>
        <v>0.87922705314009664</v>
      </c>
      <c r="AJ67" s="342">
        <f>AD67*364/560</f>
        <v>1.7584541062801933</v>
      </c>
    </row>
    <row r="68" spans="1:36" ht="9.9499999999999993" customHeight="1" x14ac:dyDescent="0.15">
      <c r="A68" s="450" t="s">
        <v>49</v>
      </c>
      <c r="B68" s="429"/>
      <c r="C68" s="418"/>
      <c r="D68" s="418"/>
      <c r="E68" s="418"/>
      <c r="F68" s="418"/>
      <c r="G68" s="382"/>
      <c r="H68" s="382"/>
      <c r="I68" s="382"/>
      <c r="J68" s="451"/>
      <c r="K68" s="421"/>
      <c r="L68" s="382"/>
      <c r="N68" s="42"/>
      <c r="P68" s="45"/>
      <c r="T68" s="24"/>
      <c r="U68" s="18"/>
      <c r="V68" s="18"/>
      <c r="W68" s="18"/>
      <c r="X68" s="18"/>
      <c r="Z68" s="76"/>
      <c r="AA68" s="76"/>
      <c r="AB68" s="76"/>
      <c r="AC68" s="76"/>
      <c r="AD68" s="76"/>
      <c r="AF68" s="220"/>
      <c r="AG68" s="220"/>
      <c r="AH68" s="220"/>
      <c r="AI68" s="220"/>
      <c r="AJ68" s="220"/>
    </row>
    <row r="69" spans="1:36" ht="9.9499999999999993" customHeight="1" x14ac:dyDescent="0.15">
      <c r="A69" s="386" t="s">
        <v>50</v>
      </c>
      <c r="B69" s="424">
        <v>0</v>
      </c>
      <c r="C69" s="423">
        <v>0</v>
      </c>
      <c r="D69" s="423">
        <v>0.87922705314009664</v>
      </c>
      <c r="E69" s="423">
        <v>0.87922705314009664</v>
      </c>
      <c r="F69" s="424">
        <v>3.08</v>
      </c>
      <c r="G69" s="387">
        <f>(+B69*$B$10)+(+C69*$C$10)+(+D69*$D$10)+(+E69*$E$10)</f>
        <v>74.030917874396138</v>
      </c>
      <c r="H69" s="387">
        <v>0</v>
      </c>
      <c r="I69" s="387">
        <v>0</v>
      </c>
      <c r="J69" s="426">
        <v>4</v>
      </c>
      <c r="K69" s="427">
        <f>F69*J69</f>
        <v>12.32</v>
      </c>
      <c r="L69" s="428">
        <f>J69*(G69+H69+I69)</f>
        <v>296.12367149758455</v>
      </c>
      <c r="N69" s="46">
        <f>G69*J69</f>
        <v>296.12367149758455</v>
      </c>
      <c r="O69" s="40">
        <f>I69*J69</f>
        <v>0</v>
      </c>
      <c r="P69" s="40">
        <f>H69*J69</f>
        <v>0</v>
      </c>
      <c r="Q69" s="40">
        <f>SUM(N69:P69)</f>
        <v>296.12367149758455</v>
      </c>
      <c r="R69" s="40"/>
      <c r="T69" s="26">
        <v>0</v>
      </c>
      <c r="U69" s="20">
        <v>0</v>
      </c>
      <c r="V69" s="20">
        <v>1.5</v>
      </c>
      <c r="W69" s="20">
        <v>1.5</v>
      </c>
      <c r="X69" s="26">
        <f>SUM(T69:W69)</f>
        <v>3</v>
      </c>
      <c r="Z69" s="114">
        <f t="shared" ref="Z69:AD71" si="2">T69*560/621</f>
        <v>0</v>
      </c>
      <c r="AA69" s="114">
        <f t="shared" si="2"/>
        <v>0</v>
      </c>
      <c r="AB69" s="114">
        <f t="shared" si="2"/>
        <v>1.3526570048309179</v>
      </c>
      <c r="AC69" s="114">
        <f t="shared" si="2"/>
        <v>1.3526570048309179</v>
      </c>
      <c r="AD69" s="114">
        <f t="shared" si="2"/>
        <v>2.7053140096618358</v>
      </c>
      <c r="AF69" s="342">
        <f t="shared" ref="AF69:AJ71" si="3">Z69*364/560</f>
        <v>0</v>
      </c>
      <c r="AG69" s="342">
        <f t="shared" si="3"/>
        <v>0</v>
      </c>
      <c r="AH69" s="342">
        <f t="shared" si="3"/>
        <v>0.87922705314009664</v>
      </c>
      <c r="AI69" s="342">
        <f t="shared" si="3"/>
        <v>0.87922705314009664</v>
      </c>
      <c r="AJ69" s="342">
        <f t="shared" si="3"/>
        <v>1.7584541062801933</v>
      </c>
    </row>
    <row r="70" spans="1:36" ht="9.9499999999999993" customHeight="1" x14ac:dyDescent="0.15">
      <c r="A70" s="386" t="s">
        <v>51</v>
      </c>
      <c r="B70" s="424">
        <v>0</v>
      </c>
      <c r="C70" s="423">
        <v>0.87922705314009664</v>
      </c>
      <c r="D70" s="423">
        <v>0</v>
      </c>
      <c r="E70" s="423">
        <v>0</v>
      </c>
      <c r="F70" s="424">
        <v>1.54</v>
      </c>
      <c r="G70" s="387">
        <f>(+B70*$B$10)+(+C70*$C$10)+(+D70*$D$10)+(+E70*$E$10)</f>
        <v>92.846376811594197</v>
      </c>
      <c r="H70" s="387">
        <v>0</v>
      </c>
      <c r="I70" s="449">
        <v>0</v>
      </c>
      <c r="J70" s="426">
        <v>4</v>
      </c>
      <c r="K70" s="427">
        <f>F70*J70</f>
        <v>6.16</v>
      </c>
      <c r="L70" s="428">
        <f>J70*(G70+H70+I70)</f>
        <v>371.38550724637679</v>
      </c>
      <c r="N70" s="46">
        <f>G70*J70</f>
        <v>371.38550724637679</v>
      </c>
      <c r="O70" s="40">
        <f>I70*J70</f>
        <v>0</v>
      </c>
      <c r="P70" s="40">
        <f>H70*J70</f>
        <v>0</v>
      </c>
      <c r="Q70" s="40">
        <f>SUM(N70:P70)</f>
        <v>371.38550724637679</v>
      </c>
      <c r="R70" s="40"/>
      <c r="T70" s="26">
        <v>0</v>
      </c>
      <c r="U70" s="20">
        <v>1.5</v>
      </c>
      <c r="V70" s="20">
        <v>0</v>
      </c>
      <c r="W70" s="20">
        <v>0</v>
      </c>
      <c r="X70" s="26">
        <f>SUM(T70:W70)</f>
        <v>1.5</v>
      </c>
      <c r="Z70" s="114">
        <f t="shared" si="2"/>
        <v>0</v>
      </c>
      <c r="AA70" s="114">
        <f t="shared" si="2"/>
        <v>1.3526570048309179</v>
      </c>
      <c r="AB70" s="114">
        <f t="shared" si="2"/>
        <v>0</v>
      </c>
      <c r="AC70" s="114">
        <f t="shared" si="2"/>
        <v>0</v>
      </c>
      <c r="AD70" s="114">
        <f t="shared" si="2"/>
        <v>1.3526570048309179</v>
      </c>
      <c r="AF70" s="342">
        <f t="shared" si="3"/>
        <v>0</v>
      </c>
      <c r="AG70" s="342">
        <f t="shared" si="3"/>
        <v>0.87922705314009664</v>
      </c>
      <c r="AH70" s="342">
        <f t="shared" si="3"/>
        <v>0</v>
      </c>
      <c r="AI70" s="342">
        <f t="shared" si="3"/>
        <v>0</v>
      </c>
      <c r="AJ70" s="342">
        <f t="shared" si="3"/>
        <v>0.87922705314009664</v>
      </c>
    </row>
    <row r="71" spans="1:36" ht="9.9499999999999993" customHeight="1" x14ac:dyDescent="0.15">
      <c r="A71" s="386" t="s">
        <v>25</v>
      </c>
      <c r="B71" s="424">
        <v>0</v>
      </c>
      <c r="C71" s="423">
        <v>3.5169082125603865</v>
      </c>
      <c r="D71" s="423">
        <v>21.980676328502415</v>
      </c>
      <c r="E71" s="423">
        <v>0</v>
      </c>
      <c r="F71" s="424">
        <v>55.63</v>
      </c>
      <c r="G71" s="387">
        <f>(+B71*$B$10)+(+C71*$C$10)+(+D71*$D$10)+(+E71*$E$10)</f>
        <v>1494.3782608695653</v>
      </c>
      <c r="H71" s="452">
        <v>0</v>
      </c>
      <c r="I71" s="453">
        <v>0</v>
      </c>
      <c r="J71" s="426">
        <v>4</v>
      </c>
      <c r="K71" s="427">
        <f>F71*J71</f>
        <v>222.52</v>
      </c>
      <c r="L71" s="428">
        <f>J71*(G71+H71+I71)</f>
        <v>5977.5130434782614</v>
      </c>
      <c r="N71" s="46">
        <f>G71*J71</f>
        <v>5977.5130434782614</v>
      </c>
      <c r="O71" s="40">
        <f>I71*J71</f>
        <v>0</v>
      </c>
      <c r="P71" s="40">
        <f>H71*J71</f>
        <v>0</v>
      </c>
      <c r="Q71" s="40">
        <f>SUM(N71:P71)</f>
        <v>5977.5130434782614</v>
      </c>
      <c r="R71" s="40"/>
      <c r="T71" s="26">
        <v>0</v>
      </c>
      <c r="U71" s="20">
        <v>6</v>
      </c>
      <c r="V71" s="20">
        <v>37.5</v>
      </c>
      <c r="W71" s="20">
        <v>0</v>
      </c>
      <c r="X71" s="26">
        <f>SUM(T71:W71)</f>
        <v>43.5</v>
      </c>
      <c r="Z71" s="114">
        <f t="shared" si="2"/>
        <v>0</v>
      </c>
      <c r="AA71" s="114">
        <f t="shared" si="2"/>
        <v>5.4106280193236715</v>
      </c>
      <c r="AB71" s="114">
        <f t="shared" si="2"/>
        <v>33.816425120772948</v>
      </c>
      <c r="AC71" s="114">
        <f t="shared" si="2"/>
        <v>0</v>
      </c>
      <c r="AD71" s="114">
        <f t="shared" si="2"/>
        <v>39.227053140096615</v>
      </c>
      <c r="AF71" s="342">
        <f t="shared" si="3"/>
        <v>0</v>
      </c>
      <c r="AG71" s="342">
        <f t="shared" si="3"/>
        <v>3.5169082125603865</v>
      </c>
      <c r="AH71" s="342">
        <f t="shared" si="3"/>
        <v>21.980676328502415</v>
      </c>
      <c r="AI71" s="342">
        <f t="shared" si="3"/>
        <v>0</v>
      </c>
      <c r="AJ71" s="342">
        <f t="shared" si="3"/>
        <v>25.4975845410628</v>
      </c>
    </row>
    <row r="72" spans="1:36" ht="3" customHeight="1" x14ac:dyDescent="0.15">
      <c r="A72" s="432"/>
      <c r="B72" s="454"/>
      <c r="C72" s="455"/>
      <c r="D72" s="455"/>
      <c r="E72" s="455"/>
      <c r="F72" s="455"/>
      <c r="G72" s="437"/>
      <c r="H72" s="437"/>
      <c r="I72" s="437"/>
      <c r="J72" s="456"/>
      <c r="K72" s="457"/>
      <c r="L72" s="437"/>
      <c r="N72" s="42"/>
      <c r="P72" s="45"/>
      <c r="T72" s="30"/>
      <c r="U72" s="25"/>
      <c r="V72" s="25"/>
      <c r="W72" s="25"/>
      <c r="X72" s="25"/>
      <c r="Z72" s="182"/>
      <c r="AA72" s="183"/>
      <c r="AB72" s="183"/>
      <c r="AC72" s="183"/>
      <c r="AD72" s="183"/>
      <c r="AF72" s="352"/>
      <c r="AG72" s="353"/>
      <c r="AH72" s="353"/>
      <c r="AI72" s="353"/>
      <c r="AJ72" s="353"/>
    </row>
    <row r="73" spans="1:36" ht="9.9499999999999993" customHeight="1" x14ac:dyDescent="0.15">
      <c r="A73" s="386" t="s">
        <v>16</v>
      </c>
      <c r="B73" s="424">
        <f t="shared" ref="B73:H73" si="4">SUM(B40:B71)</f>
        <v>0</v>
      </c>
      <c r="C73" s="423">
        <f t="shared" si="4"/>
        <v>13.188405797101449</v>
      </c>
      <c r="D73" s="423">
        <f t="shared" si="4"/>
        <v>342.89855072463757</v>
      </c>
      <c r="E73" s="423">
        <f t="shared" si="4"/>
        <v>7.913043478260871</v>
      </c>
      <c r="F73" s="423">
        <f t="shared" si="4"/>
        <v>648.00000000000011</v>
      </c>
      <c r="G73" s="387">
        <f t="shared" si="4"/>
        <v>19173.383478260868</v>
      </c>
      <c r="H73" s="387">
        <f t="shared" si="4"/>
        <v>0</v>
      </c>
      <c r="I73" s="387">
        <f>SUM(I42:I69)</f>
        <v>39113</v>
      </c>
      <c r="J73" s="426">
        <f>J71</f>
        <v>4</v>
      </c>
      <c r="K73" s="458">
        <f>SUM(K40:K71)</f>
        <v>2592.0000000000005</v>
      </c>
      <c r="L73" s="387">
        <f>SUM(L40:L71)</f>
        <v>233145.53391304347</v>
      </c>
      <c r="N73" s="46"/>
      <c r="O73" s="46"/>
      <c r="P73" s="46"/>
      <c r="T73" s="26">
        <f>SUM(T40:T71)</f>
        <v>0</v>
      </c>
      <c r="U73" s="20">
        <f>SUM(U40:U71)</f>
        <v>22.5</v>
      </c>
      <c r="V73" s="20">
        <f>SUM(V40:V71)</f>
        <v>585</v>
      </c>
      <c r="W73" s="20">
        <f>SUM(W40:W71)</f>
        <v>13.5</v>
      </c>
      <c r="X73" s="20">
        <f>SUM(X40:X71)</f>
        <v>621</v>
      </c>
      <c r="Z73" s="105">
        <f>SUM(Z40:Z71)</f>
        <v>0</v>
      </c>
      <c r="AA73" s="104">
        <f>SUM(AA40:AA71)</f>
        <v>20.289855072463769</v>
      </c>
      <c r="AB73" s="104">
        <f>SUM(AB40:AB71)</f>
        <v>527.53623188405788</v>
      </c>
      <c r="AC73" s="104">
        <f>SUM(AC40:AC71)</f>
        <v>12.173913043478263</v>
      </c>
      <c r="AD73" s="104">
        <f>SUM(AD40:AD71)</f>
        <v>559.99999999999989</v>
      </c>
      <c r="AF73" s="354">
        <f>SUM(AF40:AF71)</f>
        <v>0</v>
      </c>
      <c r="AG73" s="228">
        <f>SUM(AG40:AG71)</f>
        <v>13.188405797101449</v>
      </c>
      <c r="AH73" s="228">
        <f>SUM(AH40:AH71)</f>
        <v>342.89855072463757</v>
      </c>
      <c r="AI73" s="228">
        <f>SUM(AI40:AI71)</f>
        <v>7.913043478260871</v>
      </c>
      <c r="AJ73" s="228">
        <f>SUM(AJ40:AJ71)</f>
        <v>363.99999999999994</v>
      </c>
    </row>
    <row r="74" spans="1:36" ht="3" customHeight="1" x14ac:dyDescent="0.15">
      <c r="A74" s="432"/>
      <c r="B74" s="459"/>
      <c r="C74" s="433"/>
      <c r="D74" s="433"/>
      <c r="E74" s="433"/>
      <c r="F74" s="433"/>
      <c r="G74" s="434"/>
      <c r="H74" s="434"/>
      <c r="I74" s="434"/>
      <c r="J74" s="435"/>
      <c r="K74" s="436"/>
      <c r="L74" s="437"/>
      <c r="N74" s="42"/>
      <c r="P74" s="45"/>
    </row>
    <row r="75" spans="1:36" ht="9.9499999999999993" customHeight="1" x14ac:dyDescent="0.15">
      <c r="A75" s="412" t="s">
        <v>52</v>
      </c>
      <c r="B75" s="460" t="s">
        <v>53</v>
      </c>
      <c r="C75" s="461" t="s">
        <v>53</v>
      </c>
      <c r="D75" s="461" t="s">
        <v>53</v>
      </c>
      <c r="E75" s="461" t="s">
        <v>53</v>
      </c>
      <c r="F75" s="461" t="s">
        <v>53</v>
      </c>
      <c r="G75" s="462">
        <f>(G21+G38+G73)</f>
        <v>32919.121562093205</v>
      </c>
      <c r="H75" s="462">
        <f>(H21+H38+H73)</f>
        <v>0</v>
      </c>
      <c r="I75" s="462">
        <f>(I21+I38+I73)</f>
        <v>50005</v>
      </c>
      <c r="J75" s="463" t="s">
        <v>53</v>
      </c>
      <c r="K75" s="256">
        <f>(K21+K38+K73)</f>
        <v>3195.0000000000005</v>
      </c>
      <c r="L75" s="465">
        <f>(L21+L38+L73)</f>
        <v>322303.50433220516</v>
      </c>
      <c r="M75" s="217"/>
      <c r="N75" s="218">
        <f>SUM(N17:N71)</f>
        <v>111391.50433220515</v>
      </c>
      <c r="O75" s="218">
        <f>SUM(O17:O71)</f>
        <v>210912</v>
      </c>
      <c r="P75" s="218">
        <f>SUM(P17:P71)</f>
        <v>0</v>
      </c>
      <c r="Q75" s="218">
        <f>SUM(Q17:Q71)</f>
        <v>322303.50433220505</v>
      </c>
      <c r="R75" s="218"/>
    </row>
    <row r="76" spans="1:36" ht="3" customHeight="1" x14ac:dyDescent="0.15">
      <c r="A76" s="391"/>
      <c r="B76" s="392"/>
      <c r="C76" s="392"/>
      <c r="D76" s="392"/>
      <c r="E76" s="392"/>
      <c r="F76" s="392"/>
      <c r="G76" s="378"/>
      <c r="H76" s="378"/>
      <c r="I76" s="378"/>
      <c r="J76" s="464"/>
      <c r="K76" s="393"/>
      <c r="L76" s="394"/>
      <c r="M76" s="42"/>
      <c r="O76" s="45"/>
      <c r="P76" s="45"/>
    </row>
  </sheetData>
  <phoneticPr fontId="0" type="noConversion"/>
  <pageMargins left="0.75" right="0.75" top="1" bottom="1" header="0.5" footer="0.5"/>
  <pageSetup orientation="landscape" r:id="rId1"/>
  <headerFooter alignWithMargins="0">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13"/>
  <sheetViews>
    <sheetView zoomScaleNormal="100" workbookViewId="0">
      <selection activeCell="E11" sqref="E11"/>
    </sheetView>
  </sheetViews>
  <sheetFormatPr defaultRowHeight="10.5" x14ac:dyDescent="0.15"/>
  <cols>
    <col min="1" max="1" width="34.83203125" customWidth="1"/>
    <col min="2" max="3" width="9.83203125" bestFit="1" customWidth="1"/>
    <col min="7" max="7" width="10.6640625" bestFit="1" customWidth="1"/>
    <col min="12" max="12" width="11.6640625" bestFit="1" customWidth="1"/>
    <col min="13" max="13" width="2.1640625" customWidth="1"/>
    <col min="14" max="16" width="13.1640625" customWidth="1"/>
  </cols>
  <sheetData>
    <row r="1" spans="1:16" x14ac:dyDescent="0.15">
      <c r="A1" s="9" t="s">
        <v>54</v>
      </c>
      <c r="B1" s="10"/>
      <c r="C1" s="10"/>
      <c r="D1" s="10"/>
      <c r="E1" s="10"/>
      <c r="F1" s="10"/>
      <c r="G1" s="10"/>
      <c r="H1" s="10"/>
      <c r="I1" s="10"/>
      <c r="J1" s="62"/>
      <c r="K1" s="10"/>
      <c r="L1" s="10"/>
      <c r="M1" s="31"/>
      <c r="O1" s="45"/>
      <c r="P1" s="45"/>
    </row>
    <row r="2" spans="1:16" x14ac:dyDescent="0.15">
      <c r="A2" s="9" t="s">
        <v>55</v>
      </c>
      <c r="B2" s="10"/>
      <c r="C2" s="10"/>
      <c r="D2" s="10"/>
      <c r="E2" s="10"/>
      <c r="F2" s="10"/>
      <c r="G2" s="10"/>
      <c r="H2" s="10"/>
      <c r="I2" s="10"/>
      <c r="J2" s="62"/>
      <c r="K2" s="10"/>
      <c r="L2" s="10"/>
      <c r="M2" s="31"/>
      <c r="O2" s="45"/>
      <c r="P2" s="45"/>
    </row>
    <row r="3" spans="1:16" x14ac:dyDescent="0.15">
      <c r="A3" s="9" t="s">
        <v>2</v>
      </c>
      <c r="B3" s="10"/>
      <c r="C3" s="10"/>
      <c r="D3" s="10"/>
      <c r="E3" s="10"/>
      <c r="F3" s="10"/>
      <c r="G3" s="10"/>
      <c r="H3" s="10"/>
      <c r="I3" s="10"/>
      <c r="J3" s="62"/>
      <c r="K3" s="10"/>
      <c r="L3" s="10"/>
      <c r="M3" s="31"/>
      <c r="O3" s="45"/>
      <c r="P3" s="45"/>
    </row>
    <row r="4" spans="1:16" x14ac:dyDescent="0.15">
      <c r="A4" s="10"/>
      <c r="B4" s="10"/>
      <c r="C4" s="10"/>
      <c r="D4" s="10"/>
      <c r="E4" s="10"/>
      <c r="F4" s="10"/>
      <c r="G4" s="10"/>
      <c r="H4" s="10"/>
      <c r="I4" s="10"/>
      <c r="J4" s="62"/>
      <c r="K4" s="10"/>
      <c r="L4" s="10"/>
      <c r="M4" s="31"/>
      <c r="O4" s="45"/>
      <c r="P4" s="45"/>
    </row>
    <row r="5" spans="1:16" x14ac:dyDescent="0.15">
      <c r="A5" s="361"/>
      <c r="B5" s="361"/>
      <c r="C5" s="361"/>
      <c r="D5" s="364" t="s">
        <v>193</v>
      </c>
      <c r="E5" s="361"/>
      <c r="F5" s="361"/>
      <c r="G5" s="361"/>
      <c r="H5" s="361"/>
      <c r="I5" s="361"/>
      <c r="J5" s="466"/>
      <c r="K5" s="365" t="s">
        <v>194</v>
      </c>
      <c r="L5" s="361"/>
      <c r="M5" s="31"/>
      <c r="O5" s="45"/>
      <c r="P5" s="45"/>
    </row>
    <row r="6" spans="1:16" ht="3.75" customHeight="1" x14ac:dyDescent="0.15">
      <c r="A6" s="361"/>
      <c r="B6" s="366"/>
      <c r="C6" s="366"/>
      <c r="D6" s="366"/>
      <c r="E6" s="366"/>
      <c r="F6" s="366"/>
      <c r="G6" s="366"/>
      <c r="H6" s="366"/>
      <c r="I6" s="366"/>
      <c r="J6" s="467"/>
      <c r="K6" s="366"/>
      <c r="L6" s="366"/>
      <c r="M6" s="31"/>
      <c r="O6" s="45"/>
      <c r="P6" s="45"/>
    </row>
    <row r="7" spans="1:16" x14ac:dyDescent="0.15">
      <c r="A7" s="361"/>
      <c r="B7" s="367"/>
      <c r="C7" s="361"/>
      <c r="D7" s="361"/>
      <c r="E7" s="361"/>
      <c r="F7" s="361"/>
      <c r="G7" s="361"/>
      <c r="H7" s="361"/>
      <c r="I7" s="368"/>
      <c r="J7" s="468" t="s">
        <v>3</v>
      </c>
      <c r="K7" s="403"/>
      <c r="L7" s="404"/>
      <c r="M7" s="41"/>
      <c r="O7" s="45"/>
      <c r="P7" s="45"/>
    </row>
    <row r="8" spans="1:16" x14ac:dyDescent="0.15">
      <c r="A8" s="361"/>
      <c r="B8" s="367"/>
      <c r="C8" s="361"/>
      <c r="D8" s="361"/>
      <c r="E8" s="361"/>
      <c r="F8" s="361"/>
      <c r="G8" s="361"/>
      <c r="H8" s="361"/>
      <c r="I8" s="361"/>
      <c r="J8" s="468" t="s">
        <v>195</v>
      </c>
      <c r="K8" s="403"/>
      <c r="L8" s="371"/>
      <c r="M8" s="50"/>
      <c r="O8" s="45"/>
      <c r="P8" s="45"/>
    </row>
    <row r="9" spans="1:16" x14ac:dyDescent="0.15">
      <c r="A9" s="361"/>
      <c r="B9" s="372" t="s">
        <v>196</v>
      </c>
      <c r="C9" s="365" t="s">
        <v>197</v>
      </c>
      <c r="D9" s="365" t="s">
        <v>198</v>
      </c>
      <c r="E9" s="365" t="s">
        <v>199</v>
      </c>
      <c r="F9" s="365" t="s">
        <v>200</v>
      </c>
      <c r="G9" s="365" t="s">
        <v>192</v>
      </c>
      <c r="H9" s="365" t="s">
        <v>201</v>
      </c>
      <c r="I9" s="251"/>
      <c r="J9" s="468" t="s">
        <v>200</v>
      </c>
      <c r="K9" s="402" t="s">
        <v>202</v>
      </c>
      <c r="L9" s="374" t="s">
        <v>202</v>
      </c>
      <c r="N9" s="50" t="s">
        <v>342</v>
      </c>
      <c r="O9" s="10" t="s">
        <v>342</v>
      </c>
      <c r="P9" s="108" t="s">
        <v>342</v>
      </c>
    </row>
    <row r="10" spans="1:16" ht="11.25" x14ac:dyDescent="0.2">
      <c r="A10" s="364" t="s">
        <v>4</v>
      </c>
      <c r="B10" s="469">
        <v>131.82</v>
      </c>
      <c r="C10" s="407">
        <v>105.6</v>
      </c>
      <c r="D10" s="407">
        <v>51.09</v>
      </c>
      <c r="E10" s="407">
        <v>33.11</v>
      </c>
      <c r="F10" s="365" t="s">
        <v>203</v>
      </c>
      <c r="G10" s="365" t="s">
        <v>204</v>
      </c>
      <c r="H10" s="365" t="s">
        <v>205</v>
      </c>
      <c r="I10" s="365" t="s">
        <v>206</v>
      </c>
      <c r="J10" s="468" t="s">
        <v>207</v>
      </c>
      <c r="K10" s="402" t="s">
        <v>203</v>
      </c>
      <c r="L10" s="374" t="s">
        <v>204</v>
      </c>
      <c r="N10" s="84" t="s">
        <v>211</v>
      </c>
      <c r="O10" s="84" t="s">
        <v>341</v>
      </c>
      <c r="P10" s="108" t="s">
        <v>396</v>
      </c>
    </row>
    <row r="11" spans="1:16" x14ac:dyDescent="0.15">
      <c r="A11" s="364" t="s">
        <v>5</v>
      </c>
      <c r="B11" s="372" t="s">
        <v>210</v>
      </c>
      <c r="C11" s="365" t="s">
        <v>210</v>
      </c>
      <c r="D11" s="365" t="s">
        <v>210</v>
      </c>
      <c r="E11" s="365" t="s">
        <v>210</v>
      </c>
      <c r="F11" s="365" t="s">
        <v>208</v>
      </c>
      <c r="G11" s="365" t="s">
        <v>208</v>
      </c>
      <c r="H11" s="365" t="s">
        <v>151</v>
      </c>
      <c r="I11" s="365" t="s">
        <v>151</v>
      </c>
      <c r="J11" s="468" t="s">
        <v>209</v>
      </c>
      <c r="K11" s="402" t="s">
        <v>208</v>
      </c>
      <c r="L11" s="377" t="s">
        <v>208</v>
      </c>
      <c r="N11" s="51"/>
      <c r="P11" s="45"/>
    </row>
    <row r="12" spans="1:16" ht="2.25" customHeight="1" x14ac:dyDescent="0.15">
      <c r="A12" s="378"/>
      <c r="B12" s="378"/>
      <c r="C12" s="378"/>
      <c r="D12" s="378"/>
      <c r="E12" s="378"/>
      <c r="F12" s="378"/>
      <c r="G12" s="378"/>
      <c r="H12" s="378"/>
      <c r="I12" s="378"/>
      <c r="J12" s="464"/>
      <c r="K12" s="378"/>
      <c r="L12" s="380"/>
      <c r="N12" s="52"/>
      <c r="P12" s="45"/>
    </row>
    <row r="13" spans="1:16" x14ac:dyDescent="0.15">
      <c r="A13" s="381"/>
      <c r="B13" s="251"/>
      <c r="C13" s="251"/>
      <c r="D13" s="251"/>
      <c r="E13" s="251"/>
      <c r="F13" s="251"/>
      <c r="G13" s="251"/>
      <c r="H13" s="251"/>
      <c r="I13" s="251"/>
      <c r="J13" s="470"/>
      <c r="K13" s="251"/>
      <c r="L13" s="382"/>
      <c r="N13" s="42"/>
      <c r="P13" s="45"/>
    </row>
    <row r="14" spans="1:16" x14ac:dyDescent="0.15">
      <c r="A14" s="471" t="s">
        <v>56</v>
      </c>
      <c r="B14" s="472"/>
      <c r="C14" s="472"/>
      <c r="D14" s="472"/>
      <c r="E14" s="472"/>
      <c r="F14" s="472"/>
      <c r="G14" s="251"/>
      <c r="H14" s="251"/>
      <c r="I14" s="251"/>
      <c r="J14" s="470"/>
      <c r="K14" s="473"/>
      <c r="L14" s="382"/>
      <c r="N14" s="42"/>
      <c r="P14" s="45"/>
    </row>
    <row r="15" spans="1:16" ht="3" customHeight="1" x14ac:dyDescent="0.15">
      <c r="A15" s="391"/>
      <c r="B15" s="392"/>
      <c r="C15" s="392"/>
      <c r="D15" s="392"/>
      <c r="E15" s="392"/>
      <c r="F15" s="392"/>
      <c r="G15" s="378"/>
      <c r="H15" s="378"/>
      <c r="I15" s="378"/>
      <c r="J15" s="464"/>
      <c r="K15" s="393"/>
      <c r="L15" s="378"/>
      <c r="N15" s="49"/>
      <c r="P15" s="45"/>
    </row>
    <row r="16" spans="1:16" ht="9.9499999999999993" customHeight="1" x14ac:dyDescent="0.15">
      <c r="A16" s="412" t="s">
        <v>57</v>
      </c>
      <c r="B16" s="413"/>
      <c r="C16" s="413"/>
      <c r="D16" s="413"/>
      <c r="E16" s="413"/>
      <c r="F16" s="413"/>
      <c r="G16" s="414"/>
      <c r="H16" s="414"/>
      <c r="I16" s="414"/>
      <c r="J16" s="441"/>
      <c r="K16" s="415"/>
      <c r="L16" s="416"/>
      <c r="N16" s="42"/>
      <c r="P16" s="45"/>
    </row>
    <row r="17" spans="1:16" x14ac:dyDescent="0.15">
      <c r="A17" s="417" t="s">
        <v>58</v>
      </c>
      <c r="B17" s="429"/>
      <c r="C17" s="429"/>
      <c r="D17" s="418"/>
      <c r="E17" s="418"/>
      <c r="F17" s="418"/>
      <c r="G17" s="449"/>
      <c r="H17" s="449"/>
      <c r="I17" s="449"/>
      <c r="J17" s="474"/>
      <c r="K17" s="421"/>
      <c r="L17" s="382"/>
      <c r="N17" s="42"/>
      <c r="P17" s="45"/>
    </row>
    <row r="18" spans="1:16" x14ac:dyDescent="0.15">
      <c r="A18" s="450" t="s">
        <v>59</v>
      </c>
      <c r="B18" s="429"/>
      <c r="C18" s="429"/>
      <c r="D18" s="418"/>
      <c r="E18" s="418"/>
      <c r="F18" s="418"/>
      <c r="G18" s="382"/>
      <c r="H18" s="382"/>
      <c r="I18" s="382"/>
      <c r="J18" s="451"/>
      <c r="K18" s="421"/>
      <c r="L18" s="382"/>
      <c r="N18" s="42"/>
      <c r="P18" s="45"/>
    </row>
    <row r="19" spans="1:16" x14ac:dyDescent="0.15">
      <c r="A19" s="386" t="s">
        <v>60</v>
      </c>
      <c r="B19" s="424">
        <v>0</v>
      </c>
      <c r="C19" s="424">
        <v>0</v>
      </c>
      <c r="D19" s="423">
        <v>30</v>
      </c>
      <c r="E19" s="423">
        <v>0</v>
      </c>
      <c r="F19" s="424">
        <f>SUM(B19:E19)</f>
        <v>30</v>
      </c>
      <c r="G19" s="387">
        <f>(+B19*$B$10)+(C19*$C$10)+(D19*$D$10)+(E19*$E$10)</f>
        <v>1532.7</v>
      </c>
      <c r="H19" s="387">
        <v>0</v>
      </c>
      <c r="I19" s="387">
        <f>'Exhibit 1'!N20</f>
        <v>25</v>
      </c>
      <c r="J19" s="431">
        <v>10</v>
      </c>
      <c r="K19" s="427">
        <f>F19*J19</f>
        <v>300</v>
      </c>
      <c r="L19" s="428">
        <f>J19*(G19+H19+I19)</f>
        <v>15577</v>
      </c>
      <c r="N19" s="46">
        <f>G19*J19</f>
        <v>15327</v>
      </c>
      <c r="O19" s="40">
        <f>I19*J19</f>
        <v>250</v>
      </c>
      <c r="P19" s="40">
        <f>H19*J19</f>
        <v>0</v>
      </c>
    </row>
    <row r="20" spans="1:16" x14ac:dyDescent="0.15">
      <c r="A20" s="450" t="s">
        <v>61</v>
      </c>
      <c r="B20" s="429"/>
      <c r="C20" s="429"/>
      <c r="D20" s="418"/>
      <c r="E20" s="418"/>
      <c r="F20" s="418"/>
      <c r="G20" s="382"/>
      <c r="H20" s="382"/>
      <c r="I20" s="382"/>
      <c r="J20" s="451"/>
      <c r="K20" s="421"/>
      <c r="L20" s="382"/>
      <c r="N20" s="42"/>
      <c r="P20" s="45"/>
    </row>
    <row r="21" spans="1:16" x14ac:dyDescent="0.15">
      <c r="A21" s="450" t="s">
        <v>62</v>
      </c>
      <c r="B21" s="429"/>
      <c r="C21" s="429"/>
      <c r="D21" s="418"/>
      <c r="E21" s="418"/>
      <c r="F21" s="418"/>
      <c r="G21" s="382"/>
      <c r="H21" s="382"/>
      <c r="I21" s="382"/>
      <c r="J21" s="451"/>
      <c r="K21" s="421"/>
      <c r="L21" s="382"/>
      <c r="N21" s="42"/>
      <c r="P21" s="45"/>
    </row>
    <row r="22" spans="1:16" x14ac:dyDescent="0.15">
      <c r="A22" s="450" t="s">
        <v>63</v>
      </c>
      <c r="B22" s="429"/>
      <c r="C22" s="429"/>
      <c r="D22" s="418"/>
      <c r="E22" s="418"/>
      <c r="F22" s="418"/>
      <c r="G22" s="382"/>
      <c r="H22" s="382"/>
      <c r="I22" s="382"/>
      <c r="J22" s="451"/>
      <c r="K22" s="421"/>
      <c r="L22" s="382"/>
      <c r="N22" s="42"/>
      <c r="P22" s="45"/>
    </row>
    <row r="23" spans="1:16" x14ac:dyDescent="0.15">
      <c r="A23" s="450" t="s">
        <v>64</v>
      </c>
      <c r="B23" s="429"/>
      <c r="C23" s="429"/>
      <c r="D23" s="418"/>
      <c r="E23" s="418"/>
      <c r="F23" s="418"/>
      <c r="G23" s="382"/>
      <c r="H23" s="382"/>
      <c r="I23" s="382"/>
      <c r="J23" s="451"/>
      <c r="K23" s="421"/>
      <c r="L23" s="382"/>
      <c r="N23" s="42"/>
      <c r="P23" s="45"/>
    </row>
    <row r="24" spans="1:16" x14ac:dyDescent="0.15">
      <c r="A24" s="386" t="s">
        <v>65</v>
      </c>
      <c r="B24" s="424">
        <v>0</v>
      </c>
      <c r="C24" s="424">
        <v>0</v>
      </c>
      <c r="D24" s="423">
        <v>5</v>
      </c>
      <c r="E24" s="423">
        <v>0</v>
      </c>
      <c r="F24" s="424">
        <f>SUM(B24:E24)</f>
        <v>5</v>
      </c>
      <c r="G24" s="387">
        <f>(+B24*$B$10)+(C24*$C$10)+(D24*$D$10)+(E24*$E$10)</f>
        <v>255.45000000000002</v>
      </c>
      <c r="H24" s="387">
        <v>0</v>
      </c>
      <c r="I24" s="387">
        <v>0</v>
      </c>
      <c r="J24" s="431">
        <v>10</v>
      </c>
      <c r="K24" s="427">
        <f>F24*J24</f>
        <v>50</v>
      </c>
      <c r="L24" s="428">
        <f>J24*(G24+H24+I24)</f>
        <v>2554.5</v>
      </c>
      <c r="N24" s="46">
        <f>G24*J24</f>
        <v>2554.5</v>
      </c>
      <c r="O24" s="40">
        <f>I24*J24</f>
        <v>0</v>
      </c>
      <c r="P24" s="40">
        <f>H24*J24</f>
        <v>0</v>
      </c>
    </row>
    <row r="25" spans="1:16" x14ac:dyDescent="0.15">
      <c r="A25" s="450" t="s">
        <v>66</v>
      </c>
      <c r="B25" s="429"/>
      <c r="C25" s="429"/>
      <c r="D25" s="418"/>
      <c r="E25" s="418"/>
      <c r="F25" s="418"/>
      <c r="G25" s="382"/>
      <c r="H25" s="382"/>
      <c r="I25" s="382"/>
      <c r="J25" s="451"/>
      <c r="K25" s="421"/>
      <c r="L25" s="382"/>
      <c r="N25" s="42"/>
      <c r="P25" s="45"/>
    </row>
    <row r="26" spans="1:16" x14ac:dyDescent="0.15">
      <c r="A26" s="450" t="s">
        <v>67</v>
      </c>
      <c r="B26" s="429"/>
      <c r="C26" s="429"/>
      <c r="D26" s="418"/>
      <c r="E26" s="418"/>
      <c r="F26" s="418"/>
      <c r="G26" s="382"/>
      <c r="H26" s="382"/>
      <c r="I26" s="382"/>
      <c r="J26" s="451"/>
      <c r="K26" s="421"/>
      <c r="L26" s="382"/>
      <c r="N26" s="42"/>
      <c r="P26" s="45"/>
    </row>
    <row r="27" spans="1:16" x14ac:dyDescent="0.15">
      <c r="A27" s="450" t="s">
        <v>68</v>
      </c>
      <c r="B27" s="429"/>
      <c r="C27" s="429"/>
      <c r="D27" s="418"/>
      <c r="E27" s="418"/>
      <c r="F27" s="418"/>
      <c r="G27" s="382"/>
      <c r="H27" s="382"/>
      <c r="I27" s="382"/>
      <c r="J27" s="451"/>
      <c r="K27" s="421"/>
      <c r="L27" s="382"/>
      <c r="N27" s="42"/>
      <c r="P27" s="45"/>
    </row>
    <row r="28" spans="1:16" x14ac:dyDescent="0.15">
      <c r="A28" s="450" t="s">
        <v>69</v>
      </c>
      <c r="B28" s="429"/>
      <c r="C28" s="429"/>
      <c r="D28" s="418"/>
      <c r="E28" s="418"/>
      <c r="F28" s="418"/>
      <c r="G28" s="382"/>
      <c r="H28" s="382"/>
      <c r="I28" s="382"/>
      <c r="J28" s="451"/>
      <c r="K28" s="421"/>
      <c r="L28" s="382"/>
      <c r="N28" s="42"/>
      <c r="P28" s="45"/>
    </row>
    <row r="29" spans="1:16" x14ac:dyDescent="0.15">
      <c r="A29" s="386" t="s">
        <v>70</v>
      </c>
      <c r="B29" s="424">
        <v>0</v>
      </c>
      <c r="C29" s="424">
        <v>0</v>
      </c>
      <c r="D29" s="423">
        <v>24</v>
      </c>
      <c r="E29" s="423">
        <v>0</v>
      </c>
      <c r="F29" s="424">
        <f>SUM(B29:E29)</f>
        <v>24</v>
      </c>
      <c r="G29" s="387">
        <f>(+B29*$B$10)+(C29*$C$10)+(D29*$D$10)+(E29*$E$10)</f>
        <v>1226.1600000000001</v>
      </c>
      <c r="H29" s="387">
        <v>0</v>
      </c>
      <c r="I29" s="387">
        <v>0</v>
      </c>
      <c r="J29" s="431">
        <v>10</v>
      </c>
      <c r="K29" s="427">
        <f>F29*J29</f>
        <v>240</v>
      </c>
      <c r="L29" s="428">
        <f>J29*(G29+H29+I29)</f>
        <v>12261.6</v>
      </c>
      <c r="N29" s="46">
        <f>G29*J29</f>
        <v>12261.6</v>
      </c>
      <c r="O29" s="40">
        <f>I29*J29</f>
        <v>0</v>
      </c>
      <c r="P29" s="40">
        <f>H29*J29</f>
        <v>0</v>
      </c>
    </row>
    <row r="30" spans="1:16" x14ac:dyDescent="0.15">
      <c r="A30" s="450" t="s">
        <v>71</v>
      </c>
      <c r="B30" s="429"/>
      <c r="C30" s="429"/>
      <c r="D30" s="418"/>
      <c r="E30" s="418"/>
      <c r="F30" s="418"/>
      <c r="G30" s="382"/>
      <c r="H30" s="382"/>
      <c r="I30" s="382"/>
      <c r="J30" s="451"/>
      <c r="K30" s="421"/>
      <c r="L30" s="382"/>
      <c r="N30" s="42"/>
      <c r="P30" s="45"/>
    </row>
    <row r="31" spans="1:16" x14ac:dyDescent="0.15">
      <c r="A31" s="450" t="s">
        <v>72</v>
      </c>
      <c r="B31" s="429"/>
      <c r="C31" s="429"/>
      <c r="D31" s="418"/>
      <c r="E31" s="418"/>
      <c r="F31" s="418"/>
      <c r="G31" s="382"/>
      <c r="H31" s="382"/>
      <c r="I31" s="382"/>
      <c r="J31" s="451"/>
      <c r="K31" s="421"/>
      <c r="L31" s="382"/>
      <c r="N31" s="42"/>
      <c r="P31" s="45"/>
    </row>
    <row r="32" spans="1:16" x14ac:dyDescent="0.15">
      <c r="A32" s="386" t="s">
        <v>73</v>
      </c>
      <c r="B32" s="424">
        <v>0</v>
      </c>
      <c r="C32" s="424">
        <v>0</v>
      </c>
      <c r="D32" s="423">
        <v>6</v>
      </c>
      <c r="E32" s="423">
        <v>0</v>
      </c>
      <c r="F32" s="424">
        <f>SUM(B32:E32)</f>
        <v>6</v>
      </c>
      <c r="G32" s="387">
        <f>(+B32*$B$10)+(C32*$C$10)+(D32*$D$10)+(E32*$E$10)</f>
        <v>306.54000000000002</v>
      </c>
      <c r="H32" s="387">
        <v>0</v>
      </c>
      <c r="I32" s="387">
        <v>0</v>
      </c>
      <c r="J32" s="431">
        <v>10</v>
      </c>
      <c r="K32" s="427">
        <f>F32*J32</f>
        <v>60</v>
      </c>
      <c r="L32" s="428">
        <f>J32*(G32+H32+I32)</f>
        <v>3065.4</v>
      </c>
      <c r="N32" s="46">
        <f>G32*J32</f>
        <v>3065.4</v>
      </c>
      <c r="O32" s="40">
        <f>I32*J32</f>
        <v>0</v>
      </c>
      <c r="P32" s="40">
        <f>H32*J32</f>
        <v>0</v>
      </c>
    </row>
    <row r="33" spans="1:16" x14ac:dyDescent="0.15">
      <c r="A33" s="450" t="s">
        <v>74</v>
      </c>
      <c r="B33" s="429"/>
      <c r="C33" s="429"/>
      <c r="D33" s="418"/>
      <c r="E33" s="418"/>
      <c r="F33" s="418"/>
      <c r="G33" s="382"/>
      <c r="H33" s="382"/>
      <c r="I33" s="382"/>
      <c r="J33" s="451"/>
      <c r="K33" s="421"/>
      <c r="L33" s="382"/>
      <c r="N33" s="42"/>
      <c r="P33" s="45"/>
    </row>
    <row r="34" spans="1:16" x14ac:dyDescent="0.15">
      <c r="A34" s="386" t="s">
        <v>75</v>
      </c>
      <c r="B34" s="424">
        <v>0</v>
      </c>
      <c r="C34" s="424">
        <v>0</v>
      </c>
      <c r="D34" s="423">
        <v>10</v>
      </c>
      <c r="E34" s="423">
        <v>0</v>
      </c>
      <c r="F34" s="424">
        <f>SUM(B34:E34)</f>
        <v>10</v>
      </c>
      <c r="G34" s="387">
        <f>(+B34*$B$10)+(C34*$C$10)+(D34*$D$10)+(E34*$E$10)</f>
        <v>510.90000000000003</v>
      </c>
      <c r="H34" s="387">
        <v>0</v>
      </c>
      <c r="I34" s="387">
        <v>0</v>
      </c>
      <c r="J34" s="431">
        <v>10</v>
      </c>
      <c r="K34" s="427">
        <f>F34*J34</f>
        <v>100</v>
      </c>
      <c r="L34" s="428">
        <f>J34*(G34+H34+I34)</f>
        <v>5109</v>
      </c>
      <c r="N34" s="46">
        <f>G34*J34</f>
        <v>5109</v>
      </c>
      <c r="O34" s="40">
        <f>I34*J34</f>
        <v>0</v>
      </c>
      <c r="P34" s="40">
        <f>H34*J34</f>
        <v>0</v>
      </c>
    </row>
    <row r="35" spans="1:16" ht="3" customHeight="1" x14ac:dyDescent="0.15">
      <c r="A35" s="432"/>
      <c r="B35" s="455"/>
      <c r="C35" s="455"/>
      <c r="D35" s="455"/>
      <c r="E35" s="455"/>
      <c r="F35" s="455"/>
      <c r="G35" s="437"/>
      <c r="H35" s="437"/>
      <c r="I35" s="437"/>
      <c r="J35" s="475"/>
      <c r="K35" s="457"/>
      <c r="L35" s="437"/>
      <c r="N35" s="42"/>
      <c r="P35" s="45"/>
    </row>
    <row r="36" spans="1:16" x14ac:dyDescent="0.15">
      <c r="A36" s="422" t="s">
        <v>16</v>
      </c>
      <c r="B36" s="423">
        <f t="shared" ref="B36:I36" si="0">SUM(B17:B34)</f>
        <v>0</v>
      </c>
      <c r="C36" s="423">
        <f t="shared" si="0"/>
        <v>0</v>
      </c>
      <c r="D36" s="423">
        <f t="shared" si="0"/>
        <v>75</v>
      </c>
      <c r="E36" s="423">
        <f t="shared" si="0"/>
        <v>0</v>
      </c>
      <c r="F36" s="423">
        <f t="shared" si="0"/>
        <v>75</v>
      </c>
      <c r="G36" s="387">
        <f t="shared" si="0"/>
        <v>3831.7500000000005</v>
      </c>
      <c r="H36" s="387">
        <f t="shared" si="0"/>
        <v>0</v>
      </c>
      <c r="I36" s="387">
        <f t="shared" si="0"/>
        <v>25</v>
      </c>
      <c r="J36" s="426">
        <f>J34</f>
        <v>10</v>
      </c>
      <c r="K36" s="458">
        <f>SUM(K17:K34)</f>
        <v>750</v>
      </c>
      <c r="L36" s="387">
        <f>SUM(L17:L34)</f>
        <v>38567.5</v>
      </c>
      <c r="N36" s="46"/>
      <c r="O36" s="46"/>
      <c r="P36" s="46"/>
    </row>
    <row r="37" spans="1:16" ht="3" customHeight="1" x14ac:dyDescent="0.15">
      <c r="A37" s="432"/>
      <c r="B37" s="433"/>
      <c r="C37" s="433"/>
      <c r="D37" s="433"/>
      <c r="E37" s="433"/>
      <c r="F37" s="433"/>
      <c r="G37" s="434"/>
      <c r="H37" s="434"/>
      <c r="I37" s="434"/>
      <c r="J37" s="439"/>
      <c r="K37" s="436"/>
      <c r="L37" s="437"/>
      <c r="N37" s="42"/>
      <c r="P37" s="45"/>
    </row>
    <row r="38" spans="1:16" x14ac:dyDescent="0.15">
      <c r="A38" s="412" t="s">
        <v>76</v>
      </c>
      <c r="B38" s="413"/>
      <c r="C38" s="413"/>
      <c r="D38" s="413"/>
      <c r="E38" s="413"/>
      <c r="F38" s="413"/>
      <c r="G38" s="440"/>
      <c r="H38" s="440"/>
      <c r="I38" s="440"/>
      <c r="J38" s="441"/>
      <c r="K38" s="415"/>
      <c r="L38" s="442"/>
      <c r="N38" s="46"/>
      <c r="P38" s="45"/>
    </row>
    <row r="39" spans="1:16" x14ac:dyDescent="0.15">
      <c r="A39" s="417" t="s">
        <v>241</v>
      </c>
      <c r="B39" s="418"/>
      <c r="C39" s="418"/>
      <c r="D39" s="418"/>
      <c r="E39" s="418"/>
      <c r="F39" s="418"/>
      <c r="G39" s="382"/>
      <c r="H39" s="382"/>
      <c r="I39" s="382"/>
      <c r="J39" s="448"/>
      <c r="K39" s="421"/>
      <c r="L39" s="382"/>
      <c r="N39" s="42"/>
      <c r="P39" s="45"/>
    </row>
    <row r="40" spans="1:16" x14ac:dyDescent="0.15">
      <c r="A40" s="417" t="s">
        <v>77</v>
      </c>
      <c r="B40" s="418"/>
      <c r="C40" s="418"/>
      <c r="D40" s="418"/>
      <c r="E40" s="418"/>
      <c r="F40" s="418"/>
      <c r="G40" s="382"/>
      <c r="H40" s="382"/>
      <c r="I40" s="382"/>
      <c r="J40" s="448"/>
      <c r="K40" s="421"/>
      <c r="L40" s="382"/>
      <c r="N40" s="42"/>
      <c r="P40" s="45"/>
    </row>
    <row r="41" spans="1:16" x14ac:dyDescent="0.15">
      <c r="A41" s="417" t="s">
        <v>78</v>
      </c>
      <c r="B41" s="418"/>
      <c r="C41" s="418"/>
      <c r="D41" s="418"/>
      <c r="E41" s="418"/>
      <c r="F41" s="418"/>
      <c r="G41" s="382"/>
      <c r="H41" s="382"/>
      <c r="I41" s="382"/>
      <c r="J41" s="448"/>
      <c r="K41" s="421"/>
      <c r="L41" s="382"/>
      <c r="N41" s="42"/>
      <c r="P41" s="45"/>
    </row>
    <row r="42" spans="1:16" x14ac:dyDescent="0.15">
      <c r="A42" s="422" t="s">
        <v>79</v>
      </c>
      <c r="B42" s="423">
        <v>0</v>
      </c>
      <c r="C42" s="423">
        <v>0</v>
      </c>
      <c r="D42" s="423">
        <v>40</v>
      </c>
      <c r="E42" s="423">
        <v>0</v>
      </c>
      <c r="F42" s="424">
        <f>SUM(B42:E42)</f>
        <v>40</v>
      </c>
      <c r="G42" s="387">
        <f>(+B42*$B$10)+(C42*$C$10)+(D42*$D$10)+(E42*$E$10)</f>
        <v>2043.6000000000001</v>
      </c>
      <c r="H42" s="387">
        <v>0</v>
      </c>
      <c r="I42" s="387">
        <f>'Exhibit 1'!N20</f>
        <v>25</v>
      </c>
      <c r="J42" s="426">
        <v>10</v>
      </c>
      <c r="K42" s="427">
        <f>F42*J42</f>
        <v>400</v>
      </c>
      <c r="L42" s="428">
        <f>J42*(G42+H42+I42)</f>
        <v>20686.000000000004</v>
      </c>
      <c r="N42" s="46">
        <f>G42*J42</f>
        <v>20436</v>
      </c>
      <c r="O42" s="40">
        <f>I42*J42</f>
        <v>250</v>
      </c>
      <c r="P42" s="40">
        <f>H42*J42</f>
        <v>0</v>
      </c>
    </row>
    <row r="43" spans="1:16" x14ac:dyDescent="0.15">
      <c r="A43" s="417" t="s">
        <v>301</v>
      </c>
      <c r="B43" s="418"/>
      <c r="C43" s="418"/>
      <c r="D43" s="418"/>
      <c r="E43" s="418"/>
      <c r="F43" s="418"/>
      <c r="G43" s="382"/>
      <c r="H43" s="382"/>
      <c r="I43" s="382"/>
      <c r="J43" s="448"/>
      <c r="K43" s="421"/>
      <c r="L43" s="382"/>
      <c r="N43" s="42"/>
      <c r="P43" s="45"/>
    </row>
    <row r="44" spans="1:16" x14ac:dyDescent="0.15">
      <c r="A44" s="422" t="s">
        <v>302</v>
      </c>
      <c r="B44" s="423">
        <v>0</v>
      </c>
      <c r="C44" s="423">
        <v>0</v>
      </c>
      <c r="D44" s="423">
        <v>20</v>
      </c>
      <c r="E44" s="423">
        <v>0</v>
      </c>
      <c r="F44" s="424">
        <f>SUM(B44:E44)</f>
        <v>20</v>
      </c>
      <c r="G44" s="387">
        <f>(+B44*$B$10)+(C44*$C$10)+(D44*$D$10)+(E44*$E$10)</f>
        <v>1021.8000000000001</v>
      </c>
      <c r="H44" s="387">
        <v>0</v>
      </c>
      <c r="I44" s="387">
        <v>0</v>
      </c>
      <c r="J44" s="426">
        <v>10</v>
      </c>
      <c r="K44" s="427">
        <f>F44*J44</f>
        <v>200</v>
      </c>
      <c r="L44" s="428">
        <f>J44*(G44+H44+I44)</f>
        <v>10218</v>
      </c>
      <c r="N44" s="46">
        <f>G44*J44</f>
        <v>10218</v>
      </c>
      <c r="O44" s="40">
        <f>I44*J44</f>
        <v>0</v>
      </c>
      <c r="P44" s="40">
        <f>H44*J44</f>
        <v>0</v>
      </c>
    </row>
    <row r="45" spans="1:16" ht="11.45" customHeight="1" x14ac:dyDescent="0.15">
      <c r="A45" s="417" t="s">
        <v>80</v>
      </c>
      <c r="B45" s="418"/>
      <c r="C45" s="418"/>
      <c r="D45" s="418"/>
      <c r="E45" s="418"/>
      <c r="F45" s="418"/>
      <c r="G45" s="449"/>
      <c r="H45" s="449"/>
      <c r="I45" s="449"/>
      <c r="J45" s="420"/>
      <c r="K45" s="421"/>
      <c r="L45" s="449"/>
      <c r="N45" s="46"/>
      <c r="P45" s="45"/>
    </row>
    <row r="46" spans="1:16" x14ac:dyDescent="0.15">
      <c r="A46" s="417" t="s">
        <v>81</v>
      </c>
      <c r="B46" s="418"/>
      <c r="C46" s="418"/>
      <c r="D46" s="418"/>
      <c r="E46" s="418"/>
      <c r="F46" s="418"/>
      <c r="G46" s="382"/>
      <c r="H46" s="382"/>
      <c r="I46" s="382"/>
      <c r="J46" s="448"/>
      <c r="K46" s="421"/>
      <c r="L46" s="382"/>
      <c r="N46" s="42"/>
      <c r="P46" s="45"/>
    </row>
    <row r="47" spans="1:16" x14ac:dyDescent="0.15">
      <c r="A47" s="422" t="s">
        <v>82</v>
      </c>
      <c r="B47" s="423">
        <v>0</v>
      </c>
      <c r="C47" s="423">
        <v>0</v>
      </c>
      <c r="D47" s="423">
        <v>24</v>
      </c>
      <c r="E47" s="423">
        <v>0</v>
      </c>
      <c r="F47" s="424">
        <f>SUM(B47:E47)</f>
        <v>24</v>
      </c>
      <c r="G47" s="387">
        <f>(+B47*$B$10)+(C47*$C$10)+(D47*$D$10)+(E47*$E$10)</f>
        <v>1226.1600000000001</v>
      </c>
      <c r="H47" s="387">
        <v>0</v>
      </c>
      <c r="I47" s="387">
        <v>0</v>
      </c>
      <c r="J47" s="426">
        <v>10</v>
      </c>
      <c r="K47" s="427">
        <f>F47*J47</f>
        <v>240</v>
      </c>
      <c r="L47" s="428">
        <f>J47*(G47+H47+I47)</f>
        <v>12261.6</v>
      </c>
      <c r="N47" s="46">
        <f>G47*J47</f>
        <v>12261.6</v>
      </c>
      <c r="O47" s="40">
        <f>I47*J47</f>
        <v>0</v>
      </c>
      <c r="P47" s="40">
        <f>H47*J47</f>
        <v>0</v>
      </c>
    </row>
    <row r="48" spans="1:16" x14ac:dyDescent="0.15">
      <c r="A48" s="417" t="s">
        <v>304</v>
      </c>
      <c r="B48" s="418"/>
      <c r="C48" s="418"/>
      <c r="D48" s="418"/>
      <c r="E48" s="418"/>
      <c r="F48" s="418"/>
      <c r="G48" s="382"/>
      <c r="H48" s="382"/>
      <c r="I48" s="382"/>
      <c r="J48" s="448"/>
      <c r="K48" s="421"/>
      <c r="L48" s="382"/>
      <c r="N48" s="42"/>
      <c r="P48" s="45"/>
    </row>
    <row r="49" spans="1:16" x14ac:dyDescent="0.15">
      <c r="A49" s="417" t="s">
        <v>303</v>
      </c>
      <c r="B49" s="418"/>
      <c r="C49" s="418"/>
      <c r="D49" s="418"/>
      <c r="E49" s="418"/>
      <c r="F49" s="418"/>
      <c r="G49" s="382"/>
      <c r="H49" s="382"/>
      <c r="I49" s="382"/>
      <c r="J49" s="448"/>
      <c r="K49" s="421"/>
      <c r="L49" s="382"/>
      <c r="N49" s="42"/>
      <c r="P49" s="45"/>
    </row>
    <row r="50" spans="1:16" x14ac:dyDescent="0.15">
      <c r="A50" s="417" t="s">
        <v>83</v>
      </c>
      <c r="B50" s="429"/>
      <c r="C50" s="429"/>
      <c r="D50" s="429"/>
      <c r="E50" s="429"/>
      <c r="F50" s="429"/>
      <c r="G50" s="447"/>
      <c r="H50" s="447"/>
      <c r="I50" s="447"/>
      <c r="J50" s="451"/>
      <c r="K50" s="476"/>
      <c r="L50" s="447"/>
      <c r="N50" s="42"/>
      <c r="P50" s="45"/>
    </row>
    <row r="51" spans="1:16" x14ac:dyDescent="0.15">
      <c r="A51" s="386" t="s">
        <v>84</v>
      </c>
      <c r="B51" s="424">
        <v>0</v>
      </c>
      <c r="C51" s="424">
        <v>0</v>
      </c>
      <c r="D51" s="424">
        <v>20</v>
      </c>
      <c r="E51" s="424">
        <v>0</v>
      </c>
      <c r="F51" s="424">
        <f>SUM(B51:E51)</f>
        <v>20</v>
      </c>
      <c r="G51" s="387">
        <f>(+B51*$B$10)+(C51*$C$10)+(D51*$D$10)+(E51*$E$10)</f>
        <v>1021.8000000000001</v>
      </c>
      <c r="H51" s="428">
        <v>0</v>
      </c>
      <c r="I51" s="428">
        <v>0</v>
      </c>
      <c r="J51" s="431">
        <v>10</v>
      </c>
      <c r="K51" s="427">
        <f>F51*J51</f>
        <v>200</v>
      </c>
      <c r="L51" s="428">
        <f>J51*(G51+H51+I51)</f>
        <v>10218</v>
      </c>
      <c r="N51" s="46">
        <f>G51*J51</f>
        <v>10218</v>
      </c>
      <c r="O51" s="40">
        <f>I51*J51</f>
        <v>0</v>
      </c>
      <c r="P51" s="40">
        <f>H51*J51</f>
        <v>0</v>
      </c>
    </row>
    <row r="52" spans="1:16" x14ac:dyDescent="0.15">
      <c r="A52" s="417" t="s">
        <v>305</v>
      </c>
      <c r="B52" s="444"/>
      <c r="C52" s="444"/>
      <c r="D52" s="444"/>
      <c r="E52" s="444"/>
      <c r="F52" s="444"/>
      <c r="G52" s="381"/>
      <c r="H52" s="381"/>
      <c r="I52" s="381"/>
      <c r="J52" s="446"/>
      <c r="K52" s="357"/>
      <c r="L52" s="447"/>
      <c r="N52" s="42"/>
      <c r="P52" s="45"/>
    </row>
    <row r="53" spans="1:16" x14ac:dyDescent="0.15">
      <c r="A53" s="422" t="s">
        <v>85</v>
      </c>
      <c r="B53" s="359">
        <v>0</v>
      </c>
      <c r="C53" s="359">
        <v>0</v>
      </c>
      <c r="D53" s="359">
        <v>1</v>
      </c>
      <c r="E53" s="359">
        <v>0</v>
      </c>
      <c r="F53" s="424">
        <f>SUM(B53:E53)</f>
        <v>1</v>
      </c>
      <c r="G53" s="387">
        <f>(+B53*$B$10)+(C53*$C$10)+(D53*$D$10)+(E53*$E$10)</f>
        <v>51.09</v>
      </c>
      <c r="H53" s="388">
        <v>0</v>
      </c>
      <c r="I53" s="388">
        <v>0</v>
      </c>
      <c r="J53" s="438">
        <v>10</v>
      </c>
      <c r="K53" s="427">
        <f>F53*J53</f>
        <v>10</v>
      </c>
      <c r="L53" s="428">
        <f>J53*(G53+H53+I53)</f>
        <v>510.90000000000003</v>
      </c>
      <c r="N53" s="46">
        <f>G53*J53</f>
        <v>510.90000000000003</v>
      </c>
      <c r="O53" s="40">
        <f>I53*J53</f>
        <v>0</v>
      </c>
      <c r="P53" s="40">
        <f>H53*J53</f>
        <v>0</v>
      </c>
    </row>
    <row r="54" spans="1:16" x14ac:dyDescent="0.15">
      <c r="A54" s="417" t="s">
        <v>86</v>
      </c>
      <c r="B54" s="444"/>
      <c r="C54" s="444"/>
      <c r="D54" s="444"/>
      <c r="E54" s="444"/>
      <c r="F54" s="444"/>
      <c r="G54" s="381"/>
      <c r="H54" s="381"/>
      <c r="I54" s="381"/>
      <c r="J54" s="446"/>
      <c r="K54" s="357"/>
      <c r="L54" s="447"/>
      <c r="N54" s="42"/>
      <c r="P54" s="45"/>
    </row>
    <row r="55" spans="1:16" x14ac:dyDescent="0.15">
      <c r="A55" s="417" t="s">
        <v>87</v>
      </c>
      <c r="B55" s="444"/>
      <c r="C55" s="444"/>
      <c r="D55" s="444"/>
      <c r="E55" s="444"/>
      <c r="F55" s="444"/>
      <c r="G55" s="381"/>
      <c r="H55" s="381"/>
      <c r="I55" s="381"/>
      <c r="J55" s="446"/>
      <c r="K55" s="357"/>
      <c r="L55" s="447"/>
      <c r="N55" s="42"/>
      <c r="P55" s="45"/>
    </row>
    <row r="56" spans="1:16" x14ac:dyDescent="0.15">
      <c r="A56" s="417" t="s">
        <v>88</v>
      </c>
      <c r="B56" s="444"/>
      <c r="C56" s="444"/>
      <c r="D56" s="444"/>
      <c r="E56" s="444"/>
      <c r="F56" s="444"/>
      <c r="G56" s="381"/>
      <c r="H56" s="381"/>
      <c r="I56" s="381"/>
      <c r="J56" s="446"/>
      <c r="K56" s="357"/>
      <c r="L56" s="447"/>
      <c r="N56" s="42"/>
      <c r="P56" s="45"/>
    </row>
    <row r="57" spans="1:16" x14ac:dyDescent="0.15">
      <c r="A57" s="422" t="s">
        <v>89</v>
      </c>
      <c r="B57" s="359">
        <v>0</v>
      </c>
      <c r="C57" s="359">
        <v>0</v>
      </c>
      <c r="D57" s="359">
        <v>20</v>
      </c>
      <c r="E57" s="359">
        <v>0</v>
      </c>
      <c r="F57" s="424">
        <f>SUM(B57:E57)</f>
        <v>20</v>
      </c>
      <c r="G57" s="387">
        <f>(+B57*$B$10)+(C57*$C$10)+(D57*$D$10)+(E57*$E$10)</f>
        <v>1021.8000000000001</v>
      </c>
      <c r="H57" s="388">
        <v>0</v>
      </c>
      <c r="I57" s="388">
        <v>0</v>
      </c>
      <c r="J57" s="438">
        <v>10</v>
      </c>
      <c r="K57" s="427">
        <f>F57*J57</f>
        <v>200</v>
      </c>
      <c r="L57" s="428">
        <f>J57*(G57+H57+I57)</f>
        <v>10218</v>
      </c>
      <c r="N57" s="46">
        <f>G57*J57</f>
        <v>10218</v>
      </c>
      <c r="O57" s="40">
        <f>I57*J57</f>
        <v>0</v>
      </c>
      <c r="P57" s="40">
        <f>H57*J57</f>
        <v>0</v>
      </c>
    </row>
    <row r="58" spans="1:16" x14ac:dyDescent="0.15">
      <c r="A58" s="417" t="s">
        <v>90</v>
      </c>
      <c r="B58" s="444"/>
      <c r="C58" s="444"/>
      <c r="D58" s="444"/>
      <c r="E58" s="444"/>
      <c r="F58" s="444"/>
      <c r="G58" s="381"/>
      <c r="H58" s="381"/>
      <c r="I58" s="381"/>
      <c r="J58" s="446"/>
      <c r="K58" s="357"/>
      <c r="L58" s="447"/>
      <c r="N58" s="42"/>
      <c r="P58" s="45"/>
    </row>
    <row r="59" spans="1:16" x14ac:dyDescent="0.15">
      <c r="A59" s="477" t="s">
        <v>274</v>
      </c>
      <c r="B59" s="359">
        <v>0</v>
      </c>
      <c r="C59" s="359">
        <v>0</v>
      </c>
      <c r="D59" s="359">
        <v>1</v>
      </c>
      <c r="E59" s="359">
        <v>0</v>
      </c>
      <c r="F59" s="424">
        <f>SUM(B59:E59)</f>
        <v>1</v>
      </c>
      <c r="G59" s="387">
        <f>(+B59*$B$10)+(C59*$C$10)+(D59*$D$10)+(E59*$E$10)</f>
        <v>51.09</v>
      </c>
      <c r="H59" s="388">
        <v>0</v>
      </c>
      <c r="I59" s="388">
        <v>0</v>
      </c>
      <c r="J59" s="438">
        <v>10</v>
      </c>
      <c r="K59" s="427">
        <f>F59*J59</f>
        <v>10</v>
      </c>
      <c r="L59" s="428">
        <f>J59*(G59+H59+I59)</f>
        <v>510.90000000000003</v>
      </c>
      <c r="N59" s="46">
        <f>G59*J59</f>
        <v>510.90000000000003</v>
      </c>
      <c r="O59" s="40">
        <f>I59*J59</f>
        <v>0</v>
      </c>
      <c r="P59" s="40">
        <f>H59*J59</f>
        <v>0</v>
      </c>
    </row>
    <row r="60" spans="1:16" x14ac:dyDescent="0.15">
      <c r="A60" s="417" t="s">
        <v>74</v>
      </c>
      <c r="B60" s="444"/>
      <c r="C60" s="444"/>
      <c r="D60" s="444"/>
      <c r="E60" s="444"/>
      <c r="F60" s="444"/>
      <c r="G60" s="381"/>
      <c r="H60" s="381"/>
      <c r="I60" s="381"/>
      <c r="J60" s="446"/>
      <c r="K60" s="357"/>
      <c r="L60" s="447"/>
      <c r="N60" s="42"/>
      <c r="P60" s="45"/>
    </row>
    <row r="61" spans="1:16" x14ac:dyDescent="0.15">
      <c r="A61" s="422" t="s">
        <v>75</v>
      </c>
      <c r="B61" s="359">
        <v>0</v>
      </c>
      <c r="C61" s="359">
        <v>0</v>
      </c>
      <c r="D61" s="359">
        <v>20</v>
      </c>
      <c r="E61" s="359">
        <v>0</v>
      </c>
      <c r="F61" s="424">
        <f>SUM(B61:E61)</f>
        <v>20</v>
      </c>
      <c r="G61" s="387">
        <f>(+B61*$B$10)+(C61*$C$10)+(D61*$D$10)+(E61*$E$10)</f>
        <v>1021.8000000000001</v>
      </c>
      <c r="H61" s="388">
        <v>0</v>
      </c>
      <c r="I61" s="388">
        <v>0</v>
      </c>
      <c r="J61" s="438">
        <v>10</v>
      </c>
      <c r="K61" s="427">
        <f>F61*J61</f>
        <v>200</v>
      </c>
      <c r="L61" s="428">
        <f>J61*(G61+H61+I61)</f>
        <v>10218</v>
      </c>
      <c r="N61" s="46">
        <f>G61*J61</f>
        <v>10218</v>
      </c>
      <c r="O61" s="40">
        <f>I61*J61</f>
        <v>0</v>
      </c>
      <c r="P61" s="40">
        <f>H61*J61</f>
        <v>0</v>
      </c>
    </row>
    <row r="62" spans="1:16" ht="3" customHeight="1" x14ac:dyDescent="0.15">
      <c r="A62" s="478"/>
      <c r="B62" s="459"/>
      <c r="C62" s="459"/>
      <c r="D62" s="459"/>
      <c r="E62" s="459"/>
      <c r="F62" s="459"/>
      <c r="G62" s="432"/>
      <c r="H62" s="432"/>
      <c r="I62" s="432"/>
      <c r="J62" s="435"/>
      <c r="K62" s="358"/>
      <c r="L62" s="478"/>
      <c r="N62" s="42"/>
      <c r="P62" s="45"/>
    </row>
    <row r="63" spans="1:16" x14ac:dyDescent="0.15">
      <c r="A63" s="422" t="s">
        <v>16</v>
      </c>
      <c r="B63" s="424">
        <f t="shared" ref="B63:I63" si="1">SUM(B39:B62)</f>
        <v>0</v>
      </c>
      <c r="C63" s="424">
        <f t="shared" si="1"/>
        <v>0</v>
      </c>
      <c r="D63" s="424">
        <f t="shared" si="1"/>
        <v>146</v>
      </c>
      <c r="E63" s="424">
        <f t="shared" si="1"/>
        <v>0</v>
      </c>
      <c r="F63" s="424">
        <f t="shared" si="1"/>
        <v>146</v>
      </c>
      <c r="G63" s="428">
        <f t="shared" si="1"/>
        <v>7459.1400000000012</v>
      </c>
      <c r="H63" s="428">
        <f t="shared" si="1"/>
        <v>0</v>
      </c>
      <c r="I63" s="428">
        <f t="shared" si="1"/>
        <v>25</v>
      </c>
      <c r="J63" s="431">
        <f>J61</f>
        <v>10</v>
      </c>
      <c r="K63" s="427">
        <f>SUM(K39:K62)</f>
        <v>1460</v>
      </c>
      <c r="L63" s="428">
        <f>SUM(L39:L62)</f>
        <v>74841.400000000009</v>
      </c>
      <c r="N63" s="46"/>
      <c r="O63" s="46"/>
      <c r="P63" s="46"/>
    </row>
    <row r="64" spans="1:16" ht="3" customHeight="1" x14ac:dyDescent="0.15">
      <c r="A64" s="432"/>
      <c r="B64" s="433"/>
      <c r="C64" s="433"/>
      <c r="D64" s="433"/>
      <c r="E64" s="433"/>
      <c r="F64" s="433"/>
      <c r="G64" s="434"/>
      <c r="H64" s="434"/>
      <c r="I64" s="434"/>
      <c r="J64" s="439"/>
      <c r="K64" s="436"/>
      <c r="L64" s="437"/>
      <c r="N64" s="42"/>
      <c r="P64" s="45"/>
    </row>
    <row r="65" spans="1:16" x14ac:dyDescent="0.15">
      <c r="A65" s="412" t="s">
        <v>254</v>
      </c>
      <c r="B65" s="413"/>
      <c r="C65" s="413"/>
      <c r="D65" s="413"/>
      <c r="E65" s="413"/>
      <c r="F65" s="413"/>
      <c r="G65" s="440"/>
      <c r="H65" s="440"/>
      <c r="I65" s="440"/>
      <c r="J65" s="441"/>
      <c r="K65" s="415"/>
      <c r="L65" s="442"/>
      <c r="N65" s="46"/>
      <c r="P65" s="45"/>
    </row>
    <row r="66" spans="1:16" x14ac:dyDescent="0.15">
      <c r="A66" s="417" t="s">
        <v>242</v>
      </c>
      <c r="B66" s="418"/>
      <c r="C66" s="418"/>
      <c r="D66" s="418"/>
      <c r="E66" s="418"/>
      <c r="F66" s="418"/>
      <c r="G66" s="449"/>
      <c r="H66" s="449"/>
      <c r="I66" s="449"/>
      <c r="J66" s="420"/>
      <c r="K66" s="421"/>
      <c r="L66" s="449"/>
      <c r="N66" s="46"/>
      <c r="P66" s="45"/>
    </row>
    <row r="67" spans="1:16" x14ac:dyDescent="0.15">
      <c r="A67" s="417" t="s">
        <v>91</v>
      </c>
      <c r="B67" s="418"/>
      <c r="C67" s="418"/>
      <c r="D67" s="418"/>
      <c r="E67" s="418"/>
      <c r="F67" s="418"/>
      <c r="G67" s="449"/>
      <c r="H67" s="449"/>
      <c r="I67" s="449"/>
      <c r="J67" s="420"/>
      <c r="K67" s="421"/>
      <c r="L67" s="449"/>
      <c r="N67" s="46"/>
      <c r="P67" s="45"/>
    </row>
    <row r="68" spans="1:16" x14ac:dyDescent="0.15">
      <c r="A68" s="417" t="s">
        <v>92</v>
      </c>
      <c r="B68" s="418"/>
      <c r="C68" s="418"/>
      <c r="D68" s="418"/>
      <c r="E68" s="418"/>
      <c r="F68" s="418"/>
      <c r="G68" s="449"/>
      <c r="H68" s="449"/>
      <c r="I68" s="449"/>
      <c r="J68" s="420"/>
      <c r="K68" s="421"/>
      <c r="L68" s="449"/>
      <c r="N68" s="46"/>
      <c r="P68" s="45"/>
    </row>
    <row r="69" spans="1:16" x14ac:dyDescent="0.15">
      <c r="A69" s="422" t="s">
        <v>93</v>
      </c>
      <c r="B69" s="423">
        <v>0</v>
      </c>
      <c r="C69" s="423">
        <v>0</v>
      </c>
      <c r="D69" s="423">
        <v>40</v>
      </c>
      <c r="E69" s="423">
        <v>0</v>
      </c>
      <c r="F69" s="424">
        <f>SUM(B69:E69)</f>
        <v>40</v>
      </c>
      <c r="G69" s="387">
        <f>(+B69*$B$10)+(C69*$C$10)+(D69*$D$10)+(E69*$E$10)</f>
        <v>2043.6000000000001</v>
      </c>
      <c r="H69" s="387">
        <v>0</v>
      </c>
      <c r="I69" s="387">
        <f>'Exhibit 1'!N20</f>
        <v>25</v>
      </c>
      <c r="J69" s="426">
        <v>10</v>
      </c>
      <c r="K69" s="427">
        <f>F69*J69</f>
        <v>400</v>
      </c>
      <c r="L69" s="428">
        <f>J69*(G69+H69+I69)</f>
        <v>20686.000000000004</v>
      </c>
      <c r="N69" s="46">
        <f>G69*J69</f>
        <v>20436</v>
      </c>
      <c r="O69" s="40">
        <f>I69*J69</f>
        <v>250</v>
      </c>
      <c r="P69" s="40">
        <f>H69*J69</f>
        <v>0</v>
      </c>
    </row>
    <row r="70" spans="1:16" x14ac:dyDescent="0.15">
      <c r="A70" s="417" t="s">
        <v>94</v>
      </c>
      <c r="B70" s="418"/>
      <c r="C70" s="418"/>
      <c r="D70" s="418"/>
      <c r="E70" s="418"/>
      <c r="F70" s="418"/>
      <c r="G70" s="382"/>
      <c r="H70" s="382"/>
      <c r="I70" s="382"/>
      <c r="J70" s="448"/>
      <c r="K70" s="421"/>
      <c r="L70" s="382"/>
      <c r="N70" s="42"/>
      <c r="P70" s="45"/>
    </row>
    <row r="71" spans="1:16" x14ac:dyDescent="0.15">
      <c r="A71" s="422" t="s">
        <v>95</v>
      </c>
      <c r="B71" s="423">
        <v>0</v>
      </c>
      <c r="C71" s="423">
        <v>0</v>
      </c>
      <c r="D71" s="423">
        <v>16</v>
      </c>
      <c r="E71" s="423">
        <v>0</v>
      </c>
      <c r="F71" s="424">
        <f>SUM(B71:E71)</f>
        <v>16</v>
      </c>
      <c r="G71" s="387">
        <f>(+B71*$B$10)+(C71*$C$10)+(D71*$D$10)+(E71*$E$10)</f>
        <v>817.44</v>
      </c>
      <c r="H71" s="387">
        <v>0</v>
      </c>
      <c r="I71" s="387">
        <v>0</v>
      </c>
      <c r="J71" s="426">
        <v>10</v>
      </c>
      <c r="K71" s="427">
        <f>F71*J71</f>
        <v>160</v>
      </c>
      <c r="L71" s="428">
        <f>J71*(G71+H71+I71)</f>
        <v>8174.4000000000005</v>
      </c>
      <c r="N71" s="46">
        <f>G71*J71</f>
        <v>8174.4000000000005</v>
      </c>
      <c r="O71" s="40">
        <f>I71*J71</f>
        <v>0</v>
      </c>
      <c r="P71" s="40">
        <f>H71*J71</f>
        <v>0</v>
      </c>
    </row>
    <row r="72" spans="1:16" x14ac:dyDescent="0.15">
      <c r="A72" s="417" t="s">
        <v>230</v>
      </c>
      <c r="B72" s="418"/>
      <c r="C72" s="418"/>
      <c r="D72" s="418"/>
      <c r="E72" s="418"/>
      <c r="F72" s="418"/>
      <c r="G72" s="382"/>
      <c r="H72" s="382"/>
      <c r="I72" s="382"/>
      <c r="J72" s="448"/>
      <c r="K72" s="421"/>
      <c r="L72" s="382"/>
      <c r="N72" s="42"/>
      <c r="P72" s="45"/>
    </row>
    <row r="73" spans="1:16" x14ac:dyDescent="0.15">
      <c r="A73" s="417" t="s">
        <v>96</v>
      </c>
      <c r="B73" s="418"/>
      <c r="C73" s="418"/>
      <c r="D73" s="418"/>
      <c r="E73" s="418"/>
      <c r="F73" s="418"/>
      <c r="G73" s="449"/>
      <c r="H73" s="449"/>
      <c r="I73" s="449"/>
      <c r="J73" s="420"/>
      <c r="K73" s="421"/>
      <c r="L73" s="449"/>
      <c r="N73" s="46"/>
      <c r="P73" s="45"/>
    </row>
    <row r="74" spans="1:16" x14ac:dyDescent="0.15">
      <c r="A74" s="422" t="s">
        <v>97</v>
      </c>
      <c r="B74" s="423">
        <v>0</v>
      </c>
      <c r="C74" s="423">
        <v>0</v>
      </c>
      <c r="D74" s="423">
        <v>40</v>
      </c>
      <c r="E74" s="423">
        <v>0</v>
      </c>
      <c r="F74" s="424">
        <f>SUM(B74:E74)</f>
        <v>40</v>
      </c>
      <c r="G74" s="387">
        <f>(+B74*$B$10)+(C74*$C$10)+(D74*$D$10)+(E74*$E$10)</f>
        <v>2043.6000000000001</v>
      </c>
      <c r="H74" s="387">
        <v>0</v>
      </c>
      <c r="I74" s="387">
        <v>0</v>
      </c>
      <c r="J74" s="426">
        <v>10</v>
      </c>
      <c r="K74" s="427">
        <f>F74*J74</f>
        <v>400</v>
      </c>
      <c r="L74" s="428">
        <f>J74*(G74+H74+I74)</f>
        <v>20436</v>
      </c>
      <c r="N74" s="46">
        <f>G74*J74</f>
        <v>20436</v>
      </c>
      <c r="O74" s="40">
        <f>I74*J74</f>
        <v>0</v>
      </c>
      <c r="P74" s="40">
        <f>H74*J74</f>
        <v>0</v>
      </c>
    </row>
    <row r="75" spans="1:16" x14ac:dyDescent="0.15">
      <c r="A75" s="450" t="s">
        <v>306</v>
      </c>
      <c r="B75" s="444"/>
      <c r="C75" s="444"/>
      <c r="D75" s="444"/>
      <c r="E75" s="444"/>
      <c r="F75" s="444"/>
      <c r="G75" s="381"/>
      <c r="H75" s="381"/>
      <c r="I75" s="381"/>
      <c r="J75" s="446"/>
      <c r="K75" s="357"/>
      <c r="L75" s="447"/>
      <c r="N75" s="42"/>
      <c r="P75" s="45"/>
    </row>
    <row r="76" spans="1:16" x14ac:dyDescent="0.15">
      <c r="A76" s="450" t="s">
        <v>98</v>
      </c>
      <c r="B76" s="444"/>
      <c r="C76" s="444"/>
      <c r="D76" s="444"/>
      <c r="E76" s="444"/>
      <c r="F76" s="444"/>
      <c r="G76" s="381"/>
      <c r="H76" s="381"/>
      <c r="I76" s="381"/>
      <c r="J76" s="446"/>
      <c r="K76" s="357"/>
      <c r="L76" s="447"/>
      <c r="N76" s="42"/>
      <c r="P76" s="45"/>
    </row>
    <row r="77" spans="1:16" x14ac:dyDescent="0.15">
      <c r="A77" s="386" t="s">
        <v>99</v>
      </c>
      <c r="B77" s="359">
        <v>0</v>
      </c>
      <c r="C77" s="359">
        <v>0</v>
      </c>
      <c r="D77" s="359">
        <v>20</v>
      </c>
      <c r="E77" s="359">
        <v>0</v>
      </c>
      <c r="F77" s="424">
        <f>SUM(B77:E77)</f>
        <v>20</v>
      </c>
      <c r="G77" s="387">
        <f>(+B77*$B$10)+(C77*$C$10)+(D77*$D$10)+(E77*$E$10)</f>
        <v>1021.8000000000001</v>
      </c>
      <c r="H77" s="388">
        <v>0</v>
      </c>
      <c r="I77" s="388">
        <v>0</v>
      </c>
      <c r="J77" s="438">
        <v>10</v>
      </c>
      <c r="K77" s="427">
        <f>F77*J77</f>
        <v>200</v>
      </c>
      <c r="L77" s="428">
        <f>J77*(G77+H77+I77)</f>
        <v>10218</v>
      </c>
      <c r="N77" s="46">
        <f>G77*J77</f>
        <v>10218</v>
      </c>
      <c r="O77" s="40">
        <f>I77*J77</f>
        <v>0</v>
      </c>
      <c r="P77" s="40">
        <f>H77*J77</f>
        <v>0</v>
      </c>
    </row>
    <row r="78" spans="1:16" x14ac:dyDescent="0.15">
      <c r="A78" s="450" t="s">
        <v>80</v>
      </c>
      <c r="B78" s="444"/>
      <c r="C78" s="444"/>
      <c r="D78" s="444"/>
      <c r="E78" s="444"/>
      <c r="F78" s="444"/>
      <c r="G78" s="381"/>
      <c r="H78" s="381"/>
      <c r="I78" s="381"/>
      <c r="J78" s="446"/>
      <c r="K78" s="357"/>
      <c r="L78" s="447"/>
      <c r="N78" s="42"/>
      <c r="P78" s="45"/>
    </row>
    <row r="79" spans="1:16" x14ac:dyDescent="0.15">
      <c r="A79" s="450" t="s">
        <v>307</v>
      </c>
      <c r="B79" s="444"/>
      <c r="C79" s="444"/>
      <c r="D79" s="444"/>
      <c r="E79" s="444"/>
      <c r="F79" s="444"/>
      <c r="G79" s="381"/>
      <c r="H79" s="381"/>
      <c r="I79" s="381"/>
      <c r="J79" s="446"/>
      <c r="K79" s="357"/>
      <c r="L79" s="447"/>
      <c r="N79" s="42"/>
      <c r="P79" s="45"/>
    </row>
    <row r="80" spans="1:16" x14ac:dyDescent="0.15">
      <c r="A80" s="386" t="s">
        <v>73</v>
      </c>
      <c r="B80" s="359">
        <v>0</v>
      </c>
      <c r="C80" s="359">
        <v>0</v>
      </c>
      <c r="D80" s="359">
        <v>6</v>
      </c>
      <c r="E80" s="359">
        <v>0</v>
      </c>
      <c r="F80" s="424">
        <f>SUM(B80:E80)</f>
        <v>6</v>
      </c>
      <c r="G80" s="387">
        <f>(+B80*$B$10)+(C80*$C$10)+(D80*$D$10)+(E80*$E$10)</f>
        <v>306.54000000000002</v>
      </c>
      <c r="H80" s="388">
        <v>0</v>
      </c>
      <c r="I80" s="388">
        <v>0</v>
      </c>
      <c r="J80" s="438">
        <v>10</v>
      </c>
      <c r="K80" s="427">
        <f>F80*J80</f>
        <v>60</v>
      </c>
      <c r="L80" s="428">
        <f>J80*(G80+H80+I80)</f>
        <v>3065.4</v>
      </c>
      <c r="N80" s="46">
        <f>G80*J80</f>
        <v>3065.4</v>
      </c>
      <c r="O80" s="40">
        <f>I80*J80</f>
        <v>0</v>
      </c>
      <c r="P80" s="40">
        <f>H80*J80</f>
        <v>0</v>
      </c>
    </row>
    <row r="81" spans="1:16" x14ac:dyDescent="0.15">
      <c r="A81" s="450" t="s">
        <v>74</v>
      </c>
      <c r="B81" s="444"/>
      <c r="C81" s="444"/>
      <c r="D81" s="444"/>
      <c r="E81" s="444"/>
      <c r="F81" s="444"/>
      <c r="G81" s="381"/>
      <c r="H81" s="381"/>
      <c r="I81" s="381"/>
      <c r="J81" s="446"/>
      <c r="K81" s="357"/>
      <c r="L81" s="447"/>
      <c r="N81" s="42"/>
      <c r="P81" s="45"/>
    </row>
    <row r="82" spans="1:16" x14ac:dyDescent="0.15">
      <c r="A82" s="386" t="s">
        <v>75</v>
      </c>
      <c r="B82" s="359">
        <v>0</v>
      </c>
      <c r="C82" s="359">
        <v>0</v>
      </c>
      <c r="D82" s="359">
        <v>20</v>
      </c>
      <c r="E82" s="359">
        <v>0</v>
      </c>
      <c r="F82" s="424">
        <f>SUM(B82:E82)</f>
        <v>20</v>
      </c>
      <c r="G82" s="387">
        <f>(+B82*$B$10)+(C82*$C$10)+(D82*$D$10)+(E82*$E$10)</f>
        <v>1021.8000000000001</v>
      </c>
      <c r="H82" s="388">
        <v>0</v>
      </c>
      <c r="I82" s="388">
        <v>0</v>
      </c>
      <c r="J82" s="438">
        <v>10</v>
      </c>
      <c r="K82" s="427">
        <f>F82*J82</f>
        <v>200</v>
      </c>
      <c r="L82" s="428">
        <f>J82*(G82+H82+I82)</f>
        <v>10218</v>
      </c>
      <c r="N82" s="46">
        <f>G82*J82</f>
        <v>10218</v>
      </c>
      <c r="O82" s="40">
        <f>I82*J82</f>
        <v>0</v>
      </c>
      <c r="P82" s="40">
        <f>H82*J82</f>
        <v>0</v>
      </c>
    </row>
    <row r="83" spans="1:16" ht="3" customHeight="1" x14ac:dyDescent="0.15">
      <c r="A83" s="432"/>
      <c r="B83" s="459"/>
      <c r="C83" s="459"/>
      <c r="D83" s="459"/>
      <c r="E83" s="459"/>
      <c r="F83" s="459"/>
      <c r="G83" s="432"/>
      <c r="H83" s="432"/>
      <c r="I83" s="432"/>
      <c r="J83" s="435"/>
      <c r="K83" s="358"/>
      <c r="L83" s="478"/>
      <c r="N83" s="42"/>
      <c r="P83" s="45"/>
    </row>
    <row r="84" spans="1:16" x14ac:dyDescent="0.15">
      <c r="A84" s="386" t="s">
        <v>16</v>
      </c>
      <c r="B84" s="359">
        <f t="shared" ref="B84:I84" si="2">SUM(B66:B83)</f>
        <v>0</v>
      </c>
      <c r="C84" s="359">
        <f t="shared" si="2"/>
        <v>0</v>
      </c>
      <c r="D84" s="359">
        <f t="shared" si="2"/>
        <v>142</v>
      </c>
      <c r="E84" s="359">
        <f t="shared" si="2"/>
        <v>0</v>
      </c>
      <c r="F84" s="359">
        <f t="shared" si="2"/>
        <v>142</v>
      </c>
      <c r="G84" s="388">
        <f t="shared" si="2"/>
        <v>7254.7800000000007</v>
      </c>
      <c r="H84" s="388">
        <f t="shared" si="2"/>
        <v>0</v>
      </c>
      <c r="I84" s="388">
        <f t="shared" si="2"/>
        <v>25</v>
      </c>
      <c r="J84" s="438">
        <f>J82</f>
        <v>10</v>
      </c>
      <c r="K84" s="356">
        <f>SUM(K66:K83)</f>
        <v>1420</v>
      </c>
      <c r="L84" s="428">
        <f>SUM(L66:L83)</f>
        <v>72797.800000000017</v>
      </c>
      <c r="N84" s="46"/>
      <c r="O84" s="46"/>
      <c r="P84" s="46"/>
    </row>
    <row r="85" spans="1:16" ht="3" customHeight="1" x14ac:dyDescent="0.15">
      <c r="A85" s="432"/>
      <c r="B85" s="433"/>
      <c r="C85" s="433"/>
      <c r="D85" s="433"/>
      <c r="E85" s="433"/>
      <c r="F85" s="433"/>
      <c r="G85" s="434"/>
      <c r="H85" s="434"/>
      <c r="I85" s="434"/>
      <c r="J85" s="439"/>
      <c r="K85" s="436"/>
      <c r="L85" s="437"/>
      <c r="N85" s="42"/>
      <c r="P85" s="45"/>
    </row>
    <row r="86" spans="1:16" x14ac:dyDescent="0.15">
      <c r="A86" s="412" t="s">
        <v>100</v>
      </c>
      <c r="B86" s="413"/>
      <c r="C86" s="413"/>
      <c r="D86" s="413"/>
      <c r="E86" s="413"/>
      <c r="F86" s="413"/>
      <c r="G86" s="414"/>
      <c r="H86" s="414"/>
      <c r="I86" s="414"/>
      <c r="J86" s="479"/>
      <c r="K86" s="415"/>
      <c r="L86" s="416"/>
      <c r="N86" s="42"/>
      <c r="P86" s="45"/>
    </row>
    <row r="87" spans="1:16" x14ac:dyDescent="0.15">
      <c r="A87" s="450" t="s">
        <v>231</v>
      </c>
      <c r="B87" s="444"/>
      <c r="C87" s="444"/>
      <c r="D87" s="444"/>
      <c r="E87" s="444"/>
      <c r="F87" s="444"/>
      <c r="G87" s="381"/>
      <c r="H87" s="381"/>
      <c r="I87" s="381"/>
      <c r="J87" s="446"/>
      <c r="K87" s="357"/>
      <c r="L87" s="447"/>
      <c r="N87" s="42"/>
      <c r="P87" s="45"/>
    </row>
    <row r="88" spans="1:16" x14ac:dyDescent="0.15">
      <c r="A88" s="450" t="s">
        <v>101</v>
      </c>
      <c r="B88" s="444"/>
      <c r="C88" s="444"/>
      <c r="D88" s="444"/>
      <c r="E88" s="444"/>
      <c r="F88" s="444"/>
      <c r="G88" s="381"/>
      <c r="H88" s="381"/>
      <c r="I88" s="381"/>
      <c r="J88" s="446"/>
      <c r="K88" s="357"/>
      <c r="L88" s="447"/>
      <c r="N88" s="42"/>
      <c r="P88" s="45"/>
    </row>
    <row r="89" spans="1:16" x14ac:dyDescent="0.15">
      <c r="A89" s="450" t="s">
        <v>102</v>
      </c>
      <c r="B89" s="444"/>
      <c r="C89" s="444"/>
      <c r="D89" s="444"/>
      <c r="E89" s="444"/>
      <c r="F89" s="444"/>
      <c r="G89" s="381"/>
      <c r="H89" s="381"/>
      <c r="I89" s="381"/>
      <c r="J89" s="446"/>
      <c r="K89" s="357"/>
      <c r="L89" s="447"/>
      <c r="N89" s="42"/>
      <c r="P89" s="45"/>
    </row>
    <row r="90" spans="1:16" x14ac:dyDescent="0.15">
      <c r="A90" s="386" t="s">
        <v>103</v>
      </c>
      <c r="B90" s="359">
        <v>0</v>
      </c>
      <c r="C90" s="359">
        <v>1</v>
      </c>
      <c r="D90" s="359">
        <v>10</v>
      </c>
      <c r="E90" s="359">
        <v>0</v>
      </c>
      <c r="F90" s="424">
        <f>SUM(B90:E90)</f>
        <v>11</v>
      </c>
      <c r="G90" s="387">
        <f>(+B90*$B$10)+(C90*$C$10)+(D90*$D$10)+(E90*$E$10)</f>
        <v>616.5</v>
      </c>
      <c r="H90" s="388">
        <v>0</v>
      </c>
      <c r="I90" s="388">
        <v>0</v>
      </c>
      <c r="J90" s="438">
        <v>1</v>
      </c>
      <c r="K90" s="427">
        <f>F90*J90</f>
        <v>11</v>
      </c>
      <c r="L90" s="428">
        <f>J90*(G90+H90+I90)</f>
        <v>616.5</v>
      </c>
      <c r="N90" s="46">
        <f>G90*J90</f>
        <v>616.5</v>
      </c>
      <c r="O90" s="40">
        <f>I90*J90</f>
        <v>0</v>
      </c>
      <c r="P90" s="40">
        <f>H90*J90</f>
        <v>0</v>
      </c>
    </row>
    <row r="91" spans="1:16" x14ac:dyDescent="0.15">
      <c r="A91" s="450" t="s">
        <v>80</v>
      </c>
      <c r="B91" s="444"/>
      <c r="C91" s="444"/>
      <c r="D91" s="444"/>
      <c r="E91" s="444"/>
      <c r="F91" s="444"/>
      <c r="G91" s="381"/>
      <c r="H91" s="381"/>
      <c r="I91" s="381"/>
      <c r="J91" s="446"/>
      <c r="K91" s="357"/>
      <c r="L91" s="447"/>
      <c r="N91" s="42"/>
      <c r="P91" s="45"/>
    </row>
    <row r="92" spans="1:16" x14ac:dyDescent="0.15">
      <c r="A92" s="450" t="s">
        <v>104</v>
      </c>
      <c r="B92" s="444"/>
      <c r="C92" s="444"/>
      <c r="D92" s="444"/>
      <c r="E92" s="444"/>
      <c r="F92" s="444"/>
      <c r="G92" s="381"/>
      <c r="H92" s="381"/>
      <c r="I92" s="381"/>
      <c r="J92" s="446"/>
      <c r="K92" s="357"/>
      <c r="L92" s="447"/>
      <c r="N92" s="42"/>
      <c r="P92" s="45"/>
    </row>
    <row r="93" spans="1:16" x14ac:dyDescent="0.15">
      <c r="A93" s="450" t="s">
        <v>105</v>
      </c>
      <c r="B93" s="444"/>
      <c r="C93" s="444"/>
      <c r="D93" s="444"/>
      <c r="E93" s="444"/>
      <c r="F93" s="444"/>
      <c r="G93" s="381"/>
      <c r="H93" s="381"/>
      <c r="I93" s="381"/>
      <c r="J93" s="446"/>
      <c r="K93" s="357"/>
      <c r="L93" s="447"/>
      <c r="N93" s="42"/>
      <c r="P93" s="45"/>
    </row>
    <row r="94" spans="1:16" x14ac:dyDescent="0.15">
      <c r="A94" s="386" t="s">
        <v>106</v>
      </c>
      <c r="B94" s="359">
        <v>0</v>
      </c>
      <c r="C94" s="359">
        <v>1</v>
      </c>
      <c r="D94" s="359">
        <v>20</v>
      </c>
      <c r="E94" s="359">
        <v>0</v>
      </c>
      <c r="F94" s="424">
        <f>SUM(B94:E94)</f>
        <v>21</v>
      </c>
      <c r="G94" s="387">
        <f>(+B94*$B$10)+(C94*$C$10)+(D94*$D$10)+(E94*$E$10)</f>
        <v>1127.4000000000001</v>
      </c>
      <c r="H94" s="388">
        <v>0</v>
      </c>
      <c r="I94" s="388">
        <v>0</v>
      </c>
      <c r="J94" s="438">
        <v>1</v>
      </c>
      <c r="K94" s="427">
        <f>F94*J94</f>
        <v>21</v>
      </c>
      <c r="L94" s="428">
        <f>J94*(G94+H94+I94)</f>
        <v>1127.4000000000001</v>
      </c>
      <c r="N94" s="46">
        <f>G94*J94</f>
        <v>1127.4000000000001</v>
      </c>
      <c r="O94" s="40">
        <f>I94*J94</f>
        <v>0</v>
      </c>
      <c r="P94" s="40">
        <f>H94*J94</f>
        <v>0</v>
      </c>
    </row>
    <row r="95" spans="1:16" x14ac:dyDescent="0.15">
      <c r="A95" s="450" t="s">
        <v>232</v>
      </c>
      <c r="B95" s="444"/>
      <c r="C95" s="444"/>
      <c r="D95" s="444"/>
      <c r="E95" s="444"/>
      <c r="F95" s="444"/>
      <c r="G95" s="381"/>
      <c r="H95" s="381"/>
      <c r="I95" s="381"/>
      <c r="J95" s="446"/>
      <c r="K95" s="357"/>
      <c r="L95" s="447"/>
      <c r="N95" s="42"/>
      <c r="P95" s="45"/>
    </row>
    <row r="96" spans="1:16" x14ac:dyDescent="0.15">
      <c r="A96" s="450" t="s">
        <v>107</v>
      </c>
      <c r="B96" s="444"/>
      <c r="C96" s="444"/>
      <c r="D96" s="444"/>
      <c r="E96" s="444"/>
      <c r="F96" s="444"/>
      <c r="G96" s="381"/>
      <c r="H96" s="381"/>
      <c r="I96" s="381"/>
      <c r="J96" s="446"/>
      <c r="K96" s="357"/>
      <c r="L96" s="447"/>
      <c r="N96" s="42"/>
      <c r="P96" s="45"/>
    </row>
    <row r="97" spans="1:16" x14ac:dyDescent="0.15">
      <c r="A97" s="450" t="s">
        <v>108</v>
      </c>
      <c r="B97" s="444"/>
      <c r="C97" s="444"/>
      <c r="D97" s="444"/>
      <c r="E97" s="444"/>
      <c r="F97" s="444"/>
      <c r="G97" s="381"/>
      <c r="H97" s="381"/>
      <c r="I97" s="381"/>
      <c r="J97" s="446"/>
      <c r="K97" s="357"/>
      <c r="L97" s="447"/>
      <c r="N97" s="42"/>
      <c r="P97" s="45"/>
    </row>
    <row r="98" spans="1:16" ht="11.1" customHeight="1" x14ac:dyDescent="0.15">
      <c r="A98" s="386" t="s">
        <v>109</v>
      </c>
      <c r="B98" s="359">
        <v>0</v>
      </c>
      <c r="C98" s="359">
        <v>1</v>
      </c>
      <c r="D98" s="359">
        <v>20</v>
      </c>
      <c r="E98" s="359">
        <v>4</v>
      </c>
      <c r="F98" s="424">
        <f>SUM(B98:E98)</f>
        <v>25</v>
      </c>
      <c r="G98" s="387">
        <f>(+B98*$B$10)+(C98*$C$10)+(D98*$D$10)+(E98*$E$10)</f>
        <v>1259.8400000000001</v>
      </c>
      <c r="H98" s="388">
        <v>0</v>
      </c>
      <c r="I98" s="388">
        <v>0</v>
      </c>
      <c r="J98" s="438">
        <v>1</v>
      </c>
      <c r="K98" s="427">
        <f>F98*J98</f>
        <v>25</v>
      </c>
      <c r="L98" s="428">
        <f>J98*(G98+H98+I98)</f>
        <v>1259.8400000000001</v>
      </c>
      <c r="N98" s="46">
        <f>G98*J98</f>
        <v>1259.8400000000001</v>
      </c>
      <c r="O98" s="40">
        <f>I98*J98</f>
        <v>0</v>
      </c>
      <c r="P98" s="40">
        <f>H98*J98</f>
        <v>0</v>
      </c>
    </row>
    <row r="99" spans="1:16" x14ac:dyDescent="0.15">
      <c r="A99" s="450" t="s">
        <v>233</v>
      </c>
      <c r="B99" s="444"/>
      <c r="C99" s="444"/>
      <c r="D99" s="444"/>
      <c r="E99" s="444"/>
      <c r="F99" s="444"/>
      <c r="G99" s="381"/>
      <c r="H99" s="381"/>
      <c r="I99" s="381"/>
      <c r="J99" s="446"/>
      <c r="K99" s="357"/>
      <c r="L99" s="447"/>
      <c r="N99" s="42"/>
      <c r="P99" s="45"/>
    </row>
    <row r="100" spans="1:16" x14ac:dyDescent="0.15">
      <c r="A100" s="386" t="s">
        <v>110</v>
      </c>
      <c r="B100" s="359">
        <v>0</v>
      </c>
      <c r="C100" s="359">
        <v>0</v>
      </c>
      <c r="D100" s="359">
        <v>16</v>
      </c>
      <c r="E100" s="359">
        <v>3</v>
      </c>
      <c r="F100" s="424">
        <f>SUM(B100:E100)</f>
        <v>19</v>
      </c>
      <c r="G100" s="387">
        <f>(+B100*$B$10)+(C100*$C$10)+(D100*$D$10)+(E100*$E$10)</f>
        <v>916.7700000000001</v>
      </c>
      <c r="H100" s="388">
        <v>0</v>
      </c>
      <c r="I100" s="388">
        <v>0</v>
      </c>
      <c r="J100" s="438">
        <v>1</v>
      </c>
      <c r="K100" s="427">
        <f>F100*J100</f>
        <v>19</v>
      </c>
      <c r="L100" s="428">
        <f>J100*(G100+H100+I100)</f>
        <v>916.7700000000001</v>
      </c>
      <c r="N100" s="46">
        <f>G100*J100</f>
        <v>916.7700000000001</v>
      </c>
      <c r="O100" s="40">
        <f>I100*J100</f>
        <v>0</v>
      </c>
      <c r="P100" s="40">
        <f>H100*J100</f>
        <v>0</v>
      </c>
    </row>
    <row r="101" spans="1:16" x14ac:dyDescent="0.15">
      <c r="A101" s="450" t="s">
        <v>234</v>
      </c>
      <c r="B101" s="444"/>
      <c r="C101" s="444"/>
      <c r="D101" s="444"/>
      <c r="E101" s="444"/>
      <c r="F101" s="444"/>
      <c r="G101" s="381"/>
      <c r="H101" s="381"/>
      <c r="I101" s="381"/>
      <c r="J101" s="446"/>
      <c r="K101" s="357"/>
      <c r="L101" s="447"/>
      <c r="N101" s="42"/>
      <c r="P101" s="45"/>
    </row>
    <row r="102" spans="1:16" x14ac:dyDescent="0.15">
      <c r="A102" s="450" t="s">
        <v>235</v>
      </c>
      <c r="B102" s="444"/>
      <c r="C102" s="444"/>
      <c r="D102" s="444"/>
      <c r="E102" s="444"/>
      <c r="F102" s="444"/>
      <c r="G102" s="381"/>
      <c r="H102" s="381"/>
      <c r="I102" s="381"/>
      <c r="J102" s="446"/>
      <c r="K102" s="357"/>
      <c r="L102" s="447"/>
      <c r="N102" s="42"/>
      <c r="P102" s="45"/>
    </row>
    <row r="103" spans="1:16" x14ac:dyDescent="0.15">
      <c r="A103" s="450" t="s">
        <v>111</v>
      </c>
      <c r="B103" s="444"/>
      <c r="C103" s="444"/>
      <c r="D103" s="444"/>
      <c r="E103" s="444"/>
      <c r="F103" s="444"/>
      <c r="G103" s="381"/>
      <c r="H103" s="381"/>
      <c r="I103" s="381"/>
      <c r="J103" s="446"/>
      <c r="K103" s="357"/>
      <c r="L103" s="447"/>
      <c r="N103" s="42"/>
      <c r="P103" s="45"/>
    </row>
    <row r="104" spans="1:16" x14ac:dyDescent="0.15">
      <c r="A104" s="450" t="s">
        <v>112</v>
      </c>
      <c r="B104" s="444"/>
      <c r="C104" s="444"/>
      <c r="D104" s="444"/>
      <c r="E104" s="444"/>
      <c r="F104" s="444"/>
      <c r="G104" s="381"/>
      <c r="H104" s="381"/>
      <c r="I104" s="381"/>
      <c r="J104" s="446"/>
      <c r="K104" s="357"/>
      <c r="L104" s="447"/>
      <c r="N104" s="42"/>
      <c r="P104" s="45"/>
    </row>
    <row r="105" spans="1:16" x14ac:dyDescent="0.15">
      <c r="A105" s="386" t="s">
        <v>113</v>
      </c>
      <c r="B105" s="359">
        <v>0</v>
      </c>
      <c r="C105" s="359">
        <v>1</v>
      </c>
      <c r="D105" s="359">
        <v>20</v>
      </c>
      <c r="E105" s="359">
        <v>1</v>
      </c>
      <c r="F105" s="424">
        <f>SUM(B105:E105)</f>
        <v>22</v>
      </c>
      <c r="G105" s="387">
        <f>(+B105*$B$10)+(C105*$C$10)+(D105*$D$10)+(E105*$E$10)</f>
        <v>1160.51</v>
      </c>
      <c r="H105" s="388">
        <v>0</v>
      </c>
      <c r="I105" s="388">
        <v>0</v>
      </c>
      <c r="J105" s="438">
        <v>1</v>
      </c>
      <c r="K105" s="427">
        <f>F105*J105</f>
        <v>22</v>
      </c>
      <c r="L105" s="428">
        <f>J105*(G105+H105+I105)</f>
        <v>1160.51</v>
      </c>
      <c r="N105" s="46">
        <f>G105*J105</f>
        <v>1160.51</v>
      </c>
      <c r="O105" s="40">
        <f>I105*J105</f>
        <v>0</v>
      </c>
      <c r="P105" s="40">
        <f>H105*J105</f>
        <v>0</v>
      </c>
    </row>
    <row r="106" spans="1:16" x14ac:dyDescent="0.15">
      <c r="A106" s="450" t="s">
        <v>74</v>
      </c>
      <c r="B106" s="444"/>
      <c r="C106" s="444"/>
      <c r="D106" s="444"/>
      <c r="E106" s="444"/>
      <c r="F106" s="444"/>
      <c r="G106" s="381"/>
      <c r="H106" s="381"/>
      <c r="I106" s="381"/>
      <c r="J106" s="446"/>
      <c r="K106" s="357"/>
      <c r="L106" s="447"/>
      <c r="N106" s="42"/>
      <c r="P106" s="45"/>
    </row>
    <row r="107" spans="1:16" x14ac:dyDescent="0.15">
      <c r="A107" s="386" t="s">
        <v>75</v>
      </c>
      <c r="B107" s="359">
        <v>0</v>
      </c>
      <c r="C107" s="359">
        <v>0</v>
      </c>
      <c r="D107" s="359">
        <v>10</v>
      </c>
      <c r="E107" s="359">
        <v>8</v>
      </c>
      <c r="F107" s="424">
        <f>SUM(B107:E107)</f>
        <v>18</v>
      </c>
      <c r="G107" s="387">
        <f>(+B107*$B$10)+(C107*$C$10)+(D107*$D$10)+(E107*$E$10)</f>
        <v>775.78</v>
      </c>
      <c r="H107" s="388">
        <v>0</v>
      </c>
      <c r="I107" s="388">
        <v>0</v>
      </c>
      <c r="J107" s="438">
        <v>1</v>
      </c>
      <c r="K107" s="427">
        <f>F107*J107</f>
        <v>18</v>
      </c>
      <c r="L107" s="428">
        <f>J107*(G107+H107+I107)</f>
        <v>775.78</v>
      </c>
      <c r="N107" s="46">
        <f>G107*J107</f>
        <v>775.78</v>
      </c>
      <c r="O107" s="40">
        <f>I107*J107</f>
        <v>0</v>
      </c>
      <c r="P107" s="40">
        <f>H107*J107</f>
        <v>0</v>
      </c>
    </row>
    <row r="108" spans="1:16" ht="3" customHeight="1" x14ac:dyDescent="0.15">
      <c r="A108" s="432"/>
      <c r="B108" s="459"/>
      <c r="C108" s="459"/>
      <c r="D108" s="459"/>
      <c r="E108" s="459"/>
      <c r="F108" s="459"/>
      <c r="G108" s="432"/>
      <c r="H108" s="432"/>
      <c r="I108" s="432"/>
      <c r="J108" s="435"/>
      <c r="K108" s="358"/>
      <c r="L108" s="478"/>
      <c r="N108" s="42"/>
      <c r="P108" s="45"/>
    </row>
    <row r="109" spans="1:16" x14ac:dyDescent="0.15">
      <c r="A109" s="386" t="s">
        <v>16</v>
      </c>
      <c r="B109" s="359">
        <f t="shared" ref="B109:I109" si="3">SUM(B86:B107)</f>
        <v>0</v>
      </c>
      <c r="C109" s="359">
        <f t="shared" si="3"/>
        <v>4</v>
      </c>
      <c r="D109" s="359">
        <f t="shared" si="3"/>
        <v>96</v>
      </c>
      <c r="E109" s="359">
        <f t="shared" si="3"/>
        <v>16</v>
      </c>
      <c r="F109" s="359">
        <f t="shared" si="3"/>
        <v>116</v>
      </c>
      <c r="G109" s="388">
        <f t="shared" si="3"/>
        <v>5856.8</v>
      </c>
      <c r="H109" s="388">
        <f t="shared" si="3"/>
        <v>0</v>
      </c>
      <c r="I109" s="388">
        <f t="shared" si="3"/>
        <v>0</v>
      </c>
      <c r="J109" s="438">
        <v>1</v>
      </c>
      <c r="K109" s="356">
        <f>SUM(K86:K107)</f>
        <v>116</v>
      </c>
      <c r="L109" s="428">
        <f>SUM(L86:L107)</f>
        <v>5856.8</v>
      </c>
      <c r="N109" s="46"/>
      <c r="O109" s="46"/>
      <c r="P109" s="46"/>
    </row>
    <row r="110" spans="1:16" ht="3" customHeight="1" x14ac:dyDescent="0.15">
      <c r="A110" s="391"/>
      <c r="B110" s="480"/>
      <c r="C110" s="480"/>
      <c r="D110" s="480"/>
      <c r="E110" s="480"/>
      <c r="F110" s="480"/>
      <c r="G110" s="391"/>
      <c r="H110" s="391"/>
      <c r="I110" s="391"/>
      <c r="J110" s="481"/>
      <c r="K110" s="482"/>
      <c r="L110" s="483"/>
      <c r="N110" s="42"/>
      <c r="P110" s="45"/>
    </row>
    <row r="111" spans="1:16" x14ac:dyDescent="0.15">
      <c r="A111" s="484" t="s">
        <v>114</v>
      </c>
      <c r="B111" s="396"/>
      <c r="C111" s="396"/>
      <c r="D111" s="396"/>
      <c r="E111" s="396"/>
      <c r="F111" s="396"/>
      <c r="G111" s="485"/>
      <c r="H111" s="485"/>
      <c r="I111" s="485"/>
      <c r="J111" s="486"/>
      <c r="K111" s="399"/>
      <c r="L111" s="487"/>
      <c r="N111" s="42"/>
      <c r="P111" s="45"/>
    </row>
    <row r="112" spans="1:16" x14ac:dyDescent="0.15">
      <c r="A112" s="412" t="s">
        <v>115</v>
      </c>
      <c r="B112" s="461" t="s">
        <v>53</v>
      </c>
      <c r="C112" s="461" t="s">
        <v>53</v>
      </c>
      <c r="D112" s="461" t="s">
        <v>53</v>
      </c>
      <c r="E112" s="461" t="s">
        <v>53</v>
      </c>
      <c r="F112" s="488">
        <f>(F36+F63+F84+F109)</f>
        <v>479</v>
      </c>
      <c r="G112" s="462">
        <f>(G36+G63+G84+G109)</f>
        <v>24402.47</v>
      </c>
      <c r="H112" s="462">
        <f>(H36+H63+H84+H109)</f>
        <v>0</v>
      </c>
      <c r="I112" s="462">
        <f>(I36+I63+I84+I109)</f>
        <v>75</v>
      </c>
      <c r="J112" s="463" t="s">
        <v>53</v>
      </c>
      <c r="K112" s="256">
        <f>(K36+K63+K84+K109)</f>
        <v>3746</v>
      </c>
      <c r="L112" s="465">
        <f>(L36+L63+L84+L109)</f>
        <v>192063.5</v>
      </c>
      <c r="M112" s="249"/>
      <c r="N112" s="250">
        <f>SUM(N17:N107)</f>
        <v>191313.49999999997</v>
      </c>
      <c r="O112" s="250">
        <f>SUM(O17:O107)</f>
        <v>750</v>
      </c>
      <c r="P112" s="250">
        <f>SUM(P17:P107)</f>
        <v>0</v>
      </c>
    </row>
    <row r="113" spans="1:16" ht="3" customHeight="1" x14ac:dyDescent="0.15">
      <c r="A113" s="12"/>
      <c r="B113" s="15"/>
      <c r="C113" s="15"/>
      <c r="D113" s="15"/>
      <c r="E113" s="15"/>
      <c r="F113" s="15"/>
      <c r="G113" s="12"/>
      <c r="H113" s="12"/>
      <c r="I113" s="12"/>
      <c r="J113" s="64"/>
      <c r="K113" s="16"/>
      <c r="L113" s="17"/>
      <c r="M113" s="42"/>
      <c r="O113" s="45"/>
      <c r="P113" s="45"/>
    </row>
  </sheetData>
  <phoneticPr fontId="0" type="noConversion"/>
  <pageMargins left="0.75" right="0.75" top="1" bottom="1" header="0.5" footer="0.5"/>
  <pageSetup scale="98" orientation="landscape" r:id="rId1"/>
  <headerFooter alignWithMargins="0">
    <oddFooter>Page &amp;P</oddFooter>
  </headerFooter>
  <rowBreaks count="2" manualBreakCount="2">
    <brk id="47" max="11" man="1"/>
    <brk id="85"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00"/>
  <sheetViews>
    <sheetView zoomScaleNormal="100" workbookViewId="0">
      <selection activeCell="E11" sqref="E11"/>
    </sheetView>
  </sheetViews>
  <sheetFormatPr defaultRowHeight="10.5" x14ac:dyDescent="0.15"/>
  <cols>
    <col min="1" max="1" width="36.83203125" customWidth="1"/>
    <col min="2" max="3" width="9.83203125" bestFit="1" customWidth="1"/>
    <col min="4" max="5" width="9.5" bestFit="1" customWidth="1"/>
    <col min="7" max="7" width="10.6640625" bestFit="1" customWidth="1"/>
    <col min="9" max="9" width="9.6640625" bestFit="1" customWidth="1"/>
    <col min="11" max="11" width="10.1640625" bestFit="1" customWidth="1"/>
    <col min="12" max="12" width="11.6640625" bestFit="1" customWidth="1"/>
    <col min="13" max="13" width="2.1640625" customWidth="1"/>
    <col min="14" max="17" width="13.1640625" customWidth="1"/>
    <col min="21" max="21" width="21.83203125" customWidth="1"/>
    <col min="22" max="22" width="23.83203125" customWidth="1"/>
    <col min="23" max="23" width="16.1640625" customWidth="1"/>
    <col min="24" max="24" width="26" customWidth="1"/>
    <col min="25" max="25" width="23" customWidth="1"/>
    <col min="26" max="26" width="23.1640625" customWidth="1"/>
  </cols>
  <sheetData>
    <row r="1" spans="1:19" x14ac:dyDescent="0.15">
      <c r="A1" s="360" t="s">
        <v>116</v>
      </c>
      <c r="B1" s="361"/>
      <c r="C1" s="361"/>
      <c r="D1" s="361"/>
      <c r="E1" s="361"/>
      <c r="F1" s="361"/>
      <c r="G1" s="361"/>
      <c r="H1" s="361"/>
      <c r="I1" s="361"/>
      <c r="J1" s="466"/>
      <c r="K1" s="361"/>
      <c r="L1" s="361"/>
      <c r="M1" s="31"/>
      <c r="O1" s="45"/>
      <c r="P1" s="45"/>
      <c r="Q1" s="45"/>
    </row>
    <row r="2" spans="1:19" x14ac:dyDescent="0.15">
      <c r="A2" s="360" t="s">
        <v>117</v>
      </c>
      <c r="B2" s="361"/>
      <c r="C2" s="361"/>
      <c r="D2" s="361"/>
      <c r="E2" s="361"/>
      <c r="F2" s="361"/>
      <c r="G2" s="361"/>
      <c r="H2" s="361"/>
      <c r="I2" s="361"/>
      <c r="J2" s="466"/>
      <c r="K2" s="361"/>
      <c r="L2" s="361"/>
      <c r="M2" s="31"/>
      <c r="O2" s="45"/>
      <c r="P2" s="45"/>
      <c r="Q2" s="45"/>
    </row>
    <row r="3" spans="1:19" x14ac:dyDescent="0.15">
      <c r="A3" s="360" t="s">
        <v>2</v>
      </c>
      <c r="B3" s="361"/>
      <c r="C3" s="361"/>
      <c r="D3" s="361"/>
      <c r="E3" s="361"/>
      <c r="F3" s="361"/>
      <c r="G3" s="361"/>
      <c r="H3" s="361"/>
      <c r="I3" s="361"/>
      <c r="J3" s="466"/>
      <c r="K3" s="361"/>
      <c r="L3" s="361"/>
      <c r="M3" s="31"/>
      <c r="O3" s="45"/>
      <c r="P3" s="45"/>
      <c r="Q3" s="45"/>
    </row>
    <row r="4" spans="1:19" x14ac:dyDescent="0.15">
      <c r="A4" s="361"/>
      <c r="B4" s="361"/>
      <c r="C4" s="361"/>
      <c r="D4" s="361"/>
      <c r="E4" s="361"/>
      <c r="F4" s="361"/>
      <c r="G4" s="361"/>
      <c r="H4" s="361"/>
      <c r="I4" s="361"/>
      <c r="J4" s="466"/>
      <c r="K4" s="361"/>
      <c r="L4" s="361"/>
      <c r="M4" s="31"/>
      <c r="O4" s="45"/>
      <c r="P4" s="45"/>
      <c r="Q4" s="45"/>
    </row>
    <row r="5" spans="1:19" x14ac:dyDescent="0.15">
      <c r="A5" s="361"/>
      <c r="B5" s="361"/>
      <c r="C5" s="361"/>
      <c r="D5" s="364" t="s">
        <v>193</v>
      </c>
      <c r="E5" s="361"/>
      <c r="F5" s="361"/>
      <c r="G5" s="361"/>
      <c r="H5" s="361"/>
      <c r="I5" s="361"/>
      <c r="J5" s="466"/>
      <c r="K5" s="365" t="s">
        <v>194</v>
      </c>
      <c r="L5" s="361"/>
      <c r="M5" s="31"/>
      <c r="O5" s="45"/>
      <c r="P5" s="45"/>
      <c r="Q5" s="45"/>
    </row>
    <row r="6" spans="1:19" ht="3.75" customHeight="1" x14ac:dyDescent="0.15">
      <c r="A6" s="361"/>
      <c r="B6" s="366"/>
      <c r="C6" s="366"/>
      <c r="D6" s="366"/>
      <c r="E6" s="366"/>
      <c r="F6" s="366"/>
      <c r="G6" s="366"/>
      <c r="H6" s="366"/>
      <c r="I6" s="366"/>
      <c r="J6" s="467"/>
      <c r="K6" s="366"/>
      <c r="L6" s="366"/>
      <c r="M6" s="31"/>
      <c r="O6" s="45"/>
      <c r="P6" s="45"/>
      <c r="Q6" s="45"/>
    </row>
    <row r="7" spans="1:19" x14ac:dyDescent="0.15">
      <c r="A7" s="361"/>
      <c r="B7" s="401"/>
      <c r="C7" s="361"/>
      <c r="D7" s="361"/>
      <c r="E7" s="361"/>
      <c r="F7" s="361"/>
      <c r="G7" s="361"/>
      <c r="H7" s="361"/>
      <c r="I7" s="368"/>
      <c r="J7" s="468" t="s">
        <v>3</v>
      </c>
      <c r="K7" s="403"/>
      <c r="L7" s="404"/>
      <c r="M7" s="41"/>
      <c r="O7" s="45"/>
      <c r="P7" s="45"/>
      <c r="Q7" s="45" t="s">
        <v>419</v>
      </c>
    </row>
    <row r="8" spans="1:19" x14ac:dyDescent="0.15">
      <c r="A8" s="361"/>
      <c r="B8" s="367"/>
      <c r="C8" s="361"/>
      <c r="D8" s="361"/>
      <c r="E8" s="361"/>
      <c r="F8" s="361"/>
      <c r="G8" s="361"/>
      <c r="H8" s="361"/>
      <c r="I8" s="361"/>
      <c r="J8" s="468" t="s">
        <v>195</v>
      </c>
      <c r="K8" s="403"/>
      <c r="L8" s="371"/>
      <c r="M8" s="50"/>
      <c r="O8" s="45"/>
      <c r="P8" s="45"/>
      <c r="Q8" s="45"/>
      <c r="S8" s="10" t="s">
        <v>395</v>
      </c>
    </row>
    <row r="9" spans="1:19" x14ac:dyDescent="0.15">
      <c r="A9" s="361"/>
      <c r="B9" s="372" t="s">
        <v>196</v>
      </c>
      <c r="C9" s="365" t="s">
        <v>197</v>
      </c>
      <c r="D9" s="365" t="s">
        <v>198</v>
      </c>
      <c r="E9" s="365" t="s">
        <v>199</v>
      </c>
      <c r="F9" s="365" t="s">
        <v>200</v>
      </c>
      <c r="G9" s="365" t="s">
        <v>192</v>
      </c>
      <c r="H9" s="365" t="s">
        <v>201</v>
      </c>
      <c r="I9" s="251"/>
      <c r="J9" s="468" t="s">
        <v>200</v>
      </c>
      <c r="K9" s="402" t="s">
        <v>202</v>
      </c>
      <c r="L9" s="374" t="s">
        <v>202</v>
      </c>
      <c r="N9" s="50" t="s">
        <v>342</v>
      </c>
      <c r="O9" s="10" t="s">
        <v>342</v>
      </c>
      <c r="P9" s="108" t="s">
        <v>342</v>
      </c>
      <c r="Q9" s="108" t="s">
        <v>342</v>
      </c>
      <c r="S9" s="10" t="s">
        <v>393</v>
      </c>
    </row>
    <row r="10" spans="1:19" ht="11.25" x14ac:dyDescent="0.2">
      <c r="A10" s="364" t="s">
        <v>4</v>
      </c>
      <c r="B10" s="469">
        <v>131.82</v>
      </c>
      <c r="C10" s="407">
        <v>105.6</v>
      </c>
      <c r="D10" s="407">
        <v>51.09</v>
      </c>
      <c r="E10" s="407">
        <v>33.11</v>
      </c>
      <c r="F10" s="365" t="s">
        <v>203</v>
      </c>
      <c r="G10" s="365" t="s">
        <v>204</v>
      </c>
      <c r="H10" s="365" t="s">
        <v>205</v>
      </c>
      <c r="I10" s="365" t="s">
        <v>206</v>
      </c>
      <c r="J10" s="468" t="s">
        <v>207</v>
      </c>
      <c r="K10" s="402" t="s">
        <v>203</v>
      </c>
      <c r="L10" s="374" t="s">
        <v>204</v>
      </c>
      <c r="N10" s="84" t="s">
        <v>211</v>
      </c>
      <c r="O10" s="84" t="s">
        <v>341</v>
      </c>
      <c r="P10" s="108" t="s">
        <v>396</v>
      </c>
      <c r="Q10" s="108" t="s">
        <v>418</v>
      </c>
      <c r="S10" s="219">
        <f>'Exhibit 1'!$N$8</f>
        <v>18.54947683109118</v>
      </c>
    </row>
    <row r="11" spans="1:19" x14ac:dyDescent="0.15">
      <c r="A11" s="364" t="s">
        <v>5</v>
      </c>
      <c r="B11" s="372" t="s">
        <v>210</v>
      </c>
      <c r="C11" s="365" t="s">
        <v>210</v>
      </c>
      <c r="D11" s="365" t="s">
        <v>210</v>
      </c>
      <c r="E11" s="365" t="s">
        <v>210</v>
      </c>
      <c r="F11" s="365" t="s">
        <v>208</v>
      </c>
      <c r="G11" s="365" t="s">
        <v>208</v>
      </c>
      <c r="H11" s="365" t="s">
        <v>151</v>
      </c>
      <c r="I11" s="365" t="s">
        <v>151</v>
      </c>
      <c r="J11" s="468" t="s">
        <v>209</v>
      </c>
      <c r="K11" s="402" t="s">
        <v>208</v>
      </c>
      <c r="L11" s="377" t="s">
        <v>208</v>
      </c>
      <c r="N11" s="51"/>
      <c r="P11" s="45"/>
      <c r="Q11" s="45"/>
      <c r="S11" s="28" t="s">
        <v>210</v>
      </c>
    </row>
    <row r="12" spans="1:19" ht="2.25" customHeight="1" x14ac:dyDescent="0.15">
      <c r="A12" s="378"/>
      <c r="B12" s="378"/>
      <c r="C12" s="378"/>
      <c r="D12" s="378"/>
      <c r="E12" s="378"/>
      <c r="F12" s="378"/>
      <c r="G12" s="378"/>
      <c r="H12" s="378"/>
      <c r="I12" s="378"/>
      <c r="J12" s="464"/>
      <c r="K12" s="378"/>
      <c r="L12" s="380"/>
      <c r="N12" s="52"/>
      <c r="P12" s="45"/>
      <c r="Q12" s="45"/>
      <c r="S12" s="12"/>
    </row>
    <row r="13" spans="1:19" x14ac:dyDescent="0.15">
      <c r="A13" s="401"/>
      <c r="B13" s="472"/>
      <c r="C13" s="472"/>
      <c r="D13" s="472"/>
      <c r="E13" s="472"/>
      <c r="F13" s="472"/>
      <c r="G13" s="251"/>
      <c r="H13" s="251"/>
      <c r="I13" s="251"/>
      <c r="J13" s="490"/>
      <c r="K13" s="473"/>
      <c r="L13" s="382"/>
      <c r="N13" s="42"/>
      <c r="P13" s="45"/>
      <c r="Q13" s="45"/>
    </row>
    <row r="14" spans="1:19" x14ac:dyDescent="0.15">
      <c r="A14" s="471" t="s">
        <v>118</v>
      </c>
      <c r="B14" s="472"/>
      <c r="C14" s="472"/>
      <c r="D14" s="472"/>
      <c r="E14" s="472"/>
      <c r="F14" s="472"/>
      <c r="G14" s="251"/>
      <c r="H14" s="251"/>
      <c r="I14" s="251"/>
      <c r="J14" s="470"/>
      <c r="K14" s="473"/>
      <c r="L14" s="382"/>
      <c r="N14" s="42"/>
      <c r="P14" s="45"/>
      <c r="Q14" s="45"/>
    </row>
    <row r="15" spans="1:19" ht="3" customHeight="1" x14ac:dyDescent="0.15">
      <c r="A15" s="366"/>
      <c r="B15" s="392"/>
      <c r="C15" s="392"/>
      <c r="D15" s="392"/>
      <c r="E15" s="392"/>
      <c r="F15" s="392"/>
      <c r="G15" s="378"/>
      <c r="H15" s="378"/>
      <c r="I15" s="378"/>
      <c r="J15" s="464"/>
      <c r="K15" s="393"/>
      <c r="L15" s="394"/>
      <c r="N15" s="42"/>
      <c r="P15" s="45"/>
      <c r="Q15" s="45"/>
    </row>
    <row r="16" spans="1:19" x14ac:dyDescent="0.15">
      <c r="A16" s="412" t="s">
        <v>510</v>
      </c>
      <c r="B16" s="414"/>
      <c r="C16" s="414"/>
      <c r="D16" s="414"/>
      <c r="E16" s="414"/>
      <c r="F16" s="414"/>
      <c r="G16" s="414"/>
      <c r="H16" s="414"/>
      <c r="I16" s="414"/>
      <c r="J16" s="479"/>
      <c r="K16" s="414"/>
      <c r="L16" s="416"/>
      <c r="N16" s="42"/>
      <c r="P16" s="45"/>
      <c r="Q16" s="45"/>
      <c r="R16" s="139" t="s">
        <v>508</v>
      </c>
    </row>
    <row r="17" spans="1:27" x14ac:dyDescent="0.15">
      <c r="A17" s="656" t="s">
        <v>275</v>
      </c>
      <c r="B17" s="423">
        <v>0</v>
      </c>
      <c r="C17" s="423">
        <v>4</v>
      </c>
      <c r="D17" s="423">
        <v>16</v>
      </c>
      <c r="E17" s="423">
        <v>8</v>
      </c>
      <c r="F17" s="424">
        <f>SUM(B17:E17)</f>
        <v>28</v>
      </c>
      <c r="G17" s="387">
        <f>(+B17*$B$10)+(C17*$C$10)+(D17*$D$10)+(E17*$E$10)</f>
        <v>1504.7200000000003</v>
      </c>
      <c r="H17" s="387">
        <v>0</v>
      </c>
      <c r="I17" s="387">
        <f>'Exhibit 1'!N21</f>
        <v>6</v>
      </c>
      <c r="J17" s="426">
        <v>1</v>
      </c>
      <c r="K17" s="427">
        <f>F17*J17</f>
        <v>28</v>
      </c>
      <c r="L17" s="428">
        <f>J17*(G17+H17+I17)</f>
        <v>1510.7200000000003</v>
      </c>
      <c r="N17" s="46">
        <f>G17*J17</f>
        <v>1504.7200000000003</v>
      </c>
      <c r="O17" s="40">
        <f>I17*J17</f>
        <v>6</v>
      </c>
      <c r="P17" s="40">
        <f>H17*J17</f>
        <v>0</v>
      </c>
      <c r="Q17" s="40">
        <f>SUM(N17:P17)</f>
        <v>1510.7200000000003</v>
      </c>
      <c r="R17" s="139" t="s">
        <v>509</v>
      </c>
    </row>
    <row r="18" spans="1:27" x14ac:dyDescent="0.15">
      <c r="A18" s="518" t="s">
        <v>506</v>
      </c>
      <c r="B18" s="519"/>
      <c r="C18" s="519"/>
      <c r="D18" s="519"/>
      <c r="E18" s="519"/>
      <c r="F18" s="519"/>
      <c r="G18" s="491"/>
      <c r="H18" s="452"/>
      <c r="I18" s="491"/>
      <c r="J18" s="492"/>
      <c r="K18" s="493"/>
      <c r="L18" s="387"/>
      <c r="N18" s="46"/>
      <c r="O18" s="40"/>
      <c r="P18" s="40"/>
      <c r="Q18" s="40"/>
      <c r="U18" s="109" t="s">
        <v>422</v>
      </c>
      <c r="V18" s="131"/>
      <c r="W18" s="131"/>
      <c r="X18" s="131"/>
      <c r="Y18" s="131"/>
      <c r="Z18" s="131"/>
    </row>
    <row r="19" spans="1:27" x14ac:dyDescent="0.15">
      <c r="A19" s="657" t="s">
        <v>411</v>
      </c>
      <c r="B19" s="520"/>
      <c r="C19" s="520"/>
      <c r="D19" s="520"/>
      <c r="E19" s="520"/>
      <c r="F19" s="520"/>
      <c r="G19" s="494"/>
      <c r="H19" s="494"/>
      <c r="I19" s="494"/>
      <c r="J19" s="494"/>
      <c r="K19" s="495"/>
      <c r="L19" s="495"/>
      <c r="N19" s="46"/>
      <c r="O19" s="40"/>
      <c r="P19" s="40"/>
      <c r="Q19" s="40"/>
      <c r="U19" s="127" t="s">
        <v>414</v>
      </c>
      <c r="V19" s="127" t="s">
        <v>415</v>
      </c>
      <c r="W19" s="128" t="s">
        <v>416</v>
      </c>
      <c r="X19" s="129" t="s">
        <v>417</v>
      </c>
      <c r="Y19" s="127" t="s">
        <v>420</v>
      </c>
      <c r="Z19" s="127" t="s">
        <v>421</v>
      </c>
      <c r="AA19" s="116"/>
    </row>
    <row r="20" spans="1:27" x14ac:dyDescent="0.15">
      <c r="A20" s="658" t="s">
        <v>408</v>
      </c>
      <c r="B20" s="423">
        <v>0</v>
      </c>
      <c r="C20" s="423">
        <v>0.5</v>
      </c>
      <c r="D20" s="423">
        <v>1</v>
      </c>
      <c r="E20" s="423">
        <v>0.5</v>
      </c>
      <c r="F20" s="424">
        <f>SUM(B20:E20)</f>
        <v>2</v>
      </c>
      <c r="G20" s="387">
        <f>(+B20*$B$10)+(C20*$C$10)+(D20*$D$10)+(E20*$E$10)</f>
        <v>120.44499999999999</v>
      </c>
      <c r="H20" s="496">
        <v>0</v>
      </c>
      <c r="I20" s="387">
        <f>'Exhibit 1'!N23</f>
        <v>3</v>
      </c>
      <c r="J20" s="497">
        <f>1811/3</f>
        <v>603.66666666666663</v>
      </c>
      <c r="K20" s="498">
        <f>F20*J20</f>
        <v>1207.3333333333333</v>
      </c>
      <c r="L20" s="499">
        <f>J20*(G20+H20+I20)</f>
        <v>74519.631666666653</v>
      </c>
      <c r="N20" s="133">
        <f>G20*J20</f>
        <v>72708.631666666653</v>
      </c>
      <c r="O20" s="130">
        <f>I20*J20</f>
        <v>1811</v>
      </c>
      <c r="P20" s="130">
        <f>H20*J20</f>
        <v>0</v>
      </c>
      <c r="Q20" s="130">
        <f>SUM(N20:P20)</f>
        <v>74519.631666666653</v>
      </c>
      <c r="R20" s="76" t="s">
        <v>433</v>
      </c>
      <c r="U20" s="121">
        <f>F20*(J20*3)</f>
        <v>3622</v>
      </c>
      <c r="V20">
        <v>0</v>
      </c>
      <c r="W20" s="123">
        <f>U20/3+V20</f>
        <v>1207.3333333333333</v>
      </c>
      <c r="X20" s="122">
        <f>G20*(J20*3)+H20</f>
        <v>218125.89499999999</v>
      </c>
      <c r="Y20" s="122">
        <v>0</v>
      </c>
      <c r="Z20" s="126">
        <f>X20/3+Y20</f>
        <v>72708.631666666668</v>
      </c>
    </row>
    <row r="21" spans="1:27" x14ac:dyDescent="0.15">
      <c r="A21" s="658" t="s">
        <v>409</v>
      </c>
      <c r="B21" s="423">
        <v>0</v>
      </c>
      <c r="C21" s="423">
        <v>0</v>
      </c>
      <c r="D21" s="423">
        <v>24</v>
      </c>
      <c r="E21" s="423">
        <v>0</v>
      </c>
      <c r="F21" s="424">
        <f>SUM(B21:E21)</f>
        <v>24</v>
      </c>
      <c r="G21" s="387">
        <f>(+B21*$B$10)+(C21*$C$10)+(D21*$D$10)+(E21*$E$10)</f>
        <v>1226.1600000000001</v>
      </c>
      <c r="H21" s="496">
        <v>0</v>
      </c>
      <c r="I21" s="387">
        <f>'Exhibit 1'!N29</f>
        <v>4714</v>
      </c>
      <c r="J21" s="497">
        <v>1811</v>
      </c>
      <c r="K21" s="498">
        <f>F21*J21</f>
        <v>43464</v>
      </c>
      <c r="L21" s="499">
        <f>J21*(G21+H21+I21)</f>
        <v>10757629.76</v>
      </c>
      <c r="N21" s="133">
        <f>G21*J21</f>
        <v>2220575.7600000002</v>
      </c>
      <c r="O21" s="130">
        <f>I21*J21</f>
        <v>8537054</v>
      </c>
      <c r="P21" s="130">
        <f>H21*J21</f>
        <v>0</v>
      </c>
      <c r="Q21" s="130">
        <f>SUM(N21:P21)</f>
        <v>10757629.76</v>
      </c>
      <c r="R21" s="76" t="s">
        <v>432</v>
      </c>
      <c r="U21">
        <v>0</v>
      </c>
      <c r="V21" s="121">
        <f>F21*J21</f>
        <v>43464</v>
      </c>
      <c r="W21" s="123">
        <f>U21/3+V21</f>
        <v>43464</v>
      </c>
      <c r="X21" s="122">
        <v>0</v>
      </c>
      <c r="Y21" s="122">
        <f>G21*J21+I21*J21</f>
        <v>10757629.76</v>
      </c>
      <c r="Z21" s="126">
        <f>X21/3+Y21</f>
        <v>10757629.76</v>
      </c>
    </row>
    <row r="22" spans="1:27" x14ac:dyDescent="0.15">
      <c r="A22" s="658" t="s">
        <v>410</v>
      </c>
      <c r="B22" s="423">
        <v>0</v>
      </c>
      <c r="C22" s="423">
        <v>0.1</v>
      </c>
      <c r="D22" s="423">
        <v>0.25</v>
      </c>
      <c r="E22" s="423">
        <v>0.15</v>
      </c>
      <c r="F22" s="424">
        <f>SUM(B22:E22)</f>
        <v>0.5</v>
      </c>
      <c r="G22" s="387">
        <f>(+B22*$B$10)+(C22*$C$10)+(D22*$D$10)+(E22*$E$10)</f>
        <v>28.299000000000003</v>
      </c>
      <c r="H22" s="496">
        <v>0</v>
      </c>
      <c r="I22" s="387">
        <f>'Exhibit 1'!N23</f>
        <v>3</v>
      </c>
      <c r="J22" s="497">
        <v>27</v>
      </c>
      <c r="K22" s="498">
        <f>F22*J22</f>
        <v>13.5</v>
      </c>
      <c r="L22" s="499">
        <f>J22*(G22+H22+I22)</f>
        <v>845.07300000000009</v>
      </c>
      <c r="N22" s="133">
        <f>G22*J22</f>
        <v>764.07300000000009</v>
      </c>
      <c r="O22" s="130">
        <f>I22*J22</f>
        <v>81</v>
      </c>
      <c r="P22" s="130">
        <f>H22*J22</f>
        <v>0</v>
      </c>
      <c r="Q22" s="130">
        <f>SUM(N22:P22)</f>
        <v>845.07300000000009</v>
      </c>
      <c r="R22" s="76" t="s">
        <v>432</v>
      </c>
      <c r="U22">
        <v>0</v>
      </c>
      <c r="V22" s="121">
        <f>F22*J22</f>
        <v>13.5</v>
      </c>
      <c r="W22" s="123">
        <f>U22/3+V22</f>
        <v>13.5</v>
      </c>
      <c r="X22" s="122">
        <v>0</v>
      </c>
      <c r="Y22" s="122">
        <f>G22*J22+I22*J22</f>
        <v>845.07300000000009</v>
      </c>
      <c r="Z22" s="126">
        <f>X22/3+Y22</f>
        <v>845.07300000000009</v>
      </c>
    </row>
    <row r="23" spans="1:27" x14ac:dyDescent="0.15">
      <c r="A23" s="659" t="s">
        <v>412</v>
      </c>
      <c r="B23" s="521"/>
      <c r="C23" s="521"/>
      <c r="D23" s="423"/>
      <c r="E23" s="423"/>
      <c r="F23" s="423"/>
      <c r="G23" s="423"/>
      <c r="H23" s="423"/>
      <c r="I23" s="423"/>
      <c r="J23" s="423"/>
      <c r="K23" s="495"/>
      <c r="L23" s="495"/>
      <c r="N23" s="46"/>
      <c r="O23" s="40"/>
      <c r="P23" s="40"/>
      <c r="Q23" s="40"/>
      <c r="W23" s="124"/>
    </row>
    <row r="24" spans="1:27" x14ac:dyDescent="0.15">
      <c r="A24" s="658" t="s">
        <v>413</v>
      </c>
      <c r="B24" s="423">
        <v>0</v>
      </c>
      <c r="C24" s="423">
        <v>0</v>
      </c>
      <c r="D24" s="423">
        <v>0.35</v>
      </c>
      <c r="E24" s="423">
        <v>0.15</v>
      </c>
      <c r="F24" s="424">
        <f>SUM(B24:E24)</f>
        <v>0.5</v>
      </c>
      <c r="G24" s="387">
        <f>(+B24*$B$10)+(C24*$C$10)+(D24*$D$10)+(E24*$E$10)</f>
        <v>22.847999999999999</v>
      </c>
      <c r="H24" s="496">
        <v>0</v>
      </c>
      <c r="I24" s="496">
        <v>0</v>
      </c>
      <c r="J24" s="497">
        <v>1337</v>
      </c>
      <c r="K24" s="423">
        <f>W24</f>
        <v>668.5</v>
      </c>
      <c r="L24" s="499">
        <f>Z24</f>
        <v>30547.775999999998</v>
      </c>
      <c r="N24" s="133">
        <f>G24*J24</f>
        <v>30547.775999999998</v>
      </c>
      <c r="O24" s="111">
        <f>I24*J24</f>
        <v>0</v>
      </c>
      <c r="P24" s="130">
        <f>H24*J24</f>
        <v>0</v>
      </c>
      <c r="Q24" s="130">
        <f>SUM(N24:P24)</f>
        <v>30547.775999999998</v>
      </c>
      <c r="R24" s="76" t="s">
        <v>432</v>
      </c>
      <c r="V24" s="121">
        <f>F24*J24</f>
        <v>668.5</v>
      </c>
      <c r="W24" s="125">
        <f>U24/3+V24</f>
        <v>668.5</v>
      </c>
      <c r="X24" s="122">
        <v>0</v>
      </c>
      <c r="Y24" s="122">
        <f>G24*J24+I24*J24</f>
        <v>30547.775999999998</v>
      </c>
      <c r="Z24" s="126">
        <f>X24/3+Y24</f>
        <v>30547.775999999998</v>
      </c>
    </row>
    <row r="25" spans="1:27" x14ac:dyDescent="0.15">
      <c r="A25" s="412" t="s">
        <v>119</v>
      </c>
      <c r="B25" s="413"/>
      <c r="C25" s="413"/>
      <c r="D25" s="413"/>
      <c r="E25" s="413"/>
      <c r="F25" s="413"/>
      <c r="G25" s="414"/>
      <c r="H25" s="414"/>
      <c r="I25" s="414"/>
      <c r="J25" s="479"/>
      <c r="K25" s="413"/>
      <c r="L25" s="416"/>
      <c r="N25" s="42"/>
      <c r="P25" s="45"/>
      <c r="Q25" s="45"/>
    </row>
    <row r="26" spans="1:27" x14ac:dyDescent="0.15">
      <c r="A26" s="417" t="s">
        <v>276</v>
      </c>
      <c r="B26" s="418"/>
      <c r="C26" s="418"/>
      <c r="D26" s="418"/>
      <c r="E26" s="418"/>
      <c r="F26" s="418"/>
      <c r="G26" s="382"/>
      <c r="H26" s="382"/>
      <c r="I26" s="382"/>
      <c r="J26" s="448"/>
      <c r="K26" s="418"/>
      <c r="L26" s="382"/>
      <c r="N26" s="42"/>
      <c r="P26" s="45"/>
      <c r="Q26" s="45"/>
    </row>
    <row r="27" spans="1:27" x14ac:dyDescent="0.15">
      <c r="A27" s="422" t="s">
        <v>120</v>
      </c>
      <c r="B27" s="423">
        <v>0</v>
      </c>
      <c r="C27" s="423">
        <v>1</v>
      </c>
      <c r="D27" s="423">
        <v>1</v>
      </c>
      <c r="E27" s="423">
        <v>1.5</v>
      </c>
      <c r="F27" s="424">
        <f>SUM(B27:E27)</f>
        <v>3.5</v>
      </c>
      <c r="G27" s="387">
        <f>(+B27*$B$10)+(C27*$C$10)+(D27*$D$10)+(E27*$E$10)</f>
        <v>206.35499999999999</v>
      </c>
      <c r="H27" s="387">
        <v>0</v>
      </c>
      <c r="I27" s="387">
        <f>'Exhibit 1'!N22</f>
        <v>13</v>
      </c>
      <c r="J27" s="426">
        <v>1</v>
      </c>
      <c r="K27" s="427">
        <f>F27*J27</f>
        <v>3.5</v>
      </c>
      <c r="L27" s="428">
        <f>J27*(G27+H27+I27)</f>
        <v>219.35499999999999</v>
      </c>
      <c r="N27" s="46">
        <f>G27*J27</f>
        <v>206.35499999999999</v>
      </c>
      <c r="O27" s="40">
        <f>I27*J27</f>
        <v>13</v>
      </c>
      <c r="P27" s="40">
        <f>H27*J27</f>
        <v>0</v>
      </c>
      <c r="Q27" s="40">
        <f>SUM(N27:P27)</f>
        <v>219.35499999999999</v>
      </c>
    </row>
    <row r="28" spans="1:27" x14ac:dyDescent="0.15">
      <c r="A28" s="647" t="s">
        <v>277</v>
      </c>
      <c r="B28" s="423">
        <v>0</v>
      </c>
      <c r="C28" s="423">
        <v>0</v>
      </c>
      <c r="D28" s="423">
        <v>0</v>
      </c>
      <c r="E28" s="423">
        <v>0.5</v>
      </c>
      <c r="F28" s="424">
        <f>SUM(B28:E28)</f>
        <v>0.5</v>
      </c>
      <c r="G28" s="387">
        <f>(+B28*$B$10)+(C28*$C$10)+(D28*$D$10)+(E28*$E$10)</f>
        <v>16.555</v>
      </c>
      <c r="H28" s="387">
        <v>0</v>
      </c>
      <c r="I28" s="387">
        <v>0</v>
      </c>
      <c r="J28" s="426">
        <v>1</v>
      </c>
      <c r="K28" s="427">
        <f>F28*J28</f>
        <v>0.5</v>
      </c>
      <c r="L28" s="428">
        <f>J28*(G28+H28+I28)</f>
        <v>16.555</v>
      </c>
      <c r="N28" s="46">
        <f>G28*J28</f>
        <v>16.555</v>
      </c>
      <c r="O28" s="40">
        <f>I28*J28</f>
        <v>0</v>
      </c>
      <c r="P28" s="40">
        <f>H28*J28</f>
        <v>0</v>
      </c>
      <c r="Q28" s="40">
        <f>SUM(N28:P28)</f>
        <v>16.555</v>
      </c>
    </row>
    <row r="29" spans="1:27" x14ac:dyDescent="0.15">
      <c r="A29" s="412" t="s">
        <v>296</v>
      </c>
      <c r="B29" s="413"/>
      <c r="C29" s="413"/>
      <c r="D29" s="413"/>
      <c r="E29" s="413"/>
      <c r="F29" s="413"/>
      <c r="G29" s="414"/>
      <c r="H29" s="414"/>
      <c r="I29" s="414"/>
      <c r="J29" s="479"/>
      <c r="K29" s="415"/>
      <c r="L29" s="416"/>
      <c r="N29" s="42"/>
      <c r="P29" s="45"/>
      <c r="Q29" s="45"/>
    </row>
    <row r="30" spans="1:27" x14ac:dyDescent="0.15">
      <c r="A30" s="422" t="s">
        <v>276</v>
      </c>
      <c r="B30" s="423">
        <v>0</v>
      </c>
      <c r="C30" s="423">
        <v>0.5</v>
      </c>
      <c r="D30" s="423">
        <v>1</v>
      </c>
      <c r="E30" s="423">
        <v>6</v>
      </c>
      <c r="F30" s="424">
        <f>SUM(B30:E30)</f>
        <v>7.5</v>
      </c>
      <c r="G30" s="387">
        <f>(+B30*$B$10)+(C30*$C$10)+(D30*$D$10)+(E30*$E$10)</f>
        <v>302.55</v>
      </c>
      <c r="H30" s="387">
        <v>0</v>
      </c>
      <c r="I30" s="387">
        <f>'Exhibit 1'!N23</f>
        <v>3</v>
      </c>
      <c r="J30" s="426">
        <v>5</v>
      </c>
      <c r="K30" s="427">
        <f>F30*J30</f>
        <v>37.5</v>
      </c>
      <c r="L30" s="428">
        <f>J30*(G30+H30+I30)</f>
        <v>1527.75</v>
      </c>
      <c r="N30" s="46">
        <f>G30*J30</f>
        <v>1512.75</v>
      </c>
      <c r="O30" s="40">
        <f>I30*J30</f>
        <v>15</v>
      </c>
      <c r="P30" s="40">
        <f>H30*J30</f>
        <v>0</v>
      </c>
      <c r="Q30" s="40">
        <f>SUM(N30:P30)</f>
        <v>1527.75</v>
      </c>
    </row>
    <row r="31" spans="1:27" x14ac:dyDescent="0.15">
      <c r="A31" s="417" t="s">
        <v>297</v>
      </c>
      <c r="B31" s="418">
        <v>0</v>
      </c>
      <c r="C31" s="418">
        <v>1</v>
      </c>
      <c r="D31" s="418">
        <v>8</v>
      </c>
      <c r="E31" s="418">
        <v>2</v>
      </c>
      <c r="F31" s="429">
        <f>SUM(B31:E31)</f>
        <v>11</v>
      </c>
      <c r="G31" s="387">
        <f>(+B31*$B$10)+(C31*$C$10)+(D31*$D$10)+(E31*$E$10)</f>
        <v>580.54000000000008</v>
      </c>
      <c r="H31" s="449">
        <v>0</v>
      </c>
      <c r="I31" s="387">
        <f>'Exhibit 1'!N23</f>
        <v>3</v>
      </c>
      <c r="J31" s="420">
        <v>15</v>
      </c>
      <c r="K31" s="476">
        <f>F31*J31</f>
        <v>165</v>
      </c>
      <c r="L31" s="500">
        <f>J31*(G31+H31+I31)</f>
        <v>8753.1</v>
      </c>
      <c r="N31" s="46">
        <f>G31*J31</f>
        <v>8708.1</v>
      </c>
      <c r="O31" s="40">
        <f>I31*J31</f>
        <v>45</v>
      </c>
      <c r="P31" s="40">
        <f>H31*J31</f>
        <v>0</v>
      </c>
      <c r="Q31" s="40">
        <f>SUM(N31:P31)</f>
        <v>8753.1</v>
      </c>
      <c r="V31" t="s">
        <v>397</v>
      </c>
    </row>
    <row r="32" spans="1:27" x14ac:dyDescent="0.15">
      <c r="A32" s="660" t="s">
        <v>308</v>
      </c>
      <c r="B32" s="501"/>
      <c r="C32" s="501"/>
      <c r="D32" s="501"/>
      <c r="E32" s="501"/>
      <c r="F32" s="501"/>
      <c r="G32" s="502"/>
      <c r="H32" s="502"/>
      <c r="I32" s="502"/>
      <c r="J32" s="503"/>
      <c r="K32" s="504"/>
      <c r="L32" s="505"/>
      <c r="N32" s="42"/>
      <c r="P32" s="45"/>
      <c r="Q32" s="45"/>
      <c r="S32" s="10" t="s">
        <v>430</v>
      </c>
    </row>
    <row r="33" spans="1:17" s="49" customFormat="1" ht="9.9499999999999993" customHeight="1" x14ac:dyDescent="0.15">
      <c r="A33" s="661" t="s">
        <v>309</v>
      </c>
      <c r="B33" s="506">
        <v>0</v>
      </c>
      <c r="C33" s="506">
        <v>1</v>
      </c>
      <c r="D33" s="506">
        <v>8</v>
      </c>
      <c r="E33" s="506">
        <v>1</v>
      </c>
      <c r="F33" s="424">
        <f>SUM(B33:E33)</f>
        <v>10</v>
      </c>
      <c r="G33" s="387">
        <f>(+B33*$B$10)+(C33*$C$10)+(D33*$D$10)+(E33*$E$10)</f>
        <v>547.43000000000006</v>
      </c>
      <c r="H33" s="387">
        <v>0</v>
      </c>
      <c r="I33" s="387">
        <f>'Exhibit 1'!N23</f>
        <v>3</v>
      </c>
      <c r="J33" s="507">
        <v>0</v>
      </c>
      <c r="K33" s="427">
        <f>F33*J33</f>
        <v>0</v>
      </c>
      <c r="L33" s="428">
        <f>J33*(G33+H33+I33)</f>
        <v>0</v>
      </c>
      <c r="N33" s="46">
        <f>G33*J33</f>
        <v>0</v>
      </c>
      <c r="O33" s="40">
        <f>I33*J33</f>
        <v>0</v>
      </c>
      <c r="P33" s="40">
        <f>H33*J33</f>
        <v>0</v>
      </c>
      <c r="Q33" s="40">
        <f>SUM(N33:P33)</f>
        <v>0</v>
      </c>
    </row>
    <row r="34" spans="1:17" x14ac:dyDescent="0.15">
      <c r="A34" s="422" t="s">
        <v>276</v>
      </c>
      <c r="B34" s="423">
        <v>0</v>
      </c>
      <c r="C34" s="423">
        <v>0.5</v>
      </c>
      <c r="D34" s="423">
        <v>1</v>
      </c>
      <c r="E34" s="423">
        <v>8</v>
      </c>
      <c r="F34" s="424">
        <f>SUM(B34:E34)</f>
        <v>9.5</v>
      </c>
      <c r="G34" s="387">
        <f>(+B34*$B$10)+(C34*$C$10)+(D34*$D$10)+(E34*$E$10)</f>
        <v>368.77</v>
      </c>
      <c r="H34" s="387">
        <v>0</v>
      </c>
      <c r="I34" s="387">
        <f>'Exhibit 1'!N23</f>
        <v>3</v>
      </c>
      <c r="J34" s="426">
        <v>0</v>
      </c>
      <c r="K34" s="427">
        <f>F34*J34</f>
        <v>0</v>
      </c>
      <c r="L34" s="428">
        <f>J34*(G34+H34+I34)</f>
        <v>0</v>
      </c>
      <c r="N34" s="46">
        <f>G34*J34</f>
        <v>0</v>
      </c>
      <c r="O34" s="40">
        <f>I34*J34</f>
        <v>0</v>
      </c>
      <c r="P34" s="40">
        <f>H34*J34</f>
        <v>0</v>
      </c>
      <c r="Q34" s="40">
        <f>SUM(N34:P34)</f>
        <v>0</v>
      </c>
    </row>
    <row r="35" spans="1:17" x14ac:dyDescent="0.15">
      <c r="A35" s="647" t="s">
        <v>297</v>
      </c>
      <c r="B35" s="423">
        <v>0</v>
      </c>
      <c r="C35" s="423">
        <v>0.25</v>
      </c>
      <c r="D35" s="423">
        <v>0.5</v>
      </c>
      <c r="E35" s="423">
        <v>9</v>
      </c>
      <c r="F35" s="424">
        <f>SUM(B35:E35)</f>
        <v>9.75</v>
      </c>
      <c r="G35" s="387">
        <f>(+B35*$B$10)+(C35*$C$10)+(D35*$D$10)+(E35*$E$10)</f>
        <v>349.935</v>
      </c>
      <c r="H35" s="387">
        <v>0</v>
      </c>
      <c r="I35" s="387">
        <f>'Exhibit 1'!N23</f>
        <v>3</v>
      </c>
      <c r="J35" s="426">
        <v>0</v>
      </c>
      <c r="K35" s="427">
        <f>F35*J35</f>
        <v>0</v>
      </c>
      <c r="L35" s="428">
        <f>J35*(G35+H35+I35)</f>
        <v>0</v>
      </c>
      <c r="N35" s="46">
        <f>G35*J35</f>
        <v>0</v>
      </c>
      <c r="O35" s="40">
        <f>I35*J35</f>
        <v>0</v>
      </c>
      <c r="P35" s="40">
        <f>H35*J35</f>
        <v>0</v>
      </c>
      <c r="Q35" s="40">
        <f>SUM(N35:P35)</f>
        <v>0</v>
      </c>
    </row>
    <row r="36" spans="1:17" x14ac:dyDescent="0.15">
      <c r="A36" s="660" t="s">
        <v>332</v>
      </c>
      <c r="B36" s="501"/>
      <c r="C36" s="501"/>
      <c r="D36" s="501"/>
      <c r="E36" s="501"/>
      <c r="F36" s="501"/>
      <c r="G36" s="502"/>
      <c r="H36" s="502"/>
      <c r="I36" s="502"/>
      <c r="J36" s="503"/>
      <c r="K36" s="504"/>
      <c r="L36" s="505"/>
      <c r="N36" s="42"/>
      <c r="P36" s="45"/>
      <c r="Q36" s="45"/>
    </row>
    <row r="37" spans="1:17" x14ac:dyDescent="0.15">
      <c r="A37" s="401" t="s">
        <v>321</v>
      </c>
      <c r="B37" s="289"/>
      <c r="C37" s="251"/>
      <c r="D37" s="289"/>
      <c r="E37" s="251"/>
      <c r="F37" s="289"/>
      <c r="G37" s="251"/>
      <c r="H37" s="289"/>
      <c r="I37" s="251"/>
      <c r="J37" s="289"/>
      <c r="K37" s="251"/>
      <c r="L37" s="289"/>
    </row>
    <row r="38" spans="1:17" x14ac:dyDescent="0.15">
      <c r="A38" s="381" t="s">
        <v>322</v>
      </c>
      <c r="B38" s="403"/>
      <c r="C38" s="251"/>
      <c r="D38" s="403"/>
      <c r="E38" s="251"/>
      <c r="F38" s="403"/>
      <c r="G38" s="251"/>
      <c r="H38" s="403"/>
      <c r="I38" s="251"/>
      <c r="J38" s="403"/>
      <c r="K38" s="251"/>
      <c r="L38" s="403"/>
    </row>
    <row r="39" spans="1:17" x14ac:dyDescent="0.15">
      <c r="A39" s="422" t="s">
        <v>323</v>
      </c>
      <c r="B39" s="423">
        <v>0</v>
      </c>
      <c r="C39" s="423">
        <v>0.1</v>
      </c>
      <c r="D39" s="423">
        <v>0.25</v>
      </c>
      <c r="E39" s="423">
        <v>0</v>
      </c>
      <c r="F39" s="424">
        <v>0.35</v>
      </c>
      <c r="G39" s="387">
        <f>(+B39*$B$10)+(C39*$C$10)+(D39*$D$10)+(E39*$E$10)</f>
        <v>23.332500000000003</v>
      </c>
      <c r="H39" s="387">
        <v>0</v>
      </c>
      <c r="I39" s="387">
        <f>'Exhibit 1'!N23</f>
        <v>3</v>
      </c>
      <c r="J39" s="426">
        <v>8</v>
      </c>
      <c r="K39" s="427">
        <v>2.8</v>
      </c>
      <c r="L39" s="428">
        <f>J39*(G39+H39+I39)</f>
        <v>210.66000000000003</v>
      </c>
      <c r="N39" s="46">
        <f>G39*J39</f>
        <v>186.66000000000003</v>
      </c>
      <c r="O39" s="40">
        <f>I39*J39</f>
        <v>24</v>
      </c>
      <c r="P39" s="40">
        <f>H39*J39</f>
        <v>0</v>
      </c>
      <c r="Q39" s="40">
        <f>SUM(N39:P39)</f>
        <v>210.66000000000003</v>
      </c>
    </row>
    <row r="40" spans="1:17" x14ac:dyDescent="0.15">
      <c r="A40" s="386" t="s">
        <v>324</v>
      </c>
      <c r="B40" s="508"/>
      <c r="C40" s="508"/>
      <c r="D40" s="508"/>
      <c r="E40" s="508"/>
      <c r="F40" s="508"/>
      <c r="G40" s="452"/>
      <c r="H40" s="452"/>
      <c r="I40" s="452"/>
      <c r="J40" s="492"/>
      <c r="K40" s="509"/>
      <c r="L40" s="387"/>
      <c r="N40" s="46"/>
      <c r="O40" s="40"/>
      <c r="P40" s="45"/>
      <c r="Q40" s="45"/>
    </row>
    <row r="41" spans="1:17" x14ac:dyDescent="0.15">
      <c r="A41" s="422" t="s">
        <v>325</v>
      </c>
      <c r="B41" s="423">
        <v>0</v>
      </c>
      <c r="C41" s="423">
        <v>0</v>
      </c>
      <c r="D41" s="423">
        <v>0</v>
      </c>
      <c r="E41" s="423">
        <v>0.1</v>
      </c>
      <c r="F41" s="424">
        <v>0.1</v>
      </c>
      <c r="G41" s="387">
        <f>(+B41*$B$10)+(C41*$C$10)+(D41*$D$10)+(E41*$E$10)</f>
        <v>3.3109999999999999</v>
      </c>
      <c r="H41" s="387">
        <v>0</v>
      </c>
      <c r="I41" s="387">
        <v>0</v>
      </c>
      <c r="J41" s="426">
        <v>24</v>
      </c>
      <c r="K41" s="427">
        <v>2.4</v>
      </c>
      <c r="L41" s="428">
        <f>J41*(G41+H41+I41)</f>
        <v>79.463999999999999</v>
      </c>
      <c r="N41" s="46">
        <f>G41*J41</f>
        <v>79.463999999999999</v>
      </c>
      <c r="O41" s="40">
        <f>I41*J41</f>
        <v>0</v>
      </c>
      <c r="P41" s="40">
        <f>H41*J41</f>
        <v>0</v>
      </c>
      <c r="Q41" s="40">
        <f>SUM(N41:P41)</f>
        <v>79.463999999999999</v>
      </c>
    </row>
    <row r="42" spans="1:17" x14ac:dyDescent="0.15">
      <c r="A42" s="401" t="s">
        <v>326</v>
      </c>
      <c r="B42" s="510"/>
      <c r="C42" s="251"/>
      <c r="D42" s="510"/>
      <c r="E42" s="251"/>
      <c r="F42" s="510"/>
      <c r="G42" s="251"/>
      <c r="H42" s="510"/>
      <c r="I42" s="251"/>
      <c r="J42" s="510"/>
      <c r="K42" s="251"/>
      <c r="L42" s="510"/>
    </row>
    <row r="43" spans="1:17" x14ac:dyDescent="0.15">
      <c r="A43" s="381" t="s">
        <v>333</v>
      </c>
      <c r="B43" s="447"/>
      <c r="C43" s="251"/>
      <c r="D43" s="447"/>
      <c r="E43" s="251"/>
      <c r="F43" s="447"/>
      <c r="G43" s="251"/>
      <c r="H43" s="447"/>
      <c r="I43" s="251"/>
      <c r="J43" s="447"/>
      <c r="K43" s="251"/>
      <c r="L43" s="447"/>
    </row>
    <row r="44" spans="1:17" x14ac:dyDescent="0.15">
      <c r="A44" s="422" t="s">
        <v>323</v>
      </c>
      <c r="B44" s="423">
        <v>0</v>
      </c>
      <c r="C44" s="423">
        <v>0.1</v>
      </c>
      <c r="D44" s="423">
        <v>0.25</v>
      </c>
      <c r="E44" s="423">
        <v>0</v>
      </c>
      <c r="F44" s="424">
        <v>0.35</v>
      </c>
      <c r="G44" s="387">
        <f>(+B44*$B$10)+(C44*$C$10)+(D44*$D$10)+(E44*$E$10)</f>
        <v>23.332500000000003</v>
      </c>
      <c r="H44" s="387">
        <v>0</v>
      </c>
      <c r="I44" s="387">
        <f>'Exhibit 1'!N23</f>
        <v>3</v>
      </c>
      <c r="J44" s="426">
        <v>1.67</v>
      </c>
      <c r="K44" s="427">
        <v>0.7</v>
      </c>
      <c r="L44" s="428">
        <f>J44*(G44+H44+I44)</f>
        <v>43.975275000000003</v>
      </c>
      <c r="N44" s="46">
        <f>G44*J44</f>
        <v>38.965275000000005</v>
      </c>
      <c r="O44" s="40">
        <f>I44*J44</f>
        <v>5.01</v>
      </c>
      <c r="P44" s="40">
        <f>H44*J44</f>
        <v>0</v>
      </c>
      <c r="Q44" s="40">
        <f>SUM(N44:P44)</f>
        <v>43.975275000000003</v>
      </c>
    </row>
    <row r="45" spans="1:17" x14ac:dyDescent="0.15">
      <c r="A45" s="386" t="s">
        <v>334</v>
      </c>
      <c r="B45" s="508"/>
      <c r="C45" s="508"/>
      <c r="D45" s="508"/>
      <c r="E45" s="508"/>
      <c r="F45" s="508"/>
      <c r="G45" s="452"/>
      <c r="H45" s="452"/>
      <c r="I45" s="452"/>
      <c r="J45" s="492"/>
      <c r="K45" s="509"/>
      <c r="L45" s="387"/>
      <c r="N45" s="46"/>
      <c r="O45" s="40"/>
      <c r="P45" s="45"/>
      <c r="Q45" s="45"/>
    </row>
    <row r="46" spans="1:17" x14ac:dyDescent="0.15">
      <c r="A46" s="422" t="s">
        <v>325</v>
      </c>
      <c r="B46" s="423">
        <v>0</v>
      </c>
      <c r="C46" s="423">
        <v>0</v>
      </c>
      <c r="D46" s="423">
        <v>0</v>
      </c>
      <c r="E46" s="423">
        <v>0.1</v>
      </c>
      <c r="F46" s="424">
        <v>0.1</v>
      </c>
      <c r="G46" s="387">
        <f>(+B46*$B$10)+(C46*$C$10)+(D46*$D$10)+(E46*$E$10)</f>
        <v>3.3109999999999999</v>
      </c>
      <c r="H46" s="387">
        <v>0</v>
      </c>
      <c r="I46" s="387">
        <v>0</v>
      </c>
      <c r="J46" s="426">
        <v>5</v>
      </c>
      <c r="K46" s="427">
        <v>0.5</v>
      </c>
      <c r="L46" s="428">
        <f>J46*(G46+H46+I46)</f>
        <v>16.555</v>
      </c>
      <c r="N46" s="46">
        <f>G46*J46</f>
        <v>16.555</v>
      </c>
      <c r="O46" s="40">
        <f>I46*J46</f>
        <v>0</v>
      </c>
      <c r="P46" s="40">
        <f>H46*J46</f>
        <v>0</v>
      </c>
      <c r="Q46" s="40">
        <f>SUM(N46:P46)</f>
        <v>16.555</v>
      </c>
    </row>
    <row r="47" spans="1:17" x14ac:dyDescent="0.15">
      <c r="A47" s="386" t="s">
        <v>327</v>
      </c>
      <c r="B47" s="508"/>
      <c r="C47" s="508"/>
      <c r="D47" s="508"/>
      <c r="E47" s="508"/>
      <c r="F47" s="508"/>
      <c r="G47" s="452"/>
      <c r="H47" s="452"/>
      <c r="I47" s="452"/>
      <c r="J47" s="492"/>
      <c r="K47" s="509"/>
      <c r="L47" s="387"/>
      <c r="N47" s="46"/>
      <c r="O47" s="40"/>
      <c r="P47" s="45"/>
      <c r="Q47" s="45"/>
    </row>
    <row r="48" spans="1:17" x14ac:dyDescent="0.15">
      <c r="A48" s="422" t="s">
        <v>328</v>
      </c>
      <c r="B48" s="423">
        <v>0</v>
      </c>
      <c r="C48" s="423">
        <v>0.25</v>
      </c>
      <c r="D48" s="423">
        <v>2</v>
      </c>
      <c r="E48" s="423">
        <v>0.5</v>
      </c>
      <c r="F48" s="424">
        <v>2.75</v>
      </c>
      <c r="G48" s="387">
        <f>(+B48*$B$10)+(C48*$C$10)+(D48*$D$10)+(E48*$E$10)</f>
        <v>145.13500000000002</v>
      </c>
      <c r="H48" s="387">
        <v>0</v>
      </c>
      <c r="I48" s="387">
        <f>'Exhibit 1'!N23</f>
        <v>3</v>
      </c>
      <c r="J48" s="426">
        <v>5</v>
      </c>
      <c r="K48" s="427">
        <v>13.75</v>
      </c>
      <c r="L48" s="428">
        <f>J48*(G48+H48+I48)</f>
        <v>740.67500000000007</v>
      </c>
      <c r="N48" s="46">
        <f>G48*J48</f>
        <v>725.67500000000007</v>
      </c>
      <c r="O48" s="40">
        <f>I48*J48</f>
        <v>15</v>
      </c>
      <c r="P48" s="40">
        <f>H48*J48</f>
        <v>0</v>
      </c>
      <c r="Q48" s="40">
        <f>SUM(N48:P48)</f>
        <v>740.67500000000007</v>
      </c>
    </row>
    <row r="49" spans="1:17" x14ac:dyDescent="0.15">
      <c r="A49" s="386" t="s">
        <v>335</v>
      </c>
      <c r="B49" s="508"/>
      <c r="C49" s="508"/>
      <c r="D49" s="508"/>
      <c r="E49" s="508"/>
      <c r="F49" s="508"/>
      <c r="G49" s="452"/>
      <c r="H49" s="452"/>
      <c r="I49" s="452"/>
      <c r="J49" s="492"/>
      <c r="K49" s="509"/>
      <c r="L49" s="387"/>
      <c r="N49" s="46"/>
      <c r="O49" s="40"/>
      <c r="P49" s="45"/>
      <c r="Q49" s="45"/>
    </row>
    <row r="50" spans="1:17" x14ac:dyDescent="0.15">
      <c r="A50" s="422" t="s">
        <v>329</v>
      </c>
      <c r="B50" s="423">
        <v>0</v>
      </c>
      <c r="C50" s="423">
        <v>0</v>
      </c>
      <c r="D50" s="423">
        <v>1</v>
      </c>
      <c r="E50" s="423">
        <v>0</v>
      </c>
      <c r="F50" s="424">
        <v>1</v>
      </c>
      <c r="G50" s="387">
        <f>(+B50*$B$10)+(C50*$C$10)+(D50*$D$10)+(E50*$E$10)</f>
        <v>51.09</v>
      </c>
      <c r="H50" s="387">
        <v>0</v>
      </c>
      <c r="I50" s="387">
        <f>'Exhibit 1'!N26</f>
        <v>2068</v>
      </c>
      <c r="J50" s="426">
        <v>5</v>
      </c>
      <c r="K50" s="427">
        <v>5</v>
      </c>
      <c r="L50" s="428">
        <f>J50*(G50+H50+I50)</f>
        <v>10595.45</v>
      </c>
      <c r="N50" s="46">
        <f>G50*J50</f>
        <v>255.45000000000002</v>
      </c>
      <c r="O50" s="40">
        <f>I50*J50</f>
        <v>10340</v>
      </c>
      <c r="P50" s="40">
        <f>H50*J50</f>
        <v>0</v>
      </c>
      <c r="Q50" s="40">
        <f>SUM(N50:P50)</f>
        <v>10595.45</v>
      </c>
    </row>
    <row r="51" spans="1:17" x14ac:dyDescent="0.15">
      <c r="A51" s="422" t="s">
        <v>330</v>
      </c>
      <c r="B51" s="423">
        <v>0</v>
      </c>
      <c r="C51" s="423">
        <v>0</v>
      </c>
      <c r="D51" s="423">
        <v>0</v>
      </c>
      <c r="E51" s="423">
        <v>0.1</v>
      </c>
      <c r="F51" s="424">
        <v>0.1</v>
      </c>
      <c r="G51" s="387">
        <f>(+B51*$B$10)+(C51*$C$10)+(D51*$D$10)+(E51*$E$10)</f>
        <v>3.3109999999999999</v>
      </c>
      <c r="H51" s="387">
        <v>0</v>
      </c>
      <c r="I51" s="387">
        <v>0</v>
      </c>
      <c r="J51" s="426">
        <v>5</v>
      </c>
      <c r="K51" s="427">
        <v>0.5</v>
      </c>
      <c r="L51" s="428">
        <f>J51*(G51+H51+I51)</f>
        <v>16.555</v>
      </c>
      <c r="N51" s="46">
        <f>G51*J51</f>
        <v>16.555</v>
      </c>
      <c r="O51" s="40">
        <f>I51*J51</f>
        <v>0</v>
      </c>
      <c r="P51" s="40">
        <f>H51*J51</f>
        <v>0</v>
      </c>
      <c r="Q51" s="40">
        <f>SUM(N51:P51)</f>
        <v>16.555</v>
      </c>
    </row>
    <row r="52" spans="1:17" x14ac:dyDescent="0.15">
      <c r="A52" s="412" t="s">
        <v>121</v>
      </c>
      <c r="B52" s="413"/>
      <c r="C52" s="413"/>
      <c r="D52" s="413"/>
      <c r="E52" s="413"/>
      <c r="F52" s="413"/>
      <c r="G52" s="414"/>
      <c r="H52" s="414"/>
      <c r="I52" s="414"/>
      <c r="J52" s="479"/>
      <c r="K52" s="413"/>
      <c r="L52" s="416"/>
      <c r="N52" s="42"/>
      <c r="P52" s="45"/>
      <c r="Q52" s="45"/>
    </row>
    <row r="53" spans="1:17" x14ac:dyDescent="0.15">
      <c r="A53" s="417" t="s">
        <v>278</v>
      </c>
      <c r="B53" s="418"/>
      <c r="C53" s="418"/>
      <c r="D53" s="418"/>
      <c r="E53" s="418"/>
      <c r="F53" s="418"/>
      <c r="G53" s="382"/>
      <c r="H53" s="382"/>
      <c r="I53" s="382"/>
      <c r="J53" s="448"/>
      <c r="K53" s="421"/>
      <c r="L53" s="382"/>
      <c r="N53" s="42"/>
      <c r="P53" s="45"/>
      <c r="Q53" s="45"/>
    </row>
    <row r="54" spans="1:17" x14ac:dyDescent="0.15">
      <c r="A54" s="477" t="s">
        <v>310</v>
      </c>
      <c r="B54" s="423">
        <v>0</v>
      </c>
      <c r="C54" s="423">
        <v>4</v>
      </c>
      <c r="D54" s="423">
        <v>16</v>
      </c>
      <c r="E54" s="423">
        <v>8</v>
      </c>
      <c r="F54" s="424">
        <f>SUM(B54:E54)</f>
        <v>28</v>
      </c>
      <c r="G54" s="387">
        <f>(+B54*$B$10)+(C54*$C$10)+(D54*$D$10)+(E54*$E$10)</f>
        <v>1504.7200000000003</v>
      </c>
      <c r="H54" s="387">
        <v>0</v>
      </c>
      <c r="I54" s="387">
        <f>'Exhibit 1'!N21</f>
        <v>6</v>
      </c>
      <c r="J54" s="426">
        <v>1</v>
      </c>
      <c r="K54" s="427">
        <f>F54*J54</f>
        <v>28</v>
      </c>
      <c r="L54" s="428">
        <f>J54*(G54+H54+I54)</f>
        <v>1510.7200000000003</v>
      </c>
      <c r="N54" s="46">
        <f>G54*J54</f>
        <v>1504.7200000000003</v>
      </c>
      <c r="O54" s="40">
        <f>I54*J54</f>
        <v>6</v>
      </c>
      <c r="P54" s="40">
        <f>H54*J54</f>
        <v>0</v>
      </c>
      <c r="Q54" s="40">
        <f>SUM(N54:P54)</f>
        <v>1510.7200000000003</v>
      </c>
    </row>
    <row r="55" spans="1:17" x14ac:dyDescent="0.15">
      <c r="A55" s="412" t="s">
        <v>122</v>
      </c>
      <c r="B55" s="413"/>
      <c r="C55" s="413"/>
      <c r="D55" s="413"/>
      <c r="E55" s="413"/>
      <c r="F55" s="413"/>
      <c r="G55" s="414"/>
      <c r="H55" s="414"/>
      <c r="I55" s="414"/>
      <c r="J55" s="479"/>
      <c r="K55" s="415"/>
      <c r="L55" s="416"/>
      <c r="N55" s="42"/>
      <c r="P55" s="45"/>
      <c r="Q55" s="45"/>
    </row>
    <row r="56" spans="1:17" x14ac:dyDescent="0.15">
      <c r="A56" s="417" t="s">
        <v>123</v>
      </c>
      <c r="B56" s="418"/>
      <c r="C56" s="418"/>
      <c r="D56" s="418"/>
      <c r="E56" s="418"/>
      <c r="F56" s="418"/>
      <c r="G56" s="382"/>
      <c r="H56" s="382"/>
      <c r="I56" s="382"/>
      <c r="J56" s="448"/>
      <c r="K56" s="421"/>
      <c r="L56" s="382"/>
      <c r="N56" s="42"/>
      <c r="P56" s="45"/>
      <c r="Q56" s="45"/>
    </row>
    <row r="57" spans="1:17" x14ac:dyDescent="0.15">
      <c r="A57" s="422" t="s">
        <v>311</v>
      </c>
      <c r="B57" s="423">
        <v>0</v>
      </c>
      <c r="C57" s="423">
        <v>1</v>
      </c>
      <c r="D57" s="423">
        <v>16</v>
      </c>
      <c r="E57" s="423">
        <v>4</v>
      </c>
      <c r="F57" s="424">
        <f>SUM(B57:E57)</f>
        <v>21</v>
      </c>
      <c r="G57" s="387">
        <f>(+B57*$B$10)+(C57*$C$10)+(D57*$D$10)+(E57*$E$10)</f>
        <v>1055.48</v>
      </c>
      <c r="H57" s="387">
        <v>0</v>
      </c>
      <c r="I57" s="387">
        <f>'Exhibit 1'!N21</f>
        <v>6</v>
      </c>
      <c r="J57" s="426">
        <v>45</v>
      </c>
      <c r="K57" s="427">
        <f>F57*J57</f>
        <v>945</v>
      </c>
      <c r="L57" s="428">
        <f>J57*(G57+H57+I57)</f>
        <v>47766.6</v>
      </c>
      <c r="N57" s="46">
        <f>G57*J57</f>
        <v>47496.6</v>
      </c>
      <c r="O57" s="40">
        <f>I57*J57</f>
        <v>270</v>
      </c>
      <c r="P57" s="40">
        <f>H57*J57</f>
        <v>0</v>
      </c>
      <c r="Q57" s="40">
        <f>SUM(N57:P57)</f>
        <v>47766.6</v>
      </c>
    </row>
    <row r="58" spans="1:17" ht="9.9499999999999993" customHeight="1" x14ac:dyDescent="0.15">
      <c r="A58" s="412" t="s">
        <v>124</v>
      </c>
      <c r="B58" s="413"/>
      <c r="C58" s="413"/>
      <c r="D58" s="413"/>
      <c r="E58" s="413"/>
      <c r="F58" s="413"/>
      <c r="G58" s="414"/>
      <c r="H58" s="414"/>
      <c r="I58" s="414"/>
      <c r="J58" s="441"/>
      <c r="K58" s="415"/>
      <c r="L58" s="416"/>
      <c r="N58" s="42"/>
      <c r="P58" s="45"/>
      <c r="Q58" s="45"/>
    </row>
    <row r="59" spans="1:17" x14ac:dyDescent="0.15">
      <c r="A59" s="417" t="s">
        <v>125</v>
      </c>
      <c r="B59" s="418"/>
      <c r="C59" s="418"/>
      <c r="D59" s="418"/>
      <c r="E59" s="418"/>
      <c r="F59" s="418"/>
      <c r="G59" s="382"/>
      <c r="H59" s="382"/>
      <c r="I59" s="382"/>
      <c r="J59" s="420"/>
      <c r="K59" s="421"/>
      <c r="L59" s="382"/>
      <c r="N59" s="42"/>
      <c r="P59" s="45"/>
      <c r="Q59" s="45"/>
    </row>
    <row r="60" spans="1:17" x14ac:dyDescent="0.15">
      <c r="A60" s="422" t="s">
        <v>126</v>
      </c>
      <c r="B60" s="423">
        <v>0</v>
      </c>
      <c r="C60" s="423">
        <v>0</v>
      </c>
      <c r="D60" s="423">
        <v>4</v>
      </c>
      <c r="E60" s="423">
        <v>0</v>
      </c>
      <c r="F60" s="424">
        <f>SUM(B60:E60)</f>
        <v>4</v>
      </c>
      <c r="G60" s="387">
        <f>(+B60*$B$10)+(C60*$C$10)+(D60*$D$10)+(E60*$E$10)</f>
        <v>204.36</v>
      </c>
      <c r="H60" s="387">
        <v>0</v>
      </c>
      <c r="I60" s="387">
        <f>'Exhibit 1'!N20</f>
        <v>25</v>
      </c>
      <c r="J60" s="426">
        <v>2</v>
      </c>
      <c r="K60" s="427">
        <f>F60*J60</f>
        <v>8</v>
      </c>
      <c r="L60" s="428">
        <f>J60*(G60+H60+I60)</f>
        <v>458.72</v>
      </c>
      <c r="N60" s="46">
        <f>G60*J60</f>
        <v>408.72</v>
      </c>
      <c r="O60" s="40">
        <f>I60*J60</f>
        <v>50</v>
      </c>
      <c r="P60" s="40">
        <f>H60*J60</f>
        <v>0</v>
      </c>
      <c r="Q60" s="40">
        <f>SUM(N60:P60)</f>
        <v>458.72</v>
      </c>
    </row>
    <row r="61" spans="1:17" x14ac:dyDescent="0.15">
      <c r="A61" s="417" t="s">
        <v>313</v>
      </c>
      <c r="B61" s="418"/>
      <c r="C61" s="418"/>
      <c r="D61" s="418"/>
      <c r="E61" s="418"/>
      <c r="F61" s="418"/>
      <c r="G61" s="449"/>
      <c r="H61" s="449"/>
      <c r="I61" s="449"/>
      <c r="J61" s="420"/>
      <c r="K61" s="421"/>
      <c r="L61" s="382"/>
      <c r="N61" s="42"/>
      <c r="P61" s="45"/>
      <c r="Q61" s="45"/>
    </row>
    <row r="62" spans="1:17" x14ac:dyDescent="0.15">
      <c r="A62" s="422" t="s">
        <v>312</v>
      </c>
      <c r="B62" s="423">
        <v>0</v>
      </c>
      <c r="C62" s="423">
        <v>0</v>
      </c>
      <c r="D62" s="423">
        <v>4</v>
      </c>
      <c r="E62" s="423">
        <v>0</v>
      </c>
      <c r="F62" s="424">
        <f>SUM(B62:E62)</f>
        <v>4</v>
      </c>
      <c r="G62" s="387">
        <f>(+B62*$B$10)+(C62*$C$10)+(D62*$D$10)+(E62*$E$10)</f>
        <v>204.36</v>
      </c>
      <c r="H62" s="387">
        <v>0</v>
      </c>
      <c r="I62" s="387">
        <v>0</v>
      </c>
      <c r="J62" s="426">
        <v>2</v>
      </c>
      <c r="K62" s="427">
        <f>F62*J62</f>
        <v>8</v>
      </c>
      <c r="L62" s="428">
        <f>J62*(G62+H62+I62)</f>
        <v>408.72</v>
      </c>
      <c r="N62" s="46">
        <f>G62*J62</f>
        <v>408.72</v>
      </c>
      <c r="O62" s="40">
        <f>I62*J62</f>
        <v>0</v>
      </c>
      <c r="P62" s="40">
        <f>H62*J62</f>
        <v>0</v>
      </c>
      <c r="Q62" s="40">
        <f>SUM(N62:P62)</f>
        <v>408.72</v>
      </c>
    </row>
    <row r="63" spans="1:17" x14ac:dyDescent="0.15">
      <c r="A63" s="450" t="s">
        <v>127</v>
      </c>
      <c r="B63" s="444"/>
      <c r="C63" s="444"/>
      <c r="D63" s="444"/>
      <c r="E63" s="444"/>
      <c r="F63" s="444"/>
      <c r="G63" s="511"/>
      <c r="H63" s="511"/>
      <c r="I63" s="511"/>
      <c r="J63" s="512"/>
      <c r="K63" s="357"/>
      <c r="L63" s="500"/>
      <c r="N63" s="46"/>
      <c r="P63" s="45"/>
      <c r="Q63" s="45"/>
    </row>
    <row r="64" spans="1:17" x14ac:dyDescent="0.15">
      <c r="A64" s="386" t="s">
        <v>128</v>
      </c>
      <c r="B64" s="359">
        <v>0</v>
      </c>
      <c r="C64" s="359">
        <v>1</v>
      </c>
      <c r="D64" s="359">
        <v>4</v>
      </c>
      <c r="E64" s="359">
        <v>1</v>
      </c>
      <c r="F64" s="424">
        <f>SUM(B64:E64)</f>
        <v>6</v>
      </c>
      <c r="G64" s="387">
        <f>(+B64*$B$10)+(C64*$C$10)+(D64*$D$10)+(E64*$E$10)</f>
        <v>343.07000000000005</v>
      </c>
      <c r="H64" s="388">
        <v>0</v>
      </c>
      <c r="I64" s="388">
        <v>0</v>
      </c>
      <c r="J64" s="438">
        <v>1</v>
      </c>
      <c r="K64" s="427">
        <f>F64*J64</f>
        <v>6</v>
      </c>
      <c r="L64" s="428">
        <f>J64*(G64+H64+I64)</f>
        <v>343.07000000000005</v>
      </c>
      <c r="N64" s="46">
        <f>G64*J64</f>
        <v>343.07000000000005</v>
      </c>
      <c r="O64" s="40">
        <f>I64*J64</f>
        <v>0</v>
      </c>
      <c r="P64" s="40">
        <f>H64*J64</f>
        <v>0</v>
      </c>
      <c r="Q64" s="40">
        <f>SUM(N64:P64)</f>
        <v>343.07000000000005</v>
      </c>
    </row>
    <row r="65" spans="1:20" x14ac:dyDescent="0.15">
      <c r="A65" s="450" t="s">
        <v>127</v>
      </c>
      <c r="B65" s="444"/>
      <c r="C65" s="444"/>
      <c r="D65" s="444"/>
      <c r="E65" s="444"/>
      <c r="F65" s="444"/>
      <c r="G65" s="381"/>
      <c r="H65" s="381"/>
      <c r="I65" s="381"/>
      <c r="J65" s="446"/>
      <c r="K65" s="357"/>
      <c r="L65" s="447"/>
      <c r="N65" s="42"/>
      <c r="P65" s="45"/>
      <c r="Q65" s="45"/>
    </row>
    <row r="66" spans="1:20" x14ac:dyDescent="0.15">
      <c r="A66" s="450" t="s">
        <v>256</v>
      </c>
      <c r="B66" s="444"/>
      <c r="C66" s="444"/>
      <c r="D66" s="444"/>
      <c r="E66" s="444"/>
      <c r="F66" s="444"/>
      <c r="G66" s="381"/>
      <c r="H66" s="381"/>
      <c r="I66" s="381"/>
      <c r="J66" s="446"/>
      <c r="K66" s="357"/>
      <c r="L66" s="447"/>
      <c r="N66" s="42"/>
      <c r="P66" s="45"/>
      <c r="Q66" s="45"/>
    </row>
    <row r="67" spans="1:20" x14ac:dyDescent="0.15">
      <c r="A67" s="386" t="s">
        <v>255</v>
      </c>
      <c r="B67" s="359">
        <v>0</v>
      </c>
      <c r="C67" s="359">
        <v>1</v>
      </c>
      <c r="D67" s="359">
        <v>4</v>
      </c>
      <c r="E67" s="359">
        <v>1</v>
      </c>
      <c r="F67" s="424">
        <f>SUM(B67:E67)</f>
        <v>6</v>
      </c>
      <c r="G67" s="387">
        <f>(+B67*$B$10)+(C67*$C$10)+(D67*$D$10)+(E67*$E$10)</f>
        <v>343.07000000000005</v>
      </c>
      <c r="H67" s="388">
        <v>0</v>
      </c>
      <c r="I67" s="388">
        <v>0</v>
      </c>
      <c r="J67" s="438">
        <v>1</v>
      </c>
      <c r="K67" s="427">
        <f>F67*J67</f>
        <v>6</v>
      </c>
      <c r="L67" s="428">
        <f>J67*(G67+H67+I67)</f>
        <v>343.07000000000005</v>
      </c>
      <c r="N67" s="46">
        <f>G67*J67</f>
        <v>343.07000000000005</v>
      </c>
      <c r="O67" s="40">
        <f>I67*J67</f>
        <v>0</v>
      </c>
      <c r="P67" s="40">
        <f>H67*J67</f>
        <v>0</v>
      </c>
      <c r="Q67" s="40">
        <f>SUM(N67:P67)</f>
        <v>343.07000000000005</v>
      </c>
    </row>
    <row r="68" spans="1:20" x14ac:dyDescent="0.15">
      <c r="A68" s="412" t="s">
        <v>236</v>
      </c>
      <c r="B68" s="413"/>
      <c r="C68" s="413"/>
      <c r="D68" s="413"/>
      <c r="E68" s="413"/>
      <c r="F68" s="413"/>
      <c r="G68" s="414"/>
      <c r="H68" s="414"/>
      <c r="I68" s="414"/>
      <c r="J68" s="441"/>
      <c r="K68" s="415"/>
      <c r="L68" s="416"/>
      <c r="N68" s="42"/>
      <c r="P68" s="45"/>
      <c r="Q68" s="45"/>
    </row>
    <row r="69" spans="1:20" x14ac:dyDescent="0.15">
      <c r="A69" s="386" t="s">
        <v>129</v>
      </c>
      <c r="B69" s="359">
        <v>0</v>
      </c>
      <c r="C69" s="359">
        <v>1</v>
      </c>
      <c r="D69" s="359">
        <v>0</v>
      </c>
      <c r="E69" s="359">
        <v>1</v>
      </c>
      <c r="F69" s="424">
        <f>SUM(B69:E69)</f>
        <v>2</v>
      </c>
      <c r="G69" s="387">
        <f>(+B69*$B$10)+(C69*$C$10)+(D69*$D$10)+(E69*$E$10)</f>
        <v>138.70999999999998</v>
      </c>
      <c r="H69" s="388">
        <v>0</v>
      </c>
      <c r="I69" s="388">
        <f>'Exhibit 1'!N22</f>
        <v>13</v>
      </c>
      <c r="J69" s="438">
        <v>2</v>
      </c>
      <c r="K69" s="427">
        <f>F69*J69</f>
        <v>4</v>
      </c>
      <c r="L69" s="428">
        <f>J69*(G69+H69+I69)</f>
        <v>303.41999999999996</v>
      </c>
      <c r="N69" s="46">
        <f>G69*J69</f>
        <v>277.41999999999996</v>
      </c>
      <c r="O69" s="40">
        <f>I69*J69</f>
        <v>26</v>
      </c>
      <c r="P69" s="40">
        <f>H69*J69</f>
        <v>0</v>
      </c>
      <c r="Q69" s="40">
        <f>SUM(N69:P69)</f>
        <v>303.41999999999996</v>
      </c>
    </row>
    <row r="70" spans="1:20" x14ac:dyDescent="0.15">
      <c r="A70" s="386" t="s">
        <v>130</v>
      </c>
      <c r="B70" s="359">
        <v>0</v>
      </c>
      <c r="C70" s="359">
        <v>0</v>
      </c>
      <c r="D70" s="359">
        <v>0</v>
      </c>
      <c r="E70" s="359">
        <v>1</v>
      </c>
      <c r="F70" s="424">
        <f>SUM(B70:E70)</f>
        <v>1</v>
      </c>
      <c r="G70" s="387">
        <f>(+B70*$B$10)+(C70*$C$10)+(D70*$D$10)+(E70*$E$10)</f>
        <v>33.11</v>
      </c>
      <c r="H70" s="388">
        <v>0</v>
      </c>
      <c r="I70" s="387">
        <f>'Exhibit 1'!N21</f>
        <v>6</v>
      </c>
      <c r="J70" s="438">
        <v>2</v>
      </c>
      <c r="K70" s="427">
        <f>F70*J70</f>
        <v>2</v>
      </c>
      <c r="L70" s="428">
        <f>J70*(G70+H70+I70)</f>
        <v>78.22</v>
      </c>
      <c r="N70" s="46">
        <f>G70*J70</f>
        <v>66.22</v>
      </c>
      <c r="O70" s="40">
        <f>I70*J70</f>
        <v>12</v>
      </c>
      <c r="P70" s="40">
        <f>H70*J70</f>
        <v>0</v>
      </c>
      <c r="Q70" s="40">
        <f>SUM(N70:P70)</f>
        <v>78.22</v>
      </c>
    </row>
    <row r="71" spans="1:20" x14ac:dyDescent="0.15">
      <c r="A71" s="386" t="s">
        <v>131</v>
      </c>
      <c r="B71" s="359">
        <v>0</v>
      </c>
      <c r="C71" s="359">
        <v>2</v>
      </c>
      <c r="D71" s="359">
        <v>10</v>
      </c>
      <c r="E71" s="359">
        <v>4</v>
      </c>
      <c r="F71" s="424">
        <f>SUM(B71:E71)</f>
        <v>16</v>
      </c>
      <c r="G71" s="387">
        <f>(+B71*$B$10)+(C71*$C$10)+(D71*$D$10)+(E71*$E$10)</f>
        <v>854.54</v>
      </c>
      <c r="H71" s="388">
        <v>0</v>
      </c>
      <c r="I71" s="388">
        <f>'Exhibit 1'!N22</f>
        <v>13</v>
      </c>
      <c r="J71" s="438">
        <v>2</v>
      </c>
      <c r="K71" s="427">
        <f>F71*J71</f>
        <v>32</v>
      </c>
      <c r="L71" s="428">
        <f>J71*(G71+H71+I71)</f>
        <v>1735.08</v>
      </c>
      <c r="N71" s="46">
        <f>G71*J71</f>
        <v>1709.08</v>
      </c>
      <c r="O71" s="40">
        <f>I71*J71</f>
        <v>26</v>
      </c>
      <c r="P71" s="40">
        <f>H71*J71</f>
        <v>0</v>
      </c>
      <c r="Q71" s="40">
        <f>SUM(N71:P71)</f>
        <v>1735.08</v>
      </c>
    </row>
    <row r="72" spans="1:20" x14ac:dyDescent="0.15">
      <c r="A72" s="450" t="s">
        <v>132</v>
      </c>
      <c r="B72" s="444"/>
      <c r="C72" s="444"/>
      <c r="D72" s="444"/>
      <c r="E72" s="444"/>
      <c r="F72" s="444"/>
      <c r="G72" s="511"/>
      <c r="H72" s="511"/>
      <c r="I72" s="511"/>
      <c r="J72" s="512"/>
      <c r="K72" s="357"/>
      <c r="L72" s="500"/>
      <c r="N72" s="46"/>
      <c r="P72" s="45"/>
      <c r="Q72" s="45"/>
    </row>
    <row r="73" spans="1:20" x14ac:dyDescent="0.15">
      <c r="A73" s="386" t="s">
        <v>133</v>
      </c>
      <c r="B73" s="359">
        <v>0</v>
      </c>
      <c r="C73" s="359">
        <v>1</v>
      </c>
      <c r="D73" s="359">
        <v>0</v>
      </c>
      <c r="E73" s="359">
        <v>2</v>
      </c>
      <c r="F73" s="424">
        <f>SUM(B73:E73)</f>
        <v>3</v>
      </c>
      <c r="G73" s="387">
        <f>(+B73*$B$10)+(C73*$C$10)+(D73*$D$10)+(E73*$E$10)</f>
        <v>171.82</v>
      </c>
      <c r="H73" s="388">
        <v>0</v>
      </c>
      <c r="I73" s="388">
        <f>'Exhibit 1'!N22</f>
        <v>13</v>
      </c>
      <c r="J73" s="438">
        <v>2</v>
      </c>
      <c r="K73" s="427">
        <f>F73*J73</f>
        <v>6</v>
      </c>
      <c r="L73" s="428">
        <f>J73*(G73+H73+I73)</f>
        <v>369.64</v>
      </c>
      <c r="N73" s="46">
        <f>G73*J73</f>
        <v>343.64</v>
      </c>
      <c r="O73" s="40">
        <f>I73*J73</f>
        <v>26</v>
      </c>
      <c r="P73" s="40">
        <f>H73*J73</f>
        <v>0</v>
      </c>
      <c r="Q73" s="40">
        <f>SUM(N73:P73)</f>
        <v>369.64</v>
      </c>
    </row>
    <row r="74" spans="1:20" ht="3" customHeight="1" x14ac:dyDescent="0.15">
      <c r="A74" s="432" t="s">
        <v>406</v>
      </c>
      <c r="B74" s="432"/>
      <c r="C74" s="432"/>
      <c r="D74" s="432"/>
      <c r="E74" s="432"/>
      <c r="F74" s="432"/>
      <c r="G74" s="432"/>
      <c r="H74" s="432"/>
      <c r="I74" s="432"/>
      <c r="J74" s="435"/>
      <c r="K74" s="432"/>
      <c r="L74" s="478"/>
      <c r="N74" s="42"/>
      <c r="P74" s="45"/>
      <c r="Q74" s="45"/>
    </row>
    <row r="75" spans="1:20" x14ac:dyDescent="0.15">
      <c r="A75" s="412" t="s">
        <v>391</v>
      </c>
      <c r="B75" s="461" t="s">
        <v>53</v>
      </c>
      <c r="C75" s="461" t="s">
        <v>53</v>
      </c>
      <c r="D75" s="461" t="s">
        <v>53</v>
      </c>
      <c r="E75" s="461" t="s">
        <v>53</v>
      </c>
      <c r="F75" s="488">
        <f>SUM(F17:F73)</f>
        <v>202.49999999999997</v>
      </c>
      <c r="G75" s="462">
        <f>SUM(G17:G73)</f>
        <v>10380.670000000002</v>
      </c>
      <c r="H75" s="462">
        <f>SUM(H17:H73)</f>
        <v>0</v>
      </c>
      <c r="I75" s="462">
        <f>SUM(I17:I73)</f>
        <v>6913</v>
      </c>
      <c r="J75" s="463" t="s">
        <v>53</v>
      </c>
      <c r="K75" s="513">
        <f>SUM(K17:K73)</f>
        <v>46658.483333333337</v>
      </c>
      <c r="L75" s="514">
        <f>SUM(L17:L73)</f>
        <v>10940590.314941671</v>
      </c>
      <c r="N75" s="132">
        <f>SUM(N17:N73)</f>
        <v>2390765.3049416682</v>
      </c>
      <c r="O75" s="132">
        <f>SUM(O17:O73)</f>
        <v>8549825.0099999998</v>
      </c>
      <c r="P75" s="132">
        <f>SUM(P17:P73)</f>
        <v>0</v>
      </c>
      <c r="Q75" s="132">
        <f>SUM(Q17:Q73)</f>
        <v>10940590.314941671</v>
      </c>
    </row>
    <row r="76" spans="1:20" ht="3" customHeight="1" x14ac:dyDescent="0.15">
      <c r="A76" s="391"/>
      <c r="B76" s="392"/>
      <c r="C76" s="392"/>
      <c r="D76" s="392"/>
      <c r="E76" s="392"/>
      <c r="F76" s="392"/>
      <c r="G76" s="515"/>
      <c r="H76" s="515"/>
      <c r="I76" s="515"/>
      <c r="J76" s="464"/>
      <c r="K76" s="393"/>
      <c r="L76" s="515"/>
      <c r="M76" s="53"/>
      <c r="O76" s="45"/>
      <c r="P76" s="45"/>
      <c r="Q76" s="45"/>
    </row>
    <row r="77" spans="1:20" x14ac:dyDescent="0.15">
      <c r="A77" s="522" t="s">
        <v>378</v>
      </c>
      <c r="B77" s="251"/>
      <c r="C77" s="251"/>
      <c r="D77" s="251"/>
      <c r="E77" s="251"/>
      <c r="F77" s="251"/>
      <c r="G77" s="251"/>
      <c r="H77" s="251"/>
      <c r="I77" s="251"/>
      <c r="J77" s="470"/>
      <c r="K77" s="251"/>
      <c r="L77" s="251"/>
      <c r="M77" s="49"/>
      <c r="O77" s="45"/>
      <c r="P77" s="45"/>
      <c r="Q77" s="45"/>
      <c r="S77" s="10" t="s">
        <v>393</v>
      </c>
      <c r="T77" s="10" t="s">
        <v>395</v>
      </c>
    </row>
    <row r="78" spans="1:20" ht="3" customHeight="1" x14ac:dyDescent="0.15">
      <c r="A78" s="523"/>
      <c r="B78" s="432"/>
      <c r="C78" s="432"/>
      <c r="D78" s="432"/>
      <c r="E78" s="432"/>
      <c r="F78" s="432"/>
      <c r="G78" s="432"/>
      <c r="H78" s="432"/>
      <c r="I78" s="432"/>
      <c r="J78" s="435"/>
      <c r="K78" s="432"/>
      <c r="L78" s="478"/>
      <c r="N78" s="42"/>
      <c r="P78" s="45"/>
      <c r="Q78" s="45"/>
    </row>
    <row r="79" spans="1:20" x14ac:dyDescent="0.15">
      <c r="A79" s="518" t="s">
        <v>379</v>
      </c>
      <c r="B79" s="413"/>
      <c r="C79" s="413"/>
      <c r="D79" s="413"/>
      <c r="E79" s="413"/>
      <c r="F79" s="413"/>
      <c r="G79" s="413"/>
      <c r="H79" s="413"/>
      <c r="I79" s="413"/>
      <c r="J79" s="413"/>
      <c r="K79" s="413"/>
      <c r="L79" s="413"/>
      <c r="S79" s="219">
        <f>'Exhibit 1'!$K$8</f>
        <v>13.81</v>
      </c>
    </row>
    <row r="80" spans="1:20" x14ac:dyDescent="0.15">
      <c r="A80" s="417" t="s">
        <v>313</v>
      </c>
      <c r="B80" s="418"/>
      <c r="C80" s="418"/>
      <c r="D80" s="418"/>
      <c r="E80" s="418"/>
      <c r="F80" s="418"/>
      <c r="G80" s="418"/>
      <c r="H80" s="418"/>
      <c r="I80" s="418"/>
      <c r="J80" s="418"/>
      <c r="K80" s="418"/>
      <c r="L80" s="418"/>
      <c r="S80" s="28" t="s">
        <v>210</v>
      </c>
    </row>
    <row r="81" spans="1:19" x14ac:dyDescent="0.15">
      <c r="A81" s="422" t="s">
        <v>312</v>
      </c>
      <c r="B81" s="423">
        <v>0</v>
      </c>
      <c r="C81" s="423">
        <v>0</v>
      </c>
      <c r="D81" s="423">
        <v>0</v>
      </c>
      <c r="E81" s="423">
        <v>0</v>
      </c>
      <c r="F81" s="424">
        <f>SUM(B81:E81)+S81</f>
        <v>0.1</v>
      </c>
      <c r="G81" s="387">
        <f>(+B81*$B$10)+(C81*$C$10)+(D81*$D$10)+(E81*$E$10)+(S81*$S$10)</f>
        <v>1.8549476831091181</v>
      </c>
      <c r="H81" s="423">
        <v>0</v>
      </c>
      <c r="I81" s="423">
        <v>0</v>
      </c>
      <c r="J81" s="497">
        <v>32423</v>
      </c>
      <c r="K81" s="427">
        <f>F81*J81</f>
        <v>3242.3</v>
      </c>
      <c r="L81" s="428">
        <f>J81*(G81+H81+I81)</f>
        <v>60142.968729446933</v>
      </c>
      <c r="N81" s="110">
        <f>G81*J81</f>
        <v>60142.968729446933</v>
      </c>
      <c r="O81" s="111">
        <f>I81*J81</f>
        <v>0</v>
      </c>
      <c r="P81" s="111">
        <f>H81*J81</f>
        <v>0</v>
      </c>
      <c r="Q81" s="111">
        <f>SUM(N81:P81)</f>
        <v>60142.968729446933</v>
      </c>
      <c r="S81" s="114">
        <v>0.1</v>
      </c>
    </row>
    <row r="82" spans="1:19" x14ac:dyDescent="0.15">
      <c r="A82" s="518" t="s">
        <v>390</v>
      </c>
      <c r="B82" s="524"/>
      <c r="C82" s="524"/>
      <c r="D82" s="524"/>
      <c r="E82" s="524"/>
      <c r="F82" s="413"/>
      <c r="G82" s="413"/>
      <c r="H82" s="413"/>
      <c r="I82" s="413"/>
      <c r="J82" s="413"/>
      <c r="K82" s="413"/>
      <c r="L82" s="413"/>
      <c r="Q82" s="76"/>
    </row>
    <row r="83" spans="1:19" x14ac:dyDescent="0.15">
      <c r="A83" s="422" t="s">
        <v>380</v>
      </c>
      <c r="B83" s="423">
        <v>0</v>
      </c>
      <c r="C83" s="423">
        <v>0.1</v>
      </c>
      <c r="D83" s="423">
        <v>1.8</v>
      </c>
      <c r="E83" s="423">
        <v>1.5</v>
      </c>
      <c r="F83" s="424">
        <f>SUM(B83:E83)+S83</f>
        <v>3.4000000000000004</v>
      </c>
      <c r="G83" s="387">
        <f>(+B83*$B$10)+(C83*$C$10)+(D83*$D$10)+(E83*$E$10)+(S83*$S$10)</f>
        <v>152.18700000000001</v>
      </c>
      <c r="H83" s="423">
        <v>0</v>
      </c>
      <c r="I83" s="423">
        <v>0.38</v>
      </c>
      <c r="J83" s="426">
        <v>256</v>
      </c>
      <c r="K83" s="427">
        <f>F83*J83</f>
        <v>870.40000000000009</v>
      </c>
      <c r="L83" s="428">
        <f>J83*(G83+H83+I83)</f>
        <v>39057.152000000002</v>
      </c>
      <c r="N83" s="110">
        <f>G83*J83</f>
        <v>38959.872000000003</v>
      </c>
      <c r="O83" s="111">
        <f>I83*J83</f>
        <v>97.28</v>
      </c>
      <c r="P83" s="111">
        <f>H83*J83</f>
        <v>0</v>
      </c>
      <c r="Q83" s="111">
        <f>SUM(N83:P83)</f>
        <v>39057.152000000002</v>
      </c>
      <c r="S83" s="114">
        <v>0</v>
      </c>
    </row>
    <row r="84" spans="1:19" x14ac:dyDescent="0.15">
      <c r="A84" s="417" t="s">
        <v>381</v>
      </c>
      <c r="B84" s="418"/>
      <c r="C84" s="418"/>
      <c r="D84" s="418"/>
      <c r="E84" s="418"/>
      <c r="F84" s="418"/>
      <c r="G84" s="418"/>
      <c r="H84" s="418"/>
      <c r="I84" s="418"/>
      <c r="J84" s="418"/>
      <c r="K84" s="418"/>
      <c r="L84" s="418"/>
      <c r="Q84" s="76"/>
    </row>
    <row r="85" spans="1:19" x14ac:dyDescent="0.15">
      <c r="A85" s="417" t="s">
        <v>382</v>
      </c>
      <c r="B85" s="418"/>
      <c r="C85" s="418"/>
      <c r="D85" s="418"/>
      <c r="E85" s="418"/>
      <c r="F85" s="418"/>
      <c r="G85" s="418"/>
      <c r="H85" s="418"/>
      <c r="I85" s="418"/>
      <c r="J85" s="418"/>
      <c r="K85" s="418"/>
      <c r="L85" s="418"/>
      <c r="Q85" s="76"/>
    </row>
    <row r="86" spans="1:19" x14ac:dyDescent="0.15">
      <c r="A86" s="422" t="s">
        <v>383</v>
      </c>
      <c r="B86" s="423">
        <v>0</v>
      </c>
      <c r="C86" s="423">
        <v>0.1</v>
      </c>
      <c r="D86" s="423">
        <v>0.5</v>
      </c>
      <c r="E86" s="423">
        <v>0.1</v>
      </c>
      <c r="F86" s="424">
        <f>SUM(B86:E86)+S86</f>
        <v>0.7</v>
      </c>
      <c r="G86" s="387">
        <f>(+B86*$B$10)+(C86*$C$10)+(D86*$D$10)+(E86*$E$10)+(S86*$S$10)</f>
        <v>39.416000000000004</v>
      </c>
      <c r="H86" s="423">
        <v>0</v>
      </c>
      <c r="I86" s="423">
        <v>0.38</v>
      </c>
      <c r="J86" s="426">
        <v>26</v>
      </c>
      <c r="K86" s="427">
        <f>F86*J86</f>
        <v>18.2</v>
      </c>
      <c r="L86" s="428">
        <f>J86*(G86+H86+I86)</f>
        <v>1034.6960000000001</v>
      </c>
      <c r="N86" s="110">
        <f>G86*J86</f>
        <v>1024.816</v>
      </c>
      <c r="O86" s="111">
        <f>I86*J86</f>
        <v>9.8800000000000008</v>
      </c>
      <c r="P86" s="111">
        <f>H86*J86</f>
        <v>0</v>
      </c>
      <c r="Q86" s="111">
        <f>SUM(N86:P86)</f>
        <v>1034.6960000000001</v>
      </c>
      <c r="S86" s="114">
        <v>0</v>
      </c>
    </row>
    <row r="87" spans="1:19" x14ac:dyDescent="0.15">
      <c r="A87" s="386" t="s">
        <v>384</v>
      </c>
      <c r="B87" s="359">
        <v>0</v>
      </c>
      <c r="C87" s="359">
        <v>0</v>
      </c>
      <c r="D87" s="359">
        <v>0</v>
      </c>
      <c r="E87" s="359">
        <v>0.1</v>
      </c>
      <c r="F87" s="424">
        <f>SUM(B87:E87)</f>
        <v>0.1</v>
      </c>
      <c r="G87" s="387">
        <f>(+B87*$B$10)+(C87*$C$10)+(D87*$D$10)+(E87*$E$10)+(S87*$S$10)</f>
        <v>3.3109999999999999</v>
      </c>
      <c r="H87" s="423">
        <v>0</v>
      </c>
      <c r="I87" s="423">
        <v>0</v>
      </c>
      <c r="J87" s="426">
        <v>256</v>
      </c>
      <c r="K87" s="427">
        <f>F87*J87</f>
        <v>25.6</v>
      </c>
      <c r="L87" s="428">
        <f>J87*(G87+H87+I87)</f>
        <v>847.61599999999999</v>
      </c>
      <c r="N87" s="110">
        <f>G87*J87</f>
        <v>847.61599999999999</v>
      </c>
      <c r="O87" s="111">
        <f>I87*J87</f>
        <v>0</v>
      </c>
      <c r="P87" s="111">
        <f>H87*J87</f>
        <v>0</v>
      </c>
      <c r="Q87" s="111">
        <f>SUM(N87:P87)</f>
        <v>847.61599999999999</v>
      </c>
      <c r="S87" s="114">
        <v>0</v>
      </c>
    </row>
    <row r="88" spans="1:19" x14ac:dyDescent="0.15">
      <c r="A88" s="518" t="s">
        <v>389</v>
      </c>
      <c r="B88" s="524"/>
      <c r="C88" s="524"/>
      <c r="D88" s="524"/>
      <c r="E88" s="413"/>
      <c r="F88" s="413"/>
      <c r="G88" s="413"/>
      <c r="H88" s="413"/>
      <c r="I88" s="413"/>
      <c r="J88" s="413"/>
      <c r="K88" s="413"/>
      <c r="L88" s="413"/>
      <c r="Q88" s="76"/>
    </row>
    <row r="89" spans="1:19" x14ac:dyDescent="0.15">
      <c r="A89" s="422" t="s">
        <v>385</v>
      </c>
      <c r="B89" s="359">
        <v>0</v>
      </c>
      <c r="C89" s="359">
        <v>0.1</v>
      </c>
      <c r="D89" s="359">
        <v>0.5</v>
      </c>
      <c r="E89" s="359">
        <v>0.1</v>
      </c>
      <c r="F89" s="424">
        <f>SUM(B89:E89)</f>
        <v>0.7</v>
      </c>
      <c r="G89" s="387">
        <f>(+B89*$B$10)+(C89*$C$10)+(D89*$D$10)+(E89*$E$10)+(S89*$S$10)</f>
        <v>39.416000000000004</v>
      </c>
      <c r="H89" s="423">
        <v>0</v>
      </c>
      <c r="I89" s="423">
        <v>0.38</v>
      </c>
      <c r="J89" s="426">
        <v>5</v>
      </c>
      <c r="K89" s="427">
        <f>F89*J89</f>
        <v>3.5</v>
      </c>
      <c r="L89" s="428">
        <f>J89*(G89+H89+I89)</f>
        <v>198.98000000000002</v>
      </c>
      <c r="N89" s="110">
        <f>G89*J89</f>
        <v>197.08</v>
      </c>
      <c r="O89" s="111">
        <f>I89*J89</f>
        <v>1.9</v>
      </c>
      <c r="P89" s="111">
        <f>H89*J89</f>
        <v>0</v>
      </c>
      <c r="Q89" s="111">
        <f>SUM(N89:P89)</f>
        <v>198.98000000000002</v>
      </c>
      <c r="S89" s="114">
        <v>0</v>
      </c>
    </row>
    <row r="90" spans="1:19" x14ac:dyDescent="0.15">
      <c r="A90" s="417" t="s">
        <v>386</v>
      </c>
      <c r="B90" s="418"/>
      <c r="C90" s="418"/>
      <c r="D90" s="418"/>
      <c r="E90" s="418"/>
      <c r="F90" s="418"/>
      <c r="G90" s="418"/>
      <c r="H90" s="418"/>
      <c r="I90" s="418"/>
      <c r="J90" s="418"/>
      <c r="K90" s="418"/>
      <c r="L90" s="418"/>
      <c r="Q90" s="76"/>
    </row>
    <row r="91" spans="1:19" x14ac:dyDescent="0.15">
      <c r="A91" s="417" t="s">
        <v>388</v>
      </c>
      <c r="B91" s="418"/>
      <c r="C91" s="418"/>
      <c r="D91" s="418"/>
      <c r="E91" s="418"/>
      <c r="F91" s="418"/>
      <c r="G91" s="418"/>
      <c r="H91" s="418"/>
      <c r="I91" s="418"/>
      <c r="J91" s="418"/>
      <c r="K91" s="418"/>
      <c r="L91" s="418"/>
      <c r="Q91" s="111"/>
    </row>
    <row r="92" spans="1:19" x14ac:dyDescent="0.15">
      <c r="A92" s="422" t="s">
        <v>387</v>
      </c>
      <c r="B92" s="359">
        <v>0</v>
      </c>
      <c r="C92" s="359">
        <v>0</v>
      </c>
      <c r="D92" s="359">
        <v>0</v>
      </c>
      <c r="E92" s="359">
        <v>0.1</v>
      </c>
      <c r="F92" s="424">
        <f>SUM(B92:E92)</f>
        <v>0.1</v>
      </c>
      <c r="G92" s="387">
        <f>(+B92*$B$10)+(C92*$C$10)+(D92*$D$10)+(E92*$E$10)+(S92*$S$10)</f>
        <v>3.3109999999999999</v>
      </c>
      <c r="H92" s="423">
        <v>0</v>
      </c>
      <c r="I92" s="423">
        <v>0</v>
      </c>
      <c r="J92" s="426">
        <v>14</v>
      </c>
      <c r="K92" s="427">
        <f>F92*J92</f>
        <v>1.4000000000000001</v>
      </c>
      <c r="L92" s="428">
        <f>J92*(G92+H92+I92)</f>
        <v>46.353999999999999</v>
      </c>
      <c r="N92" s="110">
        <f>G92*J92</f>
        <v>46.353999999999999</v>
      </c>
      <c r="O92" s="111">
        <f>I92*J92</f>
        <v>0</v>
      </c>
      <c r="P92" s="111">
        <f>H92*J92</f>
        <v>0</v>
      </c>
      <c r="Q92" s="111">
        <f>SUM(N92:P92)</f>
        <v>46.353999999999999</v>
      </c>
      <c r="S92" s="114">
        <v>0</v>
      </c>
    </row>
    <row r="93" spans="1:19" ht="3" customHeight="1" x14ac:dyDescent="0.15">
      <c r="A93" s="432"/>
      <c r="B93" s="432"/>
      <c r="C93" s="432"/>
      <c r="D93" s="432"/>
      <c r="E93" s="432"/>
      <c r="F93" s="432"/>
      <c r="G93" s="432"/>
      <c r="H93" s="432"/>
      <c r="I93" s="432"/>
      <c r="J93" s="435"/>
      <c r="K93" s="432"/>
      <c r="L93" s="478"/>
      <c r="N93" s="112"/>
      <c r="O93" s="76"/>
      <c r="P93" s="113"/>
      <c r="Q93" s="113"/>
      <c r="S93" s="76"/>
    </row>
    <row r="94" spans="1:19" x14ac:dyDescent="0.15">
      <c r="A94" s="518" t="s">
        <v>392</v>
      </c>
      <c r="B94" s="461" t="s">
        <v>53</v>
      </c>
      <c r="C94" s="461" t="s">
        <v>53</v>
      </c>
      <c r="D94" s="461" t="s">
        <v>53</v>
      </c>
      <c r="E94" s="461" t="s">
        <v>53</v>
      </c>
      <c r="F94" s="488">
        <f>SUM(F81:F92)</f>
        <v>5.0999999999999996</v>
      </c>
      <c r="G94" s="462">
        <f>SUM(G81:G92)</f>
        <v>239.49594768310914</v>
      </c>
      <c r="H94" s="462">
        <f>SUM(H36:H92)</f>
        <v>0</v>
      </c>
      <c r="I94" s="462">
        <f>SUM(I81:I92)</f>
        <v>1.1400000000000001</v>
      </c>
      <c r="J94" s="463" t="s">
        <v>53</v>
      </c>
      <c r="K94" s="513">
        <f>SUM(K81:K92)</f>
        <v>4161.4000000000005</v>
      </c>
      <c r="L94" s="516">
        <f>SUM(L81:L92)</f>
        <v>101327.76672944693</v>
      </c>
      <c r="N94" s="110">
        <f>SUM(N81:N92)</f>
        <v>101218.70672944695</v>
      </c>
      <c r="O94" s="110">
        <f>SUM(O81:O92)</f>
        <v>109.06</v>
      </c>
      <c r="P94" s="110">
        <f>SUM(P81:P92)</f>
        <v>0</v>
      </c>
      <c r="Q94" s="111">
        <f>SUM(N94:P94)</f>
        <v>101327.76672944694</v>
      </c>
      <c r="S94" s="114">
        <v>0</v>
      </c>
    </row>
    <row r="95" spans="1:19" ht="3" customHeight="1" x14ac:dyDescent="0.15">
      <c r="A95" s="391"/>
      <c r="B95" s="392"/>
      <c r="C95" s="392"/>
      <c r="D95" s="392"/>
      <c r="E95" s="392"/>
      <c r="F95" s="392"/>
      <c r="G95" s="515"/>
      <c r="H95" s="515"/>
      <c r="I95" s="515"/>
      <c r="J95" s="464"/>
      <c r="K95" s="393"/>
      <c r="L95" s="515"/>
      <c r="M95" s="53"/>
      <c r="O95" s="45"/>
      <c r="P95" s="45"/>
      <c r="Q95" s="45"/>
      <c r="S95" s="114"/>
    </row>
    <row r="96" spans="1:19" ht="13.5" customHeight="1" x14ac:dyDescent="0.2">
      <c r="A96" s="517" t="s">
        <v>134</v>
      </c>
      <c r="B96" s="461" t="s">
        <v>53</v>
      </c>
      <c r="C96" s="461" t="s">
        <v>53</v>
      </c>
      <c r="D96" s="461" t="s">
        <v>53</v>
      </c>
      <c r="E96" s="461" t="s">
        <v>53</v>
      </c>
      <c r="F96" s="488">
        <f>F75+F94</f>
        <v>207.59999999999997</v>
      </c>
      <c r="G96" s="462">
        <f>G75+G94</f>
        <v>10620.165947683112</v>
      </c>
      <c r="H96" s="462">
        <f>H75+H94</f>
        <v>0</v>
      </c>
      <c r="I96" s="462">
        <f>I75+I94</f>
        <v>6914.14</v>
      </c>
      <c r="J96" s="463" t="s">
        <v>53</v>
      </c>
      <c r="K96" s="256">
        <f>K75+K94</f>
        <v>50819.883333333339</v>
      </c>
      <c r="L96" s="525">
        <f>L75+L94</f>
        <v>11041918.081671117</v>
      </c>
      <c r="M96" s="229"/>
      <c r="N96" s="230">
        <f>N75+N94</f>
        <v>2491984.0116711152</v>
      </c>
      <c r="O96" s="230">
        <f>O75+O94</f>
        <v>8549934.0700000003</v>
      </c>
      <c r="P96" s="230">
        <f>P75+P94</f>
        <v>0</v>
      </c>
      <c r="Q96" s="230">
        <f>Q75+Q94</f>
        <v>11041918.081671117</v>
      </c>
      <c r="S96" s="114"/>
    </row>
    <row r="97" spans="1:17" ht="3" customHeight="1" x14ac:dyDescent="0.15">
      <c r="A97" s="391"/>
      <c r="B97" s="392"/>
      <c r="C97" s="392"/>
      <c r="D97" s="392"/>
      <c r="E97" s="392"/>
      <c r="F97" s="392"/>
      <c r="G97" s="515"/>
      <c r="H97" s="515"/>
      <c r="I97" s="515"/>
      <c r="J97" s="464"/>
      <c r="K97" s="393"/>
      <c r="L97" s="515"/>
      <c r="M97" s="53"/>
      <c r="O97" s="45"/>
      <c r="P97" s="45"/>
      <c r="Q97" s="45"/>
    </row>
    <row r="98" spans="1:17" x14ac:dyDescent="0.15">
      <c r="Q98" s="66">
        <f>SUM(N96:P96)</f>
        <v>11041918.081671115</v>
      </c>
    </row>
    <row r="99" spans="1:17" x14ac:dyDescent="0.15">
      <c r="A99" s="9" t="s">
        <v>135</v>
      </c>
    </row>
    <row r="100" spans="1:17" x14ac:dyDescent="0.15">
      <c r="J100" t="s">
        <v>496</v>
      </c>
      <c r="K100" s="177">
        <f>K96*3</f>
        <v>152459.65000000002</v>
      </c>
      <c r="L100">
        <f>L96*3</f>
        <v>33125754.245013349</v>
      </c>
    </row>
  </sheetData>
  <phoneticPr fontId="0" type="noConversion"/>
  <pageMargins left="0.75" right="0.75" top="1" bottom="1" header="0.5" footer="0.5"/>
  <pageSetup orientation="landscape" r:id="rId1"/>
  <headerFooter alignWithMargins="0">
    <oddFooter>Page &amp;P</oddFooter>
  </headerFooter>
  <rowBreaks count="1" manualBreakCount="1">
    <brk id="67"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66"/>
  <sheetViews>
    <sheetView topLeftCell="A49" zoomScaleNormal="100" workbookViewId="0">
      <selection activeCell="E11" sqref="E11"/>
    </sheetView>
  </sheetViews>
  <sheetFormatPr defaultRowHeight="10.5" x14ac:dyDescent="0.15"/>
  <cols>
    <col min="1" max="1" width="34.83203125" customWidth="1"/>
    <col min="2" max="3" width="9.83203125" bestFit="1" customWidth="1"/>
    <col min="4" max="5" width="9.5" bestFit="1" customWidth="1"/>
    <col min="7" max="7" width="9.6640625" bestFit="1" customWidth="1"/>
    <col min="9" max="9" width="9.6640625" bestFit="1" customWidth="1"/>
    <col min="13" max="13" width="2.1640625" customWidth="1"/>
    <col min="14" max="17" width="13.1640625" customWidth="1"/>
  </cols>
  <sheetData>
    <row r="1" spans="1:17" x14ac:dyDescent="0.15">
      <c r="A1" s="360" t="s">
        <v>136</v>
      </c>
      <c r="B1" s="251"/>
      <c r="C1" s="251"/>
      <c r="D1" s="251"/>
      <c r="E1" s="251"/>
      <c r="F1" s="251"/>
      <c r="G1" s="251"/>
      <c r="H1" s="251"/>
      <c r="I1" s="251"/>
      <c r="J1" s="470"/>
      <c r="K1" s="251"/>
      <c r="L1" s="251"/>
      <c r="M1" s="49"/>
      <c r="O1" s="45"/>
      <c r="P1" s="45"/>
    </row>
    <row r="2" spans="1:17" x14ac:dyDescent="0.15">
      <c r="A2" s="360" t="s">
        <v>137</v>
      </c>
      <c r="B2" s="251"/>
      <c r="C2" s="251"/>
      <c r="D2" s="251"/>
      <c r="E2" s="251"/>
      <c r="F2" s="251"/>
      <c r="G2" s="251"/>
      <c r="H2" s="251"/>
      <c r="I2" s="251"/>
      <c r="J2" s="470"/>
      <c r="K2" s="251"/>
      <c r="L2" s="251"/>
      <c r="M2" s="49"/>
      <c r="O2" s="45"/>
      <c r="P2" s="45"/>
    </row>
    <row r="3" spans="1:17" x14ac:dyDescent="0.15">
      <c r="A3" s="360" t="s">
        <v>2</v>
      </c>
      <c r="B3" s="251"/>
      <c r="C3" s="251"/>
      <c r="D3" s="251"/>
      <c r="E3" s="251"/>
      <c r="F3" s="251"/>
      <c r="G3" s="251"/>
      <c r="H3" s="251"/>
      <c r="I3" s="251"/>
      <c r="J3" s="470"/>
      <c r="K3" s="251"/>
      <c r="L3" s="251"/>
      <c r="M3" s="49"/>
      <c r="O3" s="45"/>
      <c r="P3" s="45"/>
    </row>
    <row r="4" spans="1:17" x14ac:dyDescent="0.15">
      <c r="A4" s="361"/>
      <c r="B4" s="361"/>
      <c r="C4" s="361"/>
      <c r="D4" s="361"/>
      <c r="E4" s="361"/>
      <c r="F4" s="361"/>
      <c r="G4" s="361"/>
      <c r="H4" s="361"/>
      <c r="I4" s="361"/>
      <c r="J4" s="466"/>
      <c r="K4" s="361"/>
      <c r="L4" s="361"/>
      <c r="M4" s="31"/>
      <c r="O4" s="45"/>
      <c r="P4" s="45"/>
    </row>
    <row r="5" spans="1:17" x14ac:dyDescent="0.15">
      <c r="A5" s="361"/>
      <c r="B5" s="361"/>
      <c r="C5" s="361"/>
      <c r="D5" s="364" t="s">
        <v>193</v>
      </c>
      <c r="E5" s="361"/>
      <c r="F5" s="361"/>
      <c r="G5" s="361"/>
      <c r="H5" s="361"/>
      <c r="I5" s="361"/>
      <c r="J5" s="466"/>
      <c r="K5" s="365" t="s">
        <v>194</v>
      </c>
      <c r="L5" s="361"/>
      <c r="M5" s="31"/>
      <c r="O5" s="45"/>
      <c r="P5" s="45"/>
    </row>
    <row r="6" spans="1:17" ht="3.75" customHeight="1" x14ac:dyDescent="0.15">
      <c r="A6" s="361"/>
      <c r="B6" s="366"/>
      <c r="C6" s="366"/>
      <c r="D6" s="366"/>
      <c r="E6" s="366"/>
      <c r="F6" s="366"/>
      <c r="G6" s="366"/>
      <c r="H6" s="366"/>
      <c r="I6" s="366"/>
      <c r="J6" s="467"/>
      <c r="K6" s="366"/>
      <c r="L6" s="526"/>
      <c r="M6" s="31"/>
      <c r="O6" s="45"/>
      <c r="P6" s="45"/>
    </row>
    <row r="7" spans="1:17" x14ac:dyDescent="0.15">
      <c r="A7" s="361"/>
      <c r="B7" s="401"/>
      <c r="C7" s="361"/>
      <c r="D7" s="361"/>
      <c r="E7" s="361"/>
      <c r="F7" s="361"/>
      <c r="G7" s="361"/>
      <c r="H7" s="361"/>
      <c r="I7" s="368"/>
      <c r="J7" s="468" t="s">
        <v>3</v>
      </c>
      <c r="K7" s="403"/>
      <c r="L7" s="404"/>
      <c r="M7" s="41"/>
      <c r="O7" s="45"/>
      <c r="P7" s="45"/>
    </row>
    <row r="8" spans="1:17" x14ac:dyDescent="0.15">
      <c r="A8" s="361"/>
      <c r="B8" s="367"/>
      <c r="C8" s="361"/>
      <c r="D8" s="361"/>
      <c r="E8" s="361"/>
      <c r="F8" s="361"/>
      <c r="G8" s="361"/>
      <c r="H8" s="361"/>
      <c r="I8" s="361"/>
      <c r="J8" s="468" t="s">
        <v>195</v>
      </c>
      <c r="K8" s="403"/>
      <c r="L8" s="371"/>
      <c r="M8" s="50"/>
      <c r="O8" s="45"/>
      <c r="P8" s="45"/>
    </row>
    <row r="9" spans="1:17" x14ac:dyDescent="0.15">
      <c r="A9" s="361"/>
      <c r="B9" s="372" t="s">
        <v>196</v>
      </c>
      <c r="C9" s="365" t="s">
        <v>197</v>
      </c>
      <c r="D9" s="365" t="s">
        <v>198</v>
      </c>
      <c r="E9" s="365" t="s">
        <v>199</v>
      </c>
      <c r="F9" s="365" t="s">
        <v>200</v>
      </c>
      <c r="G9" s="365" t="s">
        <v>192</v>
      </c>
      <c r="H9" s="365" t="s">
        <v>201</v>
      </c>
      <c r="I9" s="251"/>
      <c r="J9" s="468" t="s">
        <v>200</v>
      </c>
      <c r="K9" s="402" t="s">
        <v>202</v>
      </c>
      <c r="L9" s="374" t="s">
        <v>202</v>
      </c>
      <c r="N9" s="50" t="s">
        <v>342</v>
      </c>
      <c r="O9" s="10" t="s">
        <v>342</v>
      </c>
      <c r="P9" s="10" t="s">
        <v>342</v>
      </c>
      <c r="Q9" s="10" t="s">
        <v>342</v>
      </c>
    </row>
    <row r="10" spans="1:17" ht="11.25" x14ac:dyDescent="0.2">
      <c r="A10" s="364" t="s">
        <v>4</v>
      </c>
      <c r="B10" s="469">
        <v>131.82</v>
      </c>
      <c r="C10" s="407">
        <v>105.6</v>
      </c>
      <c r="D10" s="407">
        <v>51.09</v>
      </c>
      <c r="E10" s="407">
        <v>33.11</v>
      </c>
      <c r="F10" s="365" t="s">
        <v>203</v>
      </c>
      <c r="G10" s="365" t="s">
        <v>204</v>
      </c>
      <c r="H10" s="365" t="s">
        <v>205</v>
      </c>
      <c r="I10" s="365" t="s">
        <v>206</v>
      </c>
      <c r="J10" s="468" t="s">
        <v>207</v>
      </c>
      <c r="K10" s="402" t="s">
        <v>203</v>
      </c>
      <c r="L10" s="374" t="s">
        <v>204</v>
      </c>
      <c r="N10" s="84" t="s">
        <v>211</v>
      </c>
      <c r="O10" s="84" t="s">
        <v>341</v>
      </c>
      <c r="P10" s="84" t="s">
        <v>396</v>
      </c>
      <c r="Q10" s="84" t="s">
        <v>151</v>
      </c>
    </row>
    <row r="11" spans="1:17" x14ac:dyDescent="0.15">
      <c r="A11" s="364" t="s">
        <v>5</v>
      </c>
      <c r="B11" s="372" t="s">
        <v>210</v>
      </c>
      <c r="C11" s="365" t="s">
        <v>210</v>
      </c>
      <c r="D11" s="365" t="s">
        <v>210</v>
      </c>
      <c r="E11" s="365" t="s">
        <v>210</v>
      </c>
      <c r="F11" s="365" t="s">
        <v>208</v>
      </c>
      <c r="G11" s="365" t="s">
        <v>208</v>
      </c>
      <c r="H11" s="365" t="s">
        <v>151</v>
      </c>
      <c r="I11" s="365" t="s">
        <v>151</v>
      </c>
      <c r="J11" s="468" t="s">
        <v>209</v>
      </c>
      <c r="K11" s="402" t="s">
        <v>208</v>
      </c>
      <c r="L11" s="377" t="s">
        <v>208</v>
      </c>
      <c r="N11" s="51"/>
      <c r="P11" s="45"/>
    </row>
    <row r="12" spans="1:17" ht="2.25" customHeight="1" x14ac:dyDescent="0.15">
      <c r="A12" s="378"/>
      <c r="B12" s="378"/>
      <c r="C12" s="378"/>
      <c r="D12" s="378"/>
      <c r="E12" s="378"/>
      <c r="F12" s="378"/>
      <c r="G12" s="378"/>
      <c r="H12" s="378"/>
      <c r="I12" s="378"/>
      <c r="J12" s="464"/>
      <c r="K12" s="378"/>
      <c r="L12" s="527"/>
      <c r="N12" s="52"/>
      <c r="P12" s="45"/>
    </row>
    <row r="13" spans="1:17" x14ac:dyDescent="0.15">
      <c r="A13" s="401"/>
      <c r="B13" s="472"/>
      <c r="C13" s="472"/>
      <c r="D13" s="472"/>
      <c r="E13" s="472"/>
      <c r="F13" s="472"/>
      <c r="G13" s="251"/>
      <c r="H13" s="251"/>
      <c r="I13" s="251"/>
      <c r="J13" s="470"/>
      <c r="K13" s="473"/>
      <c r="L13" s="528"/>
      <c r="N13" s="42"/>
      <c r="P13" s="45"/>
    </row>
    <row r="14" spans="1:17" x14ac:dyDescent="0.15">
      <c r="A14" s="471" t="s">
        <v>138</v>
      </c>
      <c r="B14" s="472"/>
      <c r="C14" s="472"/>
      <c r="D14" s="472"/>
      <c r="E14" s="472"/>
      <c r="F14" s="472"/>
      <c r="G14" s="251"/>
      <c r="H14" s="251"/>
      <c r="I14" s="251"/>
      <c r="J14" s="470"/>
      <c r="K14" s="473"/>
      <c r="L14" s="528"/>
      <c r="N14" s="42"/>
      <c r="P14" s="45"/>
    </row>
    <row r="15" spans="1:17" ht="3" customHeight="1" x14ac:dyDescent="0.15">
      <c r="A15" s="529"/>
      <c r="B15" s="392"/>
      <c r="C15" s="392"/>
      <c r="D15" s="392"/>
      <c r="E15" s="392"/>
      <c r="F15" s="392"/>
      <c r="G15" s="378"/>
      <c r="H15" s="378"/>
      <c r="I15" s="378"/>
      <c r="J15" s="530"/>
      <c r="K15" s="393"/>
      <c r="L15" s="531"/>
      <c r="N15" s="42"/>
      <c r="P15" s="45"/>
    </row>
    <row r="16" spans="1:17" x14ac:dyDescent="0.15">
      <c r="A16" s="412" t="s">
        <v>314</v>
      </c>
      <c r="B16" s="413"/>
      <c r="C16" s="413"/>
      <c r="D16" s="413"/>
      <c r="E16" s="413"/>
      <c r="F16" s="413"/>
      <c r="G16" s="414"/>
      <c r="H16" s="414"/>
      <c r="I16" s="414"/>
      <c r="J16" s="479"/>
      <c r="K16" s="415"/>
      <c r="L16" s="532"/>
      <c r="N16" s="42"/>
      <c r="P16" s="45"/>
    </row>
    <row r="17" spans="1:17" x14ac:dyDescent="0.15">
      <c r="A17" s="417" t="s">
        <v>139</v>
      </c>
      <c r="B17" s="418"/>
      <c r="C17" s="418"/>
      <c r="D17" s="418"/>
      <c r="E17" s="418"/>
      <c r="F17" s="418"/>
      <c r="G17" s="382"/>
      <c r="H17" s="382"/>
      <c r="I17" s="382"/>
      <c r="J17" s="448"/>
      <c r="K17" s="421"/>
      <c r="L17" s="528"/>
      <c r="N17" s="42"/>
      <c r="P17" s="45"/>
    </row>
    <row r="18" spans="1:17" x14ac:dyDescent="0.15">
      <c r="A18" s="422" t="s">
        <v>140</v>
      </c>
      <c r="B18" s="423">
        <v>0</v>
      </c>
      <c r="C18" s="423">
        <v>4</v>
      </c>
      <c r="D18" s="423">
        <v>40</v>
      </c>
      <c r="E18" s="423">
        <v>6</v>
      </c>
      <c r="F18" s="424">
        <f>SUM(B18:E18)</f>
        <v>50</v>
      </c>
      <c r="G18" s="387">
        <f>(+B18*$B$10)+(+C18*$C$10)+(+D18*$D$10)+(+E18*$E$10)</f>
        <v>2664.66</v>
      </c>
      <c r="H18" s="387">
        <v>0</v>
      </c>
      <c r="I18" s="387">
        <v>0</v>
      </c>
      <c r="J18" s="426">
        <v>1</v>
      </c>
      <c r="K18" s="427">
        <f>F18*J18</f>
        <v>50</v>
      </c>
      <c r="L18" s="533">
        <f>J18*(G18+H18+I18)</f>
        <v>2664.66</v>
      </c>
      <c r="N18" s="46">
        <f>G18*J18</f>
        <v>2664.66</v>
      </c>
      <c r="O18" s="40">
        <f>I18*J18</f>
        <v>0</v>
      </c>
      <c r="P18" s="40">
        <f>H18*J18</f>
        <v>0</v>
      </c>
      <c r="Q18" s="40">
        <f>SUM(N18:P18)</f>
        <v>2664.66</v>
      </c>
    </row>
    <row r="19" spans="1:17" x14ac:dyDescent="0.15">
      <c r="A19" s="417" t="s">
        <v>141</v>
      </c>
      <c r="B19" s="418">
        <v>0</v>
      </c>
      <c r="C19" s="418">
        <v>0</v>
      </c>
      <c r="D19" s="418">
        <v>0</v>
      </c>
      <c r="E19" s="418">
        <v>2</v>
      </c>
      <c r="F19" s="424">
        <f>SUM(B19:E19)</f>
        <v>2</v>
      </c>
      <c r="G19" s="387">
        <f>(+B19*$B$10)+(+C19*$C$10)+(+D19*$D$10)+(+E19*$E$10)</f>
        <v>66.22</v>
      </c>
      <c r="H19" s="449">
        <v>0</v>
      </c>
      <c r="I19" s="449">
        <f>'Exhibit 1'!N22</f>
        <v>13</v>
      </c>
      <c r="J19" s="420">
        <v>1</v>
      </c>
      <c r="K19" s="427">
        <f>F19*J19</f>
        <v>2</v>
      </c>
      <c r="L19" s="533">
        <f>J19*(G19+H19+I19)</f>
        <v>79.22</v>
      </c>
      <c r="N19" s="46">
        <f>G19*J19</f>
        <v>66.22</v>
      </c>
      <c r="O19" s="40">
        <f>I19*J19</f>
        <v>13</v>
      </c>
      <c r="P19" s="40">
        <f>H19*J19</f>
        <v>0</v>
      </c>
      <c r="Q19" s="40">
        <f>SUM(N19:P19)</f>
        <v>79.22</v>
      </c>
    </row>
    <row r="20" spans="1:17" ht="3" customHeight="1" x14ac:dyDescent="0.15">
      <c r="A20" s="529"/>
      <c r="B20" s="392"/>
      <c r="C20" s="392"/>
      <c r="D20" s="392"/>
      <c r="E20" s="392"/>
      <c r="F20" s="392"/>
      <c r="G20" s="378"/>
      <c r="H20" s="378"/>
      <c r="I20" s="378"/>
      <c r="J20" s="530"/>
      <c r="K20" s="393"/>
      <c r="L20" s="531"/>
      <c r="N20" s="42"/>
      <c r="P20" s="45"/>
    </row>
    <row r="21" spans="1:17" x14ac:dyDescent="0.15">
      <c r="A21" s="534" t="s">
        <v>16</v>
      </c>
      <c r="B21" s="418">
        <f t="shared" ref="B21:I21" si="0">SUM(B18:B20)</f>
        <v>0</v>
      </c>
      <c r="C21" s="418">
        <f t="shared" si="0"/>
        <v>4</v>
      </c>
      <c r="D21" s="418">
        <f t="shared" si="0"/>
        <v>40</v>
      </c>
      <c r="E21" s="418">
        <f t="shared" si="0"/>
        <v>8</v>
      </c>
      <c r="F21" s="418">
        <f t="shared" si="0"/>
        <v>52</v>
      </c>
      <c r="G21" s="449">
        <f t="shared" si="0"/>
        <v>2730.8799999999997</v>
      </c>
      <c r="H21" s="449">
        <f t="shared" si="0"/>
        <v>0</v>
      </c>
      <c r="I21" s="449">
        <f t="shared" si="0"/>
        <v>13</v>
      </c>
      <c r="J21" s="420">
        <f>(J19)</f>
        <v>1</v>
      </c>
      <c r="K21" s="421">
        <f>SUM(K18:K20)</f>
        <v>52</v>
      </c>
      <c r="L21" s="535">
        <f>SUM(L18:L20)</f>
        <v>2743.8799999999997</v>
      </c>
      <c r="N21" s="46"/>
      <c r="O21" s="46"/>
      <c r="P21" s="46"/>
    </row>
    <row r="22" spans="1:17" ht="3" customHeight="1" x14ac:dyDescent="0.15">
      <c r="A22" s="529"/>
      <c r="B22" s="392"/>
      <c r="C22" s="392"/>
      <c r="D22" s="392"/>
      <c r="E22" s="392"/>
      <c r="F22" s="392"/>
      <c r="G22" s="378"/>
      <c r="H22" s="378"/>
      <c r="I22" s="378"/>
      <c r="J22" s="530"/>
      <c r="K22" s="393"/>
      <c r="L22" s="531"/>
      <c r="N22" s="42"/>
      <c r="P22" s="45"/>
    </row>
    <row r="23" spans="1:17" x14ac:dyDescent="0.15">
      <c r="A23" s="484" t="s">
        <v>142</v>
      </c>
      <c r="B23" s="536"/>
      <c r="C23" s="536"/>
      <c r="D23" s="536"/>
      <c r="E23" s="536"/>
      <c r="F23" s="536"/>
      <c r="G23" s="537"/>
      <c r="H23" s="537"/>
      <c r="I23" s="537"/>
      <c r="J23" s="538"/>
      <c r="K23" s="539"/>
      <c r="L23" s="540"/>
      <c r="N23" s="42"/>
      <c r="P23" s="45"/>
    </row>
    <row r="24" spans="1:17" ht="3" customHeight="1" x14ac:dyDescent="0.15">
      <c r="A24" s="529"/>
      <c r="B24" s="392"/>
      <c r="C24" s="392"/>
      <c r="D24" s="392"/>
      <c r="E24" s="392"/>
      <c r="F24" s="392"/>
      <c r="G24" s="378"/>
      <c r="H24" s="378"/>
      <c r="I24" s="378"/>
      <c r="J24" s="530"/>
      <c r="K24" s="393"/>
      <c r="L24" s="531"/>
      <c r="N24" s="42"/>
      <c r="P24" s="45"/>
    </row>
    <row r="25" spans="1:17" x14ac:dyDescent="0.15">
      <c r="A25" s="417" t="s">
        <v>143</v>
      </c>
      <c r="B25" s="418"/>
      <c r="C25" s="418"/>
      <c r="D25" s="418"/>
      <c r="E25" s="418"/>
      <c r="F25" s="418"/>
      <c r="G25" s="382"/>
      <c r="H25" s="382"/>
      <c r="I25" s="382"/>
      <c r="J25" s="448"/>
      <c r="K25" s="421"/>
      <c r="L25" s="528"/>
      <c r="N25" s="42"/>
      <c r="P25" s="45"/>
    </row>
    <row r="26" spans="1:17" x14ac:dyDescent="0.15">
      <c r="A26" s="422" t="s">
        <v>144</v>
      </c>
      <c r="B26" s="423">
        <v>0</v>
      </c>
      <c r="C26" s="423">
        <v>0</v>
      </c>
      <c r="D26" s="423">
        <v>24</v>
      </c>
      <c r="E26" s="423">
        <v>8</v>
      </c>
      <c r="F26" s="424">
        <f>SUM(B26:E26)</f>
        <v>32</v>
      </c>
      <c r="G26" s="387">
        <f>(+B26*$B$10)+(+C26*$C$10)+(+D26*$D$10)+(+E26*$E$10)</f>
        <v>1491.04</v>
      </c>
      <c r="H26" s="387">
        <v>0</v>
      </c>
      <c r="I26" s="387">
        <f>'Exhibit 1'!N22</f>
        <v>13</v>
      </c>
      <c r="J26" s="426">
        <v>1</v>
      </c>
      <c r="K26" s="427">
        <f>F26*J26</f>
        <v>32</v>
      </c>
      <c r="L26" s="533">
        <f>J26*(G26+H26+I26)</f>
        <v>1504.04</v>
      </c>
      <c r="N26" s="46">
        <f>G26*J26</f>
        <v>1491.04</v>
      </c>
      <c r="O26" s="40">
        <f>I26*J26</f>
        <v>13</v>
      </c>
      <c r="P26" s="40">
        <f>H26*J26</f>
        <v>0</v>
      </c>
      <c r="Q26" s="40">
        <f>SUM(N26:P26)</f>
        <v>1504.04</v>
      </c>
    </row>
    <row r="27" spans="1:17" x14ac:dyDescent="0.15">
      <c r="A27" s="417" t="s">
        <v>145</v>
      </c>
      <c r="B27" s="418"/>
      <c r="C27" s="418"/>
      <c r="D27" s="418"/>
      <c r="E27" s="418"/>
      <c r="F27" s="418"/>
      <c r="G27" s="382"/>
      <c r="H27" s="382"/>
      <c r="I27" s="382"/>
      <c r="J27" s="448"/>
      <c r="K27" s="421"/>
      <c r="L27" s="528"/>
      <c r="N27" s="42"/>
      <c r="P27" s="45"/>
    </row>
    <row r="28" spans="1:17" x14ac:dyDescent="0.15">
      <c r="A28" s="417" t="s">
        <v>146</v>
      </c>
      <c r="B28" s="418"/>
      <c r="C28" s="418"/>
      <c r="D28" s="418"/>
      <c r="E28" s="418"/>
      <c r="F28" s="418"/>
      <c r="G28" s="382"/>
      <c r="H28" s="382"/>
      <c r="I28" s="382"/>
      <c r="J28" s="448"/>
      <c r="K28" s="421"/>
      <c r="L28" s="528"/>
      <c r="N28" s="42"/>
      <c r="P28" s="45"/>
    </row>
    <row r="29" spans="1:17" x14ac:dyDescent="0.15">
      <c r="A29" s="422" t="s">
        <v>147</v>
      </c>
      <c r="B29" s="423">
        <v>0</v>
      </c>
      <c r="C29" s="423">
        <v>2</v>
      </c>
      <c r="D29" s="423">
        <v>16</v>
      </c>
      <c r="E29" s="423">
        <v>9</v>
      </c>
      <c r="F29" s="424">
        <f>SUM(B29:E29)</f>
        <v>27</v>
      </c>
      <c r="G29" s="387">
        <f>(+B29*$B$10)+(+C29*$C$10)+(+D29*$D$10)+(+E29*$E$10)</f>
        <v>1326.63</v>
      </c>
      <c r="H29" s="387">
        <v>0</v>
      </c>
      <c r="I29" s="387">
        <f>'Exhibit 1'!N24</f>
        <v>1250</v>
      </c>
      <c r="J29" s="426">
        <v>1</v>
      </c>
      <c r="K29" s="427">
        <f>F29*J29</f>
        <v>27</v>
      </c>
      <c r="L29" s="533">
        <f>J29*(G29+H29+I29)</f>
        <v>2576.63</v>
      </c>
      <c r="N29" s="46">
        <f>G29*J29</f>
        <v>1326.63</v>
      </c>
      <c r="O29" s="40">
        <f>I29*J29</f>
        <v>1250</v>
      </c>
      <c r="P29" s="40">
        <f>H29*J29</f>
        <v>0</v>
      </c>
      <c r="Q29" s="40">
        <f>SUM(N29:P29)</f>
        <v>2576.63</v>
      </c>
    </row>
    <row r="30" spans="1:17" ht="31.5" x14ac:dyDescent="0.15">
      <c r="A30" s="541" t="s">
        <v>315</v>
      </c>
      <c r="B30" s="418">
        <v>0</v>
      </c>
      <c r="C30" s="418">
        <v>2</v>
      </c>
      <c r="D30" s="418">
        <v>0</v>
      </c>
      <c r="E30" s="418">
        <v>1</v>
      </c>
      <c r="F30" s="424">
        <f>SUM(B30:E30)</f>
        <v>3</v>
      </c>
      <c r="G30" s="387">
        <f>(+B30*$B$10)+(+C30*$C$10)+(+D30*$D$10)+(+E30*$E$10)</f>
        <v>244.31</v>
      </c>
      <c r="H30" s="449">
        <v>0</v>
      </c>
      <c r="I30" s="449">
        <v>0</v>
      </c>
      <c r="J30" s="420">
        <v>1</v>
      </c>
      <c r="K30" s="427">
        <f>F30*J30</f>
        <v>3</v>
      </c>
      <c r="L30" s="533">
        <f>J30*(G30+H30+I30)</f>
        <v>244.31</v>
      </c>
      <c r="N30" s="46">
        <f>G30*J30</f>
        <v>244.31</v>
      </c>
      <c r="O30" s="40">
        <f>I30*J30</f>
        <v>0</v>
      </c>
      <c r="P30" s="40">
        <f>H30*J30</f>
        <v>0</v>
      </c>
      <c r="Q30" s="40">
        <f>SUM(N30:P30)</f>
        <v>244.31</v>
      </c>
    </row>
    <row r="31" spans="1:17" ht="3" customHeight="1" x14ac:dyDescent="0.15">
      <c r="A31" s="366"/>
      <c r="B31" s="392"/>
      <c r="C31" s="392"/>
      <c r="D31" s="392"/>
      <c r="E31" s="392"/>
      <c r="F31" s="392"/>
      <c r="G31" s="378"/>
      <c r="H31" s="378"/>
      <c r="I31" s="378"/>
      <c r="J31" s="530"/>
      <c r="K31" s="393"/>
      <c r="L31" s="531"/>
      <c r="N31" s="49"/>
      <c r="P31" s="45"/>
    </row>
    <row r="32" spans="1:17" x14ac:dyDescent="0.15">
      <c r="A32" s="534" t="s">
        <v>16</v>
      </c>
      <c r="B32" s="418">
        <f t="shared" ref="B32:I32" si="1">SUM(B25:B31)</f>
        <v>0</v>
      </c>
      <c r="C32" s="418">
        <f t="shared" si="1"/>
        <v>4</v>
      </c>
      <c r="D32" s="418">
        <f t="shared" si="1"/>
        <v>40</v>
      </c>
      <c r="E32" s="418">
        <f t="shared" si="1"/>
        <v>18</v>
      </c>
      <c r="F32" s="418">
        <f t="shared" si="1"/>
        <v>62</v>
      </c>
      <c r="G32" s="449">
        <f t="shared" si="1"/>
        <v>3061.98</v>
      </c>
      <c r="H32" s="449">
        <f t="shared" si="1"/>
        <v>0</v>
      </c>
      <c r="I32" s="449">
        <f t="shared" si="1"/>
        <v>1263</v>
      </c>
      <c r="J32" s="420">
        <f>(J30)</f>
        <v>1</v>
      </c>
      <c r="K32" s="421">
        <f>SUM(K25:K31)</f>
        <v>62</v>
      </c>
      <c r="L32" s="535">
        <f>SUM(L25:L31)</f>
        <v>4324.9800000000005</v>
      </c>
      <c r="N32" s="46"/>
      <c r="O32" s="46"/>
      <c r="P32" s="46"/>
    </row>
    <row r="33" spans="1:17" ht="3" customHeight="1" x14ac:dyDescent="0.15">
      <c r="A33" s="366"/>
      <c r="B33" s="392"/>
      <c r="C33" s="392"/>
      <c r="D33" s="392"/>
      <c r="E33" s="392"/>
      <c r="F33" s="392"/>
      <c r="G33" s="378"/>
      <c r="H33" s="378"/>
      <c r="I33" s="378"/>
      <c r="J33" s="530"/>
      <c r="K33" s="393"/>
      <c r="L33" s="531"/>
      <c r="M33" s="49"/>
      <c r="O33" s="45"/>
      <c r="P33" s="45"/>
    </row>
    <row r="34" spans="1:17" ht="11.25" x14ac:dyDescent="0.2">
      <c r="A34" s="686" t="s">
        <v>370</v>
      </c>
      <c r="B34" s="686"/>
      <c r="C34" s="686"/>
      <c r="D34" s="686"/>
      <c r="E34" s="686"/>
      <c r="F34" s="686"/>
      <c r="G34" s="686"/>
      <c r="H34" s="686"/>
      <c r="I34" s="686"/>
      <c r="J34" s="686"/>
      <c r="K34" s="686"/>
      <c r="L34" s="686"/>
      <c r="M34" s="91"/>
      <c r="N34" s="91"/>
    </row>
    <row r="35" spans="1:17" ht="11.25" x14ac:dyDescent="0.2">
      <c r="A35" s="686" t="s">
        <v>371</v>
      </c>
      <c r="B35" s="686"/>
      <c r="C35" s="686"/>
      <c r="D35" s="686"/>
      <c r="E35" s="686"/>
      <c r="F35" s="686"/>
      <c r="G35" s="686"/>
      <c r="H35" s="686"/>
      <c r="I35" s="686"/>
      <c r="J35" s="686"/>
      <c r="K35" s="686"/>
      <c r="L35" s="686"/>
      <c r="M35" s="91"/>
      <c r="N35" s="91"/>
    </row>
    <row r="36" spans="1:17" ht="33.75" x14ac:dyDescent="0.2">
      <c r="A36" s="542" t="s">
        <v>353</v>
      </c>
      <c r="B36" s="244">
        <v>0</v>
      </c>
      <c r="C36" s="244">
        <v>0.25</v>
      </c>
      <c r="D36" s="244">
        <v>1</v>
      </c>
      <c r="E36" s="244">
        <v>0</v>
      </c>
      <c r="F36" s="244">
        <f>SUM(B36:E36)</f>
        <v>1.25</v>
      </c>
      <c r="G36" s="387">
        <f>(+B36*$B$10)+(+C36*$C$10)+(+D36*$D$10)+(+E36*$E$10)</f>
        <v>77.490000000000009</v>
      </c>
      <c r="H36" s="245">
        <v>0</v>
      </c>
      <c r="I36" s="245">
        <v>0</v>
      </c>
      <c r="J36" s="543">
        <v>2</v>
      </c>
      <c r="K36" s="247">
        <f>ROUND(F36*J36,0)</f>
        <v>3</v>
      </c>
      <c r="L36" s="248">
        <f>ROUND((G36+H36+I36)*J36,0)</f>
        <v>155</v>
      </c>
      <c r="N36" s="46">
        <f>G36*J36</f>
        <v>154.98000000000002</v>
      </c>
      <c r="O36" s="40">
        <f>I36*J36</f>
        <v>0</v>
      </c>
      <c r="P36" s="40">
        <f>H36*J36</f>
        <v>0</v>
      </c>
      <c r="Q36" s="40">
        <f>SUM(N36:P36)</f>
        <v>154.98000000000002</v>
      </c>
    </row>
    <row r="37" spans="1:17" ht="45" x14ac:dyDescent="0.2">
      <c r="A37" s="542" t="s">
        <v>354</v>
      </c>
      <c r="B37" s="244">
        <v>0</v>
      </c>
      <c r="C37" s="244">
        <v>0</v>
      </c>
      <c r="D37" s="244">
        <v>0.5</v>
      </c>
      <c r="E37" s="244">
        <v>0</v>
      </c>
      <c r="F37" s="244">
        <f>SUM(B37:E37)</f>
        <v>0.5</v>
      </c>
      <c r="G37" s="387">
        <f>(+B37*$B$10)+(+C37*$C$10)+(+D37*$D$10)+(+E37*$E$10)</f>
        <v>25.545000000000002</v>
      </c>
      <c r="H37" s="245">
        <v>0</v>
      </c>
      <c r="I37" s="245">
        <v>0</v>
      </c>
      <c r="J37" s="543">
        <v>2</v>
      </c>
      <c r="K37" s="247">
        <f>ROUND(F37*J37,0)</f>
        <v>1</v>
      </c>
      <c r="L37" s="248">
        <f>ROUND((G37+H37+I37)*J37,0)</f>
        <v>51</v>
      </c>
      <c r="N37" s="46">
        <f>G37*J37</f>
        <v>51.09</v>
      </c>
      <c r="O37" s="40">
        <f>I37*J37</f>
        <v>0</v>
      </c>
      <c r="P37" s="40">
        <f>H37*J37</f>
        <v>0</v>
      </c>
      <c r="Q37" s="40">
        <f>SUM(N37:P37)</f>
        <v>51.09</v>
      </c>
    </row>
    <row r="38" spans="1:17" ht="11.25" x14ac:dyDescent="0.2">
      <c r="A38" s="544" t="s">
        <v>355</v>
      </c>
      <c r="B38" s="244">
        <v>0</v>
      </c>
      <c r="C38" s="244">
        <v>0</v>
      </c>
      <c r="D38" s="244">
        <v>0</v>
      </c>
      <c r="E38" s="244">
        <v>0.1</v>
      </c>
      <c r="F38" s="244">
        <f>SUM(B38:E38)</f>
        <v>0.1</v>
      </c>
      <c r="G38" s="387">
        <f>(+B38*$B$10)+(+C38*$C$10)+(+D38*$D$10)+(+E38*$E$10)</f>
        <v>3.3109999999999999</v>
      </c>
      <c r="H38" s="245">
        <v>0</v>
      </c>
      <c r="I38" s="245">
        <v>0</v>
      </c>
      <c r="J38" s="543">
        <v>2</v>
      </c>
      <c r="K38" s="247">
        <f>ROUND(F38*J38,0)</f>
        <v>0</v>
      </c>
      <c r="L38" s="248">
        <f>ROUND((G38+H38+I38)*J38,0)</f>
        <v>7</v>
      </c>
      <c r="N38" s="46">
        <f>G38*J38</f>
        <v>6.6219999999999999</v>
      </c>
      <c r="O38" s="40">
        <f>I38*J38</f>
        <v>0</v>
      </c>
      <c r="P38" s="40">
        <f>H38*J38</f>
        <v>0</v>
      </c>
      <c r="Q38" s="40">
        <f>SUM(N38:P38)</f>
        <v>6.6219999999999999</v>
      </c>
    </row>
    <row r="39" spans="1:17" ht="11.25" x14ac:dyDescent="0.2">
      <c r="A39" s="545" t="s">
        <v>16</v>
      </c>
      <c r="B39" s="546">
        <f t="shared" ref="B39:I39" si="2">SUM(B36:B38)</f>
        <v>0</v>
      </c>
      <c r="C39" s="546">
        <f t="shared" si="2"/>
        <v>0.25</v>
      </c>
      <c r="D39" s="546">
        <f t="shared" si="2"/>
        <v>1.5</v>
      </c>
      <c r="E39" s="546">
        <f t="shared" si="2"/>
        <v>0.1</v>
      </c>
      <c r="F39" s="546">
        <f t="shared" si="2"/>
        <v>1.85</v>
      </c>
      <c r="G39" s="547">
        <f t="shared" si="2"/>
        <v>106.346</v>
      </c>
      <c r="H39" s="547">
        <f t="shared" si="2"/>
        <v>0</v>
      </c>
      <c r="I39" s="547">
        <f t="shared" si="2"/>
        <v>0</v>
      </c>
      <c r="J39" s="548">
        <v>2</v>
      </c>
      <c r="K39" s="549">
        <f>SUM(K36:K38)</f>
        <v>4</v>
      </c>
      <c r="L39" s="550">
        <f>SUM(L36:L38)</f>
        <v>213</v>
      </c>
      <c r="N39" s="92"/>
      <c r="O39" s="92"/>
    </row>
    <row r="40" spans="1:17" ht="11.25" x14ac:dyDescent="0.2">
      <c r="A40" s="686" t="s">
        <v>372</v>
      </c>
      <c r="B40" s="686"/>
      <c r="C40" s="686"/>
      <c r="D40" s="686"/>
      <c r="E40" s="686"/>
      <c r="F40" s="686"/>
      <c r="G40" s="686"/>
      <c r="H40" s="686"/>
      <c r="I40" s="686"/>
      <c r="J40" s="686"/>
      <c r="K40" s="686"/>
      <c r="L40" s="686"/>
      <c r="N40" s="92"/>
      <c r="O40" s="92"/>
    </row>
    <row r="41" spans="1:17" ht="45" x14ac:dyDescent="0.2">
      <c r="A41" s="542" t="s">
        <v>356</v>
      </c>
      <c r="B41" s="244">
        <v>0</v>
      </c>
      <c r="C41" s="244">
        <v>0.25</v>
      </c>
      <c r="D41" s="244">
        <v>4</v>
      </c>
      <c r="E41" s="244">
        <v>0.1</v>
      </c>
      <c r="F41" s="244">
        <f>SUM(B41:E41)</f>
        <v>4.3499999999999996</v>
      </c>
      <c r="G41" s="387">
        <f>(+B41*$B$10)+(+C41*$C$10)+(+D41*$D$10)+(+E41*$E$10)</f>
        <v>234.07100000000003</v>
      </c>
      <c r="H41" s="245">
        <v>0</v>
      </c>
      <c r="I41" s="245">
        <v>0</v>
      </c>
      <c r="J41" s="543">
        <v>22</v>
      </c>
      <c r="K41" s="247">
        <f>ROUND(F41*J41,0)</f>
        <v>96</v>
      </c>
      <c r="L41" s="248">
        <f>ROUND((G41+H41+I41)*J41,0)</f>
        <v>5150</v>
      </c>
      <c r="N41" s="46">
        <f>G41*J41</f>
        <v>5149.5620000000008</v>
      </c>
      <c r="O41" s="40">
        <f>I41*J41</f>
        <v>0</v>
      </c>
      <c r="P41" s="40">
        <f>H41*J41</f>
        <v>0</v>
      </c>
      <c r="Q41" s="40">
        <f>SUM(N41:P41)</f>
        <v>5149.5620000000008</v>
      </c>
    </row>
    <row r="42" spans="1:17" ht="33.75" x14ac:dyDescent="0.2">
      <c r="A42" s="544" t="s">
        <v>357</v>
      </c>
      <c r="B42" s="244">
        <v>0</v>
      </c>
      <c r="C42" s="244">
        <v>0</v>
      </c>
      <c r="D42" s="244">
        <v>3</v>
      </c>
      <c r="E42" s="244">
        <v>0</v>
      </c>
      <c r="F42" s="244">
        <f>SUM(B42:E42)</f>
        <v>3</v>
      </c>
      <c r="G42" s="387">
        <f>(+B42*$B$10)+(+C42*$C$10)+(+D42*$D$10)+(+E42*$E$10)</f>
        <v>153.27000000000001</v>
      </c>
      <c r="H42" s="245">
        <v>0</v>
      </c>
      <c r="I42" s="245">
        <v>0</v>
      </c>
      <c r="J42" s="543">
        <v>22</v>
      </c>
      <c r="K42" s="247">
        <f>ROUND(F42*J42,0)</f>
        <v>66</v>
      </c>
      <c r="L42" s="248">
        <f>ROUND((G42+H42+I42)*J42,0)</f>
        <v>3372</v>
      </c>
      <c r="N42" s="46">
        <f>G42*J42</f>
        <v>3371.94</v>
      </c>
      <c r="O42" s="40">
        <f>I42*J42</f>
        <v>0</v>
      </c>
      <c r="P42" s="40">
        <f>H42*J42</f>
        <v>0</v>
      </c>
      <c r="Q42" s="40">
        <f>SUM(N42:P42)</f>
        <v>3371.94</v>
      </c>
    </row>
    <row r="43" spans="1:17" ht="33.75" x14ac:dyDescent="0.2">
      <c r="A43" s="544" t="s">
        <v>358</v>
      </c>
      <c r="B43" s="244">
        <v>0</v>
      </c>
      <c r="C43" s="244">
        <v>0</v>
      </c>
      <c r="D43" s="244">
        <v>3</v>
      </c>
      <c r="E43" s="244">
        <v>0</v>
      </c>
      <c r="F43" s="244">
        <f>SUM(B43:E43)</f>
        <v>3</v>
      </c>
      <c r="G43" s="387">
        <f>(+B43*$B$10)+(+C43*$C$10)+(+D43*$D$10)+(+E43*$E$10)</f>
        <v>153.27000000000001</v>
      </c>
      <c r="H43" s="245">
        <v>0</v>
      </c>
      <c r="I43" s="245">
        <v>0</v>
      </c>
      <c r="J43" s="543">
        <v>22</v>
      </c>
      <c r="K43" s="247">
        <f>ROUND(F43*J43,0)</f>
        <v>66</v>
      </c>
      <c r="L43" s="248">
        <f>ROUND((G43+H43+I43)*J43,0)</f>
        <v>3372</v>
      </c>
      <c r="N43" s="46">
        <f>G43*J43</f>
        <v>3371.94</v>
      </c>
      <c r="O43" s="40">
        <f>I43*J43</f>
        <v>0</v>
      </c>
      <c r="P43" s="40">
        <f>H43*J43</f>
        <v>0</v>
      </c>
      <c r="Q43" s="40">
        <f>SUM(N43:P43)</f>
        <v>3371.94</v>
      </c>
    </row>
    <row r="44" spans="1:17" ht="11.25" x14ac:dyDescent="0.2">
      <c r="A44" s="544" t="s">
        <v>355</v>
      </c>
      <c r="B44" s="244">
        <v>0</v>
      </c>
      <c r="C44" s="244">
        <v>0</v>
      </c>
      <c r="D44" s="244">
        <v>0</v>
      </c>
      <c r="E44" s="244">
        <v>0.1</v>
      </c>
      <c r="F44" s="244">
        <f>SUM(B44:E44)</f>
        <v>0.1</v>
      </c>
      <c r="G44" s="387">
        <f>(+B44*$B$10)+(+C44*$C$10)+(+D44*$D$10)+(+E44*$E$10)</f>
        <v>3.3109999999999999</v>
      </c>
      <c r="H44" s="245">
        <v>0</v>
      </c>
      <c r="I44" s="245">
        <v>0</v>
      </c>
      <c r="J44" s="543">
        <v>22</v>
      </c>
      <c r="K44" s="247">
        <f>ROUND(F44*J44,0)</f>
        <v>2</v>
      </c>
      <c r="L44" s="248">
        <f>ROUND((G44+H44+I44)*J44,0)</f>
        <v>73</v>
      </c>
      <c r="N44" s="46">
        <f>G44*J44</f>
        <v>72.841999999999999</v>
      </c>
      <c r="O44" s="40">
        <f>I44*J44</f>
        <v>0</v>
      </c>
      <c r="Q44" s="40">
        <f>SUM(N44:P44)</f>
        <v>72.841999999999999</v>
      </c>
    </row>
    <row r="45" spans="1:17" ht="11.25" x14ac:dyDescent="0.2">
      <c r="A45" s="545" t="s">
        <v>16</v>
      </c>
      <c r="B45" s="546">
        <f t="shared" ref="B45:I45" si="3">SUM(B41:B44)</f>
        <v>0</v>
      </c>
      <c r="C45" s="546">
        <f t="shared" si="3"/>
        <v>0.25</v>
      </c>
      <c r="D45" s="546">
        <f t="shared" si="3"/>
        <v>10</v>
      </c>
      <c r="E45" s="546">
        <f t="shared" si="3"/>
        <v>0.2</v>
      </c>
      <c r="F45" s="546">
        <f t="shared" si="3"/>
        <v>10.45</v>
      </c>
      <c r="G45" s="547">
        <f t="shared" si="3"/>
        <v>543.92200000000003</v>
      </c>
      <c r="H45" s="547">
        <f t="shared" si="3"/>
        <v>0</v>
      </c>
      <c r="I45" s="547">
        <f t="shared" si="3"/>
        <v>0</v>
      </c>
      <c r="J45" s="548">
        <v>22</v>
      </c>
      <c r="K45" s="549">
        <f>SUM(K41:K44)</f>
        <v>230</v>
      </c>
      <c r="L45" s="550">
        <f>SUM(L41:L44)</f>
        <v>11967</v>
      </c>
      <c r="N45" s="92"/>
      <c r="O45" s="92"/>
    </row>
    <row r="46" spans="1:17" ht="11.25" x14ac:dyDescent="0.2">
      <c r="A46" s="686" t="s">
        <v>373</v>
      </c>
      <c r="B46" s="686"/>
      <c r="C46" s="686"/>
      <c r="D46" s="686"/>
      <c r="E46" s="686"/>
      <c r="F46" s="686"/>
      <c r="G46" s="686"/>
      <c r="H46" s="686"/>
      <c r="I46" s="686"/>
      <c r="J46" s="686"/>
      <c r="K46" s="686"/>
      <c r="L46" s="686"/>
      <c r="N46" s="92"/>
      <c r="O46" s="92"/>
    </row>
    <row r="47" spans="1:17" ht="33.75" x14ac:dyDescent="0.2">
      <c r="A47" s="542" t="s">
        <v>359</v>
      </c>
      <c r="B47" s="551">
        <v>0</v>
      </c>
      <c r="C47" s="551">
        <v>0</v>
      </c>
      <c r="D47" s="551">
        <v>2</v>
      </c>
      <c r="E47" s="551">
        <v>0.1</v>
      </c>
      <c r="F47" s="551">
        <f>SUM(B47:E47)</f>
        <v>2.1</v>
      </c>
      <c r="G47" s="387">
        <f t="shared" ref="G47:G58" si="4">(+B47*$B$10)+(+C47*$C$10)+(+D47*$D$10)+(+E47*$E$10)</f>
        <v>105.49100000000001</v>
      </c>
      <c r="H47" s="552">
        <v>0</v>
      </c>
      <c r="I47" s="387">
        <f>'Exhibit 1'!N30</f>
        <v>4637</v>
      </c>
      <c r="J47" s="246">
        <v>8</v>
      </c>
      <c r="K47" s="553">
        <f>ROUND(F47*J47,0)</f>
        <v>17</v>
      </c>
      <c r="L47" s="554">
        <f>ROUND((G47+H47+I47)*J47,0)</f>
        <v>37940</v>
      </c>
      <c r="N47" s="46">
        <f t="shared" ref="N47:N58" si="5">G47*J47</f>
        <v>843.92800000000011</v>
      </c>
      <c r="O47" s="40">
        <f t="shared" ref="O47:O58" si="6">I47*J47</f>
        <v>37096</v>
      </c>
      <c r="P47" s="40">
        <f t="shared" ref="P47:P58" si="7">H47*J47</f>
        <v>0</v>
      </c>
      <c r="Q47" s="40">
        <f t="shared" ref="Q47:Q58" si="8">SUM(N47:P47)</f>
        <v>37939.928</v>
      </c>
    </row>
    <row r="48" spans="1:17" ht="22.5" x14ac:dyDescent="0.2">
      <c r="A48" s="542" t="s">
        <v>360</v>
      </c>
      <c r="B48" s="244">
        <v>0</v>
      </c>
      <c r="C48" s="244">
        <v>0.25</v>
      </c>
      <c r="D48" s="244">
        <v>4</v>
      </c>
      <c r="E48" s="244">
        <v>0.5</v>
      </c>
      <c r="F48" s="244">
        <f t="shared" ref="F48:F54" si="9">SUM(B48:E48)</f>
        <v>4.75</v>
      </c>
      <c r="G48" s="387">
        <f t="shared" si="4"/>
        <v>247.31500000000003</v>
      </c>
      <c r="H48" s="245">
        <v>0</v>
      </c>
      <c r="I48" s="245">
        <v>0</v>
      </c>
      <c r="J48" s="543">
        <v>8</v>
      </c>
      <c r="K48" s="247">
        <f t="shared" ref="K48:K55" si="10">ROUND(F48*J48,0)</f>
        <v>38</v>
      </c>
      <c r="L48" s="248">
        <f t="shared" ref="L48:L55" si="11">ROUND((G48+H48+I48)*J48,0)</f>
        <v>1979</v>
      </c>
      <c r="N48" s="46">
        <f t="shared" si="5"/>
        <v>1978.5200000000002</v>
      </c>
      <c r="O48" s="40">
        <f t="shared" si="6"/>
        <v>0</v>
      </c>
      <c r="P48" s="40">
        <f t="shared" si="7"/>
        <v>0</v>
      </c>
      <c r="Q48" s="40">
        <f t="shared" si="8"/>
        <v>1978.5200000000002</v>
      </c>
    </row>
    <row r="49" spans="1:17" ht="33.75" x14ac:dyDescent="0.2">
      <c r="A49" s="542" t="s">
        <v>361</v>
      </c>
      <c r="B49" s="244">
        <v>0</v>
      </c>
      <c r="C49" s="244">
        <v>0</v>
      </c>
      <c r="D49" s="244">
        <v>2</v>
      </c>
      <c r="E49" s="244">
        <v>0.25</v>
      </c>
      <c r="F49" s="244">
        <f t="shared" si="9"/>
        <v>2.25</v>
      </c>
      <c r="G49" s="387">
        <f t="shared" si="4"/>
        <v>110.45750000000001</v>
      </c>
      <c r="H49" s="245">
        <v>0</v>
      </c>
      <c r="I49" s="387">
        <f>'Exhibit 1'!N31</f>
        <v>7602</v>
      </c>
      <c r="J49" s="543">
        <v>8</v>
      </c>
      <c r="K49" s="247">
        <f t="shared" si="10"/>
        <v>18</v>
      </c>
      <c r="L49" s="248">
        <f t="shared" si="11"/>
        <v>61700</v>
      </c>
      <c r="N49" s="46">
        <f t="shared" si="5"/>
        <v>883.66000000000008</v>
      </c>
      <c r="O49" s="40">
        <f t="shared" si="6"/>
        <v>60816</v>
      </c>
      <c r="P49" s="40">
        <f t="shared" si="7"/>
        <v>0</v>
      </c>
      <c r="Q49" s="40">
        <f t="shared" si="8"/>
        <v>61699.66</v>
      </c>
    </row>
    <row r="50" spans="1:17" ht="11.25" x14ac:dyDescent="0.2">
      <c r="A50" s="544" t="s">
        <v>362</v>
      </c>
      <c r="B50" s="244">
        <v>0</v>
      </c>
      <c r="C50" s="244">
        <v>0</v>
      </c>
      <c r="D50" s="244">
        <v>0.25</v>
      </c>
      <c r="E50" s="244">
        <v>0</v>
      </c>
      <c r="F50" s="244">
        <f t="shared" si="9"/>
        <v>0.25</v>
      </c>
      <c r="G50" s="387">
        <f t="shared" si="4"/>
        <v>12.772500000000001</v>
      </c>
      <c r="H50" s="245">
        <v>0</v>
      </c>
      <c r="I50" s="245">
        <v>0</v>
      </c>
      <c r="J50" s="543">
        <v>8</v>
      </c>
      <c r="K50" s="247">
        <f t="shared" si="10"/>
        <v>2</v>
      </c>
      <c r="L50" s="248">
        <f t="shared" si="11"/>
        <v>102</v>
      </c>
      <c r="N50" s="46">
        <f t="shared" si="5"/>
        <v>102.18</v>
      </c>
      <c r="O50" s="40">
        <f t="shared" si="6"/>
        <v>0</v>
      </c>
      <c r="P50" s="40">
        <f t="shared" si="7"/>
        <v>0</v>
      </c>
      <c r="Q50" s="40">
        <f t="shared" si="8"/>
        <v>102.18</v>
      </c>
    </row>
    <row r="51" spans="1:17" ht="22.5" x14ac:dyDescent="0.2">
      <c r="A51" s="544" t="s">
        <v>363</v>
      </c>
      <c r="B51" s="244">
        <v>0</v>
      </c>
      <c r="C51" s="244">
        <v>0</v>
      </c>
      <c r="D51" s="244">
        <v>0.25</v>
      </c>
      <c r="E51" s="244">
        <v>0</v>
      </c>
      <c r="F51" s="244">
        <f t="shared" si="9"/>
        <v>0.25</v>
      </c>
      <c r="G51" s="387">
        <f t="shared" si="4"/>
        <v>12.772500000000001</v>
      </c>
      <c r="H51" s="245">
        <v>0</v>
      </c>
      <c r="I51" s="245">
        <v>0</v>
      </c>
      <c r="J51" s="543">
        <v>8</v>
      </c>
      <c r="K51" s="247">
        <f t="shared" si="10"/>
        <v>2</v>
      </c>
      <c r="L51" s="248">
        <f t="shared" si="11"/>
        <v>102</v>
      </c>
      <c r="N51" s="46">
        <f t="shared" si="5"/>
        <v>102.18</v>
      </c>
      <c r="O51" s="40">
        <f t="shared" si="6"/>
        <v>0</v>
      </c>
      <c r="P51" s="40">
        <f t="shared" si="7"/>
        <v>0</v>
      </c>
      <c r="Q51" s="40">
        <f t="shared" si="8"/>
        <v>102.18</v>
      </c>
    </row>
    <row r="52" spans="1:17" ht="22.5" x14ac:dyDescent="0.2">
      <c r="A52" s="544" t="s">
        <v>364</v>
      </c>
      <c r="B52" s="244">
        <v>0</v>
      </c>
      <c r="C52" s="244">
        <v>0</v>
      </c>
      <c r="D52" s="244">
        <v>1</v>
      </c>
      <c r="E52" s="244">
        <v>0</v>
      </c>
      <c r="F52" s="244">
        <f t="shared" si="9"/>
        <v>1</v>
      </c>
      <c r="G52" s="387">
        <f t="shared" si="4"/>
        <v>51.09</v>
      </c>
      <c r="H52" s="245">
        <v>0</v>
      </c>
      <c r="I52" s="245">
        <v>0</v>
      </c>
      <c r="J52" s="543">
        <v>8</v>
      </c>
      <c r="K52" s="247">
        <f t="shared" si="10"/>
        <v>8</v>
      </c>
      <c r="L52" s="248">
        <f t="shared" si="11"/>
        <v>409</v>
      </c>
      <c r="N52" s="46">
        <f t="shared" si="5"/>
        <v>408.72</v>
      </c>
      <c r="O52" s="40">
        <f t="shared" si="6"/>
        <v>0</v>
      </c>
      <c r="P52" s="40">
        <f t="shared" si="7"/>
        <v>0</v>
      </c>
      <c r="Q52" s="40">
        <f t="shared" si="8"/>
        <v>408.72</v>
      </c>
    </row>
    <row r="53" spans="1:17" ht="33.75" x14ac:dyDescent="0.2">
      <c r="A53" s="544" t="s">
        <v>358</v>
      </c>
      <c r="B53" s="244">
        <v>0</v>
      </c>
      <c r="C53" s="244">
        <v>0</v>
      </c>
      <c r="D53" s="244">
        <v>3</v>
      </c>
      <c r="E53" s="244">
        <v>0</v>
      </c>
      <c r="F53" s="244">
        <f t="shared" si="9"/>
        <v>3</v>
      </c>
      <c r="G53" s="387">
        <f t="shared" si="4"/>
        <v>153.27000000000001</v>
      </c>
      <c r="H53" s="245">
        <v>0</v>
      </c>
      <c r="I53" s="245">
        <v>0</v>
      </c>
      <c r="J53" s="543">
        <v>8</v>
      </c>
      <c r="K53" s="247">
        <f>ROUND(F53*J53,0)</f>
        <v>24</v>
      </c>
      <c r="L53" s="248">
        <f>ROUND((G53+H53+I53)*J53,0)</f>
        <v>1226</v>
      </c>
      <c r="N53" s="46">
        <f t="shared" si="5"/>
        <v>1226.1600000000001</v>
      </c>
      <c r="O53" s="40">
        <f t="shared" si="6"/>
        <v>0</v>
      </c>
      <c r="P53" s="40">
        <f t="shared" si="7"/>
        <v>0</v>
      </c>
      <c r="Q53" s="40">
        <f t="shared" si="8"/>
        <v>1226.1600000000001</v>
      </c>
    </row>
    <row r="54" spans="1:17" ht="33.75" x14ac:dyDescent="0.2">
      <c r="A54" s="544" t="s">
        <v>365</v>
      </c>
      <c r="B54" s="244">
        <v>0</v>
      </c>
      <c r="C54" s="244">
        <v>0</v>
      </c>
      <c r="D54" s="244">
        <v>0.1</v>
      </c>
      <c r="E54" s="244">
        <v>0</v>
      </c>
      <c r="F54" s="244">
        <f t="shared" si="9"/>
        <v>0.1</v>
      </c>
      <c r="G54" s="387">
        <f t="shared" si="4"/>
        <v>5.1090000000000009</v>
      </c>
      <c r="H54" s="245">
        <v>0</v>
      </c>
      <c r="I54" s="245">
        <v>0</v>
      </c>
      <c r="J54" s="543">
        <v>8</v>
      </c>
      <c r="K54" s="247">
        <f>ROUND(F54*J54,0)</f>
        <v>1</v>
      </c>
      <c r="L54" s="248">
        <f t="shared" si="11"/>
        <v>41</v>
      </c>
      <c r="N54" s="46">
        <f t="shared" si="5"/>
        <v>40.872000000000007</v>
      </c>
      <c r="O54" s="40">
        <f t="shared" si="6"/>
        <v>0</v>
      </c>
      <c r="P54" s="40">
        <f t="shared" si="7"/>
        <v>0</v>
      </c>
      <c r="Q54" s="40">
        <f t="shared" si="8"/>
        <v>40.872000000000007</v>
      </c>
    </row>
    <row r="55" spans="1:17" ht="11.25" x14ac:dyDescent="0.2">
      <c r="A55" s="542" t="s">
        <v>355</v>
      </c>
      <c r="B55" s="244">
        <v>0</v>
      </c>
      <c r="C55" s="244">
        <v>0</v>
      </c>
      <c r="D55" s="244">
        <v>0</v>
      </c>
      <c r="E55" s="244">
        <v>0.1</v>
      </c>
      <c r="F55" s="244">
        <f>SUM(B55:E55)</f>
        <v>0.1</v>
      </c>
      <c r="G55" s="387">
        <f t="shared" si="4"/>
        <v>3.3109999999999999</v>
      </c>
      <c r="H55" s="245">
        <v>0</v>
      </c>
      <c r="I55" s="245">
        <v>0</v>
      </c>
      <c r="J55" s="543">
        <v>8</v>
      </c>
      <c r="K55" s="247">
        <f t="shared" si="10"/>
        <v>1</v>
      </c>
      <c r="L55" s="248">
        <f t="shared" si="11"/>
        <v>26</v>
      </c>
      <c r="N55" s="46">
        <f t="shared" si="5"/>
        <v>26.488</v>
      </c>
      <c r="O55" s="40">
        <f t="shared" si="6"/>
        <v>0</v>
      </c>
      <c r="P55" s="40">
        <f t="shared" si="7"/>
        <v>0</v>
      </c>
      <c r="Q55" s="40">
        <f t="shared" si="8"/>
        <v>26.488</v>
      </c>
    </row>
    <row r="56" spans="1:17" ht="45" x14ac:dyDescent="0.2">
      <c r="A56" s="542" t="s">
        <v>366</v>
      </c>
      <c r="B56" s="244">
        <v>0</v>
      </c>
      <c r="C56" s="244">
        <v>0.25</v>
      </c>
      <c r="D56" s="244">
        <v>4</v>
      </c>
      <c r="E56" s="244">
        <v>0</v>
      </c>
      <c r="F56" s="244">
        <f>SUM(B56:E56)</f>
        <v>4.25</v>
      </c>
      <c r="G56" s="387">
        <f>(+B56*$B$10)+(+C56*$C$10)+(+D56*$D$10)+(+E56*$E$10)</f>
        <v>230.76000000000002</v>
      </c>
      <c r="H56" s="245">
        <v>0</v>
      </c>
      <c r="I56" s="245">
        <v>0</v>
      </c>
      <c r="J56" s="543">
        <v>0</v>
      </c>
      <c r="K56" s="247">
        <f>ROUND(F56*J56,0)</f>
        <v>0</v>
      </c>
      <c r="L56" s="248">
        <f>ROUND((G56+H56+I56)*J56,0)</f>
        <v>0</v>
      </c>
      <c r="N56" s="46">
        <f t="shared" si="5"/>
        <v>0</v>
      </c>
      <c r="O56" s="40">
        <f t="shared" si="6"/>
        <v>0</v>
      </c>
      <c r="P56" s="40">
        <f t="shared" si="7"/>
        <v>0</v>
      </c>
      <c r="Q56" s="40">
        <f t="shared" si="8"/>
        <v>0</v>
      </c>
    </row>
    <row r="57" spans="1:17" ht="45" x14ac:dyDescent="0.2">
      <c r="A57" s="542" t="s">
        <v>367</v>
      </c>
      <c r="B57" s="244">
        <v>0</v>
      </c>
      <c r="C57" s="244">
        <v>0</v>
      </c>
      <c r="D57" s="244">
        <v>0</v>
      </c>
      <c r="E57" s="244">
        <v>0.1</v>
      </c>
      <c r="F57" s="244">
        <f>SUM(B57:E57)</f>
        <v>0.1</v>
      </c>
      <c r="G57" s="387">
        <f t="shared" si="4"/>
        <v>3.3109999999999999</v>
      </c>
      <c r="H57" s="245">
        <v>0</v>
      </c>
      <c r="I57" s="245">
        <v>0</v>
      </c>
      <c r="J57" s="543">
        <v>0</v>
      </c>
      <c r="K57" s="247">
        <f>ROUND(F57*J57,0)</f>
        <v>0</v>
      </c>
      <c r="L57" s="248">
        <f>ROUND((G57+H57+I57)*J57,0)</f>
        <v>0</v>
      </c>
      <c r="N57" s="46">
        <f t="shared" si="5"/>
        <v>0</v>
      </c>
      <c r="O57" s="40">
        <f t="shared" si="6"/>
        <v>0</v>
      </c>
      <c r="P57" s="40">
        <f t="shared" si="7"/>
        <v>0</v>
      </c>
      <c r="Q57" s="40">
        <f t="shared" si="8"/>
        <v>0</v>
      </c>
    </row>
    <row r="58" spans="1:17" ht="45" x14ac:dyDescent="0.2">
      <c r="A58" s="542" t="s">
        <v>368</v>
      </c>
      <c r="B58" s="244">
        <v>0</v>
      </c>
      <c r="C58" s="244">
        <v>0.25</v>
      </c>
      <c r="D58" s="244">
        <v>1</v>
      </c>
      <c r="E58" s="244">
        <v>0.1</v>
      </c>
      <c r="F58" s="244">
        <f>SUM(B58:E58)</f>
        <v>1.35</v>
      </c>
      <c r="G58" s="387">
        <f t="shared" si="4"/>
        <v>80.801000000000016</v>
      </c>
      <c r="H58" s="245">
        <v>0</v>
      </c>
      <c r="I58" s="245">
        <v>0</v>
      </c>
      <c r="J58" s="543">
        <v>0</v>
      </c>
      <c r="K58" s="247">
        <f>ROUND(F58*J58,0)</f>
        <v>0</v>
      </c>
      <c r="L58" s="248">
        <f>ROUND((G58+H58+I58)*J58,0)</f>
        <v>0</v>
      </c>
      <c r="N58" s="46">
        <f t="shared" si="5"/>
        <v>0</v>
      </c>
      <c r="O58" s="40">
        <f t="shared" si="6"/>
        <v>0</v>
      </c>
      <c r="P58" s="40">
        <f t="shared" si="7"/>
        <v>0</v>
      </c>
      <c r="Q58" s="40">
        <f t="shared" si="8"/>
        <v>0</v>
      </c>
    </row>
    <row r="59" spans="1:17" ht="11.25" x14ac:dyDescent="0.2">
      <c r="A59" s="555" t="s">
        <v>16</v>
      </c>
      <c r="B59" s="546">
        <f>SUM(B47:B58)</f>
        <v>0</v>
      </c>
      <c r="C59" s="546" t="s">
        <v>53</v>
      </c>
      <c r="D59" s="546" t="s">
        <v>53</v>
      </c>
      <c r="E59" s="546" t="s">
        <v>53</v>
      </c>
      <c r="F59" s="546" t="s">
        <v>53</v>
      </c>
      <c r="G59" s="546" t="s">
        <v>53</v>
      </c>
      <c r="H59" s="547">
        <f>SUM(H47:H58)</f>
        <v>0</v>
      </c>
      <c r="I59" s="546" t="s">
        <v>53</v>
      </c>
      <c r="J59" s="548" t="s">
        <v>53</v>
      </c>
      <c r="K59" s="549">
        <f>SUM(K47:K58)</f>
        <v>111</v>
      </c>
      <c r="L59" s="550">
        <f>SUM(L47:L58)</f>
        <v>103525</v>
      </c>
      <c r="N59" s="92"/>
      <c r="O59" s="92"/>
    </row>
    <row r="60" spans="1:17" ht="11.25" x14ac:dyDescent="0.2">
      <c r="A60" s="686" t="s">
        <v>374</v>
      </c>
      <c r="B60" s="686"/>
      <c r="C60" s="686"/>
      <c r="D60" s="686"/>
      <c r="E60" s="686"/>
      <c r="F60" s="686"/>
      <c r="G60" s="686"/>
      <c r="H60" s="686"/>
      <c r="I60" s="686"/>
      <c r="J60" s="686"/>
      <c r="K60" s="686"/>
      <c r="L60" s="686"/>
      <c r="N60" s="91"/>
      <c r="O60" s="91"/>
    </row>
    <row r="61" spans="1:17" ht="47.25" customHeight="1" x14ac:dyDescent="0.2">
      <c r="A61" s="243" t="s">
        <v>369</v>
      </c>
      <c r="B61" s="244">
        <v>0</v>
      </c>
      <c r="C61" s="244">
        <v>0</v>
      </c>
      <c r="D61" s="244">
        <v>0</v>
      </c>
      <c r="E61" s="244">
        <v>0.1</v>
      </c>
      <c r="F61" s="244">
        <f>SUM(B61:E61)</f>
        <v>0.1</v>
      </c>
      <c r="G61" s="387">
        <f>(+B61*$B$10)+(+C61*$C$10)+(+D61*$D$10)+(+E61*$E$10)</f>
        <v>3.3109999999999999</v>
      </c>
      <c r="H61" s="245">
        <v>0</v>
      </c>
      <c r="I61" s="245">
        <v>0</v>
      </c>
      <c r="J61" s="246">
        <v>30</v>
      </c>
      <c r="K61" s="247">
        <f>ROUND(F61*J61,0)</f>
        <v>3</v>
      </c>
      <c r="L61" s="248">
        <f>ROUND((G61+H61+I61)*J61,0)</f>
        <v>99</v>
      </c>
      <c r="N61" s="46">
        <f>G61*J61</f>
        <v>99.33</v>
      </c>
      <c r="O61" s="40">
        <f>I61*J61</f>
        <v>0</v>
      </c>
      <c r="P61" s="40">
        <f>H61*J61</f>
        <v>0</v>
      </c>
      <c r="Q61" s="40">
        <f>SUM(N61:P61)</f>
        <v>99.33</v>
      </c>
    </row>
    <row r="62" spans="1:17" ht="11.25" x14ac:dyDescent="0.2">
      <c r="A62" s="686" t="s">
        <v>530</v>
      </c>
      <c r="B62" s="686"/>
      <c r="C62" s="686"/>
      <c r="D62" s="686"/>
      <c r="E62" s="686"/>
      <c r="F62" s="686"/>
      <c r="G62" s="686"/>
      <c r="H62" s="686"/>
      <c r="I62" s="686"/>
      <c r="J62" s="686"/>
      <c r="K62" s="686"/>
      <c r="L62" s="686"/>
      <c r="N62" s="91"/>
      <c r="O62" s="91"/>
    </row>
    <row r="63" spans="1:17" ht="11.25" x14ac:dyDescent="0.2">
      <c r="A63" s="243" t="s">
        <v>529</v>
      </c>
      <c r="B63" s="244">
        <v>0</v>
      </c>
      <c r="C63" s="244">
        <v>0</v>
      </c>
      <c r="D63" s="244">
        <v>0</v>
      </c>
      <c r="E63" s="244">
        <v>0.1</v>
      </c>
      <c r="F63" s="244">
        <f>SUM(B63:E63)</f>
        <v>0.1</v>
      </c>
      <c r="G63" s="387">
        <f>(+B63*$B$10)+(+C63*$C$10)+(+D63*$D$10)+(+E63*$E$10)</f>
        <v>3.3109999999999999</v>
      </c>
      <c r="H63" s="245">
        <v>0</v>
      </c>
      <c r="I63" s="245">
        <v>0</v>
      </c>
      <c r="J63" s="246">
        <v>7</v>
      </c>
      <c r="K63" s="247">
        <f>ROUND(F63*J63,0)</f>
        <v>1</v>
      </c>
      <c r="L63" s="248">
        <f>ROUND((G63+H63+I63)*J63,0)</f>
        <v>23</v>
      </c>
      <c r="N63" s="46">
        <f>G63*J63</f>
        <v>23.177</v>
      </c>
      <c r="O63" s="40">
        <f>I63*J63</f>
        <v>0</v>
      </c>
      <c r="P63" s="40">
        <f>H63*J63</f>
        <v>0</v>
      </c>
      <c r="Q63" s="40">
        <f>SUM(N63:P63)</f>
        <v>23.177</v>
      </c>
    </row>
    <row r="64" spans="1:17" ht="3" customHeight="1" x14ac:dyDescent="0.15">
      <c r="A64" s="529"/>
      <c r="B64" s="392"/>
      <c r="C64" s="392"/>
      <c r="D64" s="392"/>
      <c r="E64" s="392"/>
      <c r="F64" s="392"/>
      <c r="G64" s="378"/>
      <c r="H64" s="378"/>
      <c r="I64" s="378"/>
      <c r="J64" s="530"/>
      <c r="K64" s="393"/>
      <c r="L64" s="531"/>
      <c r="N64" s="49"/>
      <c r="O64" s="45"/>
      <c r="P64" s="45"/>
    </row>
    <row r="65" spans="1:17" ht="11.25" x14ac:dyDescent="0.2">
      <c r="A65" s="556" t="s">
        <v>148</v>
      </c>
      <c r="B65" s="557" t="s">
        <v>53</v>
      </c>
      <c r="C65" s="557" t="s">
        <v>53</v>
      </c>
      <c r="D65" s="557" t="s">
        <v>53</v>
      </c>
      <c r="E65" s="557" t="s">
        <v>53</v>
      </c>
      <c r="F65" s="546" t="s">
        <v>53</v>
      </c>
      <c r="G65" s="546" t="s">
        <v>53</v>
      </c>
      <c r="H65" s="546" t="s">
        <v>53</v>
      </c>
      <c r="I65" s="546" t="s">
        <v>53</v>
      </c>
      <c r="J65" s="558" t="s">
        <v>53</v>
      </c>
      <c r="K65" s="257">
        <f>(K$21+K$32+K$39+K$45+K$59+K$61)</f>
        <v>462</v>
      </c>
      <c r="L65" s="559">
        <f>(L$21+L$32+L$39+L$45+L$59+L$61)</f>
        <v>122872.86</v>
      </c>
      <c r="M65" s="249"/>
      <c r="N65" s="250">
        <f>SUM(N18:N63)</f>
        <v>23707.051000000007</v>
      </c>
      <c r="O65" s="250">
        <f>SUM(O18:O63)</f>
        <v>99188</v>
      </c>
      <c r="P65" s="250">
        <f>SUM(P18:P63)</f>
        <v>0</v>
      </c>
      <c r="Q65" s="250">
        <f>SUM(Q18:Q63)</f>
        <v>122895.05099999999</v>
      </c>
    </row>
    <row r="66" spans="1:17" ht="3" customHeight="1" x14ac:dyDescent="0.15">
      <c r="A66" s="366"/>
      <c r="B66" s="392"/>
      <c r="C66" s="392"/>
      <c r="D66" s="392"/>
      <c r="E66" s="392"/>
      <c r="F66" s="392"/>
      <c r="G66" s="378"/>
      <c r="H66" s="378"/>
      <c r="I66" s="378"/>
      <c r="J66" s="530"/>
      <c r="K66" s="393"/>
      <c r="L66" s="531"/>
      <c r="M66" s="49"/>
      <c r="O66" s="45"/>
      <c r="P66" s="45"/>
    </row>
  </sheetData>
  <mergeCells count="6">
    <mergeCell ref="A62:L62"/>
    <mergeCell ref="A60:L60"/>
    <mergeCell ref="A34:L34"/>
    <mergeCell ref="A35:L35"/>
    <mergeCell ref="A40:L40"/>
    <mergeCell ref="A46:L46"/>
  </mergeCells>
  <phoneticPr fontId="0" type="noConversion"/>
  <pageMargins left="0.75" right="0.75" top="1" bottom="1" header="0.5" footer="0.5"/>
  <pageSetup orientation="landscape" r:id="rId1"/>
  <headerFooter alignWithMargins="0">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2"/>
  <sheetViews>
    <sheetView tabSelected="1" zoomScaleNormal="100" workbookViewId="0">
      <selection activeCell="D42" sqref="D42"/>
    </sheetView>
  </sheetViews>
  <sheetFormatPr defaultRowHeight="10.5" x14ac:dyDescent="0.15"/>
  <cols>
    <col min="1" max="1" width="49" customWidth="1"/>
    <col min="2" max="3" width="13.83203125" customWidth="1"/>
    <col min="4" max="4" width="13.1640625" bestFit="1" customWidth="1"/>
    <col min="5" max="5" width="13.83203125" bestFit="1" customWidth="1"/>
    <col min="6" max="6" width="13.6640625" bestFit="1" customWidth="1"/>
    <col min="7" max="8" width="14.1640625" bestFit="1" customWidth="1"/>
    <col min="18" max="18" width="15.83203125" customWidth="1"/>
    <col min="20" max="20" width="77.1640625" customWidth="1"/>
  </cols>
  <sheetData>
    <row r="1" spans="1:11" x14ac:dyDescent="0.15">
      <c r="A1" s="360" t="s">
        <v>149</v>
      </c>
      <c r="B1" s="472"/>
      <c r="C1" s="472"/>
      <c r="D1" s="472"/>
      <c r="E1" s="472"/>
      <c r="F1" s="472"/>
      <c r="G1" s="251"/>
      <c r="H1" s="251"/>
    </row>
    <row r="2" spans="1:11" x14ac:dyDescent="0.15">
      <c r="A2" s="360" t="s">
        <v>150</v>
      </c>
      <c r="B2" s="472"/>
      <c r="C2" s="472"/>
      <c r="D2" s="472"/>
      <c r="E2" s="472"/>
      <c r="F2" s="472"/>
      <c r="G2" s="251"/>
      <c r="H2" s="251"/>
    </row>
    <row r="3" spans="1:11" x14ac:dyDescent="0.15">
      <c r="A3" s="361"/>
      <c r="B3" s="472"/>
      <c r="C3" s="472"/>
      <c r="D3" s="472"/>
      <c r="E3" s="472"/>
      <c r="F3" s="472"/>
      <c r="G3" s="251"/>
      <c r="H3" s="251"/>
    </row>
    <row r="4" spans="1:11" x14ac:dyDescent="0.15">
      <c r="A4" s="361"/>
      <c r="B4" s="251"/>
      <c r="C4" s="251"/>
      <c r="D4" s="251"/>
      <c r="E4" s="251"/>
      <c r="F4" s="251"/>
      <c r="G4" s="251"/>
      <c r="H4" s="251"/>
    </row>
    <row r="5" spans="1:11" x14ac:dyDescent="0.15">
      <c r="A5" s="360" t="s">
        <v>4</v>
      </c>
      <c r="B5" s="361" t="s">
        <v>221</v>
      </c>
      <c r="C5" s="361" t="s">
        <v>221</v>
      </c>
      <c r="D5" s="560" t="s">
        <v>225</v>
      </c>
      <c r="E5" s="361" t="s">
        <v>226</v>
      </c>
      <c r="F5" s="361" t="s">
        <v>228</v>
      </c>
      <c r="G5" s="361" t="s">
        <v>229</v>
      </c>
      <c r="H5" s="560" t="s">
        <v>202</v>
      </c>
    </row>
    <row r="6" spans="1:11" x14ac:dyDescent="0.15">
      <c r="A6" s="360" t="s">
        <v>5</v>
      </c>
      <c r="B6" s="361" t="s">
        <v>222</v>
      </c>
      <c r="C6" s="361" t="s">
        <v>223</v>
      </c>
      <c r="D6" s="560" t="s">
        <v>224</v>
      </c>
      <c r="E6" s="361" t="s">
        <v>227</v>
      </c>
      <c r="F6" s="361" t="s">
        <v>227</v>
      </c>
      <c r="G6" s="361" t="s">
        <v>227</v>
      </c>
      <c r="H6" s="560" t="s">
        <v>245</v>
      </c>
    </row>
    <row r="7" spans="1:11" ht="3" customHeight="1" x14ac:dyDescent="0.15">
      <c r="A7" s="378"/>
      <c r="B7" s="561"/>
      <c r="C7" s="561"/>
      <c r="D7" s="561"/>
      <c r="E7" s="561"/>
      <c r="F7" s="561"/>
      <c r="G7" s="561"/>
      <c r="H7" s="378"/>
    </row>
    <row r="8" spans="1:11" x14ac:dyDescent="0.15">
      <c r="A8" s="662" t="s">
        <v>152</v>
      </c>
      <c r="B8" s="562">
        <f>'Exhibit 1'!J52</f>
        <v>2603</v>
      </c>
      <c r="C8" s="563">
        <v>1</v>
      </c>
      <c r="D8" s="564">
        <f>('Exhibit 1'!K52)</f>
        <v>4555.25</v>
      </c>
      <c r="E8" s="565">
        <f>('Exhibit 1'!N52)</f>
        <v>356207.53499999997</v>
      </c>
      <c r="F8" s="499">
        <f>('Exhibit 1'!P52)</f>
        <v>0</v>
      </c>
      <c r="G8" s="565">
        <f>('Exhibit 1'!O52)</f>
        <v>0</v>
      </c>
      <c r="H8" s="565">
        <f>('Exhibit 1'!L52)</f>
        <v>356207.53499999997</v>
      </c>
      <c r="K8" t="s">
        <v>257</v>
      </c>
    </row>
    <row r="9" spans="1:11" x14ac:dyDescent="0.15">
      <c r="A9" s="662" t="s">
        <v>10</v>
      </c>
      <c r="B9" s="288" t="s">
        <v>53</v>
      </c>
      <c r="C9" s="563">
        <v>2</v>
      </c>
      <c r="D9" s="564">
        <f>('Exhibit 2'!K75)</f>
        <v>3195.0000000000005</v>
      </c>
      <c r="E9" s="565">
        <f>('Exhibit 2'!N75)</f>
        <v>111391.50433220515</v>
      </c>
      <c r="F9" s="499">
        <f>('Exhibit 2'!P75)</f>
        <v>0</v>
      </c>
      <c r="G9" s="565">
        <f>('Exhibit 2'!O75)</f>
        <v>210912</v>
      </c>
      <c r="H9" s="565">
        <f>('Exhibit 2'!L75)</f>
        <v>322303.50433220516</v>
      </c>
      <c r="K9" t="s">
        <v>258</v>
      </c>
    </row>
    <row r="10" spans="1:11" x14ac:dyDescent="0.15">
      <c r="A10" s="662" t="s">
        <v>153</v>
      </c>
      <c r="B10" s="288" t="s">
        <v>53</v>
      </c>
      <c r="C10" s="563">
        <v>4</v>
      </c>
      <c r="D10" s="566">
        <f>('Exhibit 3'!K112)</f>
        <v>3746</v>
      </c>
      <c r="E10" s="565">
        <f>('Exhibit 3'!N112)</f>
        <v>191313.49999999997</v>
      </c>
      <c r="F10" s="499">
        <f>('Exhibit 3'!P112)</f>
        <v>0</v>
      </c>
      <c r="G10" s="565">
        <f>('Exhibit 3'!O112)</f>
        <v>750</v>
      </c>
      <c r="H10" s="565">
        <f>('Exhibit 3'!L112)</f>
        <v>192063.5</v>
      </c>
      <c r="K10" t="s">
        <v>259</v>
      </c>
    </row>
    <row r="11" spans="1:11" x14ac:dyDescent="0.15">
      <c r="A11" s="663" t="s">
        <v>118</v>
      </c>
      <c r="B11" s="288" t="s">
        <v>53</v>
      </c>
      <c r="C11" s="289">
        <v>9</v>
      </c>
      <c r="D11" s="290">
        <f>('Exhibit 4'!K75)</f>
        <v>46658.483333333337</v>
      </c>
      <c r="E11" s="567">
        <f>('Exhibit 4'!N75)</f>
        <v>2390765.3049416682</v>
      </c>
      <c r="F11" s="568">
        <f>('Exhibit 4'!P75)</f>
        <v>0</v>
      </c>
      <c r="G11" s="569">
        <f>('Exhibit 4'!O75)</f>
        <v>8549825.0099999998</v>
      </c>
      <c r="H11" s="565">
        <f>('Exhibit 4'!L75)</f>
        <v>10940590.314941671</v>
      </c>
      <c r="K11" t="s">
        <v>260</v>
      </c>
    </row>
    <row r="12" spans="1:11" x14ac:dyDescent="0.15">
      <c r="A12" s="664" t="s">
        <v>378</v>
      </c>
      <c r="B12" s="288" t="s">
        <v>53</v>
      </c>
      <c r="C12" s="289">
        <v>3</v>
      </c>
      <c r="D12" s="290">
        <f>('Exhibit 4'!K94)</f>
        <v>4161.4000000000005</v>
      </c>
      <c r="E12" s="569">
        <f>('Exhibit 4'!N94)</f>
        <v>101218.70672944695</v>
      </c>
      <c r="F12" s="570">
        <f>('Exhibit 4'!P94)</f>
        <v>0</v>
      </c>
      <c r="G12" s="571">
        <f>('Exhibit 4'!O94)</f>
        <v>109.06</v>
      </c>
      <c r="H12" s="565">
        <f>('Exhibit 4'!L94)</f>
        <v>101327.76672944693</v>
      </c>
      <c r="K12" t="s">
        <v>261</v>
      </c>
    </row>
    <row r="13" spans="1:11" x14ac:dyDescent="0.15">
      <c r="A13" s="665" t="s">
        <v>154</v>
      </c>
      <c r="B13" s="288" t="s">
        <v>53</v>
      </c>
      <c r="C13" s="563">
        <v>3</v>
      </c>
      <c r="D13" s="566">
        <f>('Exhibit 5'!K65)</f>
        <v>462</v>
      </c>
      <c r="E13" s="572">
        <f>('Exhibit 5'!N65)</f>
        <v>23707.051000000007</v>
      </c>
      <c r="F13" s="573">
        <f>('Exhibit 5'!P65)</f>
        <v>0</v>
      </c>
      <c r="G13" s="569">
        <f>('Exhibit 5'!O65)</f>
        <v>99188</v>
      </c>
      <c r="H13" s="572">
        <f>('Exhibit 5'!L65)</f>
        <v>122872.86</v>
      </c>
    </row>
    <row r="14" spans="1:11" ht="2.25" customHeight="1" x14ac:dyDescent="0.15">
      <c r="A14" s="666"/>
      <c r="B14" s="561"/>
      <c r="C14" s="561"/>
      <c r="D14" s="574"/>
      <c r="E14" s="575"/>
      <c r="F14" s="576"/>
      <c r="G14" s="577"/>
      <c r="H14" s="578"/>
      <c r="K14" t="s">
        <v>266</v>
      </c>
    </row>
    <row r="15" spans="1:11" x14ac:dyDescent="0.15">
      <c r="A15" s="471" t="s">
        <v>155</v>
      </c>
      <c r="B15" s="288" t="s">
        <v>53</v>
      </c>
      <c r="C15" s="563">
        <f t="shared" ref="C15:H15" si="0">SUM(C8:C13)</f>
        <v>22</v>
      </c>
      <c r="D15" s="564">
        <f t="shared" si="0"/>
        <v>62778.133333333339</v>
      </c>
      <c r="E15" s="569">
        <f t="shared" si="0"/>
        <v>3174603.6020033201</v>
      </c>
      <c r="F15" s="570">
        <f t="shared" si="0"/>
        <v>0</v>
      </c>
      <c r="G15" s="569">
        <f t="shared" si="0"/>
        <v>8860784.0700000003</v>
      </c>
      <c r="H15" s="569">
        <f t="shared" si="0"/>
        <v>12035365.481003322</v>
      </c>
      <c r="K15" t="s">
        <v>262</v>
      </c>
    </row>
    <row r="16" spans="1:11" ht="2.25" customHeight="1" x14ac:dyDescent="0.15">
      <c r="A16" s="366"/>
      <c r="B16" s="561"/>
      <c r="C16" s="561"/>
      <c r="D16" s="579"/>
      <c r="E16" s="576"/>
      <c r="F16" s="576"/>
      <c r="G16" s="561"/>
      <c r="H16" s="392"/>
      <c r="K16" t="s">
        <v>263</v>
      </c>
    </row>
    <row r="17" spans="1:11" x14ac:dyDescent="0.15">
      <c r="A17" s="10"/>
      <c r="K17" t="s">
        <v>264</v>
      </c>
    </row>
    <row r="18" spans="1:11" ht="12.75" x14ac:dyDescent="0.2">
      <c r="A18" s="168" t="s">
        <v>295</v>
      </c>
      <c r="D18" s="667">
        <f>D15*3</f>
        <v>188334.40000000002</v>
      </c>
      <c r="E18" s="668">
        <f>E15*3</f>
        <v>9523810.8060099594</v>
      </c>
      <c r="F18" s="669">
        <f>F15*3</f>
        <v>0</v>
      </c>
      <c r="G18" s="670">
        <f>G15*3</f>
        <v>26582352.210000001</v>
      </c>
      <c r="H18" s="670">
        <f>H15*3</f>
        <v>36106096.443009965</v>
      </c>
      <c r="K18" t="s">
        <v>265</v>
      </c>
    </row>
    <row r="19" spans="1:11" x14ac:dyDescent="0.15">
      <c r="A19" s="10"/>
    </row>
    <row r="20" spans="1:11" x14ac:dyDescent="0.15">
      <c r="A20" s="341" t="s">
        <v>609</v>
      </c>
    </row>
    <row r="21" spans="1:11" x14ac:dyDescent="0.15">
      <c r="A21" s="341" t="s">
        <v>157</v>
      </c>
      <c r="E21" s="66"/>
    </row>
    <row r="22" spans="1:11" x14ac:dyDescent="0.15">
      <c r="A22" s="38"/>
      <c r="B22" s="11" t="s">
        <v>158</v>
      </c>
      <c r="C22" s="11" t="s">
        <v>158</v>
      </c>
      <c r="E22" s="66"/>
      <c r="F22" s="10" t="s">
        <v>342</v>
      </c>
      <c r="G22" s="10" t="s">
        <v>342</v>
      </c>
    </row>
    <row r="23" spans="1:11" x14ac:dyDescent="0.15">
      <c r="A23" s="180"/>
      <c r="B23" s="11" t="s">
        <v>160</v>
      </c>
      <c r="C23" s="11" t="s">
        <v>159</v>
      </c>
      <c r="D23" s="38"/>
      <c r="E23" s="68"/>
      <c r="F23" s="10" t="s">
        <v>158</v>
      </c>
      <c r="G23" s="10" t="s">
        <v>158</v>
      </c>
    </row>
    <row r="24" spans="1:11" x14ac:dyDescent="0.15">
      <c r="A24" s="180"/>
      <c r="B24" s="11" t="s">
        <v>161</v>
      </c>
      <c r="C24" s="11" t="s">
        <v>543</v>
      </c>
      <c r="F24" s="10" t="s">
        <v>160</v>
      </c>
      <c r="G24" s="10" t="s">
        <v>550</v>
      </c>
    </row>
    <row r="25" spans="1:11" x14ac:dyDescent="0.15">
      <c r="A25" s="180"/>
      <c r="B25" s="11" t="s">
        <v>6</v>
      </c>
      <c r="C25" s="11" t="s">
        <v>161</v>
      </c>
      <c r="F25" s="10" t="s">
        <v>549</v>
      </c>
      <c r="G25" s="10" t="s">
        <v>549</v>
      </c>
    </row>
    <row r="26" spans="1:11" x14ac:dyDescent="0.15">
      <c r="A26" s="341" t="s">
        <v>162</v>
      </c>
      <c r="C26" s="11" t="s">
        <v>6</v>
      </c>
      <c r="F26" s="268" t="s">
        <v>544</v>
      </c>
      <c r="G26" s="268" t="s">
        <v>544</v>
      </c>
    </row>
    <row r="27" spans="1:11" x14ac:dyDescent="0.15">
      <c r="A27" s="38"/>
      <c r="B27" s="285" t="s">
        <v>551</v>
      </c>
      <c r="C27" s="285"/>
      <c r="G27" s="303">
        <f>'Exhibit 1'!K50</f>
        <v>4555.25</v>
      </c>
      <c r="H27" s="284" t="s">
        <v>554</v>
      </c>
    </row>
    <row r="28" spans="1:11" ht="2.25" customHeight="1" x14ac:dyDescent="0.15">
      <c r="A28" s="12"/>
      <c r="B28" s="12"/>
      <c r="C28" s="12"/>
      <c r="G28" s="177"/>
    </row>
    <row r="29" spans="1:11" x14ac:dyDescent="0.15">
      <c r="A29" s="19" t="s">
        <v>163</v>
      </c>
      <c r="B29" s="72">
        <f>'Exhibit 2'!K21/'Exhibit 2'!J21+'Exhibit 2'!K38/'Exhibit 2'!J38</f>
        <v>239</v>
      </c>
      <c r="C29" s="71">
        <f>'Exhibit 1'!K50/'Exhibit 1'!J50</f>
        <v>1.75</v>
      </c>
      <c r="F29" s="298">
        <f>'Exhibit 2'!K21+'Exhibit 2'!K38</f>
        <v>603</v>
      </c>
      <c r="G29" s="303"/>
      <c r="H29" s="280"/>
    </row>
    <row r="30" spans="1:11" x14ac:dyDescent="0.15">
      <c r="A30" s="19" t="s">
        <v>164</v>
      </c>
      <c r="B30" s="72">
        <v>648</v>
      </c>
      <c r="C30" s="72">
        <f>C29</f>
        <v>1.75</v>
      </c>
      <c r="F30" s="298">
        <f>'Exhibit 2'!K21+'Exhibit 2'!K73</f>
        <v>3047.0000000000005</v>
      </c>
      <c r="G30" s="304"/>
      <c r="H30" s="23"/>
    </row>
    <row r="31" spans="1:11" x14ac:dyDescent="0.15">
      <c r="A31" s="19" t="s">
        <v>165</v>
      </c>
      <c r="B31" s="72">
        <f>('Exhibit 3'!K36+'Exhibit 3'!K63+'Exhibit 3'!K84)/('Exhibit 3'!J36+'Exhibit 3'!J63+'Exhibit 3'!J84)</f>
        <v>121</v>
      </c>
      <c r="C31" s="72">
        <f>C29</f>
        <v>1.75</v>
      </c>
      <c r="F31" s="298">
        <f>'Exhibit 3'!K36+'Exhibit 3'!K63+'Exhibit 3'!K84</f>
        <v>3630</v>
      </c>
      <c r="G31" s="304"/>
      <c r="H31" s="23"/>
    </row>
    <row r="32" spans="1:11" x14ac:dyDescent="0.15">
      <c r="A32" s="19" t="s">
        <v>166</v>
      </c>
      <c r="B32" s="72">
        <f>'Exhibit 3'!K109/'Exhibit 3'!J109</f>
        <v>116</v>
      </c>
      <c r="C32" s="72">
        <f>C29</f>
        <v>1.75</v>
      </c>
      <c r="F32" s="298">
        <f>'Exhibit 3'!K109</f>
        <v>116</v>
      </c>
      <c r="G32" s="305"/>
      <c r="H32" s="23"/>
    </row>
    <row r="33" spans="1:9" x14ac:dyDescent="0.15">
      <c r="A33" s="19" t="s">
        <v>167</v>
      </c>
      <c r="B33" s="72">
        <f>'Exhibit 4'!K17/'Exhibit 4'!J17</f>
        <v>28</v>
      </c>
      <c r="C33" s="72">
        <f>C29</f>
        <v>1.75</v>
      </c>
      <c r="F33" s="298">
        <f>'Exhibit 4'!K17</f>
        <v>28</v>
      </c>
      <c r="G33" s="305"/>
      <c r="H33" s="23"/>
    </row>
    <row r="34" spans="1:9" x14ac:dyDescent="0.15">
      <c r="A34" s="19" t="s">
        <v>168</v>
      </c>
      <c r="B34" s="72">
        <f>'Exhibit 4'!K27/'Exhibit 4'!J27</f>
        <v>3.5</v>
      </c>
      <c r="C34" s="72">
        <f>('Exhibit 4'!K28/'Exhibit 4'!J28)+C29</f>
        <v>2.25</v>
      </c>
      <c r="F34" s="298">
        <f>'Exhibit 4'!K27</f>
        <v>3.5</v>
      </c>
      <c r="G34" s="305">
        <f>'Exhibit 4'!K28</f>
        <v>0.5</v>
      </c>
      <c r="H34" s="23"/>
    </row>
    <row r="35" spans="1:9" x14ac:dyDescent="0.15">
      <c r="A35" s="19" t="s">
        <v>291</v>
      </c>
      <c r="B35" s="72">
        <f>'Exhibit 4'!K30/'Exhibit 4'!J30+'Exhibit 4'!K31/'Exhibit 4'!J31</f>
        <v>18.5</v>
      </c>
      <c r="C35" s="72">
        <f>C29</f>
        <v>1.75</v>
      </c>
      <c r="F35" s="298">
        <f>'Exhibit 4'!K30+'Exhibit 4'!K31</f>
        <v>202.5</v>
      </c>
      <c r="G35" s="305"/>
      <c r="H35" s="23"/>
    </row>
    <row r="36" spans="1:9" x14ac:dyDescent="0.15">
      <c r="A36" s="117" t="s">
        <v>292</v>
      </c>
      <c r="B36" s="118">
        <v>0</v>
      </c>
      <c r="C36" s="118">
        <f>C29</f>
        <v>1.75</v>
      </c>
      <c r="F36" s="298">
        <v>0</v>
      </c>
      <c r="G36" s="306"/>
      <c r="H36" s="23"/>
    </row>
    <row r="37" spans="1:9" x14ac:dyDescent="0.15">
      <c r="A37" s="119" t="s">
        <v>331</v>
      </c>
      <c r="B37" s="75">
        <f>'Exhibit 4'!K39/'Exhibit 4'!J39+'Exhibit 4'!K44/'Exhibit 4'!J44+'Exhibit 4'!K48/'Exhibit 4'!J48</f>
        <v>3.5191616766467066</v>
      </c>
      <c r="C37" s="267">
        <f>('Exhibit 4'!K41/'Exhibit 4'!J41+'Exhibit 4'!K46/'Exhibit 4'!J46+'Exhibit 4'!K50/'Exhibit 4'!J50+'Exhibit 4'!K51/'Exhibit 4'!J51)+C29</f>
        <v>3.05</v>
      </c>
      <c r="F37" s="298">
        <f>'Exhibit 4'!K39+'Exhibit 4'!K44+'Exhibit 4'!K48</f>
        <v>17.25</v>
      </c>
      <c r="G37" s="307">
        <f>'Exhibit 4'!K41+'Exhibit 4'!K46+'Exhibit 4'!K50+'Exhibit 4'!K51</f>
        <v>8.4</v>
      </c>
      <c r="H37" s="280"/>
      <c r="I37" s="38"/>
    </row>
    <row r="38" spans="1:9" x14ac:dyDescent="0.15">
      <c r="A38" s="67" t="s">
        <v>169</v>
      </c>
      <c r="B38" s="73">
        <f>'Exhibit 4'!K54/'Exhibit 4'!J54</f>
        <v>28</v>
      </c>
      <c r="C38" s="73">
        <f>C29</f>
        <v>1.75</v>
      </c>
      <c r="F38" s="298">
        <f>'Exhibit 4'!K54</f>
        <v>28</v>
      </c>
      <c r="G38" s="298"/>
      <c r="H38" s="280"/>
      <c r="I38" s="38"/>
    </row>
    <row r="39" spans="1:9" x14ac:dyDescent="0.15">
      <c r="A39" s="67" t="s">
        <v>170</v>
      </c>
      <c r="B39" s="73">
        <f>('Exhibit 4'!K57/'Exhibit 4'!J57)</f>
        <v>21</v>
      </c>
      <c r="C39" s="73">
        <f>+C29</f>
        <v>1.75</v>
      </c>
      <c r="F39" s="298">
        <f>'Exhibit 4'!K57</f>
        <v>945</v>
      </c>
      <c r="G39" s="298"/>
      <c r="H39" s="280"/>
      <c r="I39" s="38"/>
    </row>
    <row r="40" spans="1:9" x14ac:dyDescent="0.15">
      <c r="A40" s="67" t="s">
        <v>171</v>
      </c>
      <c r="B40" s="73">
        <f>'Exhibit 4'!K62/'Exhibit 4'!J62+'Exhibit 4'!K64/'Exhibit 4'!J64+'Exhibit 4'!K67/'Exhibit 4'!J67</f>
        <v>16</v>
      </c>
      <c r="C40" s="73">
        <f>('Exhibit 4'!K60/'Exhibit 4'!J60)+C29</f>
        <v>5.75</v>
      </c>
      <c r="F40" s="298">
        <f>'Exhibit 4'!K62+'Exhibit 4'!K64+'Exhibit 4'!K67</f>
        <v>20</v>
      </c>
      <c r="G40" s="298">
        <f>'Exhibit 4'!K60</f>
        <v>8</v>
      </c>
      <c r="H40" s="280"/>
      <c r="I40" s="38"/>
    </row>
    <row r="41" spans="1:9" ht="21" x14ac:dyDescent="0.15">
      <c r="A41" s="671" t="s">
        <v>294</v>
      </c>
      <c r="B41" s="73">
        <f>'Exhibit 4'!K69/'Exhibit 4'!J69+'Exhibit 4'!K71/'Exhibit 4'!J71+'Exhibit 4'!K73/'Exhibit 4'!J73</f>
        <v>21</v>
      </c>
      <c r="C41" s="73">
        <f>('Exhibit 4'!K70/'Exhibit 4'!J70)+C29</f>
        <v>2.75</v>
      </c>
      <c r="F41" s="298">
        <f>'Exhibit 4'!K69+'Exhibit 4'!K71+'Exhibit 4'!K73</f>
        <v>42</v>
      </c>
      <c r="G41" s="298">
        <f>'Exhibit 4'!K70</f>
        <v>2</v>
      </c>
      <c r="H41" s="280"/>
      <c r="I41" s="38"/>
    </row>
    <row r="42" spans="1:9" x14ac:dyDescent="0.15">
      <c r="A42" s="67" t="s">
        <v>293</v>
      </c>
      <c r="B42" s="73">
        <v>0</v>
      </c>
      <c r="C42" s="73">
        <f>('Exhibit 5'!K21/'Exhibit 5'!J21)+C29</f>
        <v>53.75</v>
      </c>
      <c r="F42" s="298">
        <v>0</v>
      </c>
      <c r="G42" s="298">
        <f>'Exhibit 5'!K21</f>
        <v>52</v>
      </c>
      <c r="H42" s="280"/>
      <c r="I42" s="38"/>
    </row>
    <row r="43" spans="1:9" x14ac:dyDescent="0.15">
      <c r="A43" s="67" t="s">
        <v>172</v>
      </c>
      <c r="B43" s="73">
        <v>0</v>
      </c>
      <c r="C43" s="73">
        <f>('Exhibit 5'!K26/'Exhibit 5'!J26)+('Exhibit 5'!K29/'Exhibit 5'!J29)+('Exhibit 5'!K30/'Exhibit 5'!J30)+C29</f>
        <v>63.75</v>
      </c>
      <c r="F43" s="298">
        <v>0</v>
      </c>
      <c r="G43" s="298">
        <f>'Exhibit 5'!K26+'Exhibit 5'!K29+'Exhibit 5'!K30</f>
        <v>62</v>
      </c>
      <c r="H43" s="280"/>
      <c r="I43" s="38"/>
    </row>
    <row r="44" spans="1:9" ht="21" x14ac:dyDescent="0.15">
      <c r="A44" s="678" t="s">
        <v>425</v>
      </c>
      <c r="B44" s="679">
        <v>0</v>
      </c>
      <c r="C44" s="679">
        <f>'Exhibit 5'!K36/'Exhibit 5'!J36+'Exhibit 5'!K37/'Exhibit 5'!J37+'Exhibit 5'!K38/'Exhibit 5'!J38+'Exhibit 5'!K41/'Exhibit 5'!J41+'Exhibit 5'!K42/'Exhibit 5'!J42+'Exhibit 5'!K43/'Exhibit 5'!J43+'Exhibit 5'!K44/'Exhibit 5'!J44+'Exhibit 5'!K47/'Exhibit 5'!J47+'Exhibit 5'!K48/'Exhibit 5'!J48+'Exhibit 5'!K49/'Exhibit 5'!J49+'Exhibit 5'!K50/'Exhibit 5'!J50+'Exhibit 5'!K51/'Exhibit 5'!J51+'Exhibit 5'!K52/'Exhibit 5'!J52+'Exhibit 5'!K53/'Exhibit 5'!J53+'Exhibit 5'!K54/'Exhibit 5'!J54+'Exhibit 5'!K55/'Exhibit 5'!J55+'Exhibit 5'!K61/'Exhibit 5'!J61+C$29</f>
        <v>28.179545454545455</v>
      </c>
      <c r="F44" s="299">
        <v>0</v>
      </c>
      <c r="G44" s="299">
        <f>'Exhibit 5'!K36+'Exhibit 5'!K37+'Exhibit 5'!K38+'Exhibit 5'!K41+'Exhibit 5'!K42+'Exhibit 5'!K43+'Exhibit 5'!K44+'Exhibit 5'!K47+'Exhibit 5'!K48+'Exhibit 5'!K49+'Exhibit 5'!K50/+'Exhibit 5'!K51+'Exhibit 5'!K52+'Exhibit 5'!K53+'Exhibit 5'!K54+'Exhibit 5'!K55+'Exhibit 5'!J61</f>
        <v>372</v>
      </c>
      <c r="H44" s="283"/>
      <c r="I44" s="38"/>
    </row>
    <row r="45" spans="1:9" x14ac:dyDescent="0.15">
      <c r="A45" s="680" t="s">
        <v>426</v>
      </c>
      <c r="B45" s="681">
        <f>'Exhibit 4'!K81/'Exhibit 4'!J81+'Exhibit 4'!K83/'Exhibit 4'!J83+'Exhibit 4'!K86/'Exhibit 4'!J86+'Exhibit 4'!K89/'Exhibit 4'!J89</f>
        <v>4.9000000000000004</v>
      </c>
      <c r="C45" s="681">
        <f>'Exhibit 4'!K87/'Exhibit 4'!J87+'Exhibit 4'!K92/'Exhibit 4'!J92+C$29</f>
        <v>1.95</v>
      </c>
      <c r="D45" s="115"/>
      <c r="F45" s="300">
        <f>'Exhibit 4'!K81+'Exhibit 4'!K83+'Exhibit 4'!K86+'Exhibit 4'!K89</f>
        <v>4134.4000000000005</v>
      </c>
      <c r="G45" s="300">
        <f>'Exhibit 4'!K87+'Exhibit 4'!K92</f>
        <v>27</v>
      </c>
      <c r="H45" s="281"/>
      <c r="I45" s="38"/>
    </row>
    <row r="46" spans="1:9" x14ac:dyDescent="0.15">
      <c r="A46" s="680" t="s">
        <v>427</v>
      </c>
      <c r="B46" s="681">
        <f>'Exhibit 4'!K20/'Exhibit 4'!J20+'Exhibit 4'!K21/'Exhibit 4'!J21+'Exhibit 4'!K22/'Exhibit 4'!J22</f>
        <v>26.5</v>
      </c>
      <c r="C46" s="681">
        <f>'Exhibit 4'!K24/'Exhibit 4'!J24+C$29</f>
        <v>2.25</v>
      </c>
      <c r="D46" s="115"/>
      <c r="F46" s="301">
        <f>'Exhibit 4'!K20+'Exhibit 4'!K21+'Exhibit 4'!K22</f>
        <v>44684.833333333336</v>
      </c>
      <c r="G46" s="300">
        <f>'Exhibit 4'!K24</f>
        <v>668.5</v>
      </c>
      <c r="H46" s="281"/>
      <c r="I46" s="38"/>
    </row>
    <row r="47" spans="1:9" x14ac:dyDescent="0.15">
      <c r="A47" s="682" t="s">
        <v>532</v>
      </c>
      <c r="B47" s="683">
        <v>0</v>
      </c>
      <c r="C47" s="683">
        <f>'Exhibit 5'!K63/'Exhibit 5'!J63+C$29</f>
        <v>1.8928571428571428</v>
      </c>
      <c r="D47" s="75"/>
      <c r="F47" s="673">
        <v>0</v>
      </c>
      <c r="G47" s="673">
        <f>'Exhibit 5'!K63</f>
        <v>1</v>
      </c>
      <c r="H47" s="282"/>
      <c r="I47" s="38"/>
    </row>
    <row r="48" spans="1:9" s="675" customFormat="1" x14ac:dyDescent="0.15">
      <c r="A48" s="682" t="s">
        <v>606</v>
      </c>
      <c r="B48" s="683">
        <v>0</v>
      </c>
      <c r="C48" s="683">
        <v>0.96</v>
      </c>
      <c r="D48" s="677"/>
      <c r="F48" s="676"/>
      <c r="G48" s="676"/>
      <c r="H48" s="674"/>
    </row>
    <row r="49" spans="1:17" s="38" customFormat="1" x14ac:dyDescent="0.15">
      <c r="A49" s="682" t="s">
        <v>607</v>
      </c>
      <c r="B49" s="683">
        <v>3.24</v>
      </c>
      <c r="C49" s="683">
        <v>1.1599999999999999</v>
      </c>
      <c r="D49" s="75"/>
      <c r="F49" s="672"/>
      <c r="G49" s="672"/>
      <c r="H49" s="282"/>
    </row>
    <row r="50" spans="1:17" ht="13.5" x14ac:dyDescent="0.25">
      <c r="A50" s="684" t="s">
        <v>608</v>
      </c>
      <c r="B50" s="685">
        <v>0</v>
      </c>
      <c r="C50" s="682">
        <v>18.38</v>
      </c>
      <c r="F50" s="177"/>
      <c r="G50" s="177"/>
    </row>
    <row r="51" spans="1:17" x14ac:dyDescent="0.15">
      <c r="B51" s="266">
        <f>SUM(B29:B47)</f>
        <v>1294.9191616766468</v>
      </c>
      <c r="C51" s="266">
        <f>SUM(C29:C47)</f>
        <v>181.3224025974026</v>
      </c>
      <c r="E51" s="10" t="s">
        <v>552</v>
      </c>
      <c r="F51" s="302">
        <f>SUM(F29:F47)</f>
        <v>57501.483333333337</v>
      </c>
      <c r="G51" s="302">
        <f>SUM(G27:G47)</f>
        <v>5756.65</v>
      </c>
    </row>
    <row r="52" spans="1:17" x14ac:dyDescent="0.15">
      <c r="O52" s="221"/>
      <c r="P52" s="221"/>
      <c r="Q52" s="221"/>
    </row>
    <row r="53" spans="1:17" x14ac:dyDescent="0.15">
      <c r="B53" s="221" t="s">
        <v>558</v>
      </c>
      <c r="F53" s="223">
        <f>F51/'Exhibit 1'!K65</f>
        <v>22.090466128825714</v>
      </c>
      <c r="O53" s="221"/>
      <c r="P53" s="221"/>
      <c r="Q53" s="221"/>
    </row>
    <row r="54" spans="1:17" x14ac:dyDescent="0.15">
      <c r="B54" s="221" t="s">
        <v>559</v>
      </c>
      <c r="F54" s="221"/>
      <c r="G54" s="223">
        <f>G51/'Exhibit 1'!K65</f>
        <v>2.2115443718786016</v>
      </c>
    </row>
    <row r="57" spans="1:17" x14ac:dyDescent="0.15">
      <c r="H57" t="s">
        <v>397</v>
      </c>
    </row>
    <row r="59" spans="1:17" ht="11.25" customHeight="1" x14ac:dyDescent="0.15">
      <c r="A59" s="287"/>
    </row>
    <row r="60" spans="1:17" x14ac:dyDescent="0.15">
      <c r="A60" s="287"/>
      <c r="O60" s="134"/>
      <c r="P60" s="134"/>
    </row>
    <row r="61" spans="1:17" x14ac:dyDescent="0.15">
      <c r="A61" s="287"/>
    </row>
    <row r="62" spans="1:17" x14ac:dyDescent="0.15">
      <c r="A62" s="221"/>
    </row>
  </sheetData>
  <phoneticPr fontId="0" type="noConversion"/>
  <pageMargins left="0.75" right="0.75" top="1" bottom="1" header="0.5" footer="0.5"/>
  <pageSetup orientation="landscape" r:id="rId1"/>
  <headerFooter alignWithMargins="0">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119"/>
  <sheetViews>
    <sheetView topLeftCell="A14" zoomScaleNormal="100" workbookViewId="0">
      <selection activeCell="K93" sqref="K93"/>
    </sheetView>
  </sheetViews>
  <sheetFormatPr defaultRowHeight="10.5" x14ac:dyDescent="0.15"/>
  <cols>
    <col min="1" max="1" width="41.6640625" customWidth="1"/>
    <col min="7" max="7" width="12.6640625" customWidth="1"/>
    <col min="8" max="8" width="8.1640625" hidden="1" customWidth="1"/>
    <col min="9" max="9" width="8.5" hidden="1" customWidth="1"/>
    <col min="11" max="11" width="12.33203125" customWidth="1"/>
    <col min="12" max="12" width="15.83203125" bestFit="1" customWidth="1"/>
    <col min="13" max="13" width="2.1640625" customWidth="1"/>
    <col min="14" max="14" width="18.5" customWidth="1"/>
    <col min="15" max="17" width="13.1640625" customWidth="1"/>
    <col min="21" max="21" width="23.83203125" customWidth="1"/>
    <col min="22" max="22" width="16.1640625" customWidth="1"/>
    <col min="23" max="23" width="26" customWidth="1"/>
    <col min="24" max="24" width="23" customWidth="1"/>
    <col min="25" max="25" width="23.1640625" customWidth="1"/>
    <col min="37" max="37" width="12.1640625" customWidth="1"/>
  </cols>
  <sheetData>
    <row r="1" spans="1:15" x14ac:dyDescent="0.15">
      <c r="A1" t="s">
        <v>211</v>
      </c>
      <c r="G1" s="93"/>
      <c r="N1" s="279"/>
      <c r="O1" s="77"/>
    </row>
    <row r="2" spans="1:15" ht="31.5" x14ac:dyDescent="0.15">
      <c r="A2" s="10" t="s">
        <v>243</v>
      </c>
      <c r="C2" t="s">
        <v>213</v>
      </c>
      <c r="D2" t="s">
        <v>214</v>
      </c>
      <c r="E2" t="s">
        <v>215</v>
      </c>
      <c r="F2" t="s">
        <v>320</v>
      </c>
      <c r="G2" s="79" t="s">
        <v>240</v>
      </c>
      <c r="K2" s="78"/>
      <c r="L2" s="78"/>
      <c r="N2" s="231" t="s">
        <v>240</v>
      </c>
      <c r="O2" s="82"/>
    </row>
    <row r="3" spans="1:15" x14ac:dyDescent="0.15">
      <c r="A3" s="10" t="s">
        <v>269</v>
      </c>
      <c r="B3" t="s">
        <v>217</v>
      </c>
      <c r="C3" s="5">
        <v>64.98</v>
      </c>
      <c r="D3" s="32"/>
      <c r="E3" s="33"/>
      <c r="F3" s="74">
        <v>78.209999999999994</v>
      </c>
      <c r="G3" s="101">
        <v>78.209999999999994</v>
      </c>
      <c r="K3" s="77"/>
      <c r="L3" s="277" t="s">
        <v>545</v>
      </c>
      <c r="M3" s="81" t="e">
        <f>ROUND(#REF!,2)</f>
        <v>#REF!</v>
      </c>
      <c r="N3" s="258">
        <f>'Labor Rates'!$F$34</f>
        <v>84.870731707317077</v>
      </c>
      <c r="O3" s="221" t="s">
        <v>467</v>
      </c>
    </row>
    <row r="4" spans="1:15" x14ac:dyDescent="0.15">
      <c r="A4" s="10" t="s">
        <v>270</v>
      </c>
      <c r="B4" t="s">
        <v>218</v>
      </c>
      <c r="C4" s="5">
        <v>41.25</v>
      </c>
      <c r="D4" s="32"/>
      <c r="E4" s="33"/>
      <c r="F4" s="74">
        <v>49.84</v>
      </c>
      <c r="G4" s="101">
        <v>49.84</v>
      </c>
      <c r="K4" s="77"/>
      <c r="L4" s="277" t="s">
        <v>546</v>
      </c>
      <c r="M4" s="81" t="e">
        <f>ROUND(#REF!,2)</f>
        <v>#REF!</v>
      </c>
      <c r="N4" s="258">
        <f>'Labor Rates'!$J$34</f>
        <v>82.548780487804891</v>
      </c>
      <c r="O4" s="221" t="s">
        <v>467</v>
      </c>
    </row>
    <row r="5" spans="1:15" x14ac:dyDescent="0.15">
      <c r="A5" s="10" t="s">
        <v>272</v>
      </c>
      <c r="B5" t="s">
        <v>219</v>
      </c>
      <c r="C5" s="5">
        <v>28.94</v>
      </c>
      <c r="D5" s="32"/>
      <c r="E5" s="33"/>
      <c r="F5" s="74">
        <v>34.9</v>
      </c>
      <c r="G5" s="101">
        <v>34.9</v>
      </c>
      <c r="K5" s="77"/>
      <c r="L5" s="277" t="s">
        <v>547</v>
      </c>
      <c r="M5" s="81" t="e">
        <f>ROUND(#REF!,2)</f>
        <v>#REF!</v>
      </c>
      <c r="N5" s="258">
        <f>'Labor Rates'!$N$34</f>
        <v>48.419512195121953</v>
      </c>
      <c r="O5" s="221" t="s">
        <v>467</v>
      </c>
    </row>
    <row r="6" spans="1:15" x14ac:dyDescent="0.15">
      <c r="A6" s="10" t="s">
        <v>271</v>
      </c>
      <c r="B6" t="s">
        <v>220</v>
      </c>
      <c r="C6" s="37">
        <v>17.579999999999998</v>
      </c>
      <c r="D6" s="32"/>
      <c r="E6" s="33"/>
      <c r="F6" s="74">
        <v>20.91</v>
      </c>
      <c r="G6" s="101">
        <v>20.91</v>
      </c>
      <c r="K6" s="77"/>
      <c r="L6" s="277" t="s">
        <v>548</v>
      </c>
      <c r="M6" s="81" t="e">
        <f>ROUND(#REF!,2)</f>
        <v>#REF!</v>
      </c>
      <c r="N6" s="258">
        <f>'Labor Rates'!$R$34</f>
        <v>32.28536585365854</v>
      </c>
      <c r="O6" s="221" t="s">
        <v>467</v>
      </c>
    </row>
    <row r="7" spans="1:15" x14ac:dyDescent="0.15">
      <c r="A7" s="1"/>
      <c r="B7" s="2"/>
    </row>
    <row r="17" spans="1:17" x14ac:dyDescent="0.15">
      <c r="A17" s="360" t="s">
        <v>156</v>
      </c>
      <c r="B17" s="251"/>
      <c r="C17" s="251"/>
      <c r="D17" s="251"/>
      <c r="E17" s="251"/>
      <c r="F17" s="251"/>
      <c r="G17" s="251"/>
      <c r="H17" s="251"/>
      <c r="I17" s="251"/>
      <c r="J17" s="251"/>
      <c r="K17" s="251"/>
      <c r="L17" s="251"/>
    </row>
    <row r="18" spans="1:17" x14ac:dyDescent="0.15">
      <c r="A18" s="360" t="s">
        <v>173</v>
      </c>
      <c r="B18" s="361"/>
      <c r="C18" s="361"/>
      <c r="D18" s="361"/>
      <c r="E18" s="361"/>
      <c r="F18" s="361"/>
      <c r="G18" s="361"/>
      <c r="H18" s="361"/>
      <c r="I18" s="251"/>
      <c r="J18" s="251"/>
      <c r="K18" s="251"/>
      <c r="L18" s="251"/>
    </row>
    <row r="19" spans="1:17" ht="14.25" customHeight="1" x14ac:dyDescent="0.15">
      <c r="A19" s="361"/>
      <c r="B19" s="361"/>
      <c r="C19" s="361"/>
      <c r="D19" s="251"/>
      <c r="E19" s="365" t="s">
        <v>193</v>
      </c>
      <c r="F19" s="361"/>
      <c r="G19" s="361"/>
      <c r="H19" s="407"/>
      <c r="I19" s="407"/>
      <c r="J19" s="361"/>
      <c r="K19" s="365" t="s">
        <v>194</v>
      </c>
      <c r="L19" s="361"/>
    </row>
    <row r="20" spans="1:17" ht="2.25" customHeight="1" x14ac:dyDescent="0.15">
      <c r="A20" s="361"/>
      <c r="B20" s="366"/>
      <c r="C20" s="366"/>
      <c r="D20" s="366"/>
      <c r="E20" s="366"/>
      <c r="F20" s="366"/>
      <c r="G20" s="366"/>
      <c r="H20" s="580"/>
      <c r="I20" s="580"/>
      <c r="J20" s="366"/>
      <c r="K20" s="366"/>
      <c r="L20" s="366"/>
    </row>
    <row r="21" spans="1:17" x14ac:dyDescent="0.15">
      <c r="A21" s="361"/>
      <c r="B21" s="401"/>
      <c r="C21" s="361"/>
      <c r="D21" s="361"/>
      <c r="E21" s="361"/>
      <c r="F21" s="361"/>
      <c r="G21" s="370"/>
      <c r="H21" s="407"/>
      <c r="I21" s="489"/>
      <c r="J21" s="581" t="s">
        <v>3</v>
      </c>
      <c r="K21" s="581"/>
      <c r="L21" s="404"/>
      <c r="O21" s="45"/>
      <c r="P21" s="45"/>
      <c r="Q21" s="45" t="s">
        <v>419</v>
      </c>
    </row>
    <row r="22" spans="1:17" x14ac:dyDescent="0.15">
      <c r="A22" s="361"/>
      <c r="B22" s="367"/>
      <c r="C22" s="361"/>
      <c r="D22" s="361"/>
      <c r="E22" s="361"/>
      <c r="F22" s="361"/>
      <c r="G22" s="361"/>
      <c r="H22" s="361"/>
      <c r="I22" s="251"/>
      <c r="J22" s="402" t="s">
        <v>195</v>
      </c>
      <c r="K22" s="403"/>
      <c r="L22" s="528"/>
      <c r="O22" s="45"/>
      <c r="P22" s="45"/>
      <c r="Q22" s="45"/>
    </row>
    <row r="23" spans="1:17" x14ac:dyDescent="0.15">
      <c r="A23" s="361"/>
      <c r="B23" s="372" t="s">
        <v>196</v>
      </c>
      <c r="C23" s="365" t="s">
        <v>197</v>
      </c>
      <c r="D23" s="365" t="s">
        <v>198</v>
      </c>
      <c r="E23" s="365" t="s">
        <v>199</v>
      </c>
      <c r="F23" s="365" t="s">
        <v>200</v>
      </c>
      <c r="G23" s="365" t="s">
        <v>192</v>
      </c>
      <c r="H23" s="376" t="s">
        <v>201</v>
      </c>
      <c r="I23" s="407"/>
      <c r="J23" s="402" t="s">
        <v>200</v>
      </c>
      <c r="K23" s="402" t="s">
        <v>202</v>
      </c>
      <c r="L23" s="374" t="s">
        <v>202</v>
      </c>
      <c r="N23" s="50" t="s">
        <v>342</v>
      </c>
      <c r="O23" s="10" t="s">
        <v>342</v>
      </c>
      <c r="P23" s="108" t="s">
        <v>342</v>
      </c>
      <c r="Q23" s="108" t="s">
        <v>342</v>
      </c>
    </row>
    <row r="24" spans="1:17" ht="11.25" x14ac:dyDescent="0.2">
      <c r="A24" s="360" t="s">
        <v>174</v>
      </c>
      <c r="B24" s="469">
        <f>$N$3</f>
        <v>84.870731707317077</v>
      </c>
      <c r="C24" s="407">
        <f>$N$4</f>
        <v>82.548780487804891</v>
      </c>
      <c r="D24" s="407">
        <f>$N$5</f>
        <v>48.419512195121953</v>
      </c>
      <c r="E24" s="407">
        <f>$N$6</f>
        <v>32.28536585365854</v>
      </c>
      <c r="F24" s="365" t="s">
        <v>203</v>
      </c>
      <c r="G24" s="365" t="s">
        <v>204</v>
      </c>
      <c r="H24" s="376" t="s">
        <v>205</v>
      </c>
      <c r="I24" s="376" t="s">
        <v>206</v>
      </c>
      <c r="J24" s="402" t="s">
        <v>207</v>
      </c>
      <c r="K24" s="402" t="s">
        <v>203</v>
      </c>
      <c r="L24" s="374" t="s">
        <v>204</v>
      </c>
      <c r="N24" s="84" t="s">
        <v>211</v>
      </c>
      <c r="O24" s="84" t="s">
        <v>341</v>
      </c>
      <c r="P24" s="108" t="s">
        <v>396</v>
      </c>
      <c r="Q24" s="108" t="s">
        <v>418</v>
      </c>
    </row>
    <row r="25" spans="1:17" x14ac:dyDescent="0.15">
      <c r="A25" s="360" t="s">
        <v>5</v>
      </c>
      <c r="B25" s="372" t="s">
        <v>210</v>
      </c>
      <c r="C25" s="365" t="s">
        <v>210</v>
      </c>
      <c r="D25" s="365" t="s">
        <v>210</v>
      </c>
      <c r="E25" s="365" t="s">
        <v>210</v>
      </c>
      <c r="F25" s="365" t="s">
        <v>208</v>
      </c>
      <c r="G25" s="365" t="s">
        <v>208</v>
      </c>
      <c r="H25" s="376" t="s">
        <v>151</v>
      </c>
      <c r="I25" s="376" t="s">
        <v>151</v>
      </c>
      <c r="J25" s="402" t="s">
        <v>209</v>
      </c>
      <c r="K25" s="402" t="s">
        <v>208</v>
      </c>
      <c r="L25" s="377" t="s">
        <v>208</v>
      </c>
      <c r="N25" s="42"/>
      <c r="P25" s="45"/>
      <c r="Q25" s="45"/>
    </row>
    <row r="26" spans="1:17" ht="3" customHeight="1" x14ac:dyDescent="0.15">
      <c r="A26" s="391"/>
      <c r="B26" s="378"/>
      <c r="C26" s="378"/>
      <c r="D26" s="378"/>
      <c r="E26" s="378"/>
      <c r="F26" s="378"/>
      <c r="G26" s="378"/>
      <c r="H26" s="378"/>
      <c r="I26" s="378"/>
      <c r="J26" s="378"/>
      <c r="K26" s="378"/>
      <c r="L26" s="394"/>
      <c r="N26" s="42"/>
      <c r="P26" s="45"/>
      <c r="Q26" s="45"/>
    </row>
    <row r="27" spans="1:17" x14ac:dyDescent="0.15">
      <c r="A27" s="582" t="s">
        <v>238</v>
      </c>
      <c r="B27" s="414"/>
      <c r="C27" s="414"/>
      <c r="D27" s="414"/>
      <c r="E27" s="414"/>
      <c r="F27" s="414"/>
      <c r="G27" s="414"/>
      <c r="H27" s="414"/>
      <c r="I27" s="414"/>
      <c r="J27" s="414"/>
      <c r="K27" s="414"/>
      <c r="L27" s="416"/>
      <c r="N27" s="42"/>
      <c r="P27" s="45"/>
      <c r="Q27" s="45"/>
    </row>
    <row r="28" spans="1:17" x14ac:dyDescent="0.15">
      <c r="A28" s="422" t="s">
        <v>175</v>
      </c>
      <c r="B28" s="359">
        <v>0</v>
      </c>
      <c r="C28" s="359">
        <v>3</v>
      </c>
      <c r="D28" s="359">
        <v>20</v>
      </c>
      <c r="E28" s="359">
        <v>0</v>
      </c>
      <c r="F28" s="359">
        <f>SUM(B28:E28)</f>
        <v>23</v>
      </c>
      <c r="G28" s="388">
        <f>B28*$B$24+C28*$C$24+D28*$D$24+E28*$E$24</f>
        <v>1216.0365853658539</v>
      </c>
      <c r="H28" s="583">
        <v>0</v>
      </c>
      <c r="I28" s="583">
        <v>0</v>
      </c>
      <c r="J28" s="438">
        <f>'Exhibit 2'!J38</f>
        <v>1</v>
      </c>
      <c r="K28" s="356">
        <f>F28*J28</f>
        <v>23</v>
      </c>
      <c r="L28" s="428">
        <f>J28*(G28+H28+I28)</f>
        <v>1216.0365853658539</v>
      </c>
      <c r="N28" s="46">
        <f>G28*J28</f>
        <v>1216.0365853658539</v>
      </c>
      <c r="O28" s="40">
        <f>I28*J28</f>
        <v>0</v>
      </c>
      <c r="P28" s="40">
        <f>H28*J28</f>
        <v>0</v>
      </c>
      <c r="Q28" s="40">
        <f>SUM(N28:P28)</f>
        <v>1216.0365853658539</v>
      </c>
    </row>
    <row r="29" spans="1:17" x14ac:dyDescent="0.15">
      <c r="A29" s="647" t="s">
        <v>285</v>
      </c>
      <c r="B29" s="359">
        <v>0</v>
      </c>
      <c r="C29" s="359">
        <v>0</v>
      </c>
      <c r="D29" s="359">
        <v>2</v>
      </c>
      <c r="E29" s="359">
        <v>1</v>
      </c>
      <c r="F29" s="359">
        <f>SUM(B29:E29)</f>
        <v>3</v>
      </c>
      <c r="G29" s="388">
        <f t="shared" ref="G29:G35" si="0">B29*$B$24+C29*$C$24+D29*$D$24+E29*$E$24</f>
        <v>129.12439024390244</v>
      </c>
      <c r="H29" s="583">
        <v>0</v>
      </c>
      <c r="I29" s="583">
        <v>0</v>
      </c>
      <c r="J29" s="438">
        <f>J28</f>
        <v>1</v>
      </c>
      <c r="K29" s="356">
        <f>F29*J29</f>
        <v>3</v>
      </c>
      <c r="L29" s="428">
        <f>J29*(G29+H29+I29)</f>
        <v>129.12439024390244</v>
      </c>
      <c r="N29" s="46">
        <f>G29*J29</f>
        <v>129.12439024390244</v>
      </c>
      <c r="O29" s="40">
        <f>I29*J29</f>
        <v>0</v>
      </c>
      <c r="P29" s="40">
        <f>H29*J29</f>
        <v>0</v>
      </c>
      <c r="Q29" s="40">
        <f>SUM(N29:P29)</f>
        <v>129.12439024390244</v>
      </c>
    </row>
    <row r="30" spans="1:17" x14ac:dyDescent="0.15">
      <c r="A30" s="386" t="s">
        <v>176</v>
      </c>
      <c r="B30" s="359">
        <v>0</v>
      </c>
      <c r="C30" s="359">
        <v>0</v>
      </c>
      <c r="D30" s="359">
        <v>6</v>
      </c>
      <c r="E30" s="359">
        <v>2</v>
      </c>
      <c r="F30" s="359">
        <f>SUM(B30:E30)</f>
        <v>8</v>
      </c>
      <c r="G30" s="388">
        <f t="shared" si="0"/>
        <v>355.08780487804876</v>
      </c>
      <c r="H30" s="583">
        <v>0</v>
      </c>
      <c r="I30" s="583">
        <v>0</v>
      </c>
      <c r="J30" s="438">
        <f>J28</f>
        <v>1</v>
      </c>
      <c r="K30" s="356">
        <f>F30*J30</f>
        <v>8</v>
      </c>
      <c r="L30" s="428">
        <f>J30*(G30+H30+I30)</f>
        <v>355.08780487804876</v>
      </c>
      <c r="N30" s="46">
        <f>G30*J30</f>
        <v>355.08780487804876</v>
      </c>
      <c r="O30" s="40">
        <f>I30*J30</f>
        <v>0</v>
      </c>
      <c r="P30" s="40">
        <f>H30*J30</f>
        <v>0</v>
      </c>
      <c r="Q30" s="40">
        <f>SUM(N30:P30)</f>
        <v>355.08780487804876</v>
      </c>
    </row>
    <row r="31" spans="1:17" x14ac:dyDescent="0.15">
      <c r="A31" s="386" t="s">
        <v>177</v>
      </c>
      <c r="B31" s="359">
        <v>0</v>
      </c>
      <c r="C31" s="359">
        <v>1</v>
      </c>
      <c r="D31" s="359">
        <v>8</v>
      </c>
      <c r="E31" s="359">
        <v>0</v>
      </c>
      <c r="F31" s="359">
        <f>SUM(B31:E31)</f>
        <v>9</v>
      </c>
      <c r="G31" s="388">
        <f t="shared" si="0"/>
        <v>469.90487804878052</v>
      </c>
      <c r="H31" s="583">
        <v>0</v>
      </c>
      <c r="I31" s="583">
        <v>0</v>
      </c>
      <c r="J31" s="438">
        <f>J28</f>
        <v>1</v>
      </c>
      <c r="K31" s="356">
        <f>F31*J31</f>
        <v>9</v>
      </c>
      <c r="L31" s="428">
        <f>J31*(G31+H31+I31)</f>
        <v>469.90487804878052</v>
      </c>
      <c r="N31" s="46">
        <f>G31*J31</f>
        <v>469.90487804878052</v>
      </c>
      <c r="O31" s="40">
        <f>I31*J31</f>
        <v>0</v>
      </c>
      <c r="P31" s="40">
        <f>H31*J31</f>
        <v>0</v>
      </c>
      <c r="Q31" s="40">
        <f>SUM(N31:P31)</f>
        <v>469.90487804878052</v>
      </c>
    </row>
    <row r="32" spans="1:17" x14ac:dyDescent="0.15">
      <c r="A32" s="386" t="s">
        <v>184</v>
      </c>
      <c r="B32" s="359">
        <v>0</v>
      </c>
      <c r="C32" s="359">
        <v>2</v>
      </c>
      <c r="D32" s="359">
        <v>18</v>
      </c>
      <c r="E32" s="359">
        <v>0</v>
      </c>
      <c r="F32" s="359">
        <f>SUM(B32:E32)</f>
        <v>20</v>
      </c>
      <c r="G32" s="388">
        <f t="shared" si="0"/>
        <v>1036.648780487805</v>
      </c>
      <c r="H32" s="583">
        <v>0</v>
      </c>
      <c r="I32" s="583">
        <v>0</v>
      </c>
      <c r="J32" s="438">
        <f>J28</f>
        <v>1</v>
      </c>
      <c r="K32" s="356">
        <f>F32*J32</f>
        <v>20</v>
      </c>
      <c r="L32" s="428">
        <f>J32*(G32+H32+I32)</f>
        <v>1036.648780487805</v>
      </c>
      <c r="N32" s="46">
        <f>G32*J32</f>
        <v>1036.648780487805</v>
      </c>
      <c r="O32" s="40">
        <f>I32*J32</f>
        <v>0</v>
      </c>
      <c r="P32" s="40">
        <f>H32*J32</f>
        <v>0</v>
      </c>
      <c r="Q32" s="40">
        <f>SUM(N32:P32)</f>
        <v>1036.648780487805</v>
      </c>
    </row>
    <row r="33" spans="1:44" x14ac:dyDescent="0.15">
      <c r="A33" s="450" t="s">
        <v>179</v>
      </c>
      <c r="B33" s="444"/>
      <c r="C33" s="444"/>
      <c r="D33" s="444"/>
      <c r="E33" s="444"/>
      <c r="F33" s="444"/>
      <c r="G33" s="584"/>
      <c r="H33" s="444"/>
      <c r="I33" s="444"/>
      <c r="J33" s="446"/>
      <c r="K33" s="357"/>
      <c r="L33" s="447"/>
    </row>
    <row r="34" spans="1:44" x14ac:dyDescent="0.15">
      <c r="A34" s="386" t="s">
        <v>180</v>
      </c>
      <c r="B34" s="359">
        <v>10</v>
      </c>
      <c r="C34" s="359">
        <v>3</v>
      </c>
      <c r="D34" s="359">
        <v>25</v>
      </c>
      <c r="E34" s="359">
        <v>4</v>
      </c>
      <c r="F34" s="359">
        <f>SUM(B34:E34)</f>
        <v>42</v>
      </c>
      <c r="G34" s="388">
        <f t="shared" si="0"/>
        <v>2435.9829268292683</v>
      </c>
      <c r="H34" s="583">
        <v>0</v>
      </c>
      <c r="I34" s="583">
        <v>0</v>
      </c>
      <c r="J34" s="585">
        <f>J28</f>
        <v>1</v>
      </c>
      <c r="K34" s="356">
        <f>F34*J34</f>
        <v>42</v>
      </c>
      <c r="L34" s="428">
        <f>J34*(G34+H34+I34)</f>
        <v>2435.9829268292683</v>
      </c>
      <c r="N34" s="46">
        <f>G34*J34</f>
        <v>2435.9829268292683</v>
      </c>
      <c r="O34" s="40">
        <f>I34*J34</f>
        <v>0</v>
      </c>
      <c r="P34" s="40">
        <f>H34*J34</f>
        <v>0</v>
      </c>
      <c r="Q34" s="40">
        <f>SUM(N34:P34)</f>
        <v>2435.9829268292683</v>
      </c>
    </row>
    <row r="35" spans="1:44" x14ac:dyDescent="0.15">
      <c r="A35" s="386" t="s">
        <v>181</v>
      </c>
      <c r="B35" s="359">
        <v>4</v>
      </c>
      <c r="C35" s="359">
        <v>2</v>
      </c>
      <c r="D35" s="359">
        <v>10</v>
      </c>
      <c r="E35" s="359">
        <v>0</v>
      </c>
      <c r="F35" s="359">
        <f>SUM(B35:E35)</f>
        <v>16</v>
      </c>
      <c r="G35" s="388">
        <f t="shared" si="0"/>
        <v>988.77560975609765</v>
      </c>
      <c r="H35" s="583">
        <v>0</v>
      </c>
      <c r="I35" s="583">
        <v>0</v>
      </c>
      <c r="J35" s="438">
        <f>J28</f>
        <v>1</v>
      </c>
      <c r="K35" s="356">
        <f>F35*J35</f>
        <v>16</v>
      </c>
      <c r="L35" s="428">
        <f>J35*(G35+H35+I35)</f>
        <v>988.77560975609765</v>
      </c>
      <c r="N35" s="46">
        <f>G35*J35</f>
        <v>988.77560975609765</v>
      </c>
      <c r="O35" s="40">
        <f>I35*J35</f>
        <v>0</v>
      </c>
      <c r="P35" s="40">
        <f>H35*J35</f>
        <v>0</v>
      </c>
      <c r="Q35" s="40">
        <f>SUM(N35:P35)</f>
        <v>988.77560975609765</v>
      </c>
    </row>
    <row r="36" spans="1:44" x14ac:dyDescent="0.15">
      <c r="A36" s="450" t="s">
        <v>182</v>
      </c>
      <c r="B36" s="444"/>
      <c r="C36" s="444"/>
      <c r="D36" s="444"/>
      <c r="E36" s="444"/>
      <c r="F36" s="444"/>
      <c r="G36" s="381"/>
      <c r="H36" s="444"/>
      <c r="I36" s="444"/>
      <c r="J36" s="446"/>
      <c r="K36" s="357"/>
      <c r="L36" s="447"/>
    </row>
    <row r="37" spans="1:44" x14ac:dyDescent="0.15">
      <c r="A37" s="386" t="s">
        <v>183</v>
      </c>
      <c r="B37" s="359">
        <v>6</v>
      </c>
      <c r="C37" s="359">
        <v>2</v>
      </c>
      <c r="D37" s="359">
        <v>24</v>
      </c>
      <c r="E37" s="359">
        <v>5</v>
      </c>
      <c r="F37" s="359">
        <f>SUM(B37:E37)</f>
        <v>37</v>
      </c>
      <c r="G37" s="388">
        <f>B37*$B$24+C37*$C$24+D37*$D$24+E37*$E$24</f>
        <v>1997.8170731707319</v>
      </c>
      <c r="H37" s="583">
        <v>0</v>
      </c>
      <c r="I37" s="583">
        <v>0</v>
      </c>
      <c r="J37" s="438">
        <f>J28</f>
        <v>1</v>
      </c>
      <c r="K37" s="356">
        <f>F37*J37</f>
        <v>37</v>
      </c>
      <c r="L37" s="428">
        <f>J37*(G37+H37+I37)</f>
        <v>1997.8170731707319</v>
      </c>
      <c r="N37" s="46">
        <f>G37*J37</f>
        <v>1997.8170731707319</v>
      </c>
      <c r="O37" s="40">
        <f>I37*J37</f>
        <v>0</v>
      </c>
      <c r="P37" s="40">
        <f>H37*J37</f>
        <v>0</v>
      </c>
      <c r="Q37" s="40">
        <f>SUM(N37:P37)</f>
        <v>1997.8170731707319</v>
      </c>
      <c r="Z37" s="10" t="s">
        <v>601</v>
      </c>
      <c r="AF37" s="308" t="s">
        <v>599</v>
      </c>
      <c r="AL37" s="221" t="s">
        <v>600</v>
      </c>
    </row>
    <row r="38" spans="1:44" ht="3" customHeight="1" x14ac:dyDescent="0.15">
      <c r="A38" s="432"/>
      <c r="B38" s="459"/>
      <c r="C38" s="459"/>
      <c r="D38" s="459"/>
      <c r="E38" s="459"/>
      <c r="F38" s="459"/>
      <c r="G38" s="432"/>
      <c r="H38" s="459"/>
      <c r="I38" s="459"/>
      <c r="J38" s="432"/>
      <c r="K38" s="358"/>
      <c r="L38" s="483"/>
    </row>
    <row r="39" spans="1:44" x14ac:dyDescent="0.15">
      <c r="A39" s="386" t="s">
        <v>16</v>
      </c>
      <c r="B39" s="359">
        <f t="shared" ref="B39:G39" si="1">SUM(B28:B37)</f>
        <v>20</v>
      </c>
      <c r="C39" s="359">
        <f t="shared" si="1"/>
        <v>13</v>
      </c>
      <c r="D39" s="359">
        <f t="shared" si="1"/>
        <v>113</v>
      </c>
      <c r="E39" s="359">
        <f t="shared" si="1"/>
        <v>12</v>
      </c>
      <c r="F39" s="359">
        <f t="shared" si="1"/>
        <v>158</v>
      </c>
      <c r="G39" s="586">
        <f t="shared" si="1"/>
        <v>8629.3780487804888</v>
      </c>
      <c r="H39" s="583">
        <v>0</v>
      </c>
      <c r="I39" s="583">
        <v>0</v>
      </c>
      <c r="J39" s="585">
        <f>J28</f>
        <v>1</v>
      </c>
      <c r="K39" s="359">
        <f>SUM(K28:K37)</f>
        <v>158</v>
      </c>
      <c r="L39" s="587">
        <f>SUM(L28:L37)</f>
        <v>8629.3780487804888</v>
      </c>
      <c r="AF39" s="179" t="s">
        <v>505</v>
      </c>
      <c r="AL39" s="179" t="s">
        <v>505</v>
      </c>
    </row>
    <row r="40" spans="1:44" ht="3" customHeight="1" x14ac:dyDescent="0.15">
      <c r="A40" s="391"/>
      <c r="B40" s="392"/>
      <c r="C40" s="392"/>
      <c r="D40" s="392"/>
      <c r="E40" s="392"/>
      <c r="F40" s="392"/>
      <c r="G40" s="378"/>
      <c r="H40" s="392"/>
      <c r="I40" s="392"/>
      <c r="J40" s="378"/>
      <c r="K40" s="393"/>
      <c r="L40" s="394"/>
    </row>
    <row r="41" spans="1:44" x14ac:dyDescent="0.15">
      <c r="A41" s="582" t="s">
        <v>239</v>
      </c>
      <c r="B41" s="413"/>
      <c r="C41" s="413"/>
      <c r="D41" s="413"/>
      <c r="E41" s="413"/>
      <c r="F41" s="413"/>
      <c r="G41" s="414"/>
      <c r="H41" s="413"/>
      <c r="I41" s="413"/>
      <c r="J41" s="414"/>
      <c r="K41" s="415"/>
      <c r="L41" s="416"/>
      <c r="T41" s="179" t="s">
        <v>504</v>
      </c>
      <c r="Z41" s="10" t="s">
        <v>492</v>
      </c>
      <c r="AF41" s="77" t="s">
        <v>494</v>
      </c>
      <c r="AG41" s="76"/>
      <c r="AH41" s="76"/>
      <c r="AI41" s="76"/>
      <c r="AJ41" s="76"/>
      <c r="AL41" s="221" t="s">
        <v>602</v>
      </c>
      <c r="AM41" s="220"/>
      <c r="AN41" s="220"/>
      <c r="AO41" s="220"/>
      <c r="AP41" s="220"/>
      <c r="AR41" s="350"/>
    </row>
    <row r="42" spans="1:44" x14ac:dyDescent="0.15">
      <c r="A42" s="417" t="s">
        <v>175</v>
      </c>
      <c r="B42" s="359">
        <v>3.5982008995502248</v>
      </c>
      <c r="C42" s="359">
        <v>0.8995502248875562</v>
      </c>
      <c r="D42" s="359">
        <v>59.820089955022489</v>
      </c>
      <c r="E42" s="359">
        <v>5.3973013493253372</v>
      </c>
      <c r="F42" s="359">
        <v>69.715142428785612</v>
      </c>
      <c r="G42" s="388">
        <f>B42*$B$24+C42*$C$24+D42*$D$24+E42*$E$24</f>
        <v>3450.3521410026692</v>
      </c>
      <c r="H42" s="583">
        <v>0</v>
      </c>
      <c r="I42" s="583">
        <v>0</v>
      </c>
      <c r="J42" s="438">
        <f>'Exhibit 2'!J73</f>
        <v>4</v>
      </c>
      <c r="K42" s="356">
        <f>F42*J42</f>
        <v>278.86056971514245</v>
      </c>
      <c r="L42" s="428">
        <f>J42*(G42+H42+I42)</f>
        <v>13801.408564010677</v>
      </c>
      <c r="N42" s="46">
        <f>G42*J42</f>
        <v>13801.408564010677</v>
      </c>
      <c r="O42" s="40">
        <f>I42*J42</f>
        <v>0</v>
      </c>
      <c r="P42" s="40">
        <f>H42*J42</f>
        <v>0</v>
      </c>
      <c r="Q42" s="40">
        <f>SUM(N42:P42)</f>
        <v>13801.408564010677</v>
      </c>
      <c r="Z42" s="13">
        <v>8</v>
      </c>
      <c r="AA42" s="13">
        <v>2</v>
      </c>
      <c r="AB42" s="13">
        <v>133</v>
      </c>
      <c r="AC42" s="13">
        <v>12</v>
      </c>
      <c r="AD42" s="13">
        <f>SUM(Z42:AC42)</f>
        <v>155</v>
      </c>
      <c r="AF42" s="114">
        <f>Z42*642/667</f>
        <v>7.700149925037481</v>
      </c>
      <c r="AG42" s="114">
        <f>AA42*642/667</f>
        <v>1.9250374812593702</v>
      </c>
      <c r="AH42" s="114">
        <f>AB42*642/667</f>
        <v>128.01499250374812</v>
      </c>
      <c r="AI42" s="114">
        <f>AC42*642/667</f>
        <v>11.550224887556222</v>
      </c>
      <c r="AJ42" s="114">
        <f>AD42*642/667</f>
        <v>149.19040479760119</v>
      </c>
      <c r="AK42" s="175"/>
      <c r="AL42" s="342">
        <f>AF42*300/642</f>
        <v>3.5982008995502248</v>
      </c>
      <c r="AM42" s="342">
        <f t="shared" ref="AM42:AM51" si="2">AG42*300/642</f>
        <v>0.8995502248875562</v>
      </c>
      <c r="AN42" s="342">
        <f t="shared" ref="AN42:AN51" si="3">AH42*300/642</f>
        <v>59.820089955022489</v>
      </c>
      <c r="AO42" s="342">
        <f t="shared" ref="AO42:AO51" si="4">AI42*300/642</f>
        <v>5.3973013493253372</v>
      </c>
      <c r="AP42" s="342">
        <f t="shared" ref="AP42:AP51" si="5">AJ42*300/642</f>
        <v>69.715142428785612</v>
      </c>
      <c r="AQ42" s="175"/>
    </row>
    <row r="43" spans="1:44" x14ac:dyDescent="0.15">
      <c r="A43" s="647" t="s">
        <v>285</v>
      </c>
      <c r="B43" s="508">
        <v>3.5982008995502248</v>
      </c>
      <c r="C43" s="359">
        <v>0.8995502248875562</v>
      </c>
      <c r="D43" s="359">
        <v>18.440779610194905</v>
      </c>
      <c r="E43" s="359">
        <v>1.7991004497751124</v>
      </c>
      <c r="F43" s="359">
        <v>24.737631184407796</v>
      </c>
      <c r="G43" s="388">
        <f>B43*$B$24+C43*$C$24+D43*$D$24+E43*$E$24</f>
        <v>1330.616886678612</v>
      </c>
      <c r="H43" s="583">
        <v>0</v>
      </c>
      <c r="I43" s="583">
        <v>0</v>
      </c>
      <c r="J43" s="438">
        <f>J42</f>
        <v>4</v>
      </c>
      <c r="K43" s="356">
        <f>F43*J43</f>
        <v>98.950524737631184</v>
      </c>
      <c r="L43" s="428">
        <f>J43*(G43+H43+I43)</f>
        <v>5322.467546714448</v>
      </c>
      <c r="N43" s="46">
        <f>G43*J43</f>
        <v>5322.467546714448</v>
      </c>
      <c r="O43" s="40">
        <f>I43*J43</f>
        <v>0</v>
      </c>
      <c r="P43" s="40">
        <f>H43*J43</f>
        <v>0</v>
      </c>
      <c r="Q43" s="40">
        <f>SUM(N43:P43)</f>
        <v>5322.467546714448</v>
      </c>
      <c r="Z43" s="70">
        <v>8</v>
      </c>
      <c r="AA43" s="13">
        <v>2</v>
      </c>
      <c r="AB43" s="13">
        <v>41</v>
      </c>
      <c r="AC43" s="13">
        <v>4</v>
      </c>
      <c r="AD43" s="13">
        <f>SUM(Z43:AC43)</f>
        <v>55</v>
      </c>
      <c r="AF43" s="114">
        <f t="shared" ref="AF43:AF51" si="6">Z43*642/667</f>
        <v>7.700149925037481</v>
      </c>
      <c r="AG43" s="114">
        <f t="shared" ref="AG43:AG51" si="7">AA43*642/667</f>
        <v>1.9250374812593702</v>
      </c>
      <c r="AH43" s="114">
        <f t="shared" ref="AH43:AH51" si="8">AB43*642/667</f>
        <v>39.463268365817093</v>
      </c>
      <c r="AI43" s="114">
        <f t="shared" ref="AI43:AI51" si="9">AC43*642/667</f>
        <v>3.8500749625187405</v>
      </c>
      <c r="AJ43" s="114">
        <f t="shared" ref="AJ43:AJ51" si="10">AD43*642/667</f>
        <v>52.938530734632685</v>
      </c>
      <c r="AK43" s="175"/>
      <c r="AL43" s="342">
        <f t="shared" ref="AL43:AL51" si="11">AF43*300/642</f>
        <v>3.5982008995502248</v>
      </c>
      <c r="AM43" s="342">
        <f t="shared" si="2"/>
        <v>0.8995502248875562</v>
      </c>
      <c r="AN43" s="342">
        <f t="shared" si="3"/>
        <v>18.440779610194905</v>
      </c>
      <c r="AO43" s="342">
        <f t="shared" si="4"/>
        <v>1.7991004497751124</v>
      </c>
      <c r="AP43" s="342">
        <f t="shared" si="5"/>
        <v>24.737631184407796</v>
      </c>
      <c r="AQ43" s="175"/>
    </row>
    <row r="44" spans="1:44" x14ac:dyDescent="0.15">
      <c r="A44" s="386" t="s">
        <v>176</v>
      </c>
      <c r="B44" s="359">
        <v>0</v>
      </c>
      <c r="C44" s="359">
        <v>0</v>
      </c>
      <c r="D44" s="359">
        <v>7.6461769115442291</v>
      </c>
      <c r="E44" s="359">
        <v>0</v>
      </c>
      <c r="F44" s="359">
        <v>7.6461769115442291</v>
      </c>
      <c r="G44" s="388">
        <f>B44*$B$24+C44*$C$24+D44*$D$24+E44*$E$24</f>
        <v>370.22415621457571</v>
      </c>
      <c r="H44" s="583">
        <v>0</v>
      </c>
      <c r="I44" s="583">
        <v>0</v>
      </c>
      <c r="J44" s="438">
        <f>J42</f>
        <v>4</v>
      </c>
      <c r="K44" s="356">
        <f>F44*J44</f>
        <v>30.584707646176916</v>
      </c>
      <c r="L44" s="428">
        <f>J44*(G44+H44+I44)</f>
        <v>1480.8966248583029</v>
      </c>
      <c r="N44" s="46">
        <f>G44*J44</f>
        <v>1480.8966248583029</v>
      </c>
      <c r="O44" s="40">
        <f>I44*J44</f>
        <v>0</v>
      </c>
      <c r="P44" s="40">
        <f>H44*J44</f>
        <v>0</v>
      </c>
      <c r="Q44" s="40">
        <f>SUM(N44:P44)</f>
        <v>1480.8966248583029</v>
      </c>
      <c r="Z44" s="13">
        <v>0</v>
      </c>
      <c r="AA44" s="13">
        <v>0</v>
      </c>
      <c r="AB44" s="13">
        <v>17</v>
      </c>
      <c r="AC44" s="13">
        <v>0</v>
      </c>
      <c r="AD44" s="13">
        <f>SUM(Z44:AC44)</f>
        <v>17</v>
      </c>
      <c r="AF44" s="114">
        <f t="shared" si="6"/>
        <v>0</v>
      </c>
      <c r="AG44" s="114">
        <f t="shared" si="7"/>
        <v>0</v>
      </c>
      <c r="AH44" s="114">
        <f t="shared" si="8"/>
        <v>16.362818590704649</v>
      </c>
      <c r="AI44" s="114">
        <f t="shared" si="9"/>
        <v>0</v>
      </c>
      <c r="AJ44" s="114">
        <f t="shared" si="10"/>
        <v>16.362818590704649</v>
      </c>
      <c r="AK44" s="175"/>
      <c r="AL44" s="342">
        <f t="shared" si="11"/>
        <v>0</v>
      </c>
      <c r="AM44" s="342">
        <f t="shared" si="2"/>
        <v>0</v>
      </c>
      <c r="AN44" s="342">
        <f t="shared" si="3"/>
        <v>7.6461769115442291</v>
      </c>
      <c r="AO44" s="342">
        <f t="shared" si="4"/>
        <v>0</v>
      </c>
      <c r="AP44" s="342">
        <f t="shared" si="5"/>
        <v>7.6461769115442291</v>
      </c>
      <c r="AQ44" s="175"/>
    </row>
    <row r="45" spans="1:44" x14ac:dyDescent="0.15">
      <c r="A45" s="386" t="s">
        <v>177</v>
      </c>
      <c r="B45" s="359">
        <v>1.3493253373313343</v>
      </c>
      <c r="C45" s="359">
        <v>3.1484257871064467</v>
      </c>
      <c r="D45" s="359">
        <v>3.1484257871064467</v>
      </c>
      <c r="E45" s="359">
        <v>1.3493253373313343</v>
      </c>
      <c r="F45" s="359">
        <v>8.995502248875562</v>
      </c>
      <c r="G45" s="388">
        <f>B45*$B$24+C45*$C$24+D45*$D$24+E45*$E$24</f>
        <v>570.42564083811749</v>
      </c>
      <c r="H45" s="583">
        <v>0</v>
      </c>
      <c r="I45" s="583">
        <v>0</v>
      </c>
      <c r="J45" s="438">
        <f>J42</f>
        <v>4</v>
      </c>
      <c r="K45" s="356">
        <f>F45*J45</f>
        <v>35.982008995502248</v>
      </c>
      <c r="L45" s="428">
        <f>J45*(G45+H45+I45)</f>
        <v>2281.70256335247</v>
      </c>
      <c r="N45" s="46">
        <f>G45*J45</f>
        <v>2281.70256335247</v>
      </c>
      <c r="O45" s="40">
        <f>I45*J45</f>
        <v>0</v>
      </c>
      <c r="P45" s="40">
        <f>H45*J45</f>
        <v>0</v>
      </c>
      <c r="Q45" s="40">
        <f>SUM(N45:P45)</f>
        <v>2281.70256335247</v>
      </c>
      <c r="Z45" s="13">
        <v>3</v>
      </c>
      <c r="AA45" s="13">
        <v>7</v>
      </c>
      <c r="AB45" s="13">
        <v>7</v>
      </c>
      <c r="AC45" s="13">
        <v>3</v>
      </c>
      <c r="AD45" s="13">
        <f>SUM(Z45:AC45)</f>
        <v>20</v>
      </c>
      <c r="AF45" s="114">
        <f t="shared" si="6"/>
        <v>2.8875562218890556</v>
      </c>
      <c r="AG45" s="114">
        <f t="shared" si="7"/>
        <v>6.7376311844077961</v>
      </c>
      <c r="AH45" s="114">
        <f t="shared" si="8"/>
        <v>6.7376311844077961</v>
      </c>
      <c r="AI45" s="114">
        <f t="shared" si="9"/>
        <v>2.8875562218890556</v>
      </c>
      <c r="AJ45" s="114">
        <f t="shared" si="10"/>
        <v>19.250374812593702</v>
      </c>
      <c r="AK45" s="175"/>
      <c r="AL45" s="342">
        <f t="shared" si="11"/>
        <v>1.3493253373313343</v>
      </c>
      <c r="AM45" s="342">
        <f t="shared" si="2"/>
        <v>3.1484257871064467</v>
      </c>
      <c r="AN45" s="342">
        <f t="shared" si="3"/>
        <v>3.1484257871064467</v>
      </c>
      <c r="AO45" s="342">
        <f t="shared" si="4"/>
        <v>1.3493253373313343</v>
      </c>
      <c r="AP45" s="342">
        <f t="shared" si="5"/>
        <v>8.995502248875562</v>
      </c>
      <c r="AQ45" s="175"/>
    </row>
    <row r="46" spans="1:44" x14ac:dyDescent="0.15">
      <c r="A46" s="386" t="s">
        <v>178</v>
      </c>
      <c r="B46" s="359">
        <v>11.244377811094452</v>
      </c>
      <c r="C46" s="359">
        <v>3.5982008995502248</v>
      </c>
      <c r="D46" s="359">
        <v>26.086956521739133</v>
      </c>
      <c r="E46" s="359">
        <v>3.5982008995502248</v>
      </c>
      <c r="F46" s="359">
        <v>44.527736131934034</v>
      </c>
      <c r="G46" s="388">
        <f>B46*$B$24+C46*$C$24+D46*$D$24+E46*$E$24</f>
        <v>2630.6326105240064</v>
      </c>
      <c r="H46" s="583">
        <v>0</v>
      </c>
      <c r="I46" s="583">
        <v>0</v>
      </c>
      <c r="J46" s="438">
        <v>2</v>
      </c>
      <c r="K46" s="356">
        <f>F46*J46</f>
        <v>89.055472263868069</v>
      </c>
      <c r="L46" s="428">
        <f>J46*(G46+H46+I46)</f>
        <v>5261.2652210480128</v>
      </c>
      <c r="N46" s="46">
        <f>G46*J46</f>
        <v>5261.2652210480128</v>
      </c>
      <c r="O46" s="40">
        <f>I46*J46</f>
        <v>0</v>
      </c>
      <c r="P46" s="40">
        <f>H46*J46</f>
        <v>0</v>
      </c>
      <c r="Q46" s="40">
        <f>SUM(N46:P46)</f>
        <v>5261.2652210480128</v>
      </c>
      <c r="Z46" s="13">
        <v>25</v>
      </c>
      <c r="AA46" s="13">
        <v>8</v>
      </c>
      <c r="AB46" s="13">
        <v>58</v>
      </c>
      <c r="AC46" s="13">
        <v>8</v>
      </c>
      <c r="AD46" s="13">
        <f>SUM(Z46:AC46)</f>
        <v>99</v>
      </c>
      <c r="AF46" s="114">
        <f t="shared" si="6"/>
        <v>24.062968515742128</v>
      </c>
      <c r="AG46" s="114">
        <f t="shared" si="7"/>
        <v>7.700149925037481</v>
      </c>
      <c r="AH46" s="114">
        <f t="shared" si="8"/>
        <v>55.826086956521742</v>
      </c>
      <c r="AI46" s="114">
        <f t="shared" si="9"/>
        <v>7.700149925037481</v>
      </c>
      <c r="AJ46" s="114">
        <f t="shared" si="10"/>
        <v>95.289355322338835</v>
      </c>
      <c r="AK46" s="175"/>
      <c r="AL46" s="342">
        <f t="shared" si="11"/>
        <v>11.244377811094452</v>
      </c>
      <c r="AM46" s="342">
        <f t="shared" si="2"/>
        <v>3.5982008995502248</v>
      </c>
      <c r="AN46" s="342">
        <f t="shared" si="3"/>
        <v>26.086956521739133</v>
      </c>
      <c r="AO46" s="342">
        <f t="shared" si="4"/>
        <v>3.5982008995502248</v>
      </c>
      <c r="AP46" s="342">
        <f t="shared" si="5"/>
        <v>44.527736131934034</v>
      </c>
      <c r="AQ46" s="175"/>
    </row>
    <row r="47" spans="1:44" x14ac:dyDescent="0.15">
      <c r="A47" s="450" t="s">
        <v>179</v>
      </c>
      <c r="B47" s="444">
        <v>0</v>
      </c>
      <c r="C47" s="444">
        <v>0</v>
      </c>
      <c r="D47" s="444">
        <v>0</v>
      </c>
      <c r="E47" s="444">
        <v>0</v>
      </c>
      <c r="F47" s="444">
        <v>0</v>
      </c>
      <c r="G47" s="381"/>
      <c r="H47" s="444"/>
      <c r="I47" s="444"/>
      <c r="J47" s="446"/>
      <c r="K47" s="357"/>
      <c r="L47" s="447"/>
      <c r="Z47" s="22"/>
      <c r="AA47" s="22"/>
      <c r="AB47" s="22"/>
      <c r="AC47" s="22"/>
      <c r="AD47" s="22"/>
      <c r="AF47" s="114"/>
      <c r="AG47" s="114"/>
      <c r="AH47" s="114"/>
      <c r="AI47" s="114"/>
      <c r="AJ47" s="114"/>
      <c r="AK47" s="175"/>
      <c r="AL47" s="342">
        <f t="shared" si="11"/>
        <v>0</v>
      </c>
      <c r="AM47" s="342">
        <f t="shared" si="2"/>
        <v>0</v>
      </c>
      <c r="AN47" s="342">
        <f t="shared" si="3"/>
        <v>0</v>
      </c>
      <c r="AO47" s="342">
        <f t="shared" si="4"/>
        <v>0</v>
      </c>
      <c r="AP47" s="342">
        <f t="shared" si="5"/>
        <v>0</v>
      </c>
      <c r="AQ47" s="175"/>
    </row>
    <row r="48" spans="1:44" x14ac:dyDescent="0.15">
      <c r="A48" s="386" t="s">
        <v>180</v>
      </c>
      <c r="B48" s="359">
        <v>3.5982008995502248</v>
      </c>
      <c r="C48" s="359">
        <v>11.244377811094452</v>
      </c>
      <c r="D48" s="359">
        <v>44.527736131934034</v>
      </c>
      <c r="E48" s="359">
        <v>8.995502248875562</v>
      </c>
      <c r="F48" s="359">
        <v>68.365817091454275</v>
      </c>
      <c r="G48" s="388">
        <f>B48*$B$24+C48*$C$24+D48*$D$24+E48*$E$24</f>
        <v>3680.0259626284424</v>
      </c>
      <c r="H48" s="583">
        <v>0</v>
      </c>
      <c r="I48" s="583">
        <v>0</v>
      </c>
      <c r="J48" s="438">
        <f>J46</f>
        <v>2</v>
      </c>
      <c r="K48" s="356">
        <f>F48*J48</f>
        <v>136.73163418290855</v>
      </c>
      <c r="L48" s="428">
        <f>J48*(G48+H48+I48)</f>
        <v>7360.0519252568847</v>
      </c>
      <c r="N48" s="46">
        <f>G48*J48</f>
        <v>7360.0519252568847</v>
      </c>
      <c r="O48" s="40">
        <f>I48*J48</f>
        <v>0</v>
      </c>
      <c r="P48" s="40">
        <f>H48*J48</f>
        <v>0</v>
      </c>
      <c r="Q48" s="40">
        <f>SUM(N48:P48)</f>
        <v>7360.0519252568847</v>
      </c>
      <c r="Z48" s="13">
        <v>8</v>
      </c>
      <c r="AA48" s="13">
        <v>25</v>
      </c>
      <c r="AB48" s="13">
        <v>99</v>
      </c>
      <c r="AC48" s="13">
        <v>20</v>
      </c>
      <c r="AD48" s="13">
        <f>SUM(Z48:AC48)</f>
        <v>152</v>
      </c>
      <c r="AF48" s="114">
        <f t="shared" si="6"/>
        <v>7.700149925037481</v>
      </c>
      <c r="AG48" s="114">
        <f t="shared" si="7"/>
        <v>24.062968515742128</v>
      </c>
      <c r="AH48" s="114">
        <f t="shared" si="8"/>
        <v>95.289355322338835</v>
      </c>
      <c r="AI48" s="114">
        <f t="shared" si="9"/>
        <v>19.250374812593702</v>
      </c>
      <c r="AJ48" s="114">
        <f t="shared" si="10"/>
        <v>146.30284857571215</v>
      </c>
      <c r="AK48" s="175"/>
      <c r="AL48" s="342">
        <f t="shared" si="11"/>
        <v>3.5982008995502248</v>
      </c>
      <c r="AM48" s="342">
        <f t="shared" si="2"/>
        <v>11.244377811094452</v>
      </c>
      <c r="AN48" s="342">
        <f t="shared" si="3"/>
        <v>44.527736131934034</v>
      </c>
      <c r="AO48" s="342">
        <f t="shared" si="4"/>
        <v>8.995502248875562</v>
      </c>
      <c r="AP48" s="342">
        <f t="shared" si="5"/>
        <v>68.365817091454275</v>
      </c>
      <c r="AQ48" s="175"/>
    </row>
    <row r="49" spans="1:44" x14ac:dyDescent="0.15">
      <c r="A49" s="386" t="s">
        <v>181</v>
      </c>
      <c r="B49" s="359">
        <v>7.1964017991004496</v>
      </c>
      <c r="C49" s="359">
        <v>11.244377811094452</v>
      </c>
      <c r="D49" s="359">
        <v>37.331334332833578</v>
      </c>
      <c r="E49" s="359">
        <v>0</v>
      </c>
      <c r="F49" s="359">
        <v>55.772113943028486</v>
      </c>
      <c r="G49" s="388">
        <f>B49*$B$24+C49*$C$24+D49*$D$24+E49*$E$24</f>
        <v>3346.5385599882984</v>
      </c>
      <c r="H49" s="583">
        <v>0</v>
      </c>
      <c r="I49" s="583">
        <v>0</v>
      </c>
      <c r="J49" s="438">
        <f>J46</f>
        <v>2</v>
      </c>
      <c r="K49" s="356">
        <f>F49*J49</f>
        <v>111.54422788605697</v>
      </c>
      <c r="L49" s="428">
        <f>J49*(G49+H49+I49)</f>
        <v>6693.0771199765968</v>
      </c>
      <c r="N49" s="46">
        <f>G49*J49</f>
        <v>6693.0771199765968</v>
      </c>
      <c r="O49" s="40">
        <f>I49*J49</f>
        <v>0</v>
      </c>
      <c r="P49" s="40">
        <f>H49*J49</f>
        <v>0</v>
      </c>
      <c r="Q49" s="40">
        <f>SUM(N49:P49)</f>
        <v>6693.0771199765968</v>
      </c>
      <c r="Z49" s="13">
        <v>16</v>
      </c>
      <c r="AA49" s="13">
        <v>25</v>
      </c>
      <c r="AB49" s="13">
        <v>83</v>
      </c>
      <c r="AC49" s="13">
        <v>0</v>
      </c>
      <c r="AD49" s="13">
        <f>SUM(Z49:AC49)</f>
        <v>124</v>
      </c>
      <c r="AF49" s="114">
        <f t="shared" si="6"/>
        <v>15.400299850074962</v>
      </c>
      <c r="AG49" s="114">
        <f t="shared" si="7"/>
        <v>24.062968515742128</v>
      </c>
      <c r="AH49" s="114">
        <f t="shared" si="8"/>
        <v>79.889055472263863</v>
      </c>
      <c r="AI49" s="114">
        <f t="shared" si="9"/>
        <v>0</v>
      </c>
      <c r="AJ49" s="114">
        <f t="shared" si="10"/>
        <v>119.35232383808096</v>
      </c>
      <c r="AK49" s="175"/>
      <c r="AL49" s="342">
        <f t="shared" si="11"/>
        <v>7.1964017991004496</v>
      </c>
      <c r="AM49" s="342">
        <f t="shared" si="2"/>
        <v>11.244377811094452</v>
      </c>
      <c r="AN49" s="342">
        <f t="shared" si="3"/>
        <v>37.331334332833578</v>
      </c>
      <c r="AO49" s="342">
        <f t="shared" si="4"/>
        <v>0</v>
      </c>
      <c r="AP49" s="342">
        <f t="shared" si="5"/>
        <v>55.772113943028486</v>
      </c>
      <c r="AQ49" s="175"/>
    </row>
    <row r="50" spans="1:44" x14ac:dyDescent="0.15">
      <c r="A50" s="450" t="s">
        <v>182</v>
      </c>
      <c r="B50" s="444">
        <v>0</v>
      </c>
      <c r="C50" s="444">
        <v>0</v>
      </c>
      <c r="D50" s="444">
        <v>0</v>
      </c>
      <c r="E50" s="444">
        <v>0</v>
      </c>
      <c r="F50" s="444">
        <v>0</v>
      </c>
      <c r="G50" s="381"/>
      <c r="H50" s="444"/>
      <c r="I50" s="444"/>
      <c r="J50" s="446"/>
      <c r="K50" s="357"/>
      <c r="L50" s="447"/>
      <c r="Z50" s="22"/>
      <c r="AA50" s="22"/>
      <c r="AB50" s="22"/>
      <c r="AC50" s="22"/>
      <c r="AD50" s="22"/>
      <c r="AF50" s="114"/>
      <c r="AG50" s="114"/>
      <c r="AH50" s="114"/>
      <c r="AI50" s="114"/>
      <c r="AJ50" s="114"/>
      <c r="AK50" s="175"/>
      <c r="AL50" s="342">
        <f t="shared" si="11"/>
        <v>0</v>
      </c>
      <c r="AM50" s="342">
        <f t="shared" si="2"/>
        <v>0</v>
      </c>
      <c r="AN50" s="342">
        <f t="shared" si="3"/>
        <v>0</v>
      </c>
      <c r="AO50" s="342">
        <f t="shared" si="4"/>
        <v>0</v>
      </c>
      <c r="AP50" s="342">
        <f t="shared" si="5"/>
        <v>0</v>
      </c>
      <c r="AQ50" s="175"/>
    </row>
    <row r="51" spans="1:44" x14ac:dyDescent="0.15">
      <c r="A51" s="386" t="s">
        <v>183</v>
      </c>
      <c r="B51" s="359">
        <v>7.1964017991004496</v>
      </c>
      <c r="C51" s="359">
        <v>1.7991004497751124</v>
      </c>
      <c r="D51" s="359">
        <v>9.4452773613193397</v>
      </c>
      <c r="E51" s="359">
        <v>1.7991004497751124</v>
      </c>
      <c r="F51" s="359">
        <v>20.239880059970016</v>
      </c>
      <c r="G51" s="388">
        <f>B51*$B$24+C51*$C$24+D51*$D$24+E51*$E$24</f>
        <v>1274.6977730646872</v>
      </c>
      <c r="H51" s="583">
        <v>0</v>
      </c>
      <c r="I51" s="583">
        <v>0</v>
      </c>
      <c r="J51" s="438">
        <f>J46</f>
        <v>2</v>
      </c>
      <c r="K51" s="356">
        <f>F51*J51</f>
        <v>40.479760119940032</v>
      </c>
      <c r="L51" s="428">
        <f>J51*(G51+H51+I51)</f>
        <v>2549.3955461293745</v>
      </c>
      <c r="N51" s="46">
        <f>G51*J51</f>
        <v>2549.3955461293745</v>
      </c>
      <c r="O51" s="40">
        <f>I51*J51</f>
        <v>0</v>
      </c>
      <c r="P51" s="40">
        <f>H51*J51</f>
        <v>0</v>
      </c>
      <c r="Q51" s="40">
        <f>SUM(N51:P51)</f>
        <v>2549.3955461293745</v>
      </c>
      <c r="Z51" s="13">
        <v>16</v>
      </c>
      <c r="AA51" s="13">
        <v>4</v>
      </c>
      <c r="AB51" s="13">
        <v>21</v>
      </c>
      <c r="AC51" s="13">
        <v>4</v>
      </c>
      <c r="AD51" s="13">
        <f>SUM(Z51:AC51)</f>
        <v>45</v>
      </c>
      <c r="AF51" s="114">
        <f t="shared" si="6"/>
        <v>15.400299850074962</v>
      </c>
      <c r="AG51" s="114">
        <f t="shared" si="7"/>
        <v>3.8500749625187405</v>
      </c>
      <c r="AH51" s="114">
        <f t="shared" si="8"/>
        <v>20.212893553223388</v>
      </c>
      <c r="AI51" s="114">
        <f t="shared" si="9"/>
        <v>3.8500749625187405</v>
      </c>
      <c r="AJ51" s="114">
        <f t="shared" si="10"/>
        <v>43.313343328335833</v>
      </c>
      <c r="AK51" s="175"/>
      <c r="AL51" s="342">
        <f t="shared" si="11"/>
        <v>7.1964017991004496</v>
      </c>
      <c r="AM51" s="342">
        <f t="shared" si="2"/>
        <v>1.7991004497751124</v>
      </c>
      <c r="AN51" s="342">
        <f t="shared" si="3"/>
        <v>9.4452773613193397</v>
      </c>
      <c r="AO51" s="342">
        <f t="shared" si="4"/>
        <v>1.7991004497751124</v>
      </c>
      <c r="AP51" s="342">
        <f t="shared" si="5"/>
        <v>20.239880059970016</v>
      </c>
      <c r="AQ51" s="175"/>
    </row>
    <row r="52" spans="1:44" ht="3" customHeight="1" x14ac:dyDescent="0.15">
      <c r="A52" s="432"/>
      <c r="B52" s="459"/>
      <c r="C52" s="459"/>
      <c r="D52" s="459"/>
      <c r="E52" s="459"/>
      <c r="F52" s="459"/>
      <c r="G52" s="432"/>
      <c r="H52" s="459"/>
      <c r="I52" s="459"/>
      <c r="J52" s="432"/>
      <c r="K52" s="358"/>
      <c r="L52" s="483"/>
      <c r="Z52" s="27"/>
      <c r="AA52" s="27"/>
      <c r="AB52" s="27"/>
      <c r="AC52" s="27"/>
      <c r="AD52" s="27"/>
      <c r="AF52" s="76"/>
      <c r="AG52" s="76"/>
      <c r="AH52" s="76"/>
      <c r="AI52" s="76"/>
      <c r="AJ52" s="76"/>
      <c r="AL52" s="220"/>
      <c r="AM52" s="220"/>
      <c r="AN52" s="220"/>
      <c r="AO52" s="220"/>
      <c r="AP52" s="220"/>
    </row>
    <row r="53" spans="1:44" x14ac:dyDescent="0.15">
      <c r="A53" s="386" t="s">
        <v>16</v>
      </c>
      <c r="B53" s="359">
        <f t="shared" ref="B53:G53" si="12">SUM(B42:B51)</f>
        <v>37.781109445277366</v>
      </c>
      <c r="C53" s="359">
        <f t="shared" si="12"/>
        <v>32.833583208395801</v>
      </c>
      <c r="D53" s="359">
        <f t="shared" si="12"/>
        <v>206.44677661169416</v>
      </c>
      <c r="E53" s="359">
        <f t="shared" si="12"/>
        <v>22.938530734632685</v>
      </c>
      <c r="F53" s="359">
        <f t="shared" si="12"/>
        <v>300.00000000000006</v>
      </c>
      <c r="G53" s="586">
        <f t="shared" si="12"/>
        <v>16653.513730939409</v>
      </c>
      <c r="H53" s="583">
        <v>0</v>
      </c>
      <c r="I53" s="583">
        <v>0</v>
      </c>
      <c r="J53" s="588" t="s">
        <v>53</v>
      </c>
      <c r="K53" s="589">
        <f>SUM(K42:K51)</f>
        <v>822.18890554722657</v>
      </c>
      <c r="L53" s="587">
        <f>SUM(L42:L51)</f>
        <v>44750.265111346758</v>
      </c>
      <c r="Z53" s="13">
        <f t="shared" ref="Z53:AJ53" si="13">SUM(Z42:Z51)</f>
        <v>84</v>
      </c>
      <c r="AA53" s="13">
        <f t="shared" si="13"/>
        <v>73</v>
      </c>
      <c r="AB53" s="13">
        <f t="shared" si="13"/>
        <v>459</v>
      </c>
      <c r="AC53" s="13">
        <f t="shared" si="13"/>
        <v>51</v>
      </c>
      <c r="AD53" s="13">
        <f t="shared" si="13"/>
        <v>667</v>
      </c>
      <c r="AF53" s="346">
        <f t="shared" si="13"/>
        <v>80.851574212893539</v>
      </c>
      <c r="AG53" s="346">
        <f t="shared" si="13"/>
        <v>70.263868065967017</v>
      </c>
      <c r="AH53" s="346">
        <f t="shared" si="13"/>
        <v>441.79610194902551</v>
      </c>
      <c r="AI53" s="346">
        <f t="shared" si="13"/>
        <v>49.088455772113939</v>
      </c>
      <c r="AJ53" s="347">
        <f t="shared" si="13"/>
        <v>642</v>
      </c>
      <c r="AK53" s="175"/>
      <c r="AL53" s="348">
        <f>SUM(AL42:AL51)</f>
        <v>37.781109445277366</v>
      </c>
      <c r="AM53" s="348">
        <f>SUM(AM42:AM51)</f>
        <v>32.833583208395801</v>
      </c>
      <c r="AN53" s="348">
        <f>SUM(AN42:AN51)</f>
        <v>206.44677661169416</v>
      </c>
      <c r="AO53" s="348">
        <f>SUM(AO42:AO51)</f>
        <v>22.938530734632685</v>
      </c>
      <c r="AP53" s="349">
        <f>SUM(AP42:AP51)</f>
        <v>300.00000000000006</v>
      </c>
      <c r="AQ53" s="175"/>
    </row>
    <row r="54" spans="1:44" ht="3" customHeight="1" thickBot="1" x14ac:dyDescent="0.2">
      <c r="A54" s="391"/>
      <c r="B54" s="392"/>
      <c r="C54" s="392"/>
      <c r="D54" s="392"/>
      <c r="E54" s="392"/>
      <c r="F54" s="392"/>
      <c r="G54" s="378"/>
      <c r="H54" s="392"/>
      <c r="I54" s="392"/>
      <c r="J54" s="378"/>
      <c r="K54" s="590"/>
      <c r="L54" s="394"/>
      <c r="AF54" s="76"/>
      <c r="AG54" s="76"/>
      <c r="AH54" s="76"/>
      <c r="AI54" s="76"/>
      <c r="AJ54" s="76"/>
      <c r="AL54" s="220"/>
      <c r="AM54" s="220"/>
      <c r="AN54" s="220"/>
      <c r="AO54" s="220"/>
      <c r="AP54" s="220"/>
    </row>
    <row r="55" spans="1:44" ht="11.25" thickTop="1" x14ac:dyDescent="0.15">
      <c r="A55" s="591" t="s">
        <v>185</v>
      </c>
      <c r="B55" s="592"/>
      <c r="C55" s="592"/>
      <c r="D55" s="592"/>
      <c r="E55" s="592"/>
      <c r="F55" s="592"/>
      <c r="G55" s="593"/>
      <c r="H55" s="592"/>
      <c r="I55" s="592"/>
      <c r="J55" s="594"/>
      <c r="K55" s="595"/>
      <c r="L55" s="596"/>
      <c r="Z55" s="10" t="s">
        <v>492</v>
      </c>
      <c r="AF55" s="77" t="s">
        <v>493</v>
      </c>
      <c r="AG55" s="76"/>
      <c r="AH55" s="76"/>
      <c r="AI55" s="76"/>
      <c r="AJ55" s="76"/>
      <c r="AL55" s="221" t="s">
        <v>605</v>
      </c>
      <c r="AM55" s="220"/>
      <c r="AN55" s="220"/>
      <c r="AO55" s="220"/>
      <c r="AP55" s="220"/>
      <c r="AR55" s="350"/>
    </row>
    <row r="56" spans="1:44" x14ac:dyDescent="0.15">
      <c r="A56" s="647" t="s">
        <v>316</v>
      </c>
      <c r="B56" s="597">
        <v>0</v>
      </c>
      <c r="C56" s="597">
        <v>2.200956937799043</v>
      </c>
      <c r="D56" s="597">
        <v>18.157894736842106</v>
      </c>
      <c r="E56" s="597">
        <v>0</v>
      </c>
      <c r="F56" s="597">
        <v>20.358851674641148</v>
      </c>
      <c r="G56" s="388">
        <f t="shared" ref="G56:G61" si="14">B56*$B$24+C56*$C$24+D56*$D$24+E56*$E$24</f>
        <v>1060.8827167697514</v>
      </c>
      <c r="H56" s="598">
        <v>0</v>
      </c>
      <c r="I56" s="598">
        <v>0</v>
      </c>
      <c r="J56" s="599">
        <f>'Exhibit 3'!J36+'Exhibit 3'!J63+'Exhibit 3'!J84+'Exhibit 3'!J109</f>
        <v>31</v>
      </c>
      <c r="K56" s="600">
        <f t="shared" ref="K56:K61" si="15">F56*J56</f>
        <v>631.12440191387554</v>
      </c>
      <c r="L56" s="453">
        <f t="shared" ref="L56:L61" si="16">J56*(G56+H56+I56)</f>
        <v>32887.364219862291</v>
      </c>
      <c r="N56" s="46">
        <f t="shared" ref="N56:N61" si="17">G56*J56</f>
        <v>32887.364219862291</v>
      </c>
      <c r="O56" s="40">
        <f t="shared" ref="O56:O61" si="18">I56*J56</f>
        <v>0</v>
      </c>
      <c r="P56" s="40">
        <f t="shared" ref="P56:P61" si="19">H56*J56</f>
        <v>0</v>
      </c>
      <c r="Q56" s="40">
        <f t="shared" ref="Q56:Q61" si="20">SUM(N56:P56)</f>
        <v>32887.364219862291</v>
      </c>
      <c r="Z56" s="69">
        <v>0</v>
      </c>
      <c r="AA56" s="69">
        <v>4</v>
      </c>
      <c r="AB56" s="69">
        <v>33</v>
      </c>
      <c r="AC56" s="69">
        <v>0</v>
      </c>
      <c r="AD56" s="69">
        <f t="shared" ref="AD56:AD61" si="21">SUM(Z56:AC56)</f>
        <v>37</v>
      </c>
      <c r="AF56" s="114">
        <f>Z56*115/209</f>
        <v>0</v>
      </c>
      <c r="AG56" s="114">
        <f>AA56*115/209</f>
        <v>2.200956937799043</v>
      </c>
      <c r="AH56" s="114">
        <f>AB56*115/209</f>
        <v>18.157894736842106</v>
      </c>
      <c r="AI56" s="114">
        <f>AC56*115/209</f>
        <v>0</v>
      </c>
      <c r="AJ56" s="114">
        <f>AD56*115/209</f>
        <v>20.358851674641148</v>
      </c>
      <c r="AL56" s="342">
        <f t="shared" ref="AL56:AL61" si="22">AF56*115/115</f>
        <v>0</v>
      </c>
      <c r="AM56" s="342">
        <f t="shared" ref="AM56:AM61" si="23">AG56*115/115</f>
        <v>2.200956937799043</v>
      </c>
      <c r="AN56" s="342">
        <f t="shared" ref="AN56:AN61" si="24">AH56*115/115</f>
        <v>18.157894736842106</v>
      </c>
      <c r="AO56" s="342">
        <f t="shared" ref="AO56:AO61" si="25">AI56*115/115</f>
        <v>0</v>
      </c>
      <c r="AP56" s="342">
        <f t="shared" ref="AP56:AP61" si="26">AJ56*115/115</f>
        <v>20.358851674641148</v>
      </c>
    </row>
    <row r="57" spans="1:44" x14ac:dyDescent="0.15">
      <c r="A57" s="417" t="s">
        <v>317</v>
      </c>
      <c r="B57" s="423">
        <v>0</v>
      </c>
      <c r="C57" s="423">
        <v>0</v>
      </c>
      <c r="D57" s="423">
        <v>0.55023923444976075</v>
      </c>
      <c r="E57" s="423">
        <v>1.6507177033492824</v>
      </c>
      <c r="F57" s="424">
        <v>2.200956937799043</v>
      </c>
      <c r="G57" s="491">
        <f t="shared" si="14"/>
        <v>79.936340296417328</v>
      </c>
      <c r="H57" s="583">
        <v>0</v>
      </c>
      <c r="I57" s="601">
        <v>0</v>
      </c>
      <c r="J57" s="426">
        <f>J56</f>
        <v>31</v>
      </c>
      <c r="K57" s="356">
        <f t="shared" si="15"/>
        <v>68.229665071770327</v>
      </c>
      <c r="L57" s="428">
        <f t="shared" si="16"/>
        <v>2478.0265491889372</v>
      </c>
      <c r="N57" s="46">
        <f t="shared" si="17"/>
        <v>2478.0265491889372</v>
      </c>
      <c r="O57" s="40">
        <f t="shared" si="18"/>
        <v>0</v>
      </c>
      <c r="P57" s="40">
        <f t="shared" si="19"/>
        <v>0</v>
      </c>
      <c r="Q57" s="40">
        <f t="shared" si="20"/>
        <v>2478.0265491889372</v>
      </c>
      <c r="Z57" s="20">
        <v>0</v>
      </c>
      <c r="AA57" s="20">
        <v>0</v>
      </c>
      <c r="AB57" s="20">
        <v>1</v>
      </c>
      <c r="AC57" s="20">
        <v>3</v>
      </c>
      <c r="AD57" s="26">
        <f t="shared" si="21"/>
        <v>4</v>
      </c>
      <c r="AF57" s="114">
        <f t="shared" ref="AF57:AF62" si="27">Z57*115/209</f>
        <v>0</v>
      </c>
      <c r="AG57" s="114">
        <f t="shared" ref="AG57:AG62" si="28">AA57*115/209</f>
        <v>0</v>
      </c>
      <c r="AH57" s="114">
        <f t="shared" ref="AH57:AH62" si="29">AB57*115/209</f>
        <v>0.55023923444976075</v>
      </c>
      <c r="AI57" s="114">
        <f t="shared" ref="AI57:AI62" si="30">AC57*115/209</f>
        <v>1.6507177033492824</v>
      </c>
      <c r="AJ57" s="114">
        <f t="shared" ref="AJ57:AJ62" si="31">AD57*115/209</f>
        <v>2.200956937799043</v>
      </c>
      <c r="AL57" s="342">
        <f t="shared" si="22"/>
        <v>0</v>
      </c>
      <c r="AM57" s="342">
        <f t="shared" si="23"/>
        <v>0</v>
      </c>
      <c r="AN57" s="342">
        <f t="shared" si="24"/>
        <v>0.55023923444976075</v>
      </c>
      <c r="AO57" s="342">
        <f t="shared" si="25"/>
        <v>1.6507177033492824</v>
      </c>
      <c r="AP57" s="342">
        <f t="shared" si="26"/>
        <v>2.200956937799043</v>
      </c>
    </row>
    <row r="58" spans="1:44" x14ac:dyDescent="0.15">
      <c r="A58" s="647" t="s">
        <v>284</v>
      </c>
      <c r="B58" s="423">
        <v>3.8516746411483251</v>
      </c>
      <c r="C58" s="423">
        <v>1.6507177033492824</v>
      </c>
      <c r="D58" s="423">
        <v>25.311004784688997</v>
      </c>
      <c r="E58" s="423">
        <v>2.200956937799043</v>
      </c>
      <c r="F58" s="424">
        <v>33.014354066985646</v>
      </c>
      <c r="G58" s="428">
        <f t="shared" si="14"/>
        <v>1759.7643832419187</v>
      </c>
      <c r="H58" s="583">
        <v>0</v>
      </c>
      <c r="I58" s="601">
        <v>0</v>
      </c>
      <c r="J58" s="426">
        <f>J56</f>
        <v>31</v>
      </c>
      <c r="K58" s="356">
        <f t="shared" si="15"/>
        <v>1023.444976076555</v>
      </c>
      <c r="L58" s="428">
        <f t="shared" si="16"/>
        <v>54552.695880499479</v>
      </c>
      <c r="N58" s="46">
        <f t="shared" si="17"/>
        <v>54552.695880499479</v>
      </c>
      <c r="O58" s="40">
        <f t="shared" si="18"/>
        <v>0</v>
      </c>
      <c r="P58" s="40">
        <f t="shared" si="19"/>
        <v>0</v>
      </c>
      <c r="Q58" s="40">
        <f t="shared" si="20"/>
        <v>54552.695880499479</v>
      </c>
      <c r="Z58" s="20">
        <v>7</v>
      </c>
      <c r="AA58" s="20">
        <v>3</v>
      </c>
      <c r="AB58" s="20">
        <v>46</v>
      </c>
      <c r="AC58" s="20">
        <v>4</v>
      </c>
      <c r="AD58" s="26">
        <f t="shared" si="21"/>
        <v>60</v>
      </c>
      <c r="AF58" s="114">
        <f t="shared" si="27"/>
        <v>3.8516746411483251</v>
      </c>
      <c r="AG58" s="114">
        <f t="shared" si="28"/>
        <v>1.6507177033492824</v>
      </c>
      <c r="AH58" s="114">
        <f t="shared" si="29"/>
        <v>25.311004784688997</v>
      </c>
      <c r="AI58" s="114">
        <f t="shared" si="30"/>
        <v>2.200956937799043</v>
      </c>
      <c r="AJ58" s="114">
        <f t="shared" si="31"/>
        <v>33.014354066985646</v>
      </c>
      <c r="AL58" s="342">
        <f t="shared" si="22"/>
        <v>3.8516746411483251</v>
      </c>
      <c r="AM58" s="342">
        <f t="shared" si="23"/>
        <v>1.6507177033492824</v>
      </c>
      <c r="AN58" s="342">
        <f t="shared" si="24"/>
        <v>25.311004784688997</v>
      </c>
      <c r="AO58" s="342">
        <f t="shared" si="25"/>
        <v>2.200956937799043</v>
      </c>
      <c r="AP58" s="342">
        <f t="shared" si="26"/>
        <v>33.014354066985646</v>
      </c>
    </row>
    <row r="59" spans="1:44" x14ac:dyDescent="0.15">
      <c r="A59" s="422" t="s">
        <v>186</v>
      </c>
      <c r="B59" s="423">
        <v>0</v>
      </c>
      <c r="C59" s="423">
        <v>0</v>
      </c>
      <c r="D59" s="423">
        <v>1.6507177033492824</v>
      </c>
      <c r="E59" s="423">
        <v>4.401913875598086</v>
      </c>
      <c r="F59" s="424">
        <v>6.0526315789473681</v>
      </c>
      <c r="G59" s="428">
        <f t="shared" si="14"/>
        <v>222.04434589800445</v>
      </c>
      <c r="H59" s="583">
        <v>0</v>
      </c>
      <c r="I59" s="601">
        <v>0</v>
      </c>
      <c r="J59" s="426">
        <f>J56</f>
        <v>31</v>
      </c>
      <c r="K59" s="356">
        <f t="shared" si="15"/>
        <v>187.63157894736841</v>
      </c>
      <c r="L59" s="428">
        <f t="shared" si="16"/>
        <v>6883.374722838138</v>
      </c>
      <c r="N59" s="46">
        <f t="shared" si="17"/>
        <v>6883.374722838138</v>
      </c>
      <c r="O59" s="40">
        <f t="shared" si="18"/>
        <v>0</v>
      </c>
      <c r="P59" s="40">
        <f t="shared" si="19"/>
        <v>0</v>
      </c>
      <c r="Q59" s="40">
        <f t="shared" si="20"/>
        <v>6883.374722838138</v>
      </c>
      <c r="Z59" s="20">
        <v>0</v>
      </c>
      <c r="AA59" s="20">
        <v>0</v>
      </c>
      <c r="AB59" s="20">
        <v>3</v>
      </c>
      <c r="AC59" s="20">
        <v>8</v>
      </c>
      <c r="AD59" s="26">
        <f t="shared" si="21"/>
        <v>11</v>
      </c>
      <c r="AF59" s="114">
        <f t="shared" si="27"/>
        <v>0</v>
      </c>
      <c r="AG59" s="114">
        <f t="shared" si="28"/>
        <v>0</v>
      </c>
      <c r="AH59" s="114">
        <f t="shared" si="29"/>
        <v>1.6507177033492824</v>
      </c>
      <c r="AI59" s="114">
        <f t="shared" si="30"/>
        <v>4.401913875598086</v>
      </c>
      <c r="AJ59" s="114">
        <f t="shared" si="31"/>
        <v>6.0526315789473681</v>
      </c>
      <c r="AL59" s="342">
        <f t="shared" si="22"/>
        <v>0</v>
      </c>
      <c r="AM59" s="342">
        <f t="shared" si="23"/>
        <v>0</v>
      </c>
      <c r="AN59" s="342">
        <f t="shared" si="24"/>
        <v>1.6507177033492824</v>
      </c>
      <c r="AO59" s="342">
        <f t="shared" si="25"/>
        <v>4.401913875598086</v>
      </c>
      <c r="AP59" s="342">
        <f t="shared" si="26"/>
        <v>6.0526315789473673</v>
      </c>
    </row>
    <row r="60" spans="1:44" x14ac:dyDescent="0.15">
      <c r="A60" s="422" t="s">
        <v>187</v>
      </c>
      <c r="B60" s="423">
        <v>0</v>
      </c>
      <c r="C60" s="423">
        <v>0.55023923444976075</v>
      </c>
      <c r="D60" s="423">
        <v>22.009569377990431</v>
      </c>
      <c r="E60" s="423">
        <v>1.6507177033492824</v>
      </c>
      <c r="F60" s="424">
        <v>24.210526315789473</v>
      </c>
      <c r="G60" s="428">
        <f t="shared" si="14"/>
        <v>1164.4082156611041</v>
      </c>
      <c r="H60" s="583">
        <v>0</v>
      </c>
      <c r="I60" s="601">
        <v>0</v>
      </c>
      <c r="J60" s="426">
        <f>J56</f>
        <v>31</v>
      </c>
      <c r="K60" s="356">
        <f t="shared" si="15"/>
        <v>750.52631578947364</v>
      </c>
      <c r="L60" s="428">
        <f t="shared" si="16"/>
        <v>36096.654685494228</v>
      </c>
      <c r="N60" s="46">
        <f t="shared" si="17"/>
        <v>36096.654685494228</v>
      </c>
      <c r="O60" s="40">
        <f t="shared" si="18"/>
        <v>0</v>
      </c>
      <c r="P60" s="40">
        <f t="shared" si="19"/>
        <v>0</v>
      </c>
      <c r="Q60" s="40">
        <f t="shared" si="20"/>
        <v>36096.654685494228</v>
      </c>
      <c r="Z60" s="20">
        <v>0</v>
      </c>
      <c r="AA60" s="20">
        <v>1</v>
      </c>
      <c r="AB60" s="20">
        <v>40</v>
      </c>
      <c r="AC60" s="20">
        <v>3</v>
      </c>
      <c r="AD60" s="26">
        <f t="shared" si="21"/>
        <v>44</v>
      </c>
      <c r="AF60" s="114">
        <f t="shared" si="27"/>
        <v>0</v>
      </c>
      <c r="AG60" s="114">
        <f t="shared" si="28"/>
        <v>0.55023923444976075</v>
      </c>
      <c r="AH60" s="114">
        <f t="shared" si="29"/>
        <v>22.009569377990431</v>
      </c>
      <c r="AI60" s="114">
        <f t="shared" si="30"/>
        <v>1.6507177033492824</v>
      </c>
      <c r="AJ60" s="114">
        <f t="shared" si="31"/>
        <v>24.210526315789473</v>
      </c>
      <c r="AL60" s="342">
        <f t="shared" si="22"/>
        <v>0</v>
      </c>
      <c r="AM60" s="342">
        <f t="shared" si="23"/>
        <v>0.55023923444976075</v>
      </c>
      <c r="AN60" s="342">
        <f t="shared" si="24"/>
        <v>22.009569377990431</v>
      </c>
      <c r="AO60" s="342">
        <f t="shared" si="25"/>
        <v>1.6507177033492824</v>
      </c>
      <c r="AP60" s="342">
        <f t="shared" si="26"/>
        <v>24.210526315789469</v>
      </c>
    </row>
    <row r="61" spans="1:44" x14ac:dyDescent="0.15">
      <c r="A61" s="417" t="s">
        <v>318</v>
      </c>
      <c r="B61" s="423">
        <v>2.200956937799043</v>
      </c>
      <c r="C61" s="423">
        <v>1.6507177033492824</v>
      </c>
      <c r="D61" s="423">
        <v>23.110047846889952</v>
      </c>
      <c r="E61" s="423">
        <v>2.200956937799043</v>
      </c>
      <c r="F61" s="424">
        <v>29.162679425837322</v>
      </c>
      <c r="G61" s="428">
        <f t="shared" si="14"/>
        <v>1513.097502625744</v>
      </c>
      <c r="H61" s="583">
        <v>0</v>
      </c>
      <c r="I61" s="601">
        <v>0</v>
      </c>
      <c r="J61" s="426">
        <f>J56</f>
        <v>31</v>
      </c>
      <c r="K61" s="356">
        <f t="shared" si="15"/>
        <v>904.04306220095702</v>
      </c>
      <c r="L61" s="428">
        <f t="shared" si="16"/>
        <v>46906.022581398065</v>
      </c>
      <c r="N61" s="46">
        <f t="shared" si="17"/>
        <v>46906.022581398065</v>
      </c>
      <c r="O61" s="40">
        <f t="shared" si="18"/>
        <v>0</v>
      </c>
      <c r="P61" s="40">
        <f t="shared" si="19"/>
        <v>0</v>
      </c>
      <c r="Q61" s="40">
        <f t="shared" si="20"/>
        <v>46906.022581398065</v>
      </c>
      <c r="Z61" s="20">
        <v>4</v>
      </c>
      <c r="AA61" s="20">
        <v>3</v>
      </c>
      <c r="AB61" s="20">
        <v>42</v>
      </c>
      <c r="AC61" s="20">
        <v>4</v>
      </c>
      <c r="AD61" s="26">
        <f t="shared" si="21"/>
        <v>53</v>
      </c>
      <c r="AF61" s="114">
        <f t="shared" si="27"/>
        <v>2.200956937799043</v>
      </c>
      <c r="AG61" s="114">
        <f t="shared" si="28"/>
        <v>1.6507177033492824</v>
      </c>
      <c r="AH61" s="114">
        <f t="shared" si="29"/>
        <v>23.110047846889952</v>
      </c>
      <c r="AI61" s="114">
        <f t="shared" si="30"/>
        <v>2.200956937799043</v>
      </c>
      <c r="AJ61" s="114">
        <f t="shared" si="31"/>
        <v>29.162679425837322</v>
      </c>
      <c r="AL61" s="342">
        <f t="shared" si="22"/>
        <v>2.200956937799043</v>
      </c>
      <c r="AM61" s="342">
        <f t="shared" si="23"/>
        <v>1.6507177033492824</v>
      </c>
      <c r="AN61" s="342">
        <f t="shared" si="24"/>
        <v>23.110047846889952</v>
      </c>
      <c r="AO61" s="342">
        <f t="shared" si="25"/>
        <v>2.200956937799043</v>
      </c>
      <c r="AP61" s="342">
        <f t="shared" si="26"/>
        <v>29.162679425837318</v>
      </c>
    </row>
    <row r="62" spans="1:44" ht="1.5" customHeight="1" x14ac:dyDescent="0.15">
      <c r="A62" s="432"/>
      <c r="B62" s="433"/>
      <c r="C62" s="433"/>
      <c r="D62" s="433"/>
      <c r="E62" s="433"/>
      <c r="F62" s="433"/>
      <c r="G62" s="434"/>
      <c r="H62" s="433"/>
      <c r="I62" s="433"/>
      <c r="J62" s="434"/>
      <c r="K62" s="436"/>
      <c r="L62" s="437"/>
      <c r="Z62" s="21"/>
      <c r="AA62" s="21"/>
      <c r="AB62" s="21"/>
      <c r="AC62" s="21"/>
      <c r="AD62" s="21"/>
      <c r="AF62" s="184">
        <f t="shared" si="27"/>
        <v>0</v>
      </c>
      <c r="AG62" s="184">
        <f t="shared" si="28"/>
        <v>0</v>
      </c>
      <c r="AH62" s="184">
        <f t="shared" si="29"/>
        <v>0</v>
      </c>
      <c r="AI62" s="184">
        <f t="shared" si="30"/>
        <v>0</v>
      </c>
      <c r="AJ62" s="184">
        <f t="shared" si="31"/>
        <v>0</v>
      </c>
      <c r="AL62" s="344">
        <f>AF62*115/209</f>
        <v>0</v>
      </c>
      <c r="AM62" s="344">
        <f>AG62*115/209</f>
        <v>0</v>
      </c>
      <c r="AN62" s="344">
        <f>AH62*115/209</f>
        <v>0</v>
      </c>
      <c r="AO62" s="344">
        <f>AI62*115/209</f>
        <v>0</v>
      </c>
      <c r="AP62" s="344">
        <f>AJ62*115/209</f>
        <v>0</v>
      </c>
    </row>
    <row r="63" spans="1:44" s="49" customFormat="1" ht="10.5" customHeight="1" thickBot="1" x14ac:dyDescent="0.2">
      <c r="A63" s="602" t="s">
        <v>16</v>
      </c>
      <c r="B63" s="603">
        <f t="shared" ref="B63:G63" si="32">SUM(B56:B61)</f>
        <v>6.0526315789473681</v>
      </c>
      <c r="C63" s="603">
        <f t="shared" si="32"/>
        <v>6.0526315789473681</v>
      </c>
      <c r="D63" s="603">
        <f t="shared" si="32"/>
        <v>90.78947368421052</v>
      </c>
      <c r="E63" s="603">
        <f t="shared" si="32"/>
        <v>12.105263157894738</v>
      </c>
      <c r="F63" s="603">
        <f t="shared" si="32"/>
        <v>115</v>
      </c>
      <c r="G63" s="604">
        <f t="shared" si="32"/>
        <v>5800.1335044929392</v>
      </c>
      <c r="H63" s="603"/>
      <c r="I63" s="603"/>
      <c r="J63" s="605">
        <f>J61</f>
        <v>31</v>
      </c>
      <c r="K63" s="606">
        <f>SUM(K56:K61)</f>
        <v>3565</v>
      </c>
      <c r="L63" s="604">
        <f>SUM(L56:L61)</f>
        <v>179804.13863928115</v>
      </c>
      <c r="Z63" s="176">
        <f t="shared" ref="Z63:AJ63" si="33">SUM(Z56:Z61)</f>
        <v>11</v>
      </c>
      <c r="AA63" s="176">
        <f t="shared" si="33"/>
        <v>11</v>
      </c>
      <c r="AB63" s="176">
        <f t="shared" si="33"/>
        <v>165</v>
      </c>
      <c r="AC63" s="176">
        <f t="shared" si="33"/>
        <v>22</v>
      </c>
      <c r="AD63" s="176">
        <f t="shared" si="33"/>
        <v>209</v>
      </c>
      <c r="AF63" s="185">
        <f t="shared" si="33"/>
        <v>6.0526315789473681</v>
      </c>
      <c r="AG63" s="185">
        <f t="shared" si="33"/>
        <v>6.0526315789473681</v>
      </c>
      <c r="AH63" s="185">
        <f t="shared" si="33"/>
        <v>90.78947368421052</v>
      </c>
      <c r="AI63" s="185">
        <f t="shared" si="33"/>
        <v>12.105263157894738</v>
      </c>
      <c r="AJ63" s="185">
        <f t="shared" si="33"/>
        <v>115</v>
      </c>
      <c r="AL63" s="345">
        <f>SUM(AL56:AL61)</f>
        <v>6.0526315789473681</v>
      </c>
      <c r="AM63" s="345">
        <f>SUM(AM56:AM61)</f>
        <v>6.0526315789473681</v>
      </c>
      <c r="AN63" s="345">
        <f>SUM(AN56:AN61)</f>
        <v>90.78947368421052</v>
      </c>
      <c r="AO63" s="345">
        <f>SUM(AO56:AO61)</f>
        <v>12.105263157894738</v>
      </c>
      <c r="AP63" s="345">
        <f>SUM(AP56:AP61)</f>
        <v>115</v>
      </c>
    </row>
    <row r="64" spans="1:44" ht="11.25" thickTop="1" x14ac:dyDescent="0.15">
      <c r="A64" s="484" t="s">
        <v>319</v>
      </c>
      <c r="B64" s="536"/>
      <c r="C64" s="536"/>
      <c r="D64" s="536"/>
      <c r="E64" s="536"/>
      <c r="F64" s="536"/>
      <c r="G64" s="607"/>
      <c r="H64" s="536"/>
      <c r="I64" s="536"/>
      <c r="J64" s="608"/>
      <c r="K64" s="539"/>
      <c r="L64" s="609"/>
    </row>
    <row r="65" spans="1:26" x14ac:dyDescent="0.15">
      <c r="A65" s="647" t="s">
        <v>237</v>
      </c>
      <c r="B65" s="597">
        <v>0</v>
      </c>
      <c r="C65" s="597">
        <v>0</v>
      </c>
      <c r="D65" s="597">
        <v>1</v>
      </c>
      <c r="E65" s="597">
        <v>1</v>
      </c>
      <c r="F65" s="597">
        <f t="shared" ref="F65:F70" si="34">SUM(B65:E65)</f>
        <v>2</v>
      </c>
      <c r="G65" s="388">
        <f t="shared" ref="G65:G70" si="35">B65*$B$24+C65*$C$24+D65*$D$24+E65*$E$24</f>
        <v>80.7048780487805</v>
      </c>
      <c r="H65" s="598">
        <v>0</v>
      </c>
      <c r="I65" s="598">
        <v>0</v>
      </c>
      <c r="J65" s="599">
        <f>'Exhibit 4'!J17</f>
        <v>1</v>
      </c>
      <c r="K65" s="600">
        <f t="shared" ref="K65:K70" si="36">F65*J65</f>
        <v>2</v>
      </c>
      <c r="L65" s="453">
        <f t="shared" ref="L65:L70" si="37">J65*(G65+H65+I65)</f>
        <v>80.7048780487805</v>
      </c>
      <c r="N65" s="46">
        <f t="shared" ref="N65:N70" si="38">G65*J65</f>
        <v>80.7048780487805</v>
      </c>
      <c r="O65" s="40">
        <f t="shared" ref="O65:O70" si="39">I65*J65</f>
        <v>0</v>
      </c>
      <c r="P65" s="40">
        <f t="shared" ref="P65:P70" si="40">H65*J65</f>
        <v>0</v>
      </c>
      <c r="Q65" s="40">
        <f t="shared" ref="Q65:Q70" si="41">SUM(N65:P65)</f>
        <v>80.7048780487805</v>
      </c>
    </row>
    <row r="66" spans="1:26" s="49" customFormat="1" ht="21" x14ac:dyDescent="0.15">
      <c r="A66" s="610" t="s">
        <v>280</v>
      </c>
      <c r="B66" s="611">
        <v>0</v>
      </c>
      <c r="C66" s="611">
        <v>0</v>
      </c>
      <c r="D66" s="611">
        <v>2</v>
      </c>
      <c r="E66" s="611">
        <v>0.25</v>
      </c>
      <c r="F66" s="424">
        <f t="shared" si="34"/>
        <v>2.25</v>
      </c>
      <c r="G66" s="388">
        <f t="shared" si="35"/>
        <v>104.91036585365855</v>
      </c>
      <c r="H66" s="611"/>
      <c r="I66" s="611"/>
      <c r="J66" s="612">
        <f>'Exhibit 4'!J30+'Exhibit 4'!J31+'Exhibit 4'!J34+'Exhibit 4'!J35</f>
        <v>20</v>
      </c>
      <c r="K66" s="356">
        <f t="shared" si="36"/>
        <v>45</v>
      </c>
      <c r="L66" s="428">
        <f t="shared" si="37"/>
        <v>2098.207317073171</v>
      </c>
      <c r="N66" s="46">
        <f t="shared" si="38"/>
        <v>2098.207317073171</v>
      </c>
      <c r="O66" s="40">
        <f t="shared" si="39"/>
        <v>0</v>
      </c>
      <c r="P66" s="40">
        <f t="shared" si="40"/>
        <v>0</v>
      </c>
      <c r="Q66" s="40">
        <f t="shared" si="41"/>
        <v>2098.207317073171</v>
      </c>
    </row>
    <row r="67" spans="1:26" s="49" customFormat="1" x14ac:dyDescent="0.15">
      <c r="A67" s="610" t="s">
        <v>279</v>
      </c>
      <c r="B67" s="611">
        <v>0</v>
      </c>
      <c r="C67" s="611">
        <v>0</v>
      </c>
      <c r="D67" s="611">
        <v>0.25</v>
      </c>
      <c r="E67" s="611">
        <v>0.25</v>
      </c>
      <c r="F67" s="424">
        <f t="shared" si="34"/>
        <v>0.5</v>
      </c>
      <c r="G67" s="388">
        <f t="shared" si="35"/>
        <v>20.176219512195125</v>
      </c>
      <c r="H67" s="611"/>
      <c r="I67" s="611"/>
      <c r="J67" s="612">
        <f>'Exhibit 4'!J33</f>
        <v>0</v>
      </c>
      <c r="K67" s="356">
        <f t="shared" si="36"/>
        <v>0</v>
      </c>
      <c r="L67" s="428">
        <f t="shared" si="37"/>
        <v>0</v>
      </c>
      <c r="N67" s="46">
        <f t="shared" si="38"/>
        <v>0</v>
      </c>
      <c r="O67" s="40">
        <f t="shared" si="39"/>
        <v>0</v>
      </c>
      <c r="P67" s="40">
        <f t="shared" si="40"/>
        <v>0</v>
      </c>
      <c r="Q67" s="40">
        <f t="shared" si="41"/>
        <v>0</v>
      </c>
    </row>
    <row r="68" spans="1:26" x14ac:dyDescent="0.15">
      <c r="A68" s="647" t="s">
        <v>336</v>
      </c>
      <c r="B68" s="597">
        <v>0</v>
      </c>
      <c r="C68" s="597">
        <v>0</v>
      </c>
      <c r="D68" s="597">
        <v>0.25</v>
      </c>
      <c r="E68" s="597">
        <v>0.1</v>
      </c>
      <c r="F68" s="597">
        <f t="shared" si="34"/>
        <v>0.35</v>
      </c>
      <c r="G68" s="388">
        <f t="shared" si="35"/>
        <v>15.333414634146342</v>
      </c>
      <c r="H68" s="598">
        <v>0</v>
      </c>
      <c r="I68" s="598">
        <v>0</v>
      </c>
      <c r="J68" s="599">
        <v>8</v>
      </c>
      <c r="K68" s="600">
        <f t="shared" si="36"/>
        <v>2.8</v>
      </c>
      <c r="L68" s="453">
        <f t="shared" si="37"/>
        <v>122.66731707317074</v>
      </c>
      <c r="N68" s="46">
        <f t="shared" si="38"/>
        <v>122.66731707317074</v>
      </c>
      <c r="O68" s="40">
        <f t="shared" si="39"/>
        <v>0</v>
      </c>
      <c r="P68" s="40">
        <f t="shared" si="40"/>
        <v>0</v>
      </c>
      <c r="Q68" s="40">
        <f t="shared" si="41"/>
        <v>122.66731707317074</v>
      </c>
    </row>
    <row r="69" spans="1:26" x14ac:dyDescent="0.15">
      <c r="A69" s="647" t="s">
        <v>337</v>
      </c>
      <c r="B69" s="597">
        <v>0</v>
      </c>
      <c r="C69" s="597">
        <v>0</v>
      </c>
      <c r="D69" s="597">
        <v>0.25</v>
      </c>
      <c r="E69" s="597">
        <v>0.1</v>
      </c>
      <c r="F69" s="597">
        <f t="shared" si="34"/>
        <v>0.35</v>
      </c>
      <c r="G69" s="388">
        <f t="shared" si="35"/>
        <v>15.333414634146342</v>
      </c>
      <c r="H69" s="598">
        <v>0</v>
      </c>
      <c r="I69" s="598">
        <v>0</v>
      </c>
      <c r="J69" s="599">
        <v>1.67</v>
      </c>
      <c r="K69" s="600">
        <v>0.7</v>
      </c>
      <c r="L69" s="453">
        <f t="shared" si="37"/>
        <v>25.606802439024388</v>
      </c>
      <c r="N69" s="46">
        <f t="shared" si="38"/>
        <v>25.606802439024388</v>
      </c>
      <c r="O69" s="40">
        <f t="shared" si="39"/>
        <v>0</v>
      </c>
      <c r="P69" s="40">
        <f t="shared" si="40"/>
        <v>0</v>
      </c>
      <c r="Q69" s="40">
        <f t="shared" si="41"/>
        <v>25.606802439024388</v>
      </c>
    </row>
    <row r="70" spans="1:26" x14ac:dyDescent="0.15">
      <c r="A70" s="647" t="s">
        <v>338</v>
      </c>
      <c r="B70" s="597">
        <v>0</v>
      </c>
      <c r="C70" s="597">
        <v>0</v>
      </c>
      <c r="D70" s="597">
        <v>1</v>
      </c>
      <c r="E70" s="597">
        <v>0.1</v>
      </c>
      <c r="F70" s="597">
        <f t="shared" si="34"/>
        <v>1.1000000000000001</v>
      </c>
      <c r="G70" s="388">
        <f t="shared" si="35"/>
        <v>51.648048780487805</v>
      </c>
      <c r="H70" s="598">
        <v>0</v>
      </c>
      <c r="I70" s="598">
        <v>0</v>
      </c>
      <c r="J70" s="599">
        <v>5</v>
      </c>
      <c r="K70" s="600">
        <f t="shared" si="36"/>
        <v>5.5</v>
      </c>
      <c r="L70" s="453">
        <f t="shared" si="37"/>
        <v>258.24024390243903</v>
      </c>
      <c r="N70" s="46">
        <f t="shared" si="38"/>
        <v>258.24024390243903</v>
      </c>
      <c r="O70" s="40">
        <f t="shared" si="39"/>
        <v>0</v>
      </c>
      <c r="P70" s="40">
        <f t="shared" si="40"/>
        <v>0</v>
      </c>
      <c r="Q70" s="40">
        <f t="shared" si="41"/>
        <v>258.24024390243903</v>
      </c>
    </row>
    <row r="71" spans="1:26" x14ac:dyDescent="0.15">
      <c r="A71" s="417" t="s">
        <v>189</v>
      </c>
      <c r="B71" s="429"/>
      <c r="C71" s="429"/>
      <c r="D71" s="429"/>
      <c r="E71" s="429"/>
      <c r="F71" s="429"/>
      <c r="G71" s="447"/>
      <c r="H71" s="429"/>
      <c r="I71" s="429"/>
      <c r="J71" s="382"/>
      <c r="K71" s="476"/>
      <c r="L71" s="447"/>
    </row>
    <row r="72" spans="1:26" x14ac:dyDescent="0.15">
      <c r="A72" s="422" t="s">
        <v>190</v>
      </c>
      <c r="B72" s="424">
        <v>0</v>
      </c>
      <c r="C72" s="424">
        <v>0</v>
      </c>
      <c r="D72" s="424">
        <v>3</v>
      </c>
      <c r="E72" s="424">
        <v>0</v>
      </c>
      <c r="F72" s="424">
        <f>SUM(B72:E72)</f>
        <v>3</v>
      </c>
      <c r="G72" s="428">
        <f>B72*$B$24+C72*$C$24+D72*$D$24+E72*$E$24</f>
        <v>145.25853658536585</v>
      </c>
      <c r="H72" s="583">
        <v>0</v>
      </c>
      <c r="I72" s="601">
        <v>0</v>
      </c>
      <c r="J72" s="426">
        <f>'Exhibit 4'!J64</f>
        <v>1</v>
      </c>
      <c r="K72" s="356">
        <f>F72*J72</f>
        <v>3</v>
      </c>
      <c r="L72" s="428">
        <f>J72*(G72+H72+I72)</f>
        <v>145.25853658536585</v>
      </c>
      <c r="N72" s="46">
        <f>G72*J72</f>
        <v>145.25853658536585</v>
      </c>
      <c r="O72" s="40">
        <f>I72*J72</f>
        <v>0</v>
      </c>
      <c r="P72" s="40">
        <f>H72*J72</f>
        <v>0</v>
      </c>
      <c r="Q72" s="40">
        <f>SUM(N72:P72)</f>
        <v>145.25853658536585</v>
      </c>
    </row>
    <row r="73" spans="1:26" x14ac:dyDescent="0.15">
      <c r="A73" s="417" t="s">
        <v>246</v>
      </c>
      <c r="B73" s="429"/>
      <c r="C73" s="429"/>
      <c r="D73" s="429"/>
      <c r="E73" s="429"/>
      <c r="F73" s="429"/>
      <c r="G73" s="447"/>
      <c r="H73" s="429"/>
      <c r="I73" s="429"/>
      <c r="J73" s="382"/>
      <c r="K73" s="476"/>
      <c r="L73" s="447"/>
    </row>
    <row r="74" spans="1:26" x14ac:dyDescent="0.15">
      <c r="A74" s="417" t="s">
        <v>247</v>
      </c>
      <c r="B74" s="424">
        <v>0</v>
      </c>
      <c r="C74" s="424">
        <v>0</v>
      </c>
      <c r="D74" s="424">
        <v>3</v>
      </c>
      <c r="E74" s="424">
        <v>0</v>
      </c>
      <c r="F74" s="424">
        <f>SUM(B74:E74)</f>
        <v>3</v>
      </c>
      <c r="G74" s="428">
        <f>B74*$B$24+C74*$C$24+D74*$D$24+E74*$E$24</f>
        <v>145.25853658536585</v>
      </c>
      <c r="H74" s="583">
        <v>0</v>
      </c>
      <c r="I74" s="601">
        <v>0</v>
      </c>
      <c r="J74" s="426">
        <f>'Exhibit 4'!J67</f>
        <v>1</v>
      </c>
      <c r="K74" s="356">
        <f>F74*J74</f>
        <v>3</v>
      </c>
      <c r="L74" s="428">
        <f>J74*(G74+H74+I74)</f>
        <v>145.25853658536585</v>
      </c>
      <c r="N74" s="46">
        <f>G74*J74</f>
        <v>145.25853658536585</v>
      </c>
      <c r="O74" s="40">
        <f>I74*J74</f>
        <v>0</v>
      </c>
      <c r="P74" s="40">
        <f>H74*J74</f>
        <v>0</v>
      </c>
      <c r="Q74" s="40">
        <f>SUM(N74:P74)</f>
        <v>145.25853658536585</v>
      </c>
    </row>
    <row r="75" spans="1:26" x14ac:dyDescent="0.15">
      <c r="A75" s="647" t="s">
        <v>281</v>
      </c>
      <c r="B75" s="423">
        <v>0</v>
      </c>
      <c r="C75" s="423">
        <v>0</v>
      </c>
      <c r="D75" s="423">
        <v>1</v>
      </c>
      <c r="E75" s="423">
        <v>1</v>
      </c>
      <c r="F75" s="424">
        <f>SUM(B75:E75)</f>
        <v>2</v>
      </c>
      <c r="G75" s="428">
        <f>B75*$B$24+C75*$C$24+D75*$D$24+E75*$E$24</f>
        <v>80.7048780487805</v>
      </c>
      <c r="H75" s="583">
        <v>0</v>
      </c>
      <c r="I75" s="601">
        <v>0</v>
      </c>
      <c r="J75" s="426">
        <f>'Exhibit 4'!J69</f>
        <v>2</v>
      </c>
      <c r="K75" s="356">
        <f>F75*J75</f>
        <v>4</v>
      </c>
      <c r="L75" s="428">
        <f>J75*(G75+H75+I75)</f>
        <v>161.409756097561</v>
      </c>
      <c r="N75" s="46">
        <f>G75*J75</f>
        <v>161.409756097561</v>
      </c>
      <c r="O75" s="40">
        <f>I75*J75</f>
        <v>0</v>
      </c>
      <c r="P75" s="40">
        <f>H75*J75</f>
        <v>0</v>
      </c>
      <c r="Q75" s="40">
        <f>SUM(N75:P75)</f>
        <v>161.409756097561</v>
      </c>
    </row>
    <row r="76" spans="1:26" x14ac:dyDescent="0.15">
      <c r="A76" s="647" t="s">
        <v>282</v>
      </c>
      <c r="B76" s="423">
        <v>0</v>
      </c>
      <c r="C76" s="424">
        <v>0</v>
      </c>
      <c r="D76" s="424">
        <v>1</v>
      </c>
      <c r="E76" s="424">
        <v>1</v>
      </c>
      <c r="F76" s="424">
        <f>SUM(B76:E76)</f>
        <v>2</v>
      </c>
      <c r="G76" s="428">
        <f>B76*$B$24+C76*$C$24+D76*$D$24+E76*$E$24</f>
        <v>80.7048780487805</v>
      </c>
      <c r="H76" s="583">
        <v>0</v>
      </c>
      <c r="I76" s="601">
        <v>0</v>
      </c>
      <c r="J76" s="426">
        <f>'Exhibit 4'!J71</f>
        <v>2</v>
      </c>
      <c r="K76" s="356">
        <f>F76*J76</f>
        <v>4</v>
      </c>
      <c r="L76" s="428">
        <f>J76*(G76+H76+I76)</f>
        <v>161.409756097561</v>
      </c>
      <c r="N76" s="46">
        <f>G76*J76</f>
        <v>161.409756097561</v>
      </c>
      <c r="O76" s="40">
        <f>I76*J76</f>
        <v>0</v>
      </c>
      <c r="P76" s="40">
        <f>H76*J76</f>
        <v>0</v>
      </c>
      <c r="Q76" s="40">
        <f>SUM(N76:P76)</f>
        <v>161.409756097561</v>
      </c>
    </row>
    <row r="77" spans="1:26" ht="11.25" thickBot="1" x14ac:dyDescent="0.2">
      <c r="A77" s="648" t="s">
        <v>283</v>
      </c>
      <c r="B77" s="418">
        <v>0</v>
      </c>
      <c r="C77" s="429">
        <v>0</v>
      </c>
      <c r="D77" s="429">
        <v>1</v>
      </c>
      <c r="E77" s="429">
        <v>1</v>
      </c>
      <c r="F77" s="429">
        <f>SUM(B77:E77)</f>
        <v>2</v>
      </c>
      <c r="G77" s="500">
        <f>B77*$B$24+C77*$C$24+D77*$D$24+E77*$E$24</f>
        <v>80.7048780487805</v>
      </c>
      <c r="H77" s="613">
        <v>0</v>
      </c>
      <c r="I77" s="614">
        <v>0</v>
      </c>
      <c r="J77" s="420">
        <f>'Exhibit 4'!J73</f>
        <v>2</v>
      </c>
      <c r="K77" s="357">
        <f>F77*J77</f>
        <v>4</v>
      </c>
      <c r="L77" s="500">
        <f>J77*(G77+H77+I77)</f>
        <v>161.409756097561</v>
      </c>
      <c r="N77" s="46">
        <f>G77*J77</f>
        <v>161.409756097561</v>
      </c>
      <c r="O77" s="40">
        <f>I77*J77</f>
        <v>0</v>
      </c>
      <c r="P77" s="40">
        <f>H77*J77</f>
        <v>0</v>
      </c>
      <c r="Q77" s="40">
        <f>SUM(N77:P77)</f>
        <v>161.409756097561</v>
      </c>
      <c r="U77" s="109" t="s">
        <v>422</v>
      </c>
      <c r="V77" s="131"/>
      <c r="W77" s="131"/>
      <c r="X77" s="131"/>
      <c r="Y77" s="131"/>
      <c r="Z77" s="131"/>
    </row>
    <row r="78" spans="1:26" ht="11.25" thickTop="1" x14ac:dyDescent="0.15">
      <c r="A78" s="632" t="s">
        <v>506</v>
      </c>
      <c r="B78" s="633"/>
      <c r="C78" s="633"/>
      <c r="D78" s="634"/>
      <c r="E78" s="634"/>
      <c r="F78" s="634"/>
      <c r="G78" s="640"/>
      <c r="H78" s="636"/>
      <c r="I78" s="641"/>
      <c r="J78" s="642"/>
      <c r="K78" s="643"/>
      <c r="L78" s="643"/>
      <c r="U78" s="127" t="s">
        <v>414</v>
      </c>
      <c r="V78" s="127" t="s">
        <v>415</v>
      </c>
      <c r="W78" s="128" t="s">
        <v>416</v>
      </c>
      <c r="X78" s="129" t="s">
        <v>417</v>
      </c>
      <c r="Y78" s="127" t="s">
        <v>420</v>
      </c>
      <c r="Z78" s="127" t="s">
        <v>421</v>
      </c>
    </row>
    <row r="79" spans="1:26" x14ac:dyDescent="0.15">
      <c r="A79" s="649" t="s">
        <v>423</v>
      </c>
      <c r="B79" s="508">
        <v>0</v>
      </c>
      <c r="C79" s="359">
        <v>0.1</v>
      </c>
      <c r="D79" s="359">
        <v>0.5</v>
      </c>
      <c r="E79" s="359">
        <v>0</v>
      </c>
      <c r="F79" s="359">
        <f>SUM(B79:E79)</f>
        <v>0.6</v>
      </c>
      <c r="G79" s="428">
        <f>B79*$B$24+C79*$C$24+D79*$D$24+E79*$E$24</f>
        <v>32.464634146341467</v>
      </c>
      <c r="H79" s="615">
        <v>0</v>
      </c>
      <c r="I79" s="601">
        <v>0</v>
      </c>
      <c r="J79" s="616">
        <f>1811/3</f>
        <v>603.66666666666663</v>
      </c>
      <c r="K79" s="617">
        <f>W79</f>
        <v>362.2</v>
      </c>
      <c r="L79" s="499">
        <f>Z79</f>
        <v>19597.817479674799</v>
      </c>
      <c r="N79" s="133">
        <f>G79*J79</f>
        <v>19597.817479674799</v>
      </c>
      <c r="O79" s="130">
        <v>0</v>
      </c>
      <c r="P79" s="130">
        <f>H79*J79</f>
        <v>0</v>
      </c>
      <c r="Q79" s="130">
        <f>SUM(N79:P79)</f>
        <v>19597.817479674799</v>
      </c>
      <c r="R79" s="76" t="s">
        <v>433</v>
      </c>
      <c r="U79" s="121">
        <f>F79*(J79*3)</f>
        <v>1086.5999999999999</v>
      </c>
      <c r="V79">
        <v>0</v>
      </c>
      <c r="W79" s="123">
        <f>U79/3+V79</f>
        <v>362.2</v>
      </c>
      <c r="X79" s="122">
        <f>G79*(J79*3)+H79</f>
        <v>58793.452439024397</v>
      </c>
      <c r="Y79" s="122">
        <v>0</v>
      </c>
      <c r="Z79" s="126">
        <f>X79/3+Y79</f>
        <v>19597.817479674799</v>
      </c>
    </row>
    <row r="80" spans="1:26" ht="11.25" thickBot="1" x14ac:dyDescent="0.2">
      <c r="A80" s="650" t="s">
        <v>424</v>
      </c>
      <c r="B80" s="618">
        <v>0</v>
      </c>
      <c r="C80" s="444">
        <v>0</v>
      </c>
      <c r="D80" s="444">
        <v>0.15</v>
      </c>
      <c r="E80" s="444">
        <v>0</v>
      </c>
      <c r="F80" s="444">
        <f>SUM(B80:E80)</f>
        <v>0.15</v>
      </c>
      <c r="G80" s="500">
        <f>B80*$B$24+C80*$C$24+D80*$D$24+E80*$E$24</f>
        <v>7.2629268292682925</v>
      </c>
      <c r="H80" s="619">
        <v>0</v>
      </c>
      <c r="I80" s="614">
        <v>0</v>
      </c>
      <c r="J80" s="620">
        <v>27</v>
      </c>
      <c r="K80" s="621">
        <f>W80</f>
        <v>4.05</v>
      </c>
      <c r="L80" s="570">
        <f>Z80</f>
        <v>196.0990243902439</v>
      </c>
      <c r="N80" s="133">
        <f>G80*J80</f>
        <v>196.0990243902439</v>
      </c>
      <c r="O80" s="130">
        <v>0</v>
      </c>
      <c r="P80" s="130">
        <f>H80*J80</f>
        <v>0</v>
      </c>
      <c r="Q80" s="130">
        <f>SUM(N80:P80)</f>
        <v>196.0990243902439</v>
      </c>
      <c r="R80" s="76" t="s">
        <v>432</v>
      </c>
      <c r="U80">
        <v>0</v>
      </c>
      <c r="V80" s="121">
        <f>F80*J80</f>
        <v>4.05</v>
      </c>
      <c r="W80" s="123">
        <f>U80/3+V80</f>
        <v>4.05</v>
      </c>
      <c r="X80" s="122">
        <v>0</v>
      </c>
      <c r="Y80" s="122">
        <f>G80*J80+I80*J80</f>
        <v>196.0990243902439</v>
      </c>
      <c r="Z80" s="126">
        <f>X80/3+Y80</f>
        <v>196.0990243902439</v>
      </c>
    </row>
    <row r="81" spans="1:26" ht="11.25" thickTop="1" x14ac:dyDescent="0.15">
      <c r="A81" s="632" t="s">
        <v>390</v>
      </c>
      <c r="B81" s="633"/>
      <c r="C81" s="634"/>
      <c r="D81" s="634"/>
      <c r="E81" s="634"/>
      <c r="F81" s="634"/>
      <c r="G81" s="635"/>
      <c r="H81" s="636"/>
      <c r="I81" s="637"/>
      <c r="J81" s="638"/>
      <c r="K81" s="639"/>
      <c r="L81" s="635"/>
      <c r="V81" s="121"/>
      <c r="W81" s="123"/>
      <c r="X81" s="122"/>
      <c r="Y81" s="122"/>
      <c r="Z81" s="126"/>
    </row>
    <row r="82" spans="1:26" ht="31.5" x14ac:dyDescent="0.15">
      <c r="A82" s="651" t="s">
        <v>398</v>
      </c>
      <c r="B82" s="508">
        <v>0</v>
      </c>
      <c r="C82" s="359">
        <v>0</v>
      </c>
      <c r="D82" s="359">
        <v>1</v>
      </c>
      <c r="E82" s="359">
        <v>0</v>
      </c>
      <c r="F82" s="359">
        <f t="shared" ref="F82:F87" si="42">SUM(B82:E82)</f>
        <v>1</v>
      </c>
      <c r="G82" s="428">
        <f t="shared" ref="G82:G87" si="43">B82*$B$24+C82*$C$24+D82*$D$24+E82*$E$24</f>
        <v>48.419512195121953</v>
      </c>
      <c r="H82" s="615">
        <v>0</v>
      </c>
      <c r="I82" s="601">
        <v>0</v>
      </c>
      <c r="J82" s="492">
        <v>256</v>
      </c>
      <c r="K82" s="356">
        <f t="shared" ref="K82:K87" si="44">F82*J82</f>
        <v>256</v>
      </c>
      <c r="L82" s="428">
        <f t="shared" ref="L82:L87" si="45">J82*(G82+H82+I82)</f>
        <v>12395.39512195122</v>
      </c>
      <c r="N82" s="110">
        <f t="shared" ref="N82:N87" si="46">G82*J82</f>
        <v>12395.39512195122</v>
      </c>
      <c r="O82" s="111">
        <f t="shared" ref="O82:O87" si="47">I82*J82</f>
        <v>0</v>
      </c>
      <c r="P82" s="111">
        <f t="shared" ref="P82:P87" si="48">H82*J82</f>
        <v>0</v>
      </c>
      <c r="Q82" s="111">
        <f t="shared" ref="Q82:Q87" si="49">SUM(N82:P82)</f>
        <v>12395.39512195122</v>
      </c>
      <c r="V82" s="135"/>
      <c r="W82" s="137"/>
      <c r="X82" s="136"/>
      <c r="Y82" s="136"/>
      <c r="Z82" s="138"/>
    </row>
    <row r="83" spans="1:26" ht="21" x14ac:dyDescent="0.15">
      <c r="A83" s="652" t="s">
        <v>399</v>
      </c>
      <c r="B83" s="508">
        <v>0</v>
      </c>
      <c r="C83" s="359">
        <v>0</v>
      </c>
      <c r="D83" s="359">
        <v>0.5</v>
      </c>
      <c r="E83" s="359">
        <v>0.1</v>
      </c>
      <c r="F83" s="359">
        <f t="shared" si="42"/>
        <v>0.6</v>
      </c>
      <c r="G83" s="491">
        <f t="shared" si="43"/>
        <v>27.438292682926832</v>
      </c>
      <c r="H83" s="615">
        <v>0</v>
      </c>
      <c r="I83" s="601">
        <v>0.38</v>
      </c>
      <c r="J83" s="492">
        <v>26</v>
      </c>
      <c r="K83" s="356">
        <f t="shared" si="44"/>
        <v>15.6</v>
      </c>
      <c r="L83" s="428">
        <f t="shared" si="45"/>
        <v>723.27560975609765</v>
      </c>
      <c r="N83" s="110">
        <f t="shared" si="46"/>
        <v>713.39560975609766</v>
      </c>
      <c r="O83" s="111">
        <f t="shared" si="47"/>
        <v>9.8800000000000008</v>
      </c>
      <c r="P83" s="111">
        <f t="shared" si="48"/>
        <v>0</v>
      </c>
      <c r="Q83" s="111">
        <f t="shared" si="49"/>
        <v>723.27560975609765</v>
      </c>
    </row>
    <row r="84" spans="1:26" ht="31.5" x14ac:dyDescent="0.15">
      <c r="A84" s="652" t="s">
        <v>401</v>
      </c>
      <c r="B84" s="508">
        <v>0</v>
      </c>
      <c r="C84" s="359">
        <v>0</v>
      </c>
      <c r="D84" s="359">
        <v>0</v>
      </c>
      <c r="E84" s="359">
        <v>0.16</v>
      </c>
      <c r="F84" s="359">
        <f t="shared" si="42"/>
        <v>0.16</v>
      </c>
      <c r="G84" s="428">
        <f t="shared" si="43"/>
        <v>5.1656585365853669</v>
      </c>
      <c r="H84" s="615">
        <v>0</v>
      </c>
      <c r="I84" s="601">
        <v>0.38</v>
      </c>
      <c r="J84" s="492">
        <v>256</v>
      </c>
      <c r="K84" s="356">
        <f t="shared" si="44"/>
        <v>40.96</v>
      </c>
      <c r="L84" s="428">
        <f t="shared" si="45"/>
        <v>1419.6885853658539</v>
      </c>
      <c r="N84" s="110">
        <f t="shared" si="46"/>
        <v>1322.4085853658539</v>
      </c>
      <c r="O84" s="111">
        <f t="shared" si="47"/>
        <v>97.28</v>
      </c>
      <c r="P84" s="111">
        <f t="shared" si="48"/>
        <v>0</v>
      </c>
      <c r="Q84" s="111">
        <f t="shared" si="49"/>
        <v>1419.6885853658539</v>
      </c>
    </row>
    <row r="85" spans="1:26" ht="31.5" x14ac:dyDescent="0.15">
      <c r="A85" s="652" t="s">
        <v>402</v>
      </c>
      <c r="B85" s="508">
        <v>0</v>
      </c>
      <c r="C85" s="359">
        <v>0</v>
      </c>
      <c r="D85" s="359">
        <v>0</v>
      </c>
      <c r="E85" s="359">
        <v>0.16</v>
      </c>
      <c r="F85" s="359">
        <f t="shared" si="42"/>
        <v>0.16</v>
      </c>
      <c r="G85" s="428">
        <f t="shared" si="43"/>
        <v>5.1656585365853669</v>
      </c>
      <c r="H85" s="615">
        <v>0</v>
      </c>
      <c r="I85" s="601">
        <v>0.38</v>
      </c>
      <c r="J85" s="492">
        <v>0</v>
      </c>
      <c r="K85" s="356">
        <f t="shared" si="44"/>
        <v>0</v>
      </c>
      <c r="L85" s="428">
        <f t="shared" si="45"/>
        <v>0</v>
      </c>
      <c r="N85" s="110">
        <f t="shared" si="46"/>
        <v>0</v>
      </c>
      <c r="O85" s="111">
        <f t="shared" si="47"/>
        <v>0</v>
      </c>
      <c r="P85" s="111">
        <f t="shared" si="48"/>
        <v>0</v>
      </c>
      <c r="Q85" s="111">
        <f t="shared" si="49"/>
        <v>0</v>
      </c>
    </row>
    <row r="86" spans="1:26" ht="31.5" x14ac:dyDescent="0.15">
      <c r="A86" s="652" t="s">
        <v>400</v>
      </c>
      <c r="B86" s="508">
        <v>0</v>
      </c>
      <c r="C86" s="359">
        <v>0</v>
      </c>
      <c r="D86" s="359">
        <v>0.5</v>
      </c>
      <c r="E86" s="359">
        <v>0.1</v>
      </c>
      <c r="F86" s="359">
        <f t="shared" si="42"/>
        <v>0.6</v>
      </c>
      <c r="G86" s="428">
        <f t="shared" si="43"/>
        <v>27.438292682926832</v>
      </c>
      <c r="H86" s="615">
        <v>0</v>
      </c>
      <c r="I86" s="601">
        <v>0.38</v>
      </c>
      <c r="J86" s="492">
        <v>0</v>
      </c>
      <c r="K86" s="356">
        <f t="shared" si="44"/>
        <v>0</v>
      </c>
      <c r="L86" s="428">
        <f t="shared" si="45"/>
        <v>0</v>
      </c>
      <c r="N86" s="110">
        <f t="shared" si="46"/>
        <v>0</v>
      </c>
      <c r="O86" s="111">
        <f t="shared" si="47"/>
        <v>0</v>
      </c>
      <c r="P86" s="111">
        <f t="shared" si="48"/>
        <v>0</v>
      </c>
      <c r="Q86" s="111">
        <f t="shared" si="49"/>
        <v>0</v>
      </c>
    </row>
    <row r="87" spans="1:26" ht="21.75" thickBot="1" x14ac:dyDescent="0.2">
      <c r="A87" s="653" t="s">
        <v>403</v>
      </c>
      <c r="B87" s="618">
        <v>0</v>
      </c>
      <c r="C87" s="444">
        <v>0</v>
      </c>
      <c r="D87" s="444">
        <v>0</v>
      </c>
      <c r="E87" s="444">
        <v>0.1</v>
      </c>
      <c r="F87" s="444">
        <f t="shared" si="42"/>
        <v>0.1</v>
      </c>
      <c r="G87" s="500">
        <f t="shared" si="43"/>
        <v>3.2285365853658541</v>
      </c>
      <c r="H87" s="619">
        <v>0</v>
      </c>
      <c r="I87" s="614">
        <v>0</v>
      </c>
      <c r="J87" s="622">
        <v>538</v>
      </c>
      <c r="K87" s="357">
        <f t="shared" si="44"/>
        <v>53.800000000000004</v>
      </c>
      <c r="L87" s="500">
        <f t="shared" si="45"/>
        <v>1736.9526829268295</v>
      </c>
      <c r="N87" s="110">
        <f t="shared" si="46"/>
        <v>1736.9526829268295</v>
      </c>
      <c r="O87" s="111">
        <f t="shared" si="47"/>
        <v>0</v>
      </c>
      <c r="P87" s="111">
        <f t="shared" si="48"/>
        <v>0</v>
      </c>
      <c r="Q87" s="111">
        <f t="shared" si="49"/>
        <v>1736.9526829268295</v>
      </c>
    </row>
    <row r="88" spans="1:26" ht="11.25" thickTop="1" x14ac:dyDescent="0.15">
      <c r="A88" s="632" t="s">
        <v>389</v>
      </c>
      <c r="B88" s="644"/>
      <c r="C88" s="644"/>
      <c r="D88" s="644"/>
      <c r="E88" s="634"/>
      <c r="F88" s="634"/>
      <c r="G88" s="635"/>
      <c r="H88" s="636"/>
      <c r="I88" s="641"/>
      <c r="J88" s="638"/>
      <c r="K88" s="639"/>
      <c r="L88" s="635"/>
      <c r="N88" s="76"/>
      <c r="O88" s="76"/>
      <c r="P88" s="76"/>
      <c r="Q88" s="76"/>
    </row>
    <row r="89" spans="1:26" ht="21" x14ac:dyDescent="0.15">
      <c r="A89" s="652" t="s">
        <v>404</v>
      </c>
      <c r="B89" s="508">
        <v>0</v>
      </c>
      <c r="C89" s="359">
        <v>0</v>
      </c>
      <c r="D89" s="359">
        <v>0.5</v>
      </c>
      <c r="E89" s="359">
        <v>0</v>
      </c>
      <c r="F89" s="359">
        <f>SUM(B89:E89)</f>
        <v>0.5</v>
      </c>
      <c r="G89" s="428">
        <f>B89*$B$24+C89*$C$24+D89*$D$24+E89*$E$24</f>
        <v>24.209756097560977</v>
      </c>
      <c r="H89" s="615">
        <v>0</v>
      </c>
      <c r="I89" s="601">
        <v>0</v>
      </c>
      <c r="J89" s="492">
        <v>5</v>
      </c>
      <c r="K89" s="356">
        <f>F89*J89</f>
        <v>2.5</v>
      </c>
      <c r="L89" s="428">
        <f>J89*(G89+H89+I89)</f>
        <v>121.04878048780489</v>
      </c>
      <c r="N89" s="110">
        <f>G89*J89</f>
        <v>121.04878048780489</v>
      </c>
      <c r="O89" s="111">
        <f>I89*J89</f>
        <v>0</v>
      </c>
      <c r="P89" s="111">
        <f>H89*J89</f>
        <v>0</v>
      </c>
      <c r="Q89" s="111">
        <f>SUM(N89:P89)</f>
        <v>121.04878048780489</v>
      </c>
    </row>
    <row r="90" spans="1:26" x14ac:dyDescent="0.15">
      <c r="A90" s="649" t="s">
        <v>405</v>
      </c>
      <c r="B90" s="508">
        <v>0</v>
      </c>
      <c r="C90" s="359">
        <v>0</v>
      </c>
      <c r="D90" s="359">
        <v>0</v>
      </c>
      <c r="E90" s="359">
        <v>0.1</v>
      </c>
      <c r="F90" s="359">
        <f>SUM(B90:E90)</f>
        <v>0.1</v>
      </c>
      <c r="G90" s="428">
        <f>B90*$B$24+C90*$C$24+D90*$D$24+E90*$E$24</f>
        <v>3.2285365853658541</v>
      </c>
      <c r="H90" s="615">
        <v>0</v>
      </c>
      <c r="I90" s="601">
        <v>0</v>
      </c>
      <c r="J90" s="492">
        <v>5</v>
      </c>
      <c r="K90" s="356">
        <f>F90*J90</f>
        <v>0.5</v>
      </c>
      <c r="L90" s="428">
        <f>J90*(G90+H90+I90)</f>
        <v>16.14268292682927</v>
      </c>
      <c r="N90" s="110">
        <f>G90*J90</f>
        <v>16.14268292682927</v>
      </c>
      <c r="O90" s="111">
        <f>I90*J90</f>
        <v>0</v>
      </c>
      <c r="P90" s="111">
        <f>H90*J90</f>
        <v>0</v>
      </c>
      <c r="Q90" s="111">
        <f>SUM(N90:P90)</f>
        <v>16.14268292682927</v>
      </c>
    </row>
    <row r="91" spans="1:26" s="49" customFormat="1" ht="2.25" customHeight="1" x14ac:dyDescent="0.15">
      <c r="A91" s="654"/>
      <c r="B91" s="624"/>
      <c r="C91" s="624"/>
      <c r="D91" s="624"/>
      <c r="E91" s="624"/>
      <c r="F91" s="624"/>
      <c r="G91" s="623"/>
      <c r="H91" s="624"/>
      <c r="I91" s="624"/>
      <c r="J91" s="623"/>
      <c r="K91" s="625"/>
      <c r="L91" s="623"/>
    </row>
    <row r="92" spans="1:26" s="49" customFormat="1" ht="10.5" customHeight="1" thickBot="1" x14ac:dyDescent="0.2">
      <c r="A92" s="655" t="s">
        <v>16</v>
      </c>
      <c r="B92" s="626">
        <f t="shared" ref="B92:G92" si="50">SUM(B65:B90)</f>
        <v>0</v>
      </c>
      <c r="C92" s="626">
        <f t="shared" si="50"/>
        <v>0.1</v>
      </c>
      <c r="D92" s="626">
        <f t="shared" si="50"/>
        <v>16.899999999999999</v>
      </c>
      <c r="E92" s="626">
        <f t="shared" si="50"/>
        <v>5.52</v>
      </c>
      <c r="F92" s="626">
        <f t="shared" si="50"/>
        <v>22.520000000000003</v>
      </c>
      <c r="G92" s="627">
        <f t="shared" si="50"/>
        <v>1004.7598536585369</v>
      </c>
      <c r="H92" s="626"/>
      <c r="I92" s="626"/>
      <c r="J92" s="628" t="s">
        <v>53</v>
      </c>
      <c r="K92" s="626">
        <f>SUM(K65:K90)</f>
        <v>809.61</v>
      </c>
      <c r="L92" s="626">
        <f>SUM(L65:L90)</f>
        <v>39566.592867479689</v>
      </c>
    </row>
    <row r="93" spans="1:26" ht="11.25" thickTop="1" x14ac:dyDescent="0.15">
      <c r="A93" s="410" t="s">
        <v>191</v>
      </c>
      <c r="B93" s="629" t="s">
        <v>53</v>
      </c>
      <c r="C93" s="629" t="s">
        <v>53</v>
      </c>
      <c r="D93" s="629" t="s">
        <v>53</v>
      </c>
      <c r="E93" s="629" t="s">
        <v>53</v>
      </c>
      <c r="F93" s="629" t="s">
        <v>53</v>
      </c>
      <c r="G93" s="630" t="s">
        <v>53</v>
      </c>
      <c r="H93" s="583">
        <v>0</v>
      </c>
      <c r="I93" s="583">
        <v>0</v>
      </c>
      <c r="J93" s="631" t="s">
        <v>53</v>
      </c>
      <c r="K93" s="645">
        <f>K39+K53+K63+K92</f>
        <v>5354.7989055472262</v>
      </c>
      <c r="L93" s="646">
        <f>L39+L53+L63+L92</f>
        <v>272750.37466688809</v>
      </c>
      <c r="M93" s="217"/>
      <c r="N93" s="278">
        <f>SUM(N28:N90)</f>
        <v>272643.21466688818</v>
      </c>
      <c r="O93" s="278">
        <f>SUM(O28:O90)</f>
        <v>107.16</v>
      </c>
      <c r="P93" s="278">
        <f>SUM(P28:P90)</f>
        <v>0</v>
      </c>
      <c r="Q93" s="278">
        <f>SUM(Q28:Q90)</f>
        <v>272750.37466688815</v>
      </c>
    </row>
    <row r="94" spans="1:26" ht="2.25" customHeight="1" x14ac:dyDescent="0.15">
      <c r="A94" s="12"/>
      <c r="B94" s="15"/>
      <c r="C94" s="15"/>
      <c r="D94" s="15"/>
      <c r="E94" s="15"/>
      <c r="F94" s="15"/>
      <c r="G94" s="12"/>
      <c r="H94" s="15"/>
      <c r="I94" s="15"/>
      <c r="J94" s="12"/>
      <c r="K94" s="16"/>
      <c r="L94" s="12"/>
      <c r="O94" s="132">
        <f>SUM(O29:O91)</f>
        <v>107.16</v>
      </c>
      <c r="P94" s="132">
        <f>SUM(P29:P91)</f>
        <v>0</v>
      </c>
      <c r="Q94" s="132">
        <f>SUM(Q29:Q91)</f>
        <v>271534.33808152226</v>
      </c>
    </row>
    <row r="95" spans="1:26" x14ac:dyDescent="0.15">
      <c r="B95" s="3"/>
      <c r="C95" s="3"/>
      <c r="D95" s="3"/>
      <c r="E95" s="3"/>
      <c r="F95" s="4"/>
      <c r="Q95" s="66">
        <f>SUM(N93:P93)</f>
        <v>272750.37466688815</v>
      </c>
    </row>
    <row r="96" spans="1:26" x14ac:dyDescent="0.15">
      <c r="A96" s="9" t="s">
        <v>188</v>
      </c>
      <c r="B96" s="3"/>
      <c r="C96" s="3"/>
      <c r="D96" s="3"/>
      <c r="E96" s="3"/>
      <c r="F96" s="4"/>
      <c r="G96" s="5"/>
      <c r="H96" s="5"/>
    </row>
    <row r="97" spans="1:12" ht="12.75" x14ac:dyDescent="0.2">
      <c r="B97" s="3"/>
      <c r="C97" s="3"/>
      <c r="D97" s="3"/>
      <c r="E97" s="3"/>
      <c r="F97" s="4"/>
      <c r="J97" s="142" t="s">
        <v>496</v>
      </c>
      <c r="K97" s="296">
        <f>K93*3</f>
        <v>16064.396716641679</v>
      </c>
      <c r="L97" s="297">
        <f>L93*3</f>
        <v>818251.12400066433</v>
      </c>
    </row>
    <row r="98" spans="1:12" x14ac:dyDescent="0.15">
      <c r="B98" s="3"/>
      <c r="C98" s="3"/>
      <c r="D98" s="3"/>
      <c r="E98" s="3"/>
      <c r="F98" s="4"/>
    </row>
    <row r="99" spans="1:12" x14ac:dyDescent="0.15">
      <c r="B99" s="3"/>
      <c r="C99" s="3"/>
      <c r="D99" s="3"/>
      <c r="E99" s="3"/>
      <c r="F99" s="4"/>
    </row>
    <row r="100" spans="1:12" x14ac:dyDescent="0.15">
      <c r="B100" s="3"/>
      <c r="C100" s="3"/>
      <c r="D100" s="3"/>
      <c r="E100" s="3"/>
      <c r="F100" s="4"/>
    </row>
    <row r="101" spans="1:12" x14ac:dyDescent="0.15">
      <c r="A101" s="9" t="s">
        <v>429</v>
      </c>
      <c r="B101" s="3"/>
      <c r="C101" s="3"/>
      <c r="D101" s="3"/>
      <c r="E101" s="3"/>
      <c r="F101" s="4"/>
    </row>
    <row r="102" spans="1:12" x14ac:dyDescent="0.15">
      <c r="A102" s="10"/>
      <c r="B102" s="3"/>
      <c r="C102" s="3"/>
      <c r="D102" s="3"/>
      <c r="E102" s="3"/>
      <c r="F102" s="4"/>
    </row>
    <row r="103" spans="1:12" x14ac:dyDescent="0.15">
      <c r="A103" s="9"/>
      <c r="B103" s="3"/>
      <c r="C103" s="3"/>
      <c r="D103" s="3"/>
      <c r="E103" s="3"/>
      <c r="F103" s="4"/>
    </row>
    <row r="104" spans="1:12" x14ac:dyDescent="0.15">
      <c r="A104" s="10"/>
      <c r="B104" s="3"/>
      <c r="C104" s="3"/>
      <c r="D104" s="3"/>
      <c r="E104" s="3"/>
      <c r="F104" s="4"/>
    </row>
    <row r="105" spans="1:12" x14ac:dyDescent="0.15">
      <c r="A105" s="9"/>
      <c r="B105" s="3"/>
      <c r="C105" s="3"/>
      <c r="D105" s="3"/>
      <c r="E105" s="3"/>
      <c r="F105" s="4"/>
    </row>
    <row r="106" spans="1:12" x14ac:dyDescent="0.15">
      <c r="B106" s="3"/>
      <c r="C106" s="3"/>
      <c r="D106" s="3"/>
      <c r="E106" s="3"/>
      <c r="F106" s="4"/>
    </row>
    <row r="107" spans="1:12" x14ac:dyDescent="0.15">
      <c r="A107" s="9"/>
      <c r="B107" s="3"/>
      <c r="C107" s="3"/>
      <c r="D107" s="3"/>
      <c r="E107" s="3"/>
      <c r="F107" s="4"/>
    </row>
    <row r="108" spans="1:12" x14ac:dyDescent="0.15">
      <c r="B108" s="3"/>
      <c r="C108" s="3"/>
      <c r="D108" s="3"/>
      <c r="E108" s="3"/>
      <c r="F108" s="4"/>
    </row>
    <row r="109" spans="1:12" x14ac:dyDescent="0.15">
      <c r="B109" s="3"/>
      <c r="C109" s="3"/>
      <c r="D109" s="3"/>
      <c r="E109" s="3"/>
      <c r="F109" s="4"/>
    </row>
    <row r="110" spans="1:12" x14ac:dyDescent="0.15">
      <c r="D110" s="3"/>
      <c r="E110" s="3"/>
      <c r="F110" s="4"/>
    </row>
    <row r="111" spans="1:12" x14ac:dyDescent="0.15">
      <c r="D111" s="3"/>
      <c r="E111" s="3"/>
      <c r="F111" s="4"/>
    </row>
    <row r="112" spans="1:12" x14ac:dyDescent="0.15">
      <c r="A112" s="1"/>
      <c r="B112" s="3"/>
      <c r="C112" s="3"/>
      <c r="D112" s="3"/>
      <c r="E112" s="3"/>
      <c r="F112" s="4"/>
    </row>
    <row r="113" spans="1:6" x14ac:dyDescent="0.15">
      <c r="A113" s="2"/>
      <c r="B113" s="3"/>
      <c r="C113" s="3"/>
      <c r="D113" s="3"/>
      <c r="E113" s="3"/>
      <c r="F113" s="4"/>
    </row>
    <row r="114" spans="1:6" x14ac:dyDescent="0.15">
      <c r="B114" s="3"/>
      <c r="C114" s="3"/>
      <c r="D114" s="3"/>
      <c r="E114" s="3"/>
      <c r="F114" s="6"/>
    </row>
    <row r="115" spans="1:6" x14ac:dyDescent="0.15">
      <c r="B115" s="3"/>
      <c r="C115" s="3"/>
      <c r="D115" s="3"/>
      <c r="E115" s="3"/>
    </row>
    <row r="116" spans="1:6" x14ac:dyDescent="0.15">
      <c r="B116" s="3"/>
      <c r="C116" s="3"/>
      <c r="D116" s="3"/>
      <c r="E116" s="3"/>
    </row>
    <row r="117" spans="1:6" x14ac:dyDescent="0.15">
      <c r="B117" s="3"/>
      <c r="C117" s="3"/>
      <c r="D117" s="3"/>
      <c r="E117" s="3"/>
    </row>
    <row r="118" spans="1:6" x14ac:dyDescent="0.15">
      <c r="B118" s="3"/>
      <c r="C118" s="3"/>
      <c r="D118" s="3"/>
      <c r="E118" s="3"/>
    </row>
    <row r="119" spans="1:6" x14ac:dyDescent="0.15">
      <c r="B119" s="3"/>
      <c r="C119" s="3"/>
      <c r="D119" s="3"/>
      <c r="E119" s="3"/>
    </row>
  </sheetData>
  <phoneticPr fontId="0" type="noConversion"/>
  <pageMargins left="0.75" right="0.75" top="1" bottom="1" header="0.5" footer="0.5"/>
  <pageSetup orientation="landscape" r:id="rId1"/>
  <headerFooter alignWithMargins="0">
    <oddFooter>Page &amp;P</oddFooter>
  </headerFooter>
  <rowBreaks count="1" manualBreakCount="1">
    <brk id="54"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D84"/>
  <sheetViews>
    <sheetView workbookViewId="0">
      <selection activeCell="F19" sqref="F19"/>
    </sheetView>
  </sheetViews>
  <sheetFormatPr defaultRowHeight="10.5" x14ac:dyDescent="0.15"/>
  <cols>
    <col min="1" max="1" width="11" bestFit="1" customWidth="1"/>
    <col min="2" max="2" width="19.1640625" customWidth="1"/>
    <col min="3" max="3" width="27.5" customWidth="1"/>
    <col min="4" max="4" width="1.83203125" customWidth="1"/>
    <col min="5" max="7" width="10.83203125" customWidth="1"/>
    <col min="8" max="8" width="1.83203125" customWidth="1"/>
    <col min="9" max="11" width="10.83203125" customWidth="1"/>
    <col min="12" max="12" width="1.83203125" customWidth="1"/>
    <col min="13" max="15" width="10.83203125" customWidth="1"/>
    <col min="16" max="16" width="1.83203125" customWidth="1"/>
    <col min="17" max="19" width="10.83203125" customWidth="1"/>
    <col min="21" max="23" width="10.83203125" customWidth="1"/>
    <col min="24" max="24" width="16.5" customWidth="1"/>
    <col min="25" max="25" width="17.5" customWidth="1"/>
    <col min="26" max="28" width="10.83203125" customWidth="1"/>
  </cols>
  <sheetData>
    <row r="2" spans="1:30" ht="15.75" x14ac:dyDescent="0.25">
      <c r="A2" s="286" t="s">
        <v>610</v>
      </c>
    </row>
    <row r="3" spans="1:30" ht="15.75" x14ac:dyDescent="0.25">
      <c r="A3" s="236" t="s">
        <v>553</v>
      </c>
    </row>
    <row r="4" spans="1:30" ht="15" x14ac:dyDescent="0.15">
      <c r="B4" s="316" t="s">
        <v>460</v>
      </c>
    </row>
    <row r="5" spans="1:30" ht="15" x14ac:dyDescent="0.15">
      <c r="B5" s="316" t="s">
        <v>434</v>
      </c>
      <c r="N5" s="294"/>
    </row>
    <row r="7" spans="1:30" ht="12.75" x14ac:dyDescent="0.2">
      <c r="B7" s="147"/>
    </row>
    <row r="8" spans="1:30" ht="19.5" x14ac:dyDescent="0.35">
      <c r="A8" s="150" t="s">
        <v>450</v>
      </c>
      <c r="E8" s="140"/>
      <c r="I8" s="314" t="s">
        <v>572</v>
      </c>
    </row>
    <row r="9" spans="1:30" s="318" customFormat="1" ht="19.5" x14ac:dyDescent="0.15">
      <c r="A9" s="317"/>
      <c r="E9" s="319"/>
      <c r="I9" s="338" t="s">
        <v>571</v>
      </c>
    </row>
    <row r="11" spans="1:30" ht="12.75" x14ac:dyDescent="0.2">
      <c r="E11" s="142" t="s">
        <v>442</v>
      </c>
      <c r="I11" s="142" t="s">
        <v>441</v>
      </c>
      <c r="M11" s="142" t="s">
        <v>443</v>
      </c>
      <c r="Q11" s="142" t="s">
        <v>444</v>
      </c>
      <c r="U11" s="142" t="s">
        <v>464</v>
      </c>
    </row>
    <row r="12" spans="1:30" ht="12.75" x14ac:dyDescent="0.2">
      <c r="E12" s="142" t="s">
        <v>456</v>
      </c>
      <c r="I12" s="142" t="s">
        <v>446</v>
      </c>
      <c r="M12" s="142" t="s">
        <v>447</v>
      </c>
      <c r="Q12" s="142" t="s">
        <v>448</v>
      </c>
      <c r="U12" s="142" t="s">
        <v>465</v>
      </c>
    </row>
    <row r="13" spans="1:30" ht="12.75" x14ac:dyDescent="0.2">
      <c r="E13" s="142" t="s">
        <v>455</v>
      </c>
      <c r="I13" s="142" t="s">
        <v>454</v>
      </c>
      <c r="M13" s="142" t="s">
        <v>457</v>
      </c>
      <c r="Q13" s="142" t="s">
        <v>453</v>
      </c>
      <c r="U13" s="157" t="s">
        <v>466</v>
      </c>
    </row>
    <row r="14" spans="1:30" ht="15.75" x14ac:dyDescent="0.25">
      <c r="B14" s="140" t="s">
        <v>440</v>
      </c>
      <c r="E14" s="687" t="s">
        <v>439</v>
      </c>
      <c r="F14" s="688"/>
      <c r="G14" s="689"/>
      <c r="H14" s="10"/>
      <c r="I14" s="687" t="s">
        <v>439</v>
      </c>
      <c r="J14" s="688"/>
      <c r="K14" s="689"/>
      <c r="L14" s="10"/>
      <c r="M14" s="687" t="s">
        <v>439</v>
      </c>
      <c r="N14" s="688"/>
      <c r="O14" s="689"/>
      <c r="P14" s="10"/>
      <c r="Q14" s="687" t="s">
        <v>439</v>
      </c>
      <c r="R14" s="688"/>
      <c r="S14" s="689"/>
      <c r="U14" s="687" t="s">
        <v>439</v>
      </c>
      <c r="V14" s="688"/>
      <c r="W14" s="689"/>
      <c r="Y14" s="140"/>
      <c r="AD14" s="140"/>
    </row>
    <row r="15" spans="1:30" ht="25.5" x14ac:dyDescent="0.25">
      <c r="B15" s="140" t="s">
        <v>435</v>
      </c>
      <c r="E15" s="143" t="s">
        <v>436</v>
      </c>
      <c r="F15" s="143" t="s">
        <v>437</v>
      </c>
      <c r="G15" s="143" t="s">
        <v>438</v>
      </c>
      <c r="H15" s="10"/>
      <c r="I15" s="143" t="s">
        <v>436</v>
      </c>
      <c r="J15" s="143" t="s">
        <v>437</v>
      </c>
      <c r="K15" s="143" t="s">
        <v>438</v>
      </c>
      <c r="L15" s="10"/>
      <c r="M15" s="143" t="s">
        <v>436</v>
      </c>
      <c r="N15" s="143" t="s">
        <v>437</v>
      </c>
      <c r="O15" s="143" t="s">
        <v>438</v>
      </c>
      <c r="P15" s="10"/>
      <c r="Q15" s="143" t="s">
        <v>436</v>
      </c>
      <c r="R15" s="143" t="s">
        <v>437</v>
      </c>
      <c r="S15" s="143" t="s">
        <v>438</v>
      </c>
      <c r="U15" s="143" t="s">
        <v>436</v>
      </c>
      <c r="V15" s="143" t="s">
        <v>437</v>
      </c>
      <c r="W15" s="143" t="s">
        <v>438</v>
      </c>
      <c r="Y15" s="140"/>
      <c r="AD15" s="140"/>
    </row>
    <row r="16" spans="1:30" ht="15.75" x14ac:dyDescent="0.25">
      <c r="B16" s="140"/>
      <c r="E16" s="159"/>
      <c r="F16" s="159"/>
      <c r="G16" s="159"/>
      <c r="H16" s="10"/>
      <c r="I16" s="159"/>
      <c r="J16" s="159"/>
      <c r="K16" s="159"/>
      <c r="L16" s="10"/>
      <c r="M16" s="159"/>
      <c r="N16" s="159"/>
      <c r="O16" s="159"/>
      <c r="P16" s="10"/>
      <c r="Q16" s="159"/>
      <c r="R16" s="159"/>
      <c r="S16" s="159"/>
      <c r="U16" s="159"/>
      <c r="V16" s="159"/>
      <c r="W16" s="159"/>
      <c r="Y16" s="140"/>
      <c r="AD16" s="140"/>
    </row>
    <row r="17" spans="1:30" ht="15.75" x14ac:dyDescent="0.25">
      <c r="D17" s="141"/>
      <c r="E17" s="141"/>
      <c r="F17" s="141"/>
      <c r="G17" s="141"/>
      <c r="H17" s="141"/>
      <c r="I17" s="141"/>
      <c r="J17" s="159"/>
      <c r="K17" s="159"/>
      <c r="L17" s="10"/>
      <c r="M17" s="159"/>
      <c r="N17" s="159"/>
      <c r="O17" s="159"/>
      <c r="P17" s="10"/>
      <c r="Q17" s="159"/>
      <c r="R17" s="159"/>
      <c r="S17" s="159"/>
      <c r="U17" s="159"/>
      <c r="V17" s="159"/>
      <c r="W17" s="159"/>
      <c r="Y17" s="140"/>
      <c r="AD17" s="140"/>
    </row>
    <row r="18" spans="1:30" ht="15.75" x14ac:dyDescent="0.25">
      <c r="C18" s="142" t="s">
        <v>468</v>
      </c>
      <c r="E18" s="144"/>
      <c r="F18" s="144">
        <v>78.739999999999995</v>
      </c>
      <c r="G18" s="145"/>
      <c r="H18" s="160"/>
      <c r="I18" s="160"/>
      <c r="J18" s="160">
        <v>63.08</v>
      </c>
      <c r="K18" s="161"/>
      <c r="L18" s="160"/>
      <c r="M18" s="144"/>
      <c r="N18" s="144">
        <v>30.52</v>
      </c>
      <c r="O18" s="145"/>
      <c r="P18" s="160"/>
      <c r="Q18" s="160"/>
      <c r="R18" s="160">
        <v>19.78</v>
      </c>
      <c r="S18" s="161"/>
      <c r="T18" s="160"/>
      <c r="U18" s="160"/>
      <c r="V18" s="160">
        <v>11.08</v>
      </c>
      <c r="W18" s="161"/>
      <c r="X18" s="160"/>
      <c r="Y18" s="160"/>
      <c r="AD18" s="140"/>
    </row>
    <row r="19" spans="1:30" ht="15.75" x14ac:dyDescent="0.25">
      <c r="B19" s="140"/>
      <c r="C19" s="142" t="s">
        <v>459</v>
      </c>
      <c r="E19" s="155"/>
      <c r="F19" s="233">
        <f>F18*$G$20</f>
        <v>131.82182361733931</v>
      </c>
      <c r="G19" s="234"/>
      <c r="H19" s="221"/>
      <c r="I19" s="235"/>
      <c r="J19" s="233">
        <f>J18*$G$20</f>
        <v>105.60478325859492</v>
      </c>
      <c r="K19" s="234"/>
      <c r="L19" s="221"/>
      <c r="M19" s="235"/>
      <c r="N19" s="233">
        <f>N18*$G$20</f>
        <v>51.09476831091181</v>
      </c>
      <c r="O19" s="234"/>
      <c r="P19" s="221"/>
      <c r="Q19" s="235"/>
      <c r="R19" s="233">
        <f>R18*$G$20</f>
        <v>33.11449925261585</v>
      </c>
      <c r="S19" s="234"/>
      <c r="T19" s="220"/>
      <c r="U19" s="235"/>
      <c r="V19" s="233">
        <f>V18*$G$20</f>
        <v>18.54947683109118</v>
      </c>
      <c r="W19" s="156"/>
      <c r="X19" s="220"/>
      <c r="Y19" s="236"/>
      <c r="AD19" s="140"/>
    </row>
    <row r="20" spans="1:30" ht="15.75" x14ac:dyDescent="0.25">
      <c r="B20" s="140"/>
      <c r="C20" s="152" t="s">
        <v>461</v>
      </c>
      <c r="D20" s="141"/>
      <c r="E20" s="141"/>
      <c r="G20" s="254">
        <f>(1+($F$21/(1-$F$21)))*(1+$J21)</f>
        <v>1.6741405082212257</v>
      </c>
      <c r="H20" s="10"/>
      <c r="I20" s="159"/>
      <c r="J20" s="159"/>
      <c r="K20" s="159"/>
      <c r="L20" s="10"/>
      <c r="M20" s="159"/>
      <c r="N20" s="159"/>
      <c r="O20" s="159"/>
      <c r="P20" s="10"/>
      <c r="Q20" s="159"/>
      <c r="R20" s="159"/>
      <c r="S20" s="159"/>
      <c r="U20" s="159"/>
      <c r="V20" s="159"/>
      <c r="W20" s="159"/>
      <c r="Y20" s="140"/>
      <c r="Z20" s="159"/>
      <c r="AA20" s="159"/>
      <c r="AB20" s="159"/>
      <c r="AD20" s="140"/>
    </row>
    <row r="21" spans="1:30" ht="15.75" x14ac:dyDescent="0.25">
      <c r="B21" s="140"/>
      <c r="C21" s="152" t="s">
        <v>517</v>
      </c>
      <c r="F21" s="252">
        <v>0.33100000000000002</v>
      </c>
      <c r="G21" s="152" t="s">
        <v>518</v>
      </c>
      <c r="H21" s="10"/>
      <c r="I21" s="159"/>
      <c r="J21" s="253">
        <v>0.12</v>
      </c>
      <c r="L21" s="10"/>
      <c r="M21" s="159"/>
      <c r="N21" s="159"/>
      <c r="O21" s="159"/>
      <c r="P21" s="10"/>
      <c r="Q21" s="159"/>
      <c r="R21" s="159"/>
      <c r="S21" s="159"/>
      <c r="U21" s="159"/>
      <c r="V21" s="159"/>
      <c r="W21" s="159"/>
      <c r="Y21" s="140"/>
      <c r="Z21" s="159"/>
      <c r="AA21" s="159"/>
      <c r="AB21" s="159"/>
      <c r="AD21" s="140"/>
    </row>
    <row r="22" spans="1:30" ht="15.75" x14ac:dyDescent="0.25">
      <c r="B22" s="140"/>
      <c r="C22" s="259" t="s">
        <v>573</v>
      </c>
      <c r="E22" s="159"/>
      <c r="F22" s="159"/>
      <c r="G22" s="159"/>
      <c r="H22" s="10"/>
      <c r="I22" s="159"/>
      <c r="J22" s="159"/>
      <c r="K22" s="159"/>
      <c r="L22" s="10"/>
      <c r="M22" s="159"/>
      <c r="N22" s="159"/>
      <c r="O22" s="159"/>
      <c r="P22" s="10"/>
      <c r="Q22" s="159"/>
      <c r="R22" s="159"/>
      <c r="S22" s="159"/>
      <c r="U22" s="159"/>
      <c r="V22" s="159"/>
      <c r="W22" s="159"/>
      <c r="Y22" s="140"/>
      <c r="Z22" s="159"/>
      <c r="AA22" s="159"/>
      <c r="AB22" s="159"/>
      <c r="AD22" s="140"/>
    </row>
    <row r="23" spans="1:30" ht="12.75" x14ac:dyDescent="0.2">
      <c r="B23" s="142"/>
      <c r="D23" s="141"/>
      <c r="E23" s="141"/>
      <c r="F23" s="141"/>
      <c r="G23" s="141"/>
      <c r="H23" s="141"/>
      <c r="I23" s="141"/>
      <c r="J23" s="141"/>
      <c r="K23" s="141"/>
      <c r="L23" s="141"/>
      <c r="M23" s="141"/>
      <c r="N23" s="141"/>
      <c r="O23" s="141"/>
      <c r="P23" s="141"/>
      <c r="Q23" s="141"/>
      <c r="R23" s="141"/>
      <c r="S23" s="141"/>
      <c r="T23" s="141"/>
    </row>
    <row r="24" spans="1:30" ht="12.75" x14ac:dyDescent="0.2">
      <c r="M24" s="141"/>
      <c r="N24" s="141"/>
      <c r="O24" s="141"/>
      <c r="P24" s="141"/>
      <c r="Q24" s="141"/>
      <c r="R24" s="141"/>
      <c r="S24" s="141"/>
      <c r="T24" s="141"/>
    </row>
    <row r="25" spans="1:30" ht="19.5" x14ac:dyDescent="0.35">
      <c r="A25" s="150" t="s">
        <v>451</v>
      </c>
      <c r="D25" s="141"/>
      <c r="E25" s="141"/>
      <c r="F25" s="141"/>
      <c r="G25" s="141"/>
      <c r="H25" s="141"/>
      <c r="I25" s="339" t="s">
        <v>458</v>
      </c>
      <c r="K25" s="141"/>
      <c r="L25" s="141"/>
    </row>
    <row r="27" spans="1:30" ht="12.75" x14ac:dyDescent="0.2">
      <c r="E27" s="142" t="s">
        <v>442</v>
      </c>
      <c r="I27" s="142" t="s">
        <v>441</v>
      </c>
      <c r="M27" s="142" t="s">
        <v>443</v>
      </c>
      <c r="Q27" s="142" t="s">
        <v>444</v>
      </c>
    </row>
    <row r="28" spans="1:30" ht="12.75" x14ac:dyDescent="0.2">
      <c r="E28" s="142" t="s">
        <v>445</v>
      </c>
      <c r="I28" s="142" t="s">
        <v>446</v>
      </c>
      <c r="M28" s="142" t="s">
        <v>462</v>
      </c>
      <c r="Q28" s="142" t="s">
        <v>448</v>
      </c>
    </row>
    <row r="29" spans="1:30" ht="12.75" x14ac:dyDescent="0.2">
      <c r="E29" s="142" t="s">
        <v>455</v>
      </c>
      <c r="I29" s="142" t="s">
        <v>454</v>
      </c>
      <c r="M29" s="157" t="s">
        <v>463</v>
      </c>
      <c r="Q29" s="142" t="s">
        <v>453</v>
      </c>
    </row>
    <row r="30" spans="1:30" ht="15.75" x14ac:dyDescent="0.25">
      <c r="B30" s="140" t="s">
        <v>440</v>
      </c>
      <c r="E30" s="687" t="s">
        <v>439</v>
      </c>
      <c r="F30" s="688"/>
      <c r="G30" s="689"/>
      <c r="H30" s="10"/>
      <c r="I30" s="687" t="s">
        <v>439</v>
      </c>
      <c r="J30" s="688"/>
      <c r="K30" s="689"/>
      <c r="L30" s="10"/>
      <c r="M30" s="687" t="s">
        <v>439</v>
      </c>
      <c r="N30" s="688"/>
      <c r="O30" s="689"/>
      <c r="P30" s="10"/>
      <c r="Q30" s="687" t="s">
        <v>439</v>
      </c>
      <c r="R30" s="688"/>
      <c r="S30" s="689"/>
    </row>
    <row r="31" spans="1:30" ht="25.5" x14ac:dyDescent="0.25">
      <c r="B31" s="140" t="s">
        <v>435</v>
      </c>
      <c r="E31" s="143" t="s">
        <v>436</v>
      </c>
      <c r="F31" s="143" t="s">
        <v>437</v>
      </c>
      <c r="G31" s="143" t="s">
        <v>438</v>
      </c>
      <c r="H31" s="10"/>
      <c r="I31" s="143" t="s">
        <v>436</v>
      </c>
      <c r="J31" s="143" t="s">
        <v>437</v>
      </c>
      <c r="K31" s="143" t="s">
        <v>438</v>
      </c>
      <c r="L31" s="10"/>
      <c r="M31" s="143" t="s">
        <v>436</v>
      </c>
      <c r="N31" s="143" t="s">
        <v>437</v>
      </c>
      <c r="O31" s="143" t="s">
        <v>438</v>
      </c>
      <c r="P31" s="10"/>
      <c r="Q31" s="143" t="s">
        <v>436</v>
      </c>
      <c r="R31" s="143" t="s">
        <v>437</v>
      </c>
      <c r="S31" s="143" t="s">
        <v>438</v>
      </c>
    </row>
    <row r="32" spans="1:30" ht="12.75" x14ac:dyDescent="0.2">
      <c r="B32" s="142"/>
      <c r="D32" s="141"/>
      <c r="E32" s="141"/>
      <c r="F32" s="141"/>
      <c r="G32" s="141"/>
      <c r="H32" s="141"/>
      <c r="I32" s="141"/>
      <c r="J32" s="141"/>
      <c r="K32" s="141"/>
      <c r="L32" s="141"/>
      <c r="M32" s="141"/>
      <c r="N32" s="141"/>
      <c r="O32" s="141"/>
      <c r="P32" s="141"/>
      <c r="Q32" s="141"/>
      <c r="R32" s="141"/>
      <c r="S32" s="141"/>
      <c r="T32" s="141"/>
    </row>
    <row r="33" spans="1:20" ht="12.75" x14ac:dyDescent="0.2">
      <c r="B33" s="146" t="s">
        <v>449</v>
      </c>
      <c r="C33" s="148"/>
      <c r="D33" s="141"/>
      <c r="E33" s="144"/>
      <c r="F33" s="144">
        <v>49.71</v>
      </c>
      <c r="G33" s="145"/>
      <c r="H33" s="141"/>
      <c r="I33" s="144"/>
      <c r="J33" s="144">
        <v>48.35</v>
      </c>
      <c r="K33" s="149"/>
      <c r="L33" s="141"/>
      <c r="M33" s="144"/>
      <c r="N33" s="144">
        <v>28.36</v>
      </c>
      <c r="O33" s="145"/>
      <c r="P33" s="141"/>
      <c r="Q33" s="144"/>
      <c r="R33" s="144">
        <v>18.91</v>
      </c>
      <c r="S33" s="145"/>
      <c r="T33" s="141"/>
    </row>
    <row r="34" spans="1:20" ht="12.75" x14ac:dyDescent="0.2">
      <c r="B34" s="142"/>
      <c r="C34" s="142" t="s">
        <v>459</v>
      </c>
      <c r="D34" s="141"/>
      <c r="E34" s="144"/>
      <c r="F34" s="237">
        <f>F33*$G$35</f>
        <v>84.870731707317077</v>
      </c>
      <c r="G34" s="238"/>
      <c r="H34" s="239"/>
      <c r="I34" s="240"/>
      <c r="J34" s="237">
        <f>J33*$G$35</f>
        <v>82.548780487804891</v>
      </c>
      <c r="K34" s="238"/>
      <c r="L34" s="239"/>
      <c r="M34" s="240"/>
      <c r="N34" s="237">
        <f>N33*$G$35</f>
        <v>48.419512195121953</v>
      </c>
      <c r="O34" s="238"/>
      <c r="P34" s="239"/>
      <c r="Q34" s="240"/>
      <c r="R34" s="237">
        <f>R33*$G$35</f>
        <v>32.28536585365854</v>
      </c>
      <c r="S34" s="238"/>
      <c r="T34" s="141"/>
    </row>
    <row r="35" spans="1:20" ht="15.75" x14ac:dyDescent="0.25">
      <c r="B35" s="142"/>
      <c r="C35" s="152" t="s">
        <v>461</v>
      </c>
      <c r="D35" s="141"/>
      <c r="E35" s="141"/>
      <c r="G35" s="254">
        <f>(1+($F$36/(1-$F$36)))*(1+$J36)</f>
        <v>1.7073170731707319</v>
      </c>
      <c r="H35" s="10"/>
      <c r="I35" s="159"/>
      <c r="J35" s="159"/>
      <c r="K35" s="145"/>
      <c r="L35" s="141"/>
      <c r="M35" s="144"/>
      <c r="N35" s="151"/>
      <c r="O35" s="145"/>
      <c r="P35" s="141"/>
      <c r="Q35" s="144"/>
      <c r="R35" s="151"/>
      <c r="S35" s="145"/>
      <c r="T35" s="141"/>
    </row>
    <row r="36" spans="1:20" ht="15.75" x14ac:dyDescent="0.25">
      <c r="B36" s="142"/>
      <c r="C36" s="152" t="s">
        <v>517</v>
      </c>
      <c r="F36" s="252">
        <v>0.34399999999999997</v>
      </c>
      <c r="G36" s="152" t="s">
        <v>518</v>
      </c>
      <c r="H36" s="10"/>
      <c r="I36" s="159"/>
      <c r="J36" s="253">
        <v>0.12</v>
      </c>
      <c r="K36" s="141"/>
      <c r="L36" s="141"/>
      <c r="M36" s="142"/>
      <c r="N36" s="154"/>
      <c r="O36" s="141"/>
      <c r="P36" s="141"/>
      <c r="Q36" s="141"/>
      <c r="R36" s="154"/>
      <c r="S36" s="145"/>
      <c r="T36" s="141"/>
    </row>
    <row r="37" spans="1:20" ht="12.75" x14ac:dyDescent="0.2">
      <c r="B37" s="142"/>
      <c r="C37" s="259" t="s">
        <v>573</v>
      </c>
      <c r="D37" s="141"/>
      <c r="E37" s="144"/>
      <c r="G37" s="145"/>
      <c r="H37" s="141"/>
      <c r="I37" s="144"/>
      <c r="J37" s="151"/>
      <c r="K37" s="145"/>
      <c r="L37" s="141"/>
      <c r="M37" s="157"/>
      <c r="N37" s="151"/>
      <c r="O37" s="145"/>
      <c r="P37" s="141"/>
      <c r="Q37" s="144"/>
      <c r="R37" s="151"/>
      <c r="S37" s="145"/>
      <c r="T37" s="141"/>
    </row>
    <row r="38" spans="1:20" ht="12.75" x14ac:dyDescent="0.2">
      <c r="B38" s="142"/>
      <c r="D38" s="141"/>
      <c r="E38" s="141"/>
      <c r="F38" s="141"/>
      <c r="G38" s="141"/>
      <c r="H38" s="141"/>
      <c r="I38" s="141"/>
      <c r="J38" s="141"/>
      <c r="K38" s="141"/>
      <c r="L38" s="141"/>
      <c r="M38" s="144"/>
      <c r="O38" s="145"/>
      <c r="P38" s="141"/>
      <c r="Q38" s="141"/>
      <c r="R38" s="141"/>
      <c r="S38" s="141"/>
      <c r="T38" s="141"/>
    </row>
    <row r="39" spans="1:20" ht="12.75" x14ac:dyDescent="0.2">
      <c r="C39" s="141"/>
      <c r="D39" s="141"/>
      <c r="E39" s="141"/>
      <c r="F39" s="141"/>
      <c r="G39" s="141"/>
      <c r="H39" s="141"/>
      <c r="I39" s="141"/>
      <c r="J39" s="141"/>
      <c r="K39" s="141"/>
      <c r="L39" s="141"/>
      <c r="M39" s="144"/>
      <c r="O39" s="145"/>
      <c r="P39" s="141"/>
      <c r="Q39" s="141"/>
      <c r="R39" s="141"/>
      <c r="S39" s="141"/>
      <c r="T39" s="141"/>
    </row>
    <row r="40" spans="1:20" ht="12.75" x14ac:dyDescent="0.2">
      <c r="C40" s="141"/>
      <c r="D40" s="141"/>
      <c r="E40" s="141"/>
      <c r="F40" s="141"/>
      <c r="G40" s="141"/>
      <c r="H40" s="141"/>
      <c r="I40" s="141"/>
      <c r="J40" s="141"/>
      <c r="K40" s="141"/>
      <c r="L40" s="141"/>
      <c r="M40" s="141"/>
      <c r="N40" s="141"/>
      <c r="O40" s="141"/>
      <c r="P40" s="141"/>
      <c r="Q40" s="141"/>
      <c r="R40" s="141"/>
      <c r="S40" s="141"/>
      <c r="T40" s="141"/>
    </row>
    <row r="41" spans="1:20" ht="15.75" x14ac:dyDescent="0.25">
      <c r="A41" s="153"/>
      <c r="B41" s="236" t="s">
        <v>452</v>
      </c>
      <c r="C41" s="141"/>
      <c r="D41" s="141"/>
      <c r="E41" s="141"/>
      <c r="F41" s="141"/>
      <c r="G41" s="141"/>
      <c r="H41" s="141"/>
      <c r="I41" s="141"/>
      <c r="J41" s="141"/>
      <c r="K41" s="141"/>
      <c r="L41" s="141"/>
      <c r="M41" s="141"/>
      <c r="N41" s="141"/>
      <c r="O41" s="141"/>
      <c r="P41" s="141"/>
      <c r="Q41" s="141"/>
      <c r="R41" s="141"/>
      <c r="S41" s="141"/>
      <c r="T41" s="141"/>
    </row>
    <row r="42" spans="1:20" ht="12.75" x14ac:dyDescent="0.2">
      <c r="B42" s="141"/>
      <c r="C42" s="340" t="s">
        <v>598</v>
      </c>
      <c r="D42" s="141"/>
      <c r="E42" s="141"/>
      <c r="F42" s="141"/>
      <c r="G42" s="141"/>
      <c r="H42" s="141"/>
      <c r="I42" s="141"/>
      <c r="J42" s="141"/>
      <c r="K42" s="141"/>
      <c r="L42" s="141"/>
      <c r="M42" s="141"/>
      <c r="N42" s="141"/>
      <c r="O42" s="141"/>
      <c r="P42" s="141"/>
      <c r="Q42" s="141"/>
      <c r="R42" s="141"/>
      <c r="S42" s="141"/>
      <c r="T42" s="141"/>
    </row>
    <row r="43" spans="1:20" ht="15.75" x14ac:dyDescent="0.25">
      <c r="B43" s="140" t="s">
        <v>526</v>
      </c>
      <c r="C43" s="141"/>
      <c r="D43" s="141"/>
      <c r="E43" s="141"/>
      <c r="F43" s="141"/>
      <c r="G43" s="141"/>
      <c r="H43" s="141"/>
      <c r="I43" s="141"/>
      <c r="J43" s="141"/>
      <c r="K43" s="141"/>
      <c r="L43" s="141"/>
      <c r="M43" s="141"/>
      <c r="N43" s="141"/>
      <c r="O43" s="141"/>
      <c r="P43" s="141"/>
      <c r="Q43" s="141"/>
      <c r="R43" s="141"/>
      <c r="S43" s="141"/>
      <c r="T43" s="141"/>
    </row>
    <row r="44" spans="1:20" ht="12.75" x14ac:dyDescent="0.2">
      <c r="B44" s="255" t="s">
        <v>519</v>
      </c>
      <c r="C44" s="212" t="s">
        <v>523</v>
      </c>
      <c r="D44" s="141"/>
      <c r="E44" s="141"/>
      <c r="F44" s="141"/>
      <c r="G44" s="141"/>
      <c r="H44" s="141"/>
      <c r="I44" s="141"/>
      <c r="J44" s="141"/>
      <c r="K44" s="141"/>
      <c r="L44" s="141"/>
      <c r="M44" s="141"/>
      <c r="N44" s="141"/>
      <c r="O44" s="141"/>
      <c r="P44" s="141"/>
      <c r="Q44" s="141"/>
      <c r="R44" s="141"/>
      <c r="S44" s="141"/>
      <c r="T44" s="141"/>
    </row>
    <row r="45" spans="1:20" ht="12.75" x14ac:dyDescent="0.2">
      <c r="C45" s="141" t="s">
        <v>524</v>
      </c>
      <c r="D45" s="141"/>
      <c r="E45" s="141"/>
      <c r="F45" s="141"/>
      <c r="G45" s="141"/>
      <c r="H45" s="141"/>
      <c r="I45" s="141"/>
      <c r="J45" s="141"/>
      <c r="K45" s="141"/>
      <c r="L45" s="141"/>
      <c r="M45" s="141"/>
      <c r="N45" s="141"/>
      <c r="O45" s="141"/>
      <c r="P45" s="141"/>
      <c r="Q45" s="141"/>
      <c r="R45" s="141"/>
      <c r="S45" s="141"/>
      <c r="T45" s="141"/>
    </row>
    <row r="46" spans="1:20" ht="12.75" x14ac:dyDescent="0.2">
      <c r="B46" s="255" t="s">
        <v>520</v>
      </c>
      <c r="C46" s="212" t="s">
        <v>521</v>
      </c>
      <c r="D46" s="141"/>
      <c r="E46" s="141"/>
      <c r="F46" s="141"/>
      <c r="G46" s="141"/>
      <c r="H46" s="141"/>
      <c r="I46" s="141"/>
      <c r="J46" s="141"/>
      <c r="K46" s="141"/>
      <c r="L46" s="141"/>
      <c r="M46" s="141"/>
      <c r="N46" s="141"/>
      <c r="O46" s="141"/>
      <c r="P46" s="141"/>
      <c r="Q46" s="141"/>
      <c r="R46" s="141"/>
      <c r="S46" s="141"/>
      <c r="T46" s="141"/>
    </row>
    <row r="47" spans="1:20" ht="12.75" x14ac:dyDescent="0.2">
      <c r="C47" s="141" t="s">
        <v>522</v>
      </c>
      <c r="D47" s="141"/>
      <c r="E47" s="141"/>
      <c r="F47" s="141"/>
      <c r="G47" s="141"/>
      <c r="H47" s="141"/>
      <c r="I47" s="141"/>
      <c r="J47" s="141"/>
      <c r="K47" s="141"/>
      <c r="L47" s="141"/>
      <c r="M47" s="141"/>
      <c r="N47" s="141"/>
      <c r="O47" s="141"/>
      <c r="P47" s="141"/>
      <c r="Q47" s="141"/>
      <c r="R47" s="141"/>
      <c r="S47" s="141"/>
      <c r="T47" s="141"/>
    </row>
    <row r="48" spans="1:20" ht="15.75" x14ac:dyDescent="0.25">
      <c r="B48" s="140" t="s">
        <v>527</v>
      </c>
      <c r="G48" s="141"/>
      <c r="H48" s="141"/>
      <c r="I48" s="141"/>
      <c r="J48" s="141"/>
      <c r="K48" s="141"/>
      <c r="L48" s="141"/>
      <c r="M48" s="141"/>
      <c r="N48" s="141"/>
      <c r="O48" s="141"/>
      <c r="P48" s="141"/>
      <c r="Q48" s="141"/>
      <c r="R48" s="141"/>
      <c r="S48" s="141"/>
      <c r="T48" s="141"/>
    </row>
    <row r="49" spans="1:30" ht="12.75" x14ac:dyDescent="0.2">
      <c r="B49" s="255" t="s">
        <v>519</v>
      </c>
      <c r="C49" s="212" t="s">
        <v>525</v>
      </c>
      <c r="G49" s="141"/>
      <c r="H49" s="141"/>
      <c r="I49" s="141"/>
      <c r="J49" s="141"/>
      <c r="K49" s="141"/>
      <c r="L49" s="141"/>
      <c r="M49" s="141"/>
      <c r="N49" s="141"/>
      <c r="O49" s="141"/>
      <c r="P49" s="141"/>
      <c r="Q49" s="141"/>
      <c r="R49" s="141"/>
      <c r="S49" s="141"/>
      <c r="T49" s="141"/>
    </row>
    <row r="50" spans="1:30" ht="12.75" x14ac:dyDescent="0.2">
      <c r="C50" s="141" t="s">
        <v>524</v>
      </c>
      <c r="D50" s="141"/>
      <c r="E50" s="141"/>
      <c r="F50" s="141"/>
      <c r="G50" s="141"/>
      <c r="H50" s="141"/>
      <c r="I50" s="141"/>
      <c r="J50" s="141"/>
      <c r="K50" s="141"/>
      <c r="L50" s="141"/>
      <c r="M50" s="141"/>
      <c r="N50" s="141"/>
      <c r="O50" s="141"/>
      <c r="P50" s="141"/>
      <c r="Q50" s="141"/>
      <c r="R50" s="141"/>
      <c r="S50" s="141"/>
      <c r="T50" s="141"/>
    </row>
    <row r="51" spans="1:30" ht="12.75" x14ac:dyDescent="0.2">
      <c r="B51" s="255" t="s">
        <v>520</v>
      </c>
      <c r="C51" s="212" t="s">
        <v>528</v>
      </c>
      <c r="D51" s="141"/>
      <c r="E51" s="141"/>
      <c r="F51" s="141"/>
      <c r="G51" s="141"/>
      <c r="H51" s="141"/>
      <c r="I51" s="141"/>
      <c r="J51" s="141"/>
      <c r="K51" s="141"/>
      <c r="L51" s="141"/>
      <c r="M51" s="141"/>
      <c r="N51" s="141"/>
      <c r="O51" s="141"/>
      <c r="P51" s="141"/>
      <c r="Q51" s="141"/>
      <c r="R51" s="141"/>
      <c r="S51" s="141"/>
      <c r="T51" s="141"/>
    </row>
    <row r="52" spans="1:30" ht="12.75" x14ac:dyDescent="0.2">
      <c r="C52" s="141" t="s">
        <v>522</v>
      </c>
      <c r="D52" s="141"/>
      <c r="E52" s="141"/>
      <c r="F52" s="141"/>
      <c r="G52" s="141"/>
      <c r="H52" s="141"/>
      <c r="I52" s="141"/>
      <c r="J52" s="141"/>
      <c r="K52" s="141"/>
      <c r="L52" s="141"/>
      <c r="M52" s="141"/>
      <c r="N52" s="141"/>
      <c r="O52" s="141"/>
      <c r="P52" s="141"/>
      <c r="Q52" s="141"/>
      <c r="R52" s="141"/>
      <c r="S52" s="141"/>
      <c r="T52" s="141"/>
    </row>
    <row r="53" spans="1:30" ht="12.75" x14ac:dyDescent="0.2">
      <c r="C53" s="141"/>
      <c r="D53" s="141"/>
      <c r="E53" s="141"/>
      <c r="F53" s="141"/>
      <c r="G53" s="141"/>
      <c r="H53" s="141"/>
      <c r="I53" s="141"/>
      <c r="J53" s="141"/>
      <c r="K53" s="141"/>
      <c r="L53" s="141"/>
      <c r="M53" s="141"/>
      <c r="N53" s="141"/>
      <c r="O53" s="141"/>
      <c r="P53" s="141"/>
      <c r="Q53" s="141"/>
      <c r="R53" s="141"/>
      <c r="S53" s="141"/>
      <c r="T53" s="141"/>
    </row>
    <row r="54" spans="1:30" ht="12.75" x14ac:dyDescent="0.2">
      <c r="C54" s="141"/>
      <c r="D54" s="141"/>
      <c r="E54" s="141"/>
      <c r="F54" s="141"/>
      <c r="G54" s="141"/>
      <c r="H54" s="141"/>
      <c r="I54" s="141"/>
      <c r="J54" s="141"/>
      <c r="K54" s="141"/>
      <c r="L54" s="141"/>
      <c r="M54" s="141"/>
      <c r="N54" s="141"/>
      <c r="O54" s="141"/>
      <c r="P54" s="141"/>
      <c r="Q54" s="141"/>
      <c r="R54" s="141"/>
      <c r="S54" s="141"/>
      <c r="T54" s="141"/>
    </row>
    <row r="58" spans="1:30" ht="19.5" x14ac:dyDescent="0.35">
      <c r="A58" s="315"/>
      <c r="B58" s="192"/>
      <c r="C58" s="192"/>
    </row>
    <row r="60" spans="1:30" ht="15.75" x14ac:dyDescent="0.25">
      <c r="B60" s="191"/>
      <c r="C60" s="192"/>
      <c r="D60" s="193"/>
      <c r="E60" s="193"/>
      <c r="F60" s="193"/>
      <c r="G60" s="193"/>
      <c r="H60" s="193"/>
      <c r="I60" s="193"/>
      <c r="J60" s="193"/>
      <c r="K60" s="193"/>
      <c r="L60" s="193"/>
      <c r="M60" s="193"/>
      <c r="N60" s="193"/>
      <c r="O60" s="193"/>
      <c r="P60" s="193"/>
      <c r="Q60" s="193"/>
      <c r="R60" s="193"/>
      <c r="S60" s="193"/>
      <c r="T60" s="193"/>
      <c r="U60" s="193"/>
      <c r="V60" s="193"/>
      <c r="W60" s="193"/>
      <c r="X60" s="192"/>
      <c r="Y60" s="193"/>
      <c r="Z60" s="192"/>
      <c r="AA60" s="192"/>
      <c r="AB60" s="192"/>
    </row>
    <row r="61" spans="1:30" ht="12.75" x14ac:dyDescent="0.2">
      <c r="B61" s="194"/>
      <c r="C61" s="192"/>
      <c r="D61" s="193"/>
      <c r="E61" s="195"/>
      <c r="F61" s="195"/>
      <c r="G61" s="195"/>
      <c r="H61" s="193"/>
      <c r="I61" s="196"/>
      <c r="J61" s="196"/>
      <c r="K61" s="197"/>
      <c r="L61" s="193"/>
      <c r="M61" s="195"/>
      <c r="N61" s="195"/>
      <c r="O61" s="195"/>
      <c r="P61" s="193"/>
      <c r="Q61" s="196"/>
      <c r="R61" s="196"/>
      <c r="S61" s="197"/>
      <c r="T61" s="193"/>
      <c r="U61" s="195"/>
      <c r="V61" s="195"/>
      <c r="W61" s="195"/>
      <c r="X61" s="192"/>
      <c r="Y61" s="194"/>
      <c r="Z61" s="196"/>
      <c r="AA61" s="196"/>
      <c r="AB61" s="197"/>
      <c r="AC61" s="141"/>
      <c r="AD61" s="141"/>
    </row>
    <row r="62" spans="1:30" ht="12.75" x14ac:dyDescent="0.2">
      <c r="B62" s="194"/>
      <c r="C62" s="192"/>
      <c r="D62" s="193"/>
      <c r="E62" s="196"/>
      <c r="F62" s="196"/>
      <c r="G62" s="197"/>
      <c r="H62" s="193"/>
      <c r="I62" s="196"/>
      <c r="J62" s="196"/>
      <c r="K62" s="197"/>
      <c r="L62" s="193"/>
      <c r="M62" s="196"/>
      <c r="N62" s="196"/>
      <c r="O62" s="197"/>
      <c r="P62" s="193"/>
      <c r="Q62" s="196"/>
      <c r="R62" s="196"/>
      <c r="S62" s="197"/>
      <c r="T62" s="193"/>
      <c r="U62" s="196"/>
      <c r="V62" s="196"/>
      <c r="W62" s="197"/>
      <c r="X62" s="192"/>
      <c r="Y62" s="194"/>
      <c r="Z62" s="196"/>
      <c r="AA62" s="196"/>
      <c r="AB62" s="197"/>
      <c r="AC62" s="141"/>
      <c r="AD62" s="141"/>
    </row>
    <row r="63" spans="1:30" ht="12.75" x14ac:dyDescent="0.2">
      <c r="B63" s="198"/>
      <c r="C63" s="192"/>
      <c r="D63" s="193"/>
      <c r="E63" s="196"/>
      <c r="F63" s="196"/>
      <c r="G63" s="197"/>
      <c r="H63" s="193"/>
      <c r="I63" s="196"/>
      <c r="J63" s="196"/>
      <c r="K63" s="197"/>
      <c r="L63" s="193"/>
      <c r="M63" s="196"/>
      <c r="N63" s="196"/>
      <c r="O63" s="197"/>
      <c r="P63" s="193"/>
      <c r="Q63" s="196"/>
      <c r="R63" s="196"/>
      <c r="S63" s="197"/>
      <c r="T63" s="193"/>
      <c r="U63" s="196"/>
      <c r="V63" s="196"/>
      <c r="W63" s="197"/>
      <c r="X63" s="192"/>
      <c r="Y63" s="198"/>
      <c r="Z63" s="196"/>
      <c r="AA63" s="196"/>
      <c r="AB63" s="197"/>
      <c r="AC63" s="141"/>
      <c r="AD63" s="141"/>
    </row>
    <row r="64" spans="1:30" ht="12.75" x14ac:dyDescent="0.2">
      <c r="B64" s="194"/>
      <c r="C64" s="192"/>
      <c r="D64" s="193"/>
      <c r="E64" s="196"/>
      <c r="F64" s="196"/>
      <c r="G64" s="197"/>
      <c r="H64" s="193"/>
      <c r="I64" s="196"/>
      <c r="J64" s="196"/>
      <c r="K64" s="197"/>
      <c r="L64" s="193"/>
      <c r="M64" s="196"/>
      <c r="N64" s="196"/>
      <c r="O64" s="197"/>
      <c r="P64" s="193"/>
      <c r="Q64" s="196"/>
      <c r="R64" s="196"/>
      <c r="S64" s="197"/>
      <c r="T64" s="193"/>
      <c r="U64" s="196"/>
      <c r="V64" s="196"/>
      <c r="W64" s="197"/>
      <c r="X64" s="192"/>
      <c r="Y64" s="194"/>
      <c r="Z64" s="196"/>
      <c r="AA64" s="196"/>
      <c r="AB64" s="197"/>
      <c r="AC64" s="141"/>
      <c r="AD64" s="141"/>
    </row>
    <row r="65" spans="2:30" ht="12.75" x14ac:dyDescent="0.2">
      <c r="B65" s="194"/>
      <c r="C65" s="192"/>
      <c r="D65" s="193"/>
      <c r="E65" s="196"/>
      <c r="F65" s="196"/>
      <c r="G65" s="197"/>
      <c r="H65" s="193"/>
      <c r="I65" s="196"/>
      <c r="J65" s="196"/>
      <c r="K65" s="197"/>
      <c r="L65" s="193"/>
      <c r="M65" s="196"/>
      <c r="N65" s="196"/>
      <c r="O65" s="197"/>
      <c r="P65" s="193"/>
      <c r="Q65" s="196"/>
      <c r="R65" s="196"/>
      <c r="S65" s="197"/>
      <c r="T65" s="193"/>
      <c r="U65" s="196"/>
      <c r="V65" s="196"/>
      <c r="W65" s="197"/>
      <c r="X65" s="192"/>
      <c r="Y65" s="194"/>
      <c r="Z65" s="196"/>
      <c r="AA65" s="196"/>
      <c r="AB65" s="197"/>
      <c r="AC65" s="141"/>
      <c r="AD65" s="141"/>
    </row>
    <row r="66" spans="2:30" ht="12.75" x14ac:dyDescent="0.2">
      <c r="B66" s="194"/>
      <c r="C66" s="192"/>
      <c r="D66" s="193"/>
      <c r="E66" s="196"/>
      <c r="F66" s="196"/>
      <c r="G66" s="197"/>
      <c r="H66" s="193"/>
      <c r="I66" s="196"/>
      <c r="J66" s="196"/>
      <c r="K66" s="197"/>
      <c r="L66" s="193"/>
      <c r="M66" s="196"/>
      <c r="N66" s="196"/>
      <c r="O66" s="197"/>
      <c r="P66" s="193"/>
      <c r="Q66" s="196"/>
      <c r="R66" s="196"/>
      <c r="S66" s="197"/>
      <c r="T66" s="193"/>
      <c r="U66" s="196"/>
      <c r="V66" s="196"/>
      <c r="W66" s="197"/>
      <c r="X66" s="192"/>
      <c r="Y66" s="194"/>
      <c r="Z66" s="196"/>
      <c r="AA66" s="196"/>
      <c r="AB66" s="197"/>
      <c r="AC66" s="141"/>
      <c r="AD66" s="141"/>
    </row>
    <row r="67" spans="2:30" ht="12.75" x14ac:dyDescent="0.2">
      <c r="B67" s="194"/>
      <c r="C67" s="192"/>
      <c r="D67" s="193"/>
      <c r="E67" s="196"/>
      <c r="F67" s="196"/>
      <c r="G67" s="197"/>
      <c r="H67" s="193"/>
      <c r="I67" s="196"/>
      <c r="J67" s="196"/>
      <c r="K67" s="197"/>
      <c r="L67" s="193"/>
      <c r="M67" s="195"/>
      <c r="N67" s="195"/>
      <c r="O67" s="195"/>
      <c r="P67" s="193"/>
      <c r="Q67" s="196"/>
      <c r="R67" s="196"/>
      <c r="S67" s="197"/>
      <c r="T67" s="193"/>
      <c r="U67" s="195"/>
      <c r="V67" s="195"/>
      <c r="W67" s="195"/>
      <c r="X67" s="192"/>
      <c r="Y67" s="194"/>
      <c r="Z67" s="196"/>
      <c r="AA67" s="196"/>
      <c r="AB67" s="197"/>
      <c r="AC67" s="141"/>
      <c r="AD67" s="141"/>
    </row>
    <row r="68" spans="2:30" ht="12.75" x14ac:dyDescent="0.2">
      <c r="B68" s="199"/>
      <c r="C68" s="192"/>
      <c r="D68" s="193"/>
      <c r="E68" s="196"/>
      <c r="F68" s="196"/>
      <c r="G68" s="197"/>
      <c r="H68" s="193"/>
      <c r="I68" s="196"/>
      <c r="J68" s="196"/>
      <c r="K68" s="197"/>
      <c r="L68" s="193"/>
      <c r="M68" s="196"/>
      <c r="N68" s="196"/>
      <c r="O68" s="197"/>
      <c r="P68" s="193"/>
      <c r="Q68" s="196"/>
      <c r="R68" s="196"/>
      <c r="S68" s="197"/>
      <c r="T68" s="193"/>
      <c r="U68" s="196"/>
      <c r="V68" s="196"/>
      <c r="W68" s="197"/>
      <c r="X68" s="192"/>
      <c r="Y68" s="199"/>
      <c r="Z68" s="195"/>
      <c r="AA68" s="195"/>
      <c r="AB68" s="195"/>
      <c r="AC68" s="141"/>
      <c r="AD68" s="141"/>
    </row>
    <row r="69" spans="2:30" ht="12.75" x14ac:dyDescent="0.2">
      <c r="B69" s="194"/>
      <c r="C69" s="192"/>
      <c r="D69" s="193"/>
      <c r="E69" s="196"/>
      <c r="F69" s="196"/>
      <c r="G69" s="197"/>
      <c r="H69" s="193"/>
      <c r="I69" s="196"/>
      <c r="J69" s="196"/>
      <c r="K69" s="197"/>
      <c r="L69" s="193"/>
      <c r="M69" s="196"/>
      <c r="N69" s="196"/>
      <c r="O69" s="197"/>
      <c r="P69" s="193"/>
      <c r="Q69" s="196"/>
      <c r="R69" s="196"/>
      <c r="S69" s="197"/>
      <c r="T69" s="193"/>
      <c r="U69" s="195"/>
      <c r="V69" s="195"/>
      <c r="W69" s="195"/>
      <c r="X69" s="192"/>
      <c r="Y69" s="194"/>
      <c r="Z69" s="196"/>
      <c r="AA69" s="196"/>
      <c r="AB69" s="197"/>
      <c r="AC69" s="141"/>
      <c r="AD69" s="141"/>
    </row>
    <row r="70" spans="2:30" ht="12.75" x14ac:dyDescent="0.2">
      <c r="B70" s="194"/>
      <c r="C70" s="192"/>
      <c r="D70" s="192"/>
      <c r="E70" s="196"/>
      <c r="F70" s="196"/>
      <c r="G70" s="197"/>
      <c r="H70" s="192"/>
      <c r="I70" s="196"/>
      <c r="J70" s="196"/>
      <c r="K70" s="197"/>
      <c r="L70" s="193"/>
      <c r="M70" s="196"/>
      <c r="N70" s="196"/>
      <c r="O70" s="197"/>
      <c r="P70" s="193"/>
      <c r="Q70" s="196"/>
      <c r="R70" s="196"/>
      <c r="S70" s="197"/>
      <c r="T70" s="193"/>
      <c r="U70" s="195"/>
      <c r="V70" s="195"/>
      <c r="W70" s="195"/>
      <c r="X70" s="192"/>
      <c r="Y70" s="194"/>
      <c r="Z70" s="196"/>
      <c r="AA70" s="196"/>
      <c r="AB70" s="197"/>
      <c r="AC70" s="141"/>
      <c r="AD70" s="141"/>
    </row>
    <row r="71" spans="2:30" ht="12.75" x14ac:dyDescent="0.2">
      <c r="B71" s="194"/>
      <c r="C71" s="192"/>
      <c r="D71" s="193"/>
      <c r="E71" s="196"/>
      <c r="F71" s="196"/>
      <c r="G71" s="197"/>
      <c r="H71" s="193"/>
      <c r="I71" s="196"/>
      <c r="J71" s="196"/>
      <c r="K71" s="197"/>
      <c r="L71" s="193"/>
      <c r="M71" s="195"/>
      <c r="N71" s="195"/>
      <c r="O71" s="195"/>
      <c r="P71" s="193"/>
      <c r="Q71" s="196"/>
      <c r="R71" s="196"/>
      <c r="S71" s="197"/>
      <c r="T71" s="193"/>
      <c r="U71" s="195"/>
      <c r="V71" s="195"/>
      <c r="W71" s="195"/>
      <c r="X71" s="192"/>
      <c r="Y71" s="194"/>
      <c r="Z71" s="196"/>
      <c r="AA71" s="196"/>
      <c r="AB71" s="197"/>
      <c r="AC71" s="141"/>
      <c r="AD71" s="141"/>
    </row>
    <row r="72" spans="2:30" ht="12.75" x14ac:dyDescent="0.2">
      <c r="B72" s="194"/>
      <c r="C72" s="192"/>
      <c r="D72" s="193"/>
      <c r="E72" s="196"/>
      <c r="F72" s="196"/>
      <c r="G72" s="197"/>
      <c r="H72" s="193"/>
      <c r="I72" s="196"/>
      <c r="J72" s="196"/>
      <c r="K72" s="197"/>
      <c r="L72" s="193"/>
      <c r="M72" s="196"/>
      <c r="N72" s="196"/>
      <c r="O72" s="197"/>
      <c r="P72" s="193"/>
      <c r="Q72" s="196"/>
      <c r="R72" s="196"/>
      <c r="S72" s="197"/>
      <c r="T72" s="193"/>
      <c r="U72" s="196"/>
      <c r="V72" s="196"/>
      <c r="W72" s="197"/>
      <c r="X72" s="192"/>
      <c r="Y72" s="194"/>
      <c r="Z72" s="196"/>
      <c r="AA72" s="196"/>
      <c r="AB72" s="197"/>
      <c r="AC72" s="141"/>
      <c r="AD72" s="141"/>
    </row>
    <row r="73" spans="2:30" ht="12.75" x14ac:dyDescent="0.2">
      <c r="B73" s="194"/>
      <c r="C73" s="192"/>
      <c r="D73" s="193"/>
      <c r="E73" s="196"/>
      <c r="F73" s="196"/>
      <c r="G73" s="197"/>
      <c r="H73" s="193"/>
      <c r="I73" s="196"/>
      <c r="J73" s="196"/>
      <c r="K73" s="197"/>
      <c r="L73" s="193"/>
      <c r="M73" s="196"/>
      <c r="N73" s="196"/>
      <c r="O73" s="197"/>
      <c r="P73" s="193"/>
      <c r="Q73" s="196"/>
      <c r="R73" s="196"/>
      <c r="S73" s="197"/>
      <c r="T73" s="193"/>
      <c r="U73" s="196"/>
      <c r="V73" s="196"/>
      <c r="W73" s="197"/>
      <c r="X73" s="192"/>
      <c r="Y73" s="194"/>
      <c r="Z73" s="196"/>
      <c r="AA73" s="196"/>
      <c r="AB73" s="197"/>
      <c r="AC73" s="141"/>
      <c r="AD73" s="141"/>
    </row>
    <row r="74" spans="2:30" ht="12.75" x14ac:dyDescent="0.2">
      <c r="B74" s="194"/>
      <c r="C74" s="192"/>
      <c r="D74" s="193"/>
      <c r="E74" s="196"/>
      <c r="F74" s="196"/>
      <c r="G74" s="197"/>
      <c r="H74" s="193"/>
      <c r="I74" s="196"/>
      <c r="J74" s="196"/>
      <c r="K74" s="197"/>
      <c r="L74" s="193"/>
      <c r="M74" s="196"/>
      <c r="N74" s="196"/>
      <c r="O74" s="197"/>
      <c r="P74" s="193"/>
      <c r="Q74" s="196"/>
      <c r="R74" s="196"/>
      <c r="S74" s="197"/>
      <c r="T74" s="193"/>
      <c r="U74" s="196"/>
      <c r="V74" s="196"/>
      <c r="W74" s="197"/>
      <c r="X74" s="192"/>
      <c r="Y74" s="194"/>
      <c r="Z74" s="196"/>
      <c r="AA74" s="196"/>
      <c r="AB74" s="197"/>
      <c r="AC74" s="141"/>
      <c r="AD74" s="141"/>
    </row>
    <row r="75" spans="2:30" ht="12.75" x14ac:dyDescent="0.2">
      <c r="B75" s="194"/>
      <c r="C75" s="192"/>
      <c r="D75" s="193"/>
      <c r="E75" s="196"/>
      <c r="F75" s="196"/>
      <c r="G75" s="197"/>
      <c r="H75" s="193"/>
      <c r="I75" s="196"/>
      <c r="J75" s="196"/>
      <c r="K75" s="197"/>
      <c r="L75" s="193"/>
      <c r="M75" s="196"/>
      <c r="N75" s="196"/>
      <c r="O75" s="197"/>
      <c r="P75" s="193"/>
      <c r="Q75" s="196"/>
      <c r="R75" s="196"/>
      <c r="S75" s="197"/>
      <c r="T75" s="193"/>
      <c r="U75" s="196"/>
      <c r="V75" s="196"/>
      <c r="W75" s="197"/>
      <c r="X75" s="192"/>
      <c r="Y75" s="194"/>
      <c r="Z75" s="196"/>
      <c r="AA75" s="196"/>
      <c r="AB75" s="197"/>
      <c r="AC75" s="141"/>
      <c r="AD75" s="141"/>
    </row>
    <row r="76" spans="2:30" ht="12.75" x14ac:dyDescent="0.2">
      <c r="B76" s="194"/>
      <c r="C76" s="192"/>
      <c r="D76" s="193"/>
      <c r="E76" s="196"/>
      <c r="F76" s="196"/>
      <c r="G76" s="197"/>
      <c r="H76" s="193"/>
      <c r="I76" s="196"/>
      <c r="J76" s="196"/>
      <c r="K76" s="197"/>
      <c r="L76" s="193"/>
      <c r="M76" s="196"/>
      <c r="N76" s="196"/>
      <c r="O76" s="197"/>
      <c r="P76" s="193"/>
      <c r="Q76" s="196"/>
      <c r="R76" s="196"/>
      <c r="S76" s="197"/>
      <c r="T76" s="193"/>
      <c r="U76" s="196"/>
      <c r="V76" s="196"/>
      <c r="W76" s="197"/>
      <c r="X76" s="192"/>
      <c r="Y76" s="194"/>
      <c r="Z76" s="196"/>
      <c r="AA76" s="196"/>
      <c r="AB76" s="197"/>
      <c r="AC76" s="141"/>
      <c r="AD76" s="141"/>
    </row>
    <row r="77" spans="2:30" ht="12.75" x14ac:dyDescent="0.2">
      <c r="B77" s="194"/>
      <c r="C77" s="192"/>
      <c r="D77" s="193"/>
      <c r="E77" s="196"/>
      <c r="F77" s="196"/>
      <c r="G77" s="197"/>
      <c r="H77" s="193"/>
      <c r="I77" s="196"/>
      <c r="J77" s="196"/>
      <c r="K77" s="197"/>
      <c r="L77" s="193"/>
      <c r="M77" s="195"/>
      <c r="N77" s="195"/>
      <c r="O77" s="195"/>
      <c r="P77" s="193"/>
      <c r="Q77" s="196"/>
      <c r="R77" s="196"/>
      <c r="S77" s="197"/>
      <c r="T77" s="193"/>
      <c r="U77" s="195"/>
      <c r="V77" s="195"/>
      <c r="W77" s="195"/>
      <c r="X77" s="192"/>
      <c r="Y77" s="194"/>
      <c r="Z77" s="195"/>
      <c r="AA77" s="195"/>
      <c r="AB77" s="195"/>
      <c r="AC77" s="141"/>
      <c r="AD77" s="141"/>
    </row>
    <row r="78" spans="2:30" ht="12.75" x14ac:dyDescent="0.2">
      <c r="B78" s="194"/>
      <c r="C78" s="192"/>
      <c r="D78" s="193"/>
      <c r="E78" s="196"/>
      <c r="F78" s="196"/>
      <c r="G78" s="197"/>
      <c r="H78" s="193"/>
      <c r="I78" s="196"/>
      <c r="J78" s="196"/>
      <c r="K78" s="197"/>
      <c r="L78" s="193"/>
      <c r="M78" s="195"/>
      <c r="N78" s="195"/>
      <c r="O78" s="195"/>
      <c r="P78" s="193"/>
      <c r="Q78" s="196"/>
      <c r="R78" s="196"/>
      <c r="S78" s="197"/>
      <c r="T78" s="193"/>
      <c r="U78" s="195"/>
      <c r="V78" s="195"/>
      <c r="W78" s="195"/>
      <c r="X78" s="192"/>
      <c r="Y78" s="194"/>
      <c r="Z78" s="196"/>
      <c r="AA78" s="196"/>
      <c r="AB78" s="197"/>
      <c r="AC78" s="141"/>
      <c r="AD78" s="141"/>
    </row>
    <row r="79" spans="2:30" ht="12.75" x14ac:dyDescent="0.2">
      <c r="B79" s="194"/>
      <c r="C79" s="192"/>
      <c r="D79" s="193"/>
      <c r="E79" s="196"/>
      <c r="F79" s="196"/>
      <c r="G79" s="197"/>
      <c r="H79" s="193"/>
      <c r="I79" s="196"/>
      <c r="J79" s="196"/>
      <c r="K79" s="197"/>
      <c r="L79" s="193"/>
      <c r="M79" s="195"/>
      <c r="N79" s="195"/>
      <c r="O79" s="195"/>
      <c r="P79" s="193"/>
      <c r="Q79" s="196"/>
      <c r="R79" s="196"/>
      <c r="S79" s="197"/>
      <c r="T79" s="193"/>
      <c r="U79" s="200"/>
      <c r="V79" s="200"/>
      <c r="W79" s="201"/>
      <c r="X79" s="192"/>
      <c r="Y79" s="194"/>
      <c r="Z79" s="196"/>
      <c r="AA79" s="196"/>
      <c r="AB79" s="197"/>
      <c r="AC79" s="141"/>
      <c r="AD79" s="141"/>
    </row>
    <row r="80" spans="2:30" ht="12.75" x14ac:dyDescent="0.2">
      <c r="B80" s="194"/>
      <c r="C80" s="192"/>
      <c r="D80" s="193"/>
      <c r="E80" s="193"/>
      <c r="F80" s="193"/>
      <c r="G80" s="193"/>
      <c r="H80" s="193"/>
      <c r="I80" s="193"/>
      <c r="J80" s="193"/>
      <c r="K80" s="193"/>
      <c r="L80" s="193"/>
      <c r="M80" s="193"/>
      <c r="N80" s="193"/>
      <c r="O80" s="193"/>
      <c r="P80" s="193"/>
      <c r="Q80" s="193"/>
      <c r="R80" s="193"/>
      <c r="S80" s="193"/>
      <c r="T80" s="193"/>
      <c r="U80" s="193"/>
      <c r="V80" s="193"/>
      <c r="W80" s="193"/>
      <c r="X80" s="192"/>
      <c r="Y80" s="192"/>
      <c r="Z80" s="193"/>
      <c r="AA80" s="193"/>
      <c r="AB80" s="193"/>
      <c r="AC80" s="141"/>
      <c r="AD80" s="141"/>
    </row>
    <row r="81" spans="2:30" ht="12.75" x14ac:dyDescent="0.2">
      <c r="B81" s="194"/>
      <c r="C81" s="202"/>
      <c r="D81" s="193"/>
      <c r="E81" s="203"/>
      <c r="F81" s="204"/>
      <c r="G81" s="205"/>
      <c r="H81" s="193"/>
      <c r="I81" s="203"/>
      <c r="J81" s="204"/>
      <c r="K81" s="205"/>
      <c r="L81" s="193"/>
      <c r="M81" s="203"/>
      <c r="N81" s="204"/>
      <c r="O81" s="205"/>
      <c r="P81" s="193"/>
      <c r="Q81" s="203"/>
      <c r="R81" s="204"/>
      <c r="S81" s="205"/>
      <c r="T81" s="193"/>
      <c r="U81" s="203"/>
      <c r="V81" s="204"/>
      <c r="W81" s="205"/>
      <c r="X81" s="192"/>
      <c r="Y81" s="192"/>
      <c r="Z81" s="203"/>
      <c r="AA81" s="204"/>
      <c r="AB81" s="205"/>
      <c r="AC81" s="141"/>
      <c r="AD81" s="141"/>
    </row>
    <row r="82" spans="2:30" ht="12.75" x14ac:dyDescent="0.2">
      <c r="B82" s="194"/>
      <c r="C82" s="199"/>
      <c r="D82" s="192"/>
      <c r="E82" s="204"/>
      <c r="F82" s="206"/>
      <c r="G82" s="207"/>
      <c r="H82" s="193"/>
      <c r="I82" s="204"/>
      <c r="J82" s="206"/>
      <c r="K82" s="207"/>
      <c r="L82" s="193"/>
      <c r="M82" s="204"/>
      <c r="N82" s="206"/>
      <c r="O82" s="207"/>
      <c r="P82" s="193"/>
      <c r="Q82" s="204"/>
      <c r="R82" s="206"/>
      <c r="S82" s="207"/>
      <c r="T82" s="193"/>
      <c r="U82" s="204"/>
      <c r="V82" s="208"/>
      <c r="W82" s="207"/>
      <c r="X82" s="192"/>
      <c r="Y82" s="192"/>
      <c r="Z82" s="204"/>
      <c r="AA82" s="206"/>
      <c r="AB82" s="207"/>
      <c r="AC82" s="141"/>
      <c r="AD82" s="141"/>
    </row>
    <row r="83" spans="2:30" ht="15.75" x14ac:dyDescent="0.25">
      <c r="B83" s="194"/>
      <c r="C83" s="209"/>
      <c r="D83" s="193"/>
      <c r="E83" s="193"/>
      <c r="F83" s="192"/>
      <c r="G83" s="210"/>
      <c r="H83" s="193"/>
      <c r="I83" s="193"/>
      <c r="J83" s="193"/>
      <c r="K83" s="193"/>
      <c r="L83" s="193"/>
      <c r="M83" s="193"/>
      <c r="N83" s="193"/>
      <c r="O83" s="193"/>
      <c r="P83" s="193"/>
      <c r="Q83" s="193"/>
      <c r="R83" s="193"/>
      <c r="S83" s="193"/>
      <c r="T83" s="193"/>
      <c r="U83" s="192"/>
      <c r="V83" s="192"/>
      <c r="W83" s="192"/>
      <c r="X83" s="192"/>
      <c r="Y83" s="192"/>
      <c r="Z83" s="193"/>
      <c r="AA83" s="193"/>
      <c r="AB83" s="193"/>
      <c r="AC83" s="141"/>
      <c r="AD83" s="141"/>
    </row>
    <row r="84" spans="2:30" ht="15.75" x14ac:dyDescent="0.25">
      <c r="B84" s="211"/>
      <c r="C84" s="209"/>
      <c r="D84" s="192"/>
      <c r="E84" s="192"/>
      <c r="F84" s="192"/>
      <c r="G84" s="193"/>
      <c r="H84" s="193"/>
      <c r="I84" s="193"/>
      <c r="J84" s="192"/>
      <c r="K84" s="192"/>
      <c r="L84" s="192"/>
      <c r="M84" s="192"/>
      <c r="N84" s="192"/>
      <c r="O84" s="192"/>
      <c r="P84" s="192"/>
      <c r="Q84" s="192"/>
      <c r="R84" s="192"/>
      <c r="S84" s="193"/>
      <c r="T84" s="193"/>
      <c r="U84" s="192"/>
      <c r="V84" s="192"/>
      <c r="W84" s="192"/>
      <c r="X84" s="192"/>
      <c r="Y84" s="192"/>
      <c r="Z84" s="193"/>
      <c r="AA84" s="193"/>
      <c r="AB84" s="193"/>
      <c r="AC84" s="141"/>
      <c r="AD84" s="141"/>
    </row>
  </sheetData>
  <mergeCells count="9">
    <mergeCell ref="U14:W14"/>
    <mergeCell ref="E30:G30"/>
    <mergeCell ref="I30:K30"/>
    <mergeCell ref="M30:O30"/>
    <mergeCell ref="Q30:S30"/>
    <mergeCell ref="E14:G14"/>
    <mergeCell ref="I14:K14"/>
    <mergeCell ref="M14:O14"/>
    <mergeCell ref="Q14:S14"/>
  </mergeCells>
  <phoneticPr fontId="0" type="noConversion"/>
  <hyperlinks>
    <hyperlink ref="I25" r:id="rId1" location="b17-0000" xr:uid="{00000000-0004-0000-0800-000000000000}"/>
    <hyperlink ref="I9" r:id="rId2" xr:uid="{00000000-0004-0000-0800-000001000000}"/>
  </hyperlinks>
  <pageMargins left="0.75" right="0.75" top="1" bottom="1" header="0.5" footer="0.5"/>
  <pageSetup orientation="portrait"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O42"/>
  <sheetViews>
    <sheetView topLeftCell="A10" workbookViewId="0">
      <selection activeCell="C31" sqref="C31"/>
    </sheetView>
  </sheetViews>
  <sheetFormatPr defaultRowHeight="10.5" x14ac:dyDescent="0.15"/>
  <cols>
    <col min="1" max="1" width="29" customWidth="1"/>
    <col min="2" max="2" width="12" customWidth="1"/>
    <col min="3" max="3" width="14.5" customWidth="1"/>
    <col min="4" max="4" width="15.83203125" customWidth="1"/>
    <col min="6" max="6" width="15.83203125" customWidth="1"/>
    <col min="7" max="7" width="17" customWidth="1"/>
    <col min="8" max="8" width="9.6640625" bestFit="1" customWidth="1"/>
    <col min="9" max="9" width="13.83203125" customWidth="1"/>
  </cols>
  <sheetData>
    <row r="3" spans="1:15" ht="12.75" x14ac:dyDescent="0.2">
      <c r="B3" s="162"/>
      <c r="C3" s="162"/>
      <c r="D3" s="162"/>
      <c r="E3" s="162"/>
      <c r="F3" s="162"/>
      <c r="G3" s="162"/>
      <c r="H3" s="162"/>
      <c r="I3" s="162"/>
      <c r="J3" s="162"/>
      <c r="K3" s="162"/>
      <c r="L3" s="162"/>
      <c r="M3" s="162"/>
      <c r="N3" s="162"/>
      <c r="O3" s="162"/>
    </row>
    <row r="4" spans="1:15" ht="15.75" x14ac:dyDescent="0.25">
      <c r="A4" s="140" t="s">
        <v>585</v>
      </c>
      <c r="B4" s="140" t="s">
        <v>469</v>
      </c>
      <c r="C4" s="140" t="s">
        <v>475</v>
      </c>
      <c r="D4" s="140"/>
      <c r="E4" s="162"/>
      <c r="H4" s="140" t="s">
        <v>478</v>
      </c>
      <c r="I4" s="152"/>
      <c r="J4" s="162"/>
      <c r="K4" s="162"/>
      <c r="L4" s="162"/>
      <c r="M4" s="162"/>
      <c r="N4" s="162"/>
      <c r="O4" s="162"/>
    </row>
    <row r="5" spans="1:15" ht="12.75" x14ac:dyDescent="0.2">
      <c r="A5" s="162"/>
      <c r="B5" s="162"/>
      <c r="C5" s="162" t="s">
        <v>476</v>
      </c>
      <c r="D5" s="162" t="s">
        <v>477</v>
      </c>
      <c r="E5" s="162"/>
      <c r="H5" s="162" t="s">
        <v>476</v>
      </c>
      <c r="I5" s="162" t="s">
        <v>477</v>
      </c>
      <c r="J5" s="162"/>
      <c r="K5" s="162"/>
      <c r="L5" s="162"/>
      <c r="M5" s="162"/>
      <c r="N5" s="162"/>
      <c r="O5" s="162"/>
    </row>
    <row r="6" spans="1:15" ht="12.75" x14ac:dyDescent="0.2">
      <c r="A6" s="162"/>
      <c r="B6" s="162"/>
      <c r="C6" s="162" t="s">
        <v>482</v>
      </c>
      <c r="D6" s="162" t="s">
        <v>483</v>
      </c>
      <c r="E6" s="162"/>
      <c r="H6" s="162" t="s">
        <v>482</v>
      </c>
      <c r="I6" s="162" t="s">
        <v>483</v>
      </c>
      <c r="J6" s="162"/>
      <c r="K6" s="162"/>
      <c r="L6" s="162"/>
      <c r="M6" s="162"/>
      <c r="N6" s="162"/>
      <c r="O6" s="162"/>
    </row>
    <row r="7" spans="1:15" ht="12.75" x14ac:dyDescent="0.2">
      <c r="A7" s="162"/>
      <c r="B7" s="162"/>
      <c r="C7" s="162"/>
      <c r="D7" s="162"/>
      <c r="E7" s="162"/>
      <c r="H7" s="162"/>
      <c r="I7" s="162"/>
      <c r="J7" s="162"/>
      <c r="K7" s="162"/>
      <c r="L7" s="162"/>
      <c r="M7" s="162"/>
      <c r="N7" s="162"/>
      <c r="O7" s="162"/>
    </row>
    <row r="8" spans="1:15" ht="12.75" x14ac:dyDescent="0.2">
      <c r="A8" s="168" t="s">
        <v>582</v>
      </c>
      <c r="B8" s="172" t="s">
        <v>470</v>
      </c>
      <c r="C8" s="166">
        <v>20802</v>
      </c>
      <c r="D8" s="167">
        <v>2046564</v>
      </c>
      <c r="E8" s="168"/>
      <c r="H8" s="166">
        <v>18685</v>
      </c>
      <c r="I8" s="167">
        <v>675660</v>
      </c>
      <c r="J8" s="162"/>
      <c r="K8" s="162"/>
      <c r="L8" s="162"/>
      <c r="M8" s="162"/>
      <c r="N8" s="162"/>
      <c r="O8" s="162"/>
    </row>
    <row r="9" spans="1:15" ht="12.75" x14ac:dyDescent="0.2">
      <c r="A9" s="162" t="s">
        <v>352</v>
      </c>
      <c r="B9" s="163" t="s">
        <v>480</v>
      </c>
      <c r="C9" s="162">
        <v>61</v>
      </c>
      <c r="D9" s="165">
        <v>12653</v>
      </c>
      <c r="E9" s="162"/>
      <c r="H9" s="162">
        <v>7</v>
      </c>
      <c r="I9" s="165">
        <v>244</v>
      </c>
      <c r="J9" s="162"/>
      <c r="K9" s="162"/>
      <c r="L9" s="162"/>
      <c r="M9" s="162"/>
      <c r="N9" s="162"/>
      <c r="O9" s="162"/>
    </row>
    <row r="10" spans="1:15" ht="2.25" customHeight="1" x14ac:dyDescent="0.2">
      <c r="A10" s="14"/>
      <c r="B10" s="14"/>
      <c r="C10" s="14"/>
      <c r="D10" s="14"/>
      <c r="E10" s="14"/>
      <c r="H10" s="14"/>
      <c r="I10" s="14"/>
      <c r="J10" s="14"/>
      <c r="K10" s="162"/>
      <c r="L10" s="162"/>
      <c r="M10" s="162"/>
      <c r="N10" s="162"/>
      <c r="O10" s="162"/>
    </row>
    <row r="11" spans="1:15" ht="12.75" x14ac:dyDescent="0.2">
      <c r="A11" s="261" t="s">
        <v>481</v>
      </c>
      <c r="C11" s="262">
        <f>SUM(C8:C9)</f>
        <v>20863</v>
      </c>
      <c r="D11" s="263">
        <f>SUM(D8:D9)</f>
        <v>2059217</v>
      </c>
      <c r="E11" s="264"/>
      <c r="F11" s="251"/>
      <c r="G11" s="251"/>
      <c r="H11" s="262">
        <f>SUM(H8:H9)</f>
        <v>18692</v>
      </c>
      <c r="I11" s="263">
        <f>SUM(I8:I9)</f>
        <v>675904</v>
      </c>
      <c r="J11" s="264"/>
      <c r="K11" s="162"/>
      <c r="L11" s="162"/>
      <c r="M11" s="162"/>
      <c r="N11" s="162"/>
      <c r="O11" s="162"/>
    </row>
    <row r="12" spans="1:15" ht="12.75" x14ac:dyDescent="0.2">
      <c r="A12" s="261"/>
      <c r="C12" s="262"/>
      <c r="D12" s="263"/>
      <c r="E12" s="264"/>
      <c r="F12" s="251"/>
      <c r="G12" s="251"/>
      <c r="H12" s="262"/>
      <c r="I12" s="263"/>
      <c r="J12" s="264"/>
      <c r="K12" s="162"/>
      <c r="L12" s="162"/>
      <c r="M12" s="162"/>
      <c r="N12" s="162"/>
      <c r="O12" s="162"/>
    </row>
    <row r="13" spans="1:15" ht="12.75" x14ac:dyDescent="0.2">
      <c r="A13" s="326" t="s">
        <v>586</v>
      </c>
      <c r="B13" s="327"/>
      <c r="C13" s="328"/>
      <c r="D13" s="263"/>
      <c r="E13" s="264"/>
      <c r="F13" s="251"/>
      <c r="G13" s="251"/>
      <c r="H13" s="262"/>
      <c r="I13" s="263"/>
      <c r="J13" s="264"/>
      <c r="K13" s="162"/>
      <c r="L13" s="162"/>
      <c r="M13" s="162"/>
      <c r="N13" s="162"/>
      <c r="O13" s="162"/>
    </row>
    <row r="14" spans="1:15" ht="12.75" x14ac:dyDescent="0.2">
      <c r="A14" s="162"/>
      <c r="B14" s="162"/>
      <c r="C14" s="162"/>
      <c r="D14" s="162"/>
      <c r="E14" s="162"/>
      <c r="H14" s="162"/>
      <c r="I14" s="162"/>
      <c r="J14" s="162"/>
      <c r="K14" s="162"/>
      <c r="L14" s="162"/>
      <c r="M14" s="162"/>
      <c r="N14" s="162"/>
      <c r="O14" s="162"/>
    </row>
    <row r="15" spans="1:15" ht="12.75" x14ac:dyDescent="0.2">
      <c r="A15" s="168" t="s">
        <v>575</v>
      </c>
      <c r="B15" s="172" t="s">
        <v>471</v>
      </c>
      <c r="C15" s="166">
        <v>21511</v>
      </c>
      <c r="D15" s="167">
        <v>2206319</v>
      </c>
      <c r="E15" s="168"/>
      <c r="H15" s="166">
        <v>17951</v>
      </c>
      <c r="I15" s="167">
        <v>701350</v>
      </c>
      <c r="J15" s="162"/>
      <c r="K15" s="162"/>
      <c r="L15" s="162"/>
      <c r="M15" s="162"/>
      <c r="N15" s="162"/>
      <c r="O15" s="162"/>
    </row>
    <row r="16" spans="1:15" ht="12.75" x14ac:dyDescent="0.2">
      <c r="A16" s="162" t="s">
        <v>484</v>
      </c>
      <c r="B16" s="163" t="s">
        <v>472</v>
      </c>
      <c r="C16" s="162">
        <v>563</v>
      </c>
      <c r="D16" s="165">
        <v>123776</v>
      </c>
      <c r="E16" s="162"/>
      <c r="H16" s="162">
        <v>0</v>
      </c>
      <c r="I16" s="165">
        <v>0</v>
      </c>
      <c r="J16" s="162" t="s">
        <v>479</v>
      </c>
      <c r="K16" s="162"/>
      <c r="L16" s="162"/>
      <c r="M16" s="162"/>
      <c r="N16" s="162"/>
      <c r="O16" s="162"/>
    </row>
    <row r="17" spans="1:15" ht="12.75" x14ac:dyDescent="0.2">
      <c r="A17" s="162" t="s">
        <v>486</v>
      </c>
      <c r="B17" s="163" t="s">
        <v>473</v>
      </c>
      <c r="C17" s="164">
        <v>5419</v>
      </c>
      <c r="D17" s="165">
        <v>269099</v>
      </c>
      <c r="E17" s="162"/>
      <c r="H17" s="162">
        <v>371</v>
      </c>
      <c r="I17" s="165">
        <v>11173</v>
      </c>
      <c r="J17" s="162"/>
      <c r="K17" s="162"/>
      <c r="L17" s="162"/>
      <c r="M17" s="162"/>
      <c r="N17" s="162"/>
      <c r="O17" s="162"/>
    </row>
    <row r="18" spans="1:15" ht="12.75" x14ac:dyDescent="0.2">
      <c r="A18" s="162" t="s">
        <v>485</v>
      </c>
      <c r="B18" s="163" t="s">
        <v>474</v>
      </c>
      <c r="C18" s="164">
        <v>45353</v>
      </c>
      <c r="D18" s="165">
        <v>8557036</v>
      </c>
      <c r="E18" s="162"/>
      <c r="H18" s="162">
        <v>366</v>
      </c>
      <c r="I18" s="165">
        <v>13831</v>
      </c>
      <c r="J18" s="162"/>
      <c r="K18" s="162"/>
      <c r="L18" s="162"/>
      <c r="M18" s="162"/>
      <c r="N18" s="162"/>
      <c r="O18" s="162"/>
    </row>
    <row r="19" spans="1:15" ht="2.25" customHeight="1" x14ac:dyDescent="0.2">
      <c r="A19" s="14"/>
      <c r="B19" s="14"/>
      <c r="C19" s="14"/>
      <c r="D19" s="14"/>
      <c r="E19" s="14"/>
      <c r="H19" s="14"/>
      <c r="I19" s="14"/>
      <c r="J19" s="14"/>
      <c r="K19" s="162"/>
      <c r="L19" s="162"/>
      <c r="M19" s="162"/>
      <c r="N19" s="162"/>
      <c r="O19" s="162"/>
    </row>
    <row r="20" spans="1:15" ht="12.75" x14ac:dyDescent="0.2">
      <c r="A20" s="261" t="s">
        <v>481</v>
      </c>
      <c r="B20" s="251"/>
      <c r="C20" s="262">
        <f>SUM(C15:C18)</f>
        <v>72846</v>
      </c>
      <c r="D20" s="263">
        <f>SUM(D15:D18)</f>
        <v>11156230</v>
      </c>
      <c r="E20" s="264"/>
      <c r="F20" s="251"/>
      <c r="G20" s="251"/>
      <c r="H20" s="262">
        <f>SUM(H15:H18)</f>
        <v>18688</v>
      </c>
      <c r="I20" s="263">
        <f>SUM(I15:I18)</f>
        <v>726354</v>
      </c>
      <c r="J20" s="264"/>
      <c r="K20" s="264"/>
      <c r="L20" s="264"/>
      <c r="M20" s="162"/>
      <c r="N20" s="162"/>
      <c r="O20" s="162"/>
    </row>
    <row r="21" spans="1:15" ht="12.75" x14ac:dyDescent="0.2">
      <c r="B21" s="171"/>
      <c r="C21" s="170"/>
      <c r="D21" s="170"/>
      <c r="E21" s="170"/>
      <c r="F21" s="170"/>
      <c r="G21" s="170"/>
      <c r="H21" s="162"/>
      <c r="I21" s="162"/>
      <c r="J21" s="162"/>
      <c r="K21" s="162"/>
      <c r="L21" s="162"/>
      <c r="M21" s="162"/>
      <c r="N21" s="162"/>
      <c r="O21" s="162"/>
    </row>
    <row r="22" spans="1:15" ht="12.75" x14ac:dyDescent="0.2">
      <c r="A22" s="326" t="s">
        <v>587</v>
      </c>
      <c r="B22" s="329"/>
      <c r="C22" s="276"/>
      <c r="D22" s="276"/>
      <c r="E22" s="326"/>
      <c r="F22" s="170"/>
      <c r="G22" s="170"/>
      <c r="H22" s="162"/>
      <c r="I22" s="162"/>
      <c r="J22" s="162"/>
      <c r="K22" s="162"/>
      <c r="L22" s="162"/>
      <c r="M22" s="162"/>
      <c r="N22" s="162"/>
      <c r="O22" s="162"/>
    </row>
    <row r="23" spans="1:15" ht="12.75" x14ac:dyDescent="0.2">
      <c r="A23" s="10"/>
      <c r="E23" s="261"/>
      <c r="I23" s="173"/>
      <c r="J23" s="162"/>
      <c r="K23" s="162"/>
      <c r="L23" s="162"/>
      <c r="M23" s="162"/>
      <c r="N23" s="162"/>
      <c r="O23" s="162"/>
    </row>
    <row r="24" spans="1:15" ht="12.75" x14ac:dyDescent="0.2">
      <c r="A24" s="168" t="s">
        <v>577</v>
      </c>
      <c r="B24" s="320" t="s">
        <v>576</v>
      </c>
      <c r="C24" s="309">
        <v>73752</v>
      </c>
      <c r="D24" s="309">
        <v>11917572</v>
      </c>
      <c r="E24" s="323" t="s">
        <v>581</v>
      </c>
      <c r="H24" s="309">
        <v>15351</v>
      </c>
      <c r="I24" s="321">
        <v>530585</v>
      </c>
      <c r="J24" s="162"/>
      <c r="K24" s="162"/>
      <c r="L24" s="162"/>
      <c r="M24" s="162"/>
      <c r="N24" s="162"/>
      <c r="O24" s="162"/>
    </row>
    <row r="25" spans="1:15" ht="12.75" x14ac:dyDescent="0.2">
      <c r="A25" s="260" t="s">
        <v>539</v>
      </c>
      <c r="B25" s="265" t="s">
        <v>540</v>
      </c>
      <c r="C25" s="221">
        <v>34.700000000000003</v>
      </c>
      <c r="D25" s="258">
        <v>2605.6999999999998</v>
      </c>
      <c r="H25" s="260">
        <v>0</v>
      </c>
      <c r="I25" s="322">
        <v>0</v>
      </c>
      <c r="J25" s="162"/>
      <c r="K25" s="162"/>
      <c r="L25" s="162"/>
      <c r="M25" s="162"/>
      <c r="N25" s="162"/>
      <c r="O25" s="162"/>
    </row>
    <row r="26" spans="1:15" ht="2.25" customHeight="1" x14ac:dyDescent="0.2">
      <c r="A26" s="14"/>
      <c r="B26" s="14"/>
      <c r="C26" s="14"/>
      <c r="D26" s="14"/>
      <c r="E26" s="14"/>
      <c r="H26" s="14"/>
      <c r="I26" s="14"/>
      <c r="J26" s="14"/>
      <c r="K26" s="162"/>
      <c r="L26" s="162"/>
      <c r="M26" s="162"/>
      <c r="N26" s="162"/>
      <c r="O26" s="162"/>
    </row>
    <row r="27" spans="1:15" ht="12.75" x14ac:dyDescent="0.2">
      <c r="A27" s="260" t="s">
        <v>481</v>
      </c>
      <c r="B27" s="220"/>
      <c r="C27" s="324">
        <f>SUM(C24:C25)</f>
        <v>73786.7</v>
      </c>
      <c r="D27" s="325">
        <f>SUM(D24:D25)</f>
        <v>11920177.699999999</v>
      </c>
      <c r="E27" s="264"/>
      <c r="F27" s="251"/>
      <c r="G27" s="251"/>
      <c r="H27" s="324">
        <f>SUM(H24:H25)</f>
        <v>15351</v>
      </c>
      <c r="I27" s="325">
        <f>SUM(I24:I25)</f>
        <v>530585</v>
      </c>
      <c r="J27" s="264"/>
      <c r="K27" s="264"/>
    </row>
    <row r="29" spans="1:15" ht="12.75" x14ac:dyDescent="0.2">
      <c r="A29" s="326" t="s">
        <v>588</v>
      </c>
      <c r="B29" s="327"/>
      <c r="C29" s="327"/>
    </row>
    <row r="31" spans="1:15" ht="12.75" x14ac:dyDescent="0.2">
      <c r="A31" s="265" t="s">
        <v>541</v>
      </c>
      <c r="B31" s="265" t="s">
        <v>542</v>
      </c>
      <c r="C31" s="269">
        <f>'Exhibit 6'!$D$15</f>
        <v>62778.133333333339</v>
      </c>
      <c r="D31" s="270">
        <f>'Exhibit 6'!$H$15</f>
        <v>12035365.481003322</v>
      </c>
      <c r="E31" s="260" t="s">
        <v>574</v>
      </c>
      <c r="F31" s="186"/>
      <c r="G31" s="169"/>
      <c r="H31" s="269">
        <f>'Exhibit 7'!$K$93</f>
        <v>5354.7989055472262</v>
      </c>
      <c r="I31" s="270">
        <f>'Exhibit 7'!$L$93</f>
        <v>272750.37466688809</v>
      </c>
      <c r="K31" s="162"/>
      <c r="L31" s="162"/>
      <c r="M31" s="162"/>
      <c r="N31" s="162"/>
      <c r="O31" s="162"/>
    </row>
    <row r="32" spans="1:15" ht="12.75" x14ac:dyDescent="0.2">
      <c r="A32" s="265"/>
      <c r="B32" s="265"/>
      <c r="C32" s="188">
        <f>C$31-C$27</f>
        <v>-11008.566666666658</v>
      </c>
      <c r="D32" s="189">
        <f>D$31-D$27</f>
        <v>115187.78100332245</v>
      </c>
      <c r="E32" s="162" t="s">
        <v>589</v>
      </c>
      <c r="F32" s="186"/>
      <c r="G32" s="169"/>
      <c r="H32" s="188">
        <f>H$31-H$27</f>
        <v>-9996.2010944527738</v>
      </c>
      <c r="I32" s="189">
        <f>I$31-I$27</f>
        <v>-257834.62533311191</v>
      </c>
      <c r="J32" s="162" t="s">
        <v>516</v>
      </c>
      <c r="K32" s="162"/>
      <c r="L32" s="162"/>
      <c r="M32" s="162"/>
      <c r="N32" s="162"/>
      <c r="O32" s="162"/>
    </row>
    <row r="33" spans="1:15" ht="12.75" x14ac:dyDescent="0.2">
      <c r="A33" s="187" t="s">
        <v>579</v>
      </c>
      <c r="B33" s="187"/>
      <c r="C33" s="188">
        <f>C$31-C$39</f>
        <v>-11008.866666666661</v>
      </c>
      <c r="D33" s="189">
        <f>D$31-D$39</f>
        <v>2796050.4810033217</v>
      </c>
      <c r="E33" s="190" t="s">
        <v>591</v>
      </c>
      <c r="F33" s="189"/>
      <c r="G33" s="187"/>
      <c r="M33" s="162"/>
      <c r="N33" s="162"/>
      <c r="O33" s="162"/>
    </row>
    <row r="34" spans="1:15" ht="12.75" x14ac:dyDescent="0.2">
      <c r="A34" s="162"/>
      <c r="B34" s="162"/>
      <c r="C34" s="187" t="s">
        <v>590</v>
      </c>
      <c r="D34" s="187" t="s">
        <v>580</v>
      </c>
      <c r="E34" s="162"/>
      <c r="F34" s="162"/>
      <c r="G34" s="162"/>
      <c r="H34" s="162"/>
      <c r="I34" s="162"/>
      <c r="J34" s="162"/>
      <c r="K34" s="162"/>
      <c r="L34" s="162"/>
      <c r="M34" s="162"/>
      <c r="N34" s="162"/>
      <c r="O34" s="162"/>
    </row>
    <row r="35" spans="1:15" ht="12.75" x14ac:dyDescent="0.2">
      <c r="A35" s="162"/>
      <c r="B35" s="162"/>
      <c r="C35" s="187"/>
      <c r="D35" s="168" t="s">
        <v>592</v>
      </c>
      <c r="E35" s="162"/>
      <c r="F35" s="162"/>
      <c r="G35" s="162"/>
      <c r="H35" s="162"/>
      <c r="I35" s="162"/>
      <c r="J35" s="162"/>
      <c r="K35" s="162"/>
      <c r="L35" s="162"/>
      <c r="M35" s="162"/>
      <c r="N35" s="162"/>
      <c r="O35" s="162"/>
    </row>
    <row r="36" spans="1:15" ht="12.75" x14ac:dyDescent="0.2">
      <c r="C36" s="162"/>
      <c r="D36" s="168" t="s">
        <v>593</v>
      </c>
      <c r="E36" s="162"/>
      <c r="F36" s="162"/>
      <c r="G36" s="162"/>
      <c r="H36" s="162"/>
      <c r="I36" s="162"/>
      <c r="J36" s="162"/>
      <c r="K36" s="162"/>
      <c r="L36" s="162"/>
      <c r="M36" s="162"/>
      <c r="N36" s="162"/>
      <c r="O36" s="162"/>
    </row>
    <row r="37" spans="1:15" ht="12.75" x14ac:dyDescent="0.2">
      <c r="C37" s="162"/>
      <c r="D37" s="168"/>
      <c r="E37" s="162"/>
      <c r="F37" s="162"/>
      <c r="G37" s="162"/>
      <c r="H37" s="162"/>
      <c r="I37" s="162"/>
      <c r="J37" s="162"/>
      <c r="K37" s="162"/>
      <c r="L37" s="162"/>
      <c r="M37" s="162"/>
      <c r="N37" s="162"/>
      <c r="O37" s="162"/>
    </row>
    <row r="38" spans="1:15" ht="12.75" x14ac:dyDescent="0.2">
      <c r="A38" s="271" t="s">
        <v>583</v>
      </c>
      <c r="B38" s="271"/>
      <c r="C38" s="272">
        <v>75929</v>
      </c>
      <c r="D38" s="273">
        <v>10243000</v>
      </c>
      <c r="E38" s="274" t="s">
        <v>578</v>
      </c>
      <c r="F38" s="275"/>
      <c r="G38" s="276"/>
      <c r="H38" s="162"/>
      <c r="I38" s="260"/>
      <c r="J38" s="260"/>
      <c r="K38" s="162"/>
      <c r="L38" s="162"/>
      <c r="M38" s="162"/>
      <c r="N38" s="162"/>
      <c r="O38" s="162"/>
    </row>
    <row r="39" spans="1:15" ht="12.75" x14ac:dyDescent="0.2">
      <c r="A39" s="271" t="s">
        <v>584</v>
      </c>
      <c r="B39" s="271"/>
      <c r="C39" s="272">
        <v>73787</v>
      </c>
      <c r="D39" s="273">
        <v>9239315</v>
      </c>
      <c r="E39" s="274" t="s">
        <v>578</v>
      </c>
      <c r="F39" s="275"/>
      <c r="G39" s="355"/>
      <c r="H39" s="162"/>
      <c r="I39" s="162"/>
      <c r="J39" s="162"/>
      <c r="K39" s="162"/>
      <c r="L39" s="162"/>
      <c r="M39" s="162"/>
      <c r="N39" s="162"/>
      <c r="O39" s="162"/>
    </row>
    <row r="42" spans="1:15" ht="12.75" x14ac:dyDescent="0.2">
      <c r="A42" s="162"/>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Exhibit 1</vt:lpstr>
      <vt:lpstr>Exhibit 2</vt:lpstr>
      <vt:lpstr>Exhibit 3</vt:lpstr>
      <vt:lpstr>Exhibit 4</vt:lpstr>
      <vt:lpstr>Exhibit 5</vt:lpstr>
      <vt:lpstr>Exhibit 6</vt:lpstr>
      <vt:lpstr>Exhibit 7</vt:lpstr>
      <vt:lpstr>Labor Rates</vt:lpstr>
      <vt:lpstr>Total Burdens</vt:lpstr>
      <vt:lpstr>Agency 2</vt:lpstr>
      <vt:lpstr>'Exhibit 1'!Print_Area</vt:lpstr>
      <vt:lpstr>'Exhibit 2'!Print_Area</vt:lpstr>
      <vt:lpstr>'Exhibit 3'!Print_Area</vt:lpstr>
      <vt:lpstr>'Exhibit 4'!Print_Area</vt:lpstr>
      <vt:lpstr>'Exhibit 5'!Print_Area</vt:lpstr>
      <vt:lpstr>'Exhibit 6'!Print_Area</vt:lpstr>
      <vt:lpstr>'Exhibit 7'!Print_Area</vt:lpstr>
      <vt:lpstr>Print_Area_MI</vt:lpstr>
      <vt:lpstr>'Exhibit 2'!Print_Titles</vt:lpstr>
      <vt:lpstr>'Exhibit 3'!Print_Titles</vt:lpstr>
      <vt:lpstr>'Exhibit 4'!Print_Titles</vt:lpstr>
      <vt:lpstr>'Exhibit 5'!Print_Titles</vt:lpstr>
      <vt:lpstr>'Exhibit 7'!Print_Titles</vt:lpstr>
      <vt:lpstr>RK</vt:lpstr>
    </vt:vector>
  </TitlesOfParts>
  <Company>ICF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 User</dc:creator>
  <cp:lastModifiedBy>Vyas, Peggy</cp:lastModifiedBy>
  <cp:lastPrinted>2004-08-30T18:26:55Z</cp:lastPrinted>
  <dcterms:created xsi:type="dcterms:W3CDTF">2001-02-14T21:49:02Z</dcterms:created>
  <dcterms:modified xsi:type="dcterms:W3CDTF">2023-11-30T22:33:24Z</dcterms:modified>
</cp:coreProperties>
</file>