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codeName="ThisWorkbook" defaultThemeVersion="124226"/>
  <xr:revisionPtr revIDLastSave="0" documentId="8_{A64FF269-A969-4849-8BB9-F2A6564FF7CF}" xr6:coauthVersionLast="47" xr6:coauthVersionMax="47" xr10:uidLastSave="{00000000-0000-0000-0000-000000000000}"/>
  <bookViews>
    <workbookView xWindow="-25500" yWindow="1785" windowWidth="21600" windowHeight="11295" tabRatio="884" activeTab="3" xr2:uid="{00000000-000D-0000-FFFF-FFFF00000000}"/>
  </bookViews>
  <sheets>
    <sheet name="Year 1 (2023)" sheetId="45" r:id="rId1"/>
    <sheet name="Year 2 (2024)" sheetId="60" r:id="rId2"/>
    <sheet name="Year 3 (2025)" sheetId="61" r:id="rId3"/>
    <sheet name="3-yr Average Resp (2023-2025)" sheetId="46" r:id="rId4"/>
    <sheet name="Year 1 Agency (2023)" sheetId="40" r:id="rId5"/>
    <sheet name="Year 2 Agency (2024)" sheetId="50" r:id="rId6"/>
    <sheet name="Year 3 Agency (2025)" sheetId="51" r:id="rId7"/>
    <sheet name="3-yr Average Agency (2023-2025)" sheetId="49" r:id="rId8"/>
    <sheet name="New Sources" sheetId="43" r:id="rId9"/>
    <sheet name="Activity Counts" sheetId="58" r:id="rId10"/>
  </sheets>
  <definedNames>
    <definedName name="_xlnm._FilterDatabase" localSheetId="0" hidden="1">'Year 1 (2023)'!$M$43:$N$56</definedName>
    <definedName name="_xlnm._FilterDatabase" localSheetId="1" hidden="1">'Year 2 (2024)'!$M$43:$N$56</definedName>
    <definedName name="_xlnm._FilterDatabase" localSheetId="2" hidden="1">'Year 3 (2025)'!$M$43:$N$56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46" l="1"/>
  <c r="I9" i="46"/>
  <c r="I8" i="46"/>
  <c r="I7" i="46"/>
  <c r="K80" i="61"/>
  <c r="K96" i="60"/>
  <c r="K94" i="60"/>
  <c r="K80" i="60"/>
  <c r="K96" i="45"/>
  <c r="K94" i="45"/>
  <c r="K80" i="45"/>
  <c r="K76" i="45"/>
  <c r="I12" i="50"/>
  <c r="I14" i="50"/>
  <c r="I13" i="50"/>
  <c r="I13" i="51"/>
  <c r="I14" i="51"/>
  <c r="I12" i="51"/>
  <c r="L9" i="46"/>
  <c r="L11" i="46" l="1"/>
  <c r="N11" i="46" s="1"/>
  <c r="F60" i="61"/>
  <c r="H60" i="61" s="1"/>
  <c r="D60" i="61"/>
  <c r="D93" i="61"/>
  <c r="F93" i="61" s="1"/>
  <c r="H93" i="61" s="1"/>
  <c r="F93" i="60"/>
  <c r="H93" i="60" s="1"/>
  <c r="D93" i="60"/>
  <c r="D93" i="45"/>
  <c r="F93" i="45" s="1"/>
  <c r="H93" i="45" s="1"/>
  <c r="D60" i="45"/>
  <c r="F60" i="45" s="1"/>
  <c r="H60" i="45" s="1"/>
  <c r="D60" i="60"/>
  <c r="F60" i="60"/>
  <c r="H60" i="60" s="1"/>
  <c r="L12" i="46"/>
  <c r="N12" i="46" s="1"/>
  <c r="D19" i="51"/>
  <c r="D18" i="51"/>
  <c r="F18" i="51" s="1"/>
  <c r="D14" i="51"/>
  <c r="F14" i="51" s="1"/>
  <c r="D13" i="51"/>
  <c r="F13" i="51" s="1"/>
  <c r="D12" i="51"/>
  <c r="F12" i="51" s="1"/>
  <c r="D19" i="50"/>
  <c r="F18" i="50"/>
  <c r="D18" i="50"/>
  <c r="D14" i="50"/>
  <c r="F14" i="50" s="1"/>
  <c r="D13" i="50"/>
  <c r="F13" i="50" s="1"/>
  <c r="G13" i="50" s="1"/>
  <c r="D12" i="50"/>
  <c r="F12" i="50" s="1"/>
  <c r="D14" i="40"/>
  <c r="F14" i="40" s="1"/>
  <c r="H14" i="40" s="1"/>
  <c r="F13" i="40"/>
  <c r="D13" i="40"/>
  <c r="E19" i="40"/>
  <c r="D19" i="40"/>
  <c r="D18" i="40"/>
  <c r="D12" i="40"/>
  <c r="D18" i="61"/>
  <c r="F18" i="61" s="1"/>
  <c r="H18" i="61" s="1"/>
  <c r="D17" i="61"/>
  <c r="F17" i="61" s="1"/>
  <c r="H17" i="61" s="1"/>
  <c r="F13" i="61"/>
  <c r="H13" i="61" s="1"/>
  <c r="D18" i="60"/>
  <c r="F18" i="60" s="1"/>
  <c r="H18" i="60" s="1"/>
  <c r="D17" i="60"/>
  <c r="F17" i="60" s="1"/>
  <c r="H17" i="60" s="1"/>
  <c r="F13" i="60"/>
  <c r="H13" i="60" s="1"/>
  <c r="D18" i="45"/>
  <c r="F18" i="45" s="1"/>
  <c r="H18" i="45" s="1"/>
  <c r="D17" i="45"/>
  <c r="F17" i="45" s="1"/>
  <c r="H17" i="45" s="1"/>
  <c r="F13" i="45"/>
  <c r="H13" i="45" s="1"/>
  <c r="J13" i="45" s="1"/>
  <c r="G45" i="61"/>
  <c r="G45" i="60"/>
  <c r="G45" i="45"/>
  <c r="M24" i="43"/>
  <c r="D17" i="51"/>
  <c r="D17" i="50"/>
  <c r="D17" i="40"/>
  <c r="B34" i="51"/>
  <c r="B33" i="51"/>
  <c r="B32" i="51"/>
  <c r="B34" i="50"/>
  <c r="B33" i="50"/>
  <c r="B32" i="50"/>
  <c r="E27" i="43"/>
  <c r="F27" i="43" s="1"/>
  <c r="G56" i="61"/>
  <c r="G85" i="61" s="1"/>
  <c r="F86" i="61"/>
  <c r="F85" i="61"/>
  <c r="F84" i="61"/>
  <c r="F83" i="61"/>
  <c r="F74" i="61"/>
  <c r="F73" i="61"/>
  <c r="F72" i="61"/>
  <c r="F71" i="61"/>
  <c r="F70" i="61"/>
  <c r="F69" i="61"/>
  <c r="F68" i="61"/>
  <c r="F67" i="61"/>
  <c r="F58" i="61"/>
  <c r="F56" i="61"/>
  <c r="F55" i="61"/>
  <c r="F54" i="61"/>
  <c r="F53" i="61"/>
  <c r="C53" i="61"/>
  <c r="F52" i="61"/>
  <c r="F51" i="61"/>
  <c r="F49" i="61"/>
  <c r="F48" i="61"/>
  <c r="F47" i="61"/>
  <c r="F46" i="61"/>
  <c r="F45" i="61"/>
  <c r="F44" i="61"/>
  <c r="F43" i="61"/>
  <c r="F39" i="61"/>
  <c r="F38" i="61"/>
  <c r="F35" i="61"/>
  <c r="F34" i="61"/>
  <c r="F30" i="61"/>
  <c r="F29" i="61"/>
  <c r="F26" i="61"/>
  <c r="F25" i="61"/>
  <c r="F23" i="61"/>
  <c r="F22" i="61"/>
  <c r="F16" i="61"/>
  <c r="F15" i="61"/>
  <c r="F12" i="61"/>
  <c r="N5" i="61"/>
  <c r="N4" i="61"/>
  <c r="N3" i="61"/>
  <c r="G56" i="60"/>
  <c r="G85" i="60" s="1"/>
  <c r="F86" i="60"/>
  <c r="F85" i="60"/>
  <c r="F84" i="60"/>
  <c r="F83" i="60"/>
  <c r="F74" i="60"/>
  <c r="F73" i="60"/>
  <c r="F72" i="60"/>
  <c r="F71" i="60"/>
  <c r="F70" i="60"/>
  <c r="F69" i="60"/>
  <c r="F68" i="60"/>
  <c r="F67" i="60"/>
  <c r="F58" i="60"/>
  <c r="F56" i="60"/>
  <c r="F55" i="60"/>
  <c r="F54" i="60"/>
  <c r="F53" i="60"/>
  <c r="C53" i="60"/>
  <c r="F52" i="60"/>
  <c r="F51" i="60"/>
  <c r="F49" i="60"/>
  <c r="F48" i="60"/>
  <c r="F47" i="60"/>
  <c r="F46" i="60"/>
  <c r="F45" i="60"/>
  <c r="F44" i="60"/>
  <c r="F43" i="60"/>
  <c r="F39" i="60"/>
  <c r="F38" i="60"/>
  <c r="F35" i="60"/>
  <c r="F34" i="60"/>
  <c r="F30" i="60"/>
  <c r="F29" i="60"/>
  <c r="F26" i="60"/>
  <c r="F25" i="60"/>
  <c r="F23" i="60"/>
  <c r="F22" i="60"/>
  <c r="F16" i="60"/>
  <c r="F15" i="60"/>
  <c r="F12" i="60"/>
  <c r="N5" i="60"/>
  <c r="N4" i="60"/>
  <c r="N3" i="60"/>
  <c r="G48" i="45"/>
  <c r="G73" i="45" s="1"/>
  <c r="G44" i="45"/>
  <c r="G86" i="45" s="1"/>
  <c r="E18" i="43"/>
  <c r="F18" i="43" s="1"/>
  <c r="D18" i="43"/>
  <c r="G69" i="45" s="1"/>
  <c r="D7" i="43"/>
  <c r="G29" i="45" s="1"/>
  <c r="G53" i="45" s="1"/>
  <c r="D6" i="43"/>
  <c r="D5" i="43"/>
  <c r="D26" i="43"/>
  <c r="D25" i="43"/>
  <c r="E25" i="43" s="1"/>
  <c r="F25" i="43" s="1"/>
  <c r="D24" i="43"/>
  <c r="G34" i="45" s="1"/>
  <c r="G36" i="45" s="1"/>
  <c r="D23" i="43"/>
  <c r="G49" i="45" s="1"/>
  <c r="G74" i="45" s="1"/>
  <c r="D22" i="43"/>
  <c r="G46" i="45" s="1"/>
  <c r="G71" i="45" s="1"/>
  <c r="D21" i="43"/>
  <c r="D20" i="43"/>
  <c r="E20" i="43" s="1"/>
  <c r="F20" i="43" s="1"/>
  <c r="D19" i="43"/>
  <c r="D4" i="43"/>
  <c r="E4" i="43" s="1"/>
  <c r="F4" i="43" s="1"/>
  <c r="G16" i="61" s="1"/>
  <c r="G56" i="45"/>
  <c r="G85" i="45" s="1"/>
  <c r="F53" i="45"/>
  <c r="F52" i="45"/>
  <c r="F51" i="45"/>
  <c r="C53" i="45"/>
  <c r="F38" i="45"/>
  <c r="F34" i="45"/>
  <c r="B32" i="40"/>
  <c r="B34" i="40"/>
  <c r="B33" i="40"/>
  <c r="N5" i="45"/>
  <c r="N4" i="45"/>
  <c r="N3" i="45"/>
  <c r="F30" i="45"/>
  <c r="F29" i="45"/>
  <c r="F26" i="45"/>
  <c r="F25" i="45"/>
  <c r="F23" i="45"/>
  <c r="J60" i="61" l="1"/>
  <c r="K60" i="61" s="1"/>
  <c r="I60" i="61"/>
  <c r="J93" i="61"/>
  <c r="I93" i="61"/>
  <c r="K93" i="61" s="1"/>
  <c r="J93" i="60"/>
  <c r="I93" i="60"/>
  <c r="K93" i="60" s="1"/>
  <c r="J93" i="45"/>
  <c r="I93" i="45"/>
  <c r="K93" i="45" s="1"/>
  <c r="J60" i="45"/>
  <c r="I60" i="45"/>
  <c r="F19" i="51"/>
  <c r="H19" i="51" s="1"/>
  <c r="I60" i="60"/>
  <c r="J60" i="60"/>
  <c r="F19" i="50"/>
  <c r="H19" i="50" s="1"/>
  <c r="G18" i="51"/>
  <c r="I18" i="51" s="1"/>
  <c r="H18" i="51"/>
  <c r="H12" i="51"/>
  <c r="G12" i="51"/>
  <c r="H14" i="51"/>
  <c r="G14" i="51"/>
  <c r="H13" i="51"/>
  <c r="G13" i="51"/>
  <c r="G18" i="50"/>
  <c r="I18" i="50" s="1"/>
  <c r="H18" i="50"/>
  <c r="H14" i="50"/>
  <c r="G14" i="50"/>
  <c r="H12" i="50"/>
  <c r="G12" i="50"/>
  <c r="H13" i="50"/>
  <c r="G14" i="40"/>
  <c r="I14" i="40" s="1"/>
  <c r="G13" i="40"/>
  <c r="H13" i="40"/>
  <c r="F12" i="40"/>
  <c r="G12" i="40" s="1"/>
  <c r="F18" i="40"/>
  <c r="G18" i="40" s="1"/>
  <c r="F19" i="40"/>
  <c r="G19" i="40" s="1"/>
  <c r="J18" i="61"/>
  <c r="I18" i="61"/>
  <c r="I17" i="61"/>
  <c r="K17" i="61" s="1"/>
  <c r="J17" i="61"/>
  <c r="J13" i="61"/>
  <c r="I13" i="61"/>
  <c r="I17" i="60"/>
  <c r="J17" i="60"/>
  <c r="K17" i="60" s="1"/>
  <c r="J18" i="60"/>
  <c r="I18" i="60"/>
  <c r="J13" i="60"/>
  <c r="I13" i="60"/>
  <c r="I18" i="45"/>
  <c r="J18" i="45"/>
  <c r="K18" i="45" s="1"/>
  <c r="J17" i="45"/>
  <c r="I17" i="45"/>
  <c r="I13" i="45"/>
  <c r="K13" i="45" s="1"/>
  <c r="H53" i="45"/>
  <c r="I53" i="45" s="1"/>
  <c r="G55" i="60"/>
  <c r="G83" i="60" s="1"/>
  <c r="H83" i="60" s="1"/>
  <c r="I83" i="60" s="1"/>
  <c r="E7" i="43"/>
  <c r="G55" i="45"/>
  <c r="G83" i="45" s="1"/>
  <c r="M25" i="43"/>
  <c r="G47" i="45"/>
  <c r="G72" i="45" s="1"/>
  <c r="M4" i="43"/>
  <c r="O25" i="43"/>
  <c r="E17" i="51"/>
  <c r="F17" i="51" s="1"/>
  <c r="G43" i="61"/>
  <c r="H43" i="61" s="1"/>
  <c r="J43" i="61" s="1"/>
  <c r="G44" i="60"/>
  <c r="G44" i="61"/>
  <c r="G86" i="61" s="1"/>
  <c r="H86" i="61" s="1"/>
  <c r="G55" i="61"/>
  <c r="G83" i="61" s="1"/>
  <c r="H83" i="61" s="1"/>
  <c r="I83" i="61" s="1"/>
  <c r="G16" i="60"/>
  <c r="H16" i="60" s="1"/>
  <c r="I16" i="60" s="1"/>
  <c r="H16" i="61"/>
  <c r="I16" i="61" s="1"/>
  <c r="G29" i="60"/>
  <c r="G30" i="60" s="1"/>
  <c r="N4" i="43"/>
  <c r="G58" i="45"/>
  <c r="H56" i="61"/>
  <c r="I56" i="61" s="1"/>
  <c r="J56" i="61"/>
  <c r="H85" i="61"/>
  <c r="J16" i="61"/>
  <c r="H56" i="60"/>
  <c r="J56" i="60" s="1"/>
  <c r="H85" i="60"/>
  <c r="E5" i="43"/>
  <c r="G22" i="45"/>
  <c r="G25" i="45"/>
  <c r="G27" i="45" s="1"/>
  <c r="E6" i="43"/>
  <c r="F6" i="43" s="1"/>
  <c r="G25" i="61" s="1"/>
  <c r="G26" i="61" s="1"/>
  <c r="H26" i="61" s="1"/>
  <c r="J26" i="61" s="1"/>
  <c r="G38" i="45"/>
  <c r="G39" i="45" s="1"/>
  <c r="H34" i="45"/>
  <c r="J34" i="45" s="1"/>
  <c r="G35" i="45"/>
  <c r="G30" i="45"/>
  <c r="G31" i="45" s="1"/>
  <c r="E23" i="43"/>
  <c r="E26" i="43"/>
  <c r="F26" i="43" s="1"/>
  <c r="G38" i="61" s="1"/>
  <c r="E21" i="43"/>
  <c r="E24" i="43"/>
  <c r="E19" i="43"/>
  <c r="G15" i="61"/>
  <c r="E22" i="43"/>
  <c r="G77" i="45"/>
  <c r="H29" i="45"/>
  <c r="I29" i="45" s="1"/>
  <c r="K18" i="61" l="1"/>
  <c r="K13" i="61"/>
  <c r="G19" i="50"/>
  <c r="I19" i="50" s="1"/>
  <c r="K60" i="45"/>
  <c r="J53" i="45"/>
  <c r="K53" i="45" s="1"/>
  <c r="G19" i="51"/>
  <c r="I19" i="51" s="1"/>
  <c r="K17" i="45"/>
  <c r="K60" i="60"/>
  <c r="K18" i="60"/>
  <c r="H18" i="40"/>
  <c r="I13" i="40"/>
  <c r="H12" i="40"/>
  <c r="I18" i="40"/>
  <c r="H19" i="40"/>
  <c r="I19" i="40" s="1"/>
  <c r="I12" i="40"/>
  <c r="G17" i="51"/>
  <c r="H17" i="51"/>
  <c r="I43" i="61"/>
  <c r="K43" i="61" s="1"/>
  <c r="J83" i="61"/>
  <c r="K83" i="61" s="1"/>
  <c r="H55" i="61"/>
  <c r="J55" i="61" s="1"/>
  <c r="J83" i="60"/>
  <c r="K83" i="60" s="1"/>
  <c r="K13" i="60"/>
  <c r="J16" i="60"/>
  <c r="K16" i="60" s="1"/>
  <c r="G76" i="45"/>
  <c r="H25" i="45"/>
  <c r="J25" i="45" s="1"/>
  <c r="I34" i="45"/>
  <c r="K34" i="45" s="1"/>
  <c r="G39" i="61"/>
  <c r="H38" i="61"/>
  <c r="J38" i="61" s="1"/>
  <c r="F7" i="43"/>
  <c r="G29" i="61" s="1"/>
  <c r="G53" i="60"/>
  <c r="H53" i="60" s="1"/>
  <c r="J53" i="60" s="1"/>
  <c r="G53" i="61"/>
  <c r="H53" i="61" s="1"/>
  <c r="G54" i="45"/>
  <c r="G78" i="45" s="1"/>
  <c r="H55" i="60"/>
  <c r="J86" i="61"/>
  <c r="I86" i="61"/>
  <c r="F21" i="43"/>
  <c r="G47" i="61" s="1"/>
  <c r="G47" i="60"/>
  <c r="K56" i="61"/>
  <c r="H15" i="61"/>
  <c r="J15" i="61" s="1"/>
  <c r="E16" i="51"/>
  <c r="F23" i="43"/>
  <c r="G49" i="61"/>
  <c r="G49" i="60"/>
  <c r="G52" i="60"/>
  <c r="H52" i="60" s="1"/>
  <c r="J52" i="60" s="1"/>
  <c r="G52" i="61"/>
  <c r="H52" i="61" s="1"/>
  <c r="G25" i="60"/>
  <c r="G76" i="61"/>
  <c r="K76" i="61" s="1"/>
  <c r="E17" i="50"/>
  <c r="F17" i="50" s="1"/>
  <c r="G43" i="60"/>
  <c r="H43" i="60" s="1"/>
  <c r="F22" i="43"/>
  <c r="G46" i="60"/>
  <c r="G46" i="61"/>
  <c r="F19" i="43"/>
  <c r="G48" i="61"/>
  <c r="G48" i="60"/>
  <c r="G27" i="61"/>
  <c r="K27" i="61" s="1"/>
  <c r="G69" i="61"/>
  <c r="H69" i="61" s="1"/>
  <c r="G38" i="60"/>
  <c r="H44" i="60"/>
  <c r="G69" i="60"/>
  <c r="H69" i="60" s="1"/>
  <c r="F24" i="43"/>
  <c r="G34" i="61" s="1"/>
  <c r="G34" i="60"/>
  <c r="G54" i="60" a="1"/>
  <c r="G54" i="60" s="1"/>
  <c r="G86" i="60"/>
  <c r="H86" i="60" s="1"/>
  <c r="I86" i="60" s="1"/>
  <c r="H25" i="61"/>
  <c r="I25" i="61" s="1"/>
  <c r="H44" i="61"/>
  <c r="H38" i="45"/>
  <c r="J38" i="45" s="1"/>
  <c r="F5" i="43"/>
  <c r="G22" i="61" s="1"/>
  <c r="G51" i="60"/>
  <c r="H51" i="60" s="1"/>
  <c r="J51" i="60" s="1"/>
  <c r="G22" i="60"/>
  <c r="G77" i="60"/>
  <c r="H29" i="60"/>
  <c r="G84" i="45"/>
  <c r="G15" i="60"/>
  <c r="G58" i="60"/>
  <c r="E21" i="50" s="1"/>
  <c r="G58" i="61"/>
  <c r="E21" i="51" s="1"/>
  <c r="I26" i="61"/>
  <c r="K26" i="61" s="1"/>
  <c r="K16" i="61"/>
  <c r="J85" i="61"/>
  <c r="I85" i="61"/>
  <c r="G80" i="61"/>
  <c r="I56" i="60"/>
  <c r="K56" i="60" s="1"/>
  <c r="H30" i="60"/>
  <c r="G31" i="60"/>
  <c r="J85" i="60"/>
  <c r="I85" i="60"/>
  <c r="G52" i="45"/>
  <c r="H52" i="45" s="1"/>
  <c r="G26" i="45"/>
  <c r="H26" i="45" s="1"/>
  <c r="J26" i="45" s="1"/>
  <c r="G51" i="45"/>
  <c r="H51" i="45" s="1"/>
  <c r="G23" i="45"/>
  <c r="H23" i="45" s="1"/>
  <c r="I23" i="45" s="1"/>
  <c r="H30" i="45"/>
  <c r="J30" i="45" s="1"/>
  <c r="J29" i="45"/>
  <c r="K27" i="45"/>
  <c r="K31" i="45"/>
  <c r="K86" i="61" l="1"/>
  <c r="I17" i="51"/>
  <c r="J25" i="61"/>
  <c r="K25" i="61" s="1"/>
  <c r="K31" i="61"/>
  <c r="I38" i="61"/>
  <c r="K38" i="61" s="1"/>
  <c r="K55" i="61"/>
  <c r="I55" i="61"/>
  <c r="J86" i="60"/>
  <c r="I53" i="60"/>
  <c r="K53" i="60" s="1"/>
  <c r="I52" i="60"/>
  <c r="K52" i="60" s="1"/>
  <c r="I25" i="45"/>
  <c r="G51" i="61"/>
  <c r="H51" i="61" s="1"/>
  <c r="J51" i="61" s="1"/>
  <c r="I53" i="61"/>
  <c r="J53" i="61"/>
  <c r="H29" i="61"/>
  <c r="G77" i="61"/>
  <c r="G30" i="61"/>
  <c r="I15" i="61"/>
  <c r="K15" i="61" s="1"/>
  <c r="G40" i="61"/>
  <c r="K40" i="61" s="1"/>
  <c r="H39" i="61"/>
  <c r="J55" i="60"/>
  <c r="I55" i="60"/>
  <c r="O24" i="43"/>
  <c r="H47" i="61"/>
  <c r="G72" i="61"/>
  <c r="H72" i="61" s="1"/>
  <c r="H15" i="60"/>
  <c r="J15" i="60" s="1"/>
  <c r="E16" i="50"/>
  <c r="I38" i="45"/>
  <c r="K38" i="45" s="1"/>
  <c r="G36" i="60"/>
  <c r="K36" i="60" s="1"/>
  <c r="H34" i="60"/>
  <c r="G35" i="60"/>
  <c r="H35" i="60" s="1"/>
  <c r="G73" i="61"/>
  <c r="H73" i="61" s="1"/>
  <c r="H48" i="61"/>
  <c r="K85" i="61"/>
  <c r="G23" i="61"/>
  <c r="H23" i="61" s="1"/>
  <c r="H22" i="61"/>
  <c r="G36" i="61"/>
  <c r="K36" i="61" s="1"/>
  <c r="H34" i="61"/>
  <c r="G35" i="61"/>
  <c r="H35" i="61" s="1"/>
  <c r="G26" i="60"/>
  <c r="H26" i="60" s="1"/>
  <c r="H25" i="60"/>
  <c r="G27" i="60"/>
  <c r="G76" i="60"/>
  <c r="I44" i="60"/>
  <c r="J44" i="60"/>
  <c r="G71" i="61"/>
  <c r="H71" i="61" s="1"/>
  <c r="H46" i="61"/>
  <c r="G72" i="60"/>
  <c r="H72" i="60" s="1"/>
  <c r="H47" i="60"/>
  <c r="I26" i="45"/>
  <c r="I29" i="60"/>
  <c r="J29" i="60"/>
  <c r="G39" i="60"/>
  <c r="H38" i="60"/>
  <c r="G71" i="60"/>
  <c r="H71" i="60" s="1"/>
  <c r="H46" i="60"/>
  <c r="H49" i="60"/>
  <c r="G74" i="60"/>
  <c r="H74" i="60" s="1"/>
  <c r="G81" i="60"/>
  <c r="K81" i="60" s="1"/>
  <c r="K77" i="60"/>
  <c r="I69" i="61"/>
  <c r="J69" i="61"/>
  <c r="H49" i="61"/>
  <c r="G74" i="61"/>
  <c r="H74" i="61" s="1"/>
  <c r="I69" i="60"/>
  <c r="J69" i="60"/>
  <c r="J52" i="61"/>
  <c r="I52" i="61"/>
  <c r="J44" i="61"/>
  <c r="I44" i="61"/>
  <c r="I51" i="60"/>
  <c r="K51" i="60" s="1"/>
  <c r="H22" i="60"/>
  <c r="G23" i="60"/>
  <c r="H23" i="60" s="1"/>
  <c r="G54" i="61" a="1"/>
  <c r="G54" i="61" s="1"/>
  <c r="I43" i="60"/>
  <c r="J43" i="60"/>
  <c r="H54" i="60"/>
  <c r="G78" i="60"/>
  <c r="G73" i="60"/>
  <c r="H73" i="60" s="1"/>
  <c r="H48" i="60"/>
  <c r="H17" i="50"/>
  <c r="G17" i="50"/>
  <c r="H58" i="60"/>
  <c r="G84" i="60"/>
  <c r="H84" i="60" s="1"/>
  <c r="L10" i="46"/>
  <c r="G84" i="61"/>
  <c r="H84" i="61" s="1"/>
  <c r="H58" i="61"/>
  <c r="K86" i="60"/>
  <c r="K85" i="60"/>
  <c r="I30" i="60"/>
  <c r="J30" i="60"/>
  <c r="J23" i="45"/>
  <c r="I51" i="45"/>
  <c r="J51" i="45"/>
  <c r="J52" i="45"/>
  <c r="I52" i="45"/>
  <c r="I30" i="45"/>
  <c r="K51" i="45" l="1"/>
  <c r="K52" i="45"/>
  <c r="I15" i="60"/>
  <c r="K15" i="60" s="1"/>
  <c r="K29" i="60"/>
  <c r="I51" i="61"/>
  <c r="K51" i="61" s="1"/>
  <c r="K52" i="61"/>
  <c r="K69" i="60"/>
  <c r="K43" i="60"/>
  <c r="K44" i="61"/>
  <c r="G31" i="61"/>
  <c r="H30" i="61"/>
  <c r="K77" i="61"/>
  <c r="G81" i="61"/>
  <c r="K81" i="61" s="1"/>
  <c r="J29" i="61"/>
  <c r="I29" i="61"/>
  <c r="K55" i="60"/>
  <c r="I17" i="50"/>
  <c r="K53" i="61"/>
  <c r="I39" i="61"/>
  <c r="J39" i="61"/>
  <c r="J22" i="61"/>
  <c r="I22" i="61"/>
  <c r="I48" i="60"/>
  <c r="J48" i="60"/>
  <c r="I22" i="60"/>
  <c r="J22" i="60"/>
  <c r="G80" i="60"/>
  <c r="K76" i="60"/>
  <c r="J23" i="61"/>
  <c r="I23" i="61"/>
  <c r="I23" i="60"/>
  <c r="J23" i="60"/>
  <c r="G82" i="60"/>
  <c r="K82" i="60" s="1"/>
  <c r="K78" i="60"/>
  <c r="I74" i="61"/>
  <c r="J74" i="61"/>
  <c r="J49" i="60"/>
  <c r="I49" i="60"/>
  <c r="I47" i="60"/>
  <c r="J47" i="60"/>
  <c r="J25" i="60"/>
  <c r="I25" i="60"/>
  <c r="I48" i="61"/>
  <c r="J48" i="61"/>
  <c r="K27" i="60"/>
  <c r="K31" i="60"/>
  <c r="J54" i="60"/>
  <c r="I54" i="60"/>
  <c r="J49" i="61"/>
  <c r="I49" i="61"/>
  <c r="K49" i="61" s="1"/>
  <c r="J46" i="60"/>
  <c r="I46" i="60"/>
  <c r="J72" i="60"/>
  <c r="I72" i="60"/>
  <c r="J26" i="60"/>
  <c r="I26" i="60"/>
  <c r="J73" i="61"/>
  <c r="I73" i="61"/>
  <c r="J71" i="60"/>
  <c r="I71" i="60"/>
  <c r="K71" i="60" s="1"/>
  <c r="J46" i="61"/>
  <c r="I46" i="61"/>
  <c r="J35" i="61"/>
  <c r="I35" i="61"/>
  <c r="J35" i="60"/>
  <c r="I35" i="60"/>
  <c r="J73" i="60"/>
  <c r="I73" i="60"/>
  <c r="K73" i="60" s="1"/>
  <c r="I74" i="60"/>
  <c r="J74" i="60"/>
  <c r="K69" i="61"/>
  <c r="J38" i="60"/>
  <c r="I38" i="60"/>
  <c r="I71" i="61"/>
  <c r="J71" i="61"/>
  <c r="J34" i="61"/>
  <c r="I34" i="61"/>
  <c r="I34" i="60"/>
  <c r="J34" i="60"/>
  <c r="J72" i="61"/>
  <c r="I72" i="61"/>
  <c r="G78" i="61"/>
  <c r="H54" i="61"/>
  <c r="G40" i="60"/>
  <c r="K40" i="60" s="1"/>
  <c r="H39" i="60"/>
  <c r="K44" i="60"/>
  <c r="J47" i="61"/>
  <c r="I47" i="61"/>
  <c r="J58" i="61"/>
  <c r="I58" i="61"/>
  <c r="K58" i="61" s="1"/>
  <c r="J58" i="60"/>
  <c r="I58" i="60"/>
  <c r="J84" i="61"/>
  <c r="I84" i="61"/>
  <c r="I84" i="60"/>
  <c r="J84" i="60"/>
  <c r="K30" i="60"/>
  <c r="K46" i="60" l="1"/>
  <c r="K38" i="60"/>
  <c r="K49" i="60"/>
  <c r="K46" i="61"/>
  <c r="K71" i="61"/>
  <c r="K48" i="61"/>
  <c r="K47" i="61"/>
  <c r="K29" i="61"/>
  <c r="K34" i="61"/>
  <c r="K23" i="61"/>
  <c r="K22" i="61"/>
  <c r="K74" i="60"/>
  <c r="K39" i="61"/>
  <c r="K35" i="60"/>
  <c r="K25" i="60"/>
  <c r="J30" i="61"/>
  <c r="I30" i="61"/>
  <c r="K30" i="61" s="1"/>
  <c r="K34" i="60"/>
  <c r="K54" i="60"/>
  <c r="K48" i="60"/>
  <c r="K35" i="61"/>
  <c r="K26" i="60"/>
  <c r="K74" i="61"/>
  <c r="K22" i="60"/>
  <c r="K72" i="60"/>
  <c r="J39" i="60"/>
  <c r="I39" i="60"/>
  <c r="J54" i="61"/>
  <c r="I54" i="61"/>
  <c r="K47" i="60"/>
  <c r="K23" i="60"/>
  <c r="K78" i="61"/>
  <c r="G82" i="61"/>
  <c r="K82" i="61" s="1"/>
  <c r="K72" i="61"/>
  <c r="K73" i="61"/>
  <c r="K58" i="60"/>
  <c r="K84" i="60"/>
  <c r="K84" i="61"/>
  <c r="K54" i="61" l="1"/>
  <c r="K39" i="60"/>
  <c r="F22" i="45"/>
  <c r="H22" i="45" l="1"/>
  <c r="I22" i="45" s="1"/>
  <c r="J22" i="45" l="1"/>
  <c r="F86" i="45" l="1"/>
  <c r="F70" i="45"/>
  <c r="F69" i="45"/>
  <c r="F55" i="45"/>
  <c r="F49" i="45"/>
  <c r="F45" i="45"/>
  <c r="H86" i="45" l="1"/>
  <c r="J86" i="45" s="1"/>
  <c r="H69" i="45"/>
  <c r="I69" i="45" s="1"/>
  <c r="H55" i="45"/>
  <c r="I55" i="45" s="1"/>
  <c r="H49" i="45"/>
  <c r="I49" i="45" s="1"/>
  <c r="F44" i="45"/>
  <c r="G80" i="45"/>
  <c r="K78" i="45"/>
  <c r="G15" i="45"/>
  <c r="L8" i="46" s="1"/>
  <c r="G16" i="45"/>
  <c r="O28" i="43"/>
  <c r="O27" i="43"/>
  <c r="O26" i="43"/>
  <c r="O4" i="43"/>
  <c r="N28" i="43"/>
  <c r="M28" i="43"/>
  <c r="N27" i="43"/>
  <c r="M27" i="43"/>
  <c r="N26" i="43"/>
  <c r="M26" i="43"/>
  <c r="N25" i="43"/>
  <c r="N24" i="43"/>
  <c r="E17" i="40" l="1"/>
  <c r="F17" i="40" s="1"/>
  <c r="L7" i="46"/>
  <c r="O30" i="43"/>
  <c r="G12" i="61" s="1"/>
  <c r="I86" i="45"/>
  <c r="J49" i="45"/>
  <c r="J69" i="45"/>
  <c r="J55" i="45"/>
  <c r="H44" i="45"/>
  <c r="I44" i="45" s="1"/>
  <c r="G81" i="45"/>
  <c r="K81" i="45" s="1"/>
  <c r="E20" i="51" l="1"/>
  <c r="B9" i="46"/>
  <c r="G17" i="40"/>
  <c r="H17" i="40"/>
  <c r="H12" i="61"/>
  <c r="J44" i="45"/>
  <c r="K77" i="45"/>
  <c r="I17" i="40" l="1"/>
  <c r="I12" i="61"/>
  <c r="J12" i="61"/>
  <c r="K29" i="45"/>
  <c r="K30" i="45"/>
  <c r="K23" i="45"/>
  <c r="K25" i="45"/>
  <c r="K26" i="45"/>
  <c r="K86" i="45"/>
  <c r="K22" i="45"/>
  <c r="K69" i="45"/>
  <c r="K55" i="45"/>
  <c r="K49" i="45"/>
  <c r="K44" i="45"/>
  <c r="G40" i="45"/>
  <c r="K40" i="45" s="1"/>
  <c r="C4" i="43"/>
  <c r="K12" i="61" l="1"/>
  <c r="D12" i="43"/>
  <c r="F8" i="43"/>
  <c r="E8" i="43"/>
  <c r="E12" i="43"/>
  <c r="D8" i="43"/>
  <c r="F12" i="43"/>
  <c r="D21" i="51"/>
  <c r="D20" i="51"/>
  <c r="D16" i="51"/>
  <c r="D21" i="50"/>
  <c r="D20" i="50"/>
  <c r="D16" i="50"/>
  <c r="F13" i="43" l="1"/>
  <c r="F14" i="43" s="1"/>
  <c r="F15" i="43" s="1"/>
  <c r="D9" i="43"/>
  <c r="D10" i="43" s="1"/>
  <c r="E13" i="43"/>
  <c r="E14" i="43" s="1"/>
  <c r="E15" i="43" s="1"/>
  <c r="E9" i="43"/>
  <c r="E10" i="43" s="1"/>
  <c r="E11" i="43" s="1"/>
  <c r="F9" i="43"/>
  <c r="F10" i="43" s="1"/>
  <c r="F11" i="43" s="1"/>
  <c r="D13" i="43"/>
  <c r="D14" i="43" s="1"/>
  <c r="D15" i="43" s="1"/>
  <c r="F16" i="51"/>
  <c r="H16" i="51" s="1"/>
  <c r="F16" i="50"/>
  <c r="D11" i="43" l="1"/>
  <c r="H45" i="45"/>
  <c r="G70" i="45"/>
  <c r="H70" i="45" s="1"/>
  <c r="N30" i="43"/>
  <c r="G12" i="60" s="1"/>
  <c r="M30" i="43"/>
  <c r="G16" i="50"/>
  <c r="H16" i="50"/>
  <c r="G16" i="51"/>
  <c r="I16" i="51" s="1"/>
  <c r="E20" i="50" l="1"/>
  <c r="B8" i="46"/>
  <c r="H45" i="61"/>
  <c r="G70" i="61"/>
  <c r="H70" i="61" s="1"/>
  <c r="H45" i="60"/>
  <c r="G70" i="60"/>
  <c r="H70" i="60" s="1"/>
  <c r="H12" i="60"/>
  <c r="I70" i="45"/>
  <c r="J70" i="45"/>
  <c r="I45" i="45"/>
  <c r="J45" i="45"/>
  <c r="G12" i="45"/>
  <c r="B7" i="46" s="1"/>
  <c r="I16" i="50"/>
  <c r="E16" i="40"/>
  <c r="B10" i="46" l="1"/>
  <c r="B11" i="46"/>
  <c r="J70" i="60"/>
  <c r="I70" i="60"/>
  <c r="J45" i="60"/>
  <c r="I45" i="60"/>
  <c r="J70" i="61"/>
  <c r="I70" i="61"/>
  <c r="J45" i="61"/>
  <c r="J61" i="61" s="1"/>
  <c r="I45" i="61"/>
  <c r="H61" i="61"/>
  <c r="J12" i="60"/>
  <c r="J61" i="60" s="1"/>
  <c r="I12" i="60"/>
  <c r="H61" i="60"/>
  <c r="K45" i="45"/>
  <c r="K70" i="45"/>
  <c r="F17" i="43"/>
  <c r="E17" i="43"/>
  <c r="D17" i="43"/>
  <c r="C17" i="43"/>
  <c r="F16" i="43"/>
  <c r="E16" i="43"/>
  <c r="D16" i="43"/>
  <c r="C16" i="43"/>
  <c r="I61" i="60" l="1"/>
  <c r="K70" i="61"/>
  <c r="K45" i="60"/>
  <c r="M62" i="60" s="1"/>
  <c r="K70" i="60"/>
  <c r="K12" i="60"/>
  <c r="K61" i="60" s="1"/>
  <c r="G68" i="45"/>
  <c r="G68" i="60"/>
  <c r="H68" i="60" s="1"/>
  <c r="G68" i="61"/>
  <c r="H68" i="61" s="1"/>
  <c r="G67" i="61"/>
  <c r="H67" i="61" s="1"/>
  <c r="G67" i="45"/>
  <c r="G67" i="60"/>
  <c r="H67" i="60" s="1"/>
  <c r="K45" i="61"/>
  <c r="I61" i="61"/>
  <c r="H62" i="60"/>
  <c r="F20" i="51"/>
  <c r="F20" i="50"/>
  <c r="J68" i="61" l="1"/>
  <c r="I68" i="61"/>
  <c r="M62" i="61"/>
  <c r="K61" i="61"/>
  <c r="J68" i="60"/>
  <c r="I68" i="60"/>
  <c r="H62" i="61"/>
  <c r="J67" i="61"/>
  <c r="J94" i="61" s="1"/>
  <c r="J96" i="61" s="1"/>
  <c r="E9" i="46" s="1"/>
  <c r="I67" i="61"/>
  <c r="H94" i="61"/>
  <c r="H96" i="61" s="1"/>
  <c r="J67" i="60"/>
  <c r="I67" i="60"/>
  <c r="H94" i="60"/>
  <c r="H96" i="60" s="1"/>
  <c r="C8" i="46" s="1"/>
  <c r="G20" i="50"/>
  <c r="H20" i="50"/>
  <c r="H20" i="51"/>
  <c r="G20" i="51"/>
  <c r="K68" i="61" l="1"/>
  <c r="I94" i="61"/>
  <c r="H95" i="61" s="1"/>
  <c r="K68" i="60"/>
  <c r="J94" i="60"/>
  <c r="K67" i="61"/>
  <c r="K94" i="61" s="1"/>
  <c r="K96" i="61" s="1"/>
  <c r="G9" i="46" s="1"/>
  <c r="K67" i="60"/>
  <c r="G8" i="46" s="1"/>
  <c r="I94" i="60"/>
  <c r="I96" i="60" s="1"/>
  <c r="D8" i="46" s="1"/>
  <c r="J96" i="60"/>
  <c r="E8" i="46" s="1"/>
  <c r="C9" i="46"/>
  <c r="I96" i="61"/>
  <c r="D9" i="46" s="1"/>
  <c r="I20" i="50"/>
  <c r="I20" i="51"/>
  <c r="H97" i="61" l="1"/>
  <c r="H95" i="60"/>
  <c r="F8" i="46"/>
  <c r="H97" i="60"/>
  <c r="F9" i="46"/>
  <c r="E21" i="40"/>
  <c r="F21" i="50" l="1"/>
  <c r="F21" i="51"/>
  <c r="N10" i="46"/>
  <c r="G21" i="50" l="1"/>
  <c r="G22" i="50" s="1"/>
  <c r="D8" i="49" s="1"/>
  <c r="H21" i="50"/>
  <c r="H22" i="50" s="1"/>
  <c r="C8" i="49" s="1"/>
  <c r="F22" i="50"/>
  <c r="H21" i="51"/>
  <c r="H22" i="51" s="1"/>
  <c r="C9" i="49" s="1"/>
  <c r="G21" i="51"/>
  <c r="G22" i="51" s="1"/>
  <c r="D9" i="49" s="1"/>
  <c r="F22" i="51"/>
  <c r="K36" i="45"/>
  <c r="F85" i="45"/>
  <c r="F84" i="45"/>
  <c r="F74" i="45"/>
  <c r="F83" i="45"/>
  <c r="F73" i="45"/>
  <c r="H73" i="45" s="1"/>
  <c r="J73" i="45" s="1"/>
  <c r="F72" i="45"/>
  <c r="F71" i="45"/>
  <c r="F68" i="45"/>
  <c r="F67" i="45"/>
  <c r="F58" i="45"/>
  <c r="H58" i="45" s="1"/>
  <c r="J58" i="45" s="1"/>
  <c r="F56" i="45"/>
  <c r="H56" i="45" s="1"/>
  <c r="J56" i="45" s="1"/>
  <c r="F54" i="45"/>
  <c r="H54" i="45" s="1"/>
  <c r="F48" i="45"/>
  <c r="H48" i="45" s="1"/>
  <c r="F47" i="45"/>
  <c r="H47" i="45" s="1"/>
  <c r="J47" i="45" s="1"/>
  <c r="F46" i="45"/>
  <c r="F43" i="45"/>
  <c r="F39" i="45"/>
  <c r="H39" i="45" s="1"/>
  <c r="J39" i="45" s="1"/>
  <c r="F35" i="45"/>
  <c r="F15" i="45"/>
  <c r="F16" i="45"/>
  <c r="F12" i="45"/>
  <c r="N8" i="46"/>
  <c r="D21" i="40"/>
  <c r="D20" i="40"/>
  <c r="D16" i="40"/>
  <c r="F16" i="40" s="1"/>
  <c r="H85" i="45" l="1"/>
  <c r="J85" i="45" s="1"/>
  <c r="I21" i="51"/>
  <c r="I22" i="51" s="1"/>
  <c r="F9" i="49" s="1"/>
  <c r="I21" i="50"/>
  <c r="I22" i="50" s="1"/>
  <c r="F8" i="49" s="1"/>
  <c r="B9" i="49"/>
  <c r="F23" i="51"/>
  <c r="F23" i="50"/>
  <c r="B8" i="49"/>
  <c r="E8" i="49" s="1"/>
  <c r="G43" i="45"/>
  <c r="H43" i="45" s="1"/>
  <c r="J43" i="45" s="1"/>
  <c r="E20" i="40"/>
  <c r="F20" i="40" s="1"/>
  <c r="G20" i="40" s="1"/>
  <c r="H16" i="45"/>
  <c r="I16" i="45" s="1"/>
  <c r="H12" i="45"/>
  <c r="I12" i="45" s="1"/>
  <c r="H35" i="45"/>
  <c r="I35" i="45" s="1"/>
  <c r="I58" i="45"/>
  <c r="K58" i="45" s="1"/>
  <c r="H15" i="45"/>
  <c r="I15" i="45" s="1"/>
  <c r="H46" i="45"/>
  <c r="J46" i="45" s="1"/>
  <c r="H67" i="45"/>
  <c r="J67" i="45" s="1"/>
  <c r="H71" i="45"/>
  <c r="I71" i="45" s="1"/>
  <c r="G16" i="40"/>
  <c r="H16" i="40"/>
  <c r="J48" i="45"/>
  <c r="I48" i="45"/>
  <c r="I39" i="45"/>
  <c r="K39" i="45" s="1"/>
  <c r="H84" i="45"/>
  <c r="J84" i="45" s="1"/>
  <c r="I56" i="45"/>
  <c r="K56" i="45" s="1"/>
  <c r="H68" i="45"/>
  <c r="I68" i="45" s="1"/>
  <c r="F21" i="40"/>
  <c r="I47" i="45"/>
  <c r="K47" i="45" s="1"/>
  <c r="J54" i="45"/>
  <c r="I54" i="45"/>
  <c r="G82" i="45"/>
  <c r="K82" i="45" s="1"/>
  <c r="I73" i="45"/>
  <c r="K73" i="45" s="1"/>
  <c r="N9" i="46" l="1"/>
  <c r="N13" i="46" s="1"/>
  <c r="I85" i="45"/>
  <c r="K85" i="45" s="1"/>
  <c r="H74" i="45"/>
  <c r="I74" i="45" s="1"/>
  <c r="H72" i="45"/>
  <c r="J72" i="45" s="1"/>
  <c r="J15" i="45"/>
  <c r="K15" i="45" s="1"/>
  <c r="I46" i="45"/>
  <c r="K46" i="45" s="1"/>
  <c r="J16" i="45"/>
  <c r="K16" i="45" s="1"/>
  <c r="N7" i="46"/>
  <c r="I16" i="40"/>
  <c r="J12" i="45"/>
  <c r="K12" i="45" s="1"/>
  <c r="J35" i="45"/>
  <c r="K35" i="45" s="1"/>
  <c r="K48" i="45"/>
  <c r="H20" i="40"/>
  <c r="I20" i="40" s="1"/>
  <c r="F22" i="40"/>
  <c r="B7" i="49" s="1"/>
  <c r="J71" i="45"/>
  <c r="K71" i="45" s="1"/>
  <c r="I67" i="45"/>
  <c r="K67" i="45" s="1"/>
  <c r="I84" i="45"/>
  <c r="K84" i="45" s="1"/>
  <c r="I43" i="45"/>
  <c r="K43" i="45" s="1"/>
  <c r="J68" i="45"/>
  <c r="K68" i="45" s="1"/>
  <c r="H21" i="40"/>
  <c r="G21" i="40"/>
  <c r="G22" i="40" s="1"/>
  <c r="D7" i="49" s="1"/>
  <c r="K54" i="45"/>
  <c r="K61" i="45" l="1"/>
  <c r="H61" i="45"/>
  <c r="J74" i="45"/>
  <c r="K74" i="45" s="1"/>
  <c r="I72" i="45"/>
  <c r="K72" i="45" s="1"/>
  <c r="H83" i="45"/>
  <c r="I83" i="45" s="1"/>
  <c r="I11" i="46"/>
  <c r="I10" i="46"/>
  <c r="B11" i="49"/>
  <c r="B10" i="49"/>
  <c r="H22" i="40"/>
  <c r="C7" i="49" s="1"/>
  <c r="E7" i="49" s="1"/>
  <c r="I21" i="40"/>
  <c r="I22" i="40" s="1"/>
  <c r="F7" i="49" s="1"/>
  <c r="J61" i="45"/>
  <c r="M62" i="45" l="1"/>
  <c r="I61" i="45"/>
  <c r="H62" i="45" s="1"/>
  <c r="J83" i="45"/>
  <c r="K83" i="45" s="1"/>
  <c r="H94" i="45"/>
  <c r="H96" i="45" s="1"/>
  <c r="C7" i="46" s="1"/>
  <c r="C10" i="46" s="1"/>
  <c r="F23" i="40"/>
  <c r="C11" i="49"/>
  <c r="C10" i="49"/>
  <c r="D10" i="49"/>
  <c r="D11" i="49"/>
  <c r="E9" i="49"/>
  <c r="I94" i="45"/>
  <c r="J94" i="45" l="1"/>
  <c r="J96" i="45" s="1"/>
  <c r="E7" i="46" s="1"/>
  <c r="E10" i="46" s="1"/>
  <c r="C11" i="46"/>
  <c r="E10" i="49"/>
  <c r="E11" i="49"/>
  <c r="F11" i="49"/>
  <c r="F10" i="49"/>
  <c r="I96" i="45"/>
  <c r="D7" i="46" s="1"/>
  <c r="D10" i="46" s="1"/>
  <c r="H95" i="45" l="1"/>
  <c r="G7" i="46"/>
  <c r="G10" i="46" s="1"/>
  <c r="E11" i="46"/>
  <c r="H97" i="45"/>
  <c r="D11" i="46" l="1"/>
  <c r="F7" i="46"/>
  <c r="F10" i="46" s="1"/>
  <c r="F11" i="46" l="1"/>
  <c r="N15" i="4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<sst xmlns="http://schemas.openxmlformats.org/spreadsheetml/2006/main" count="1178" uniqueCount="272">
  <si>
    <t>Table 1a.  Year 1 Respondent Burden of Reporting and Recordkeeping Requirements</t>
  </si>
  <si>
    <t>Labor Rates</t>
  </si>
  <si>
    <t>Standards of Performance for Crude Oil and Natural Gas Facilities for which Construction, Modification, or Reconstruction Commenced</t>
  </si>
  <si>
    <t>Technical</t>
  </si>
  <si>
    <t xml:space="preserve">Plant and System Operators 51-8000 ($23.60 +110%) </t>
  </si>
  <si>
    <t>Managerial</t>
  </si>
  <si>
    <t xml:space="preserve">General and Operations Managers 11-1021 ($57.39 +110%) </t>
  </si>
  <si>
    <t xml:space="preserve">Year </t>
  </si>
  <si>
    <t>(A)</t>
  </si>
  <si>
    <t>(B)</t>
  </si>
  <si>
    <t xml:space="preserve">(C) </t>
  </si>
  <si>
    <t>(D)</t>
  </si>
  <si>
    <t>(E)</t>
  </si>
  <si>
    <t>(F)</t>
  </si>
  <si>
    <t>(G)</t>
  </si>
  <si>
    <t>(H)</t>
  </si>
  <si>
    <t>Clerical</t>
  </si>
  <si>
    <t xml:space="preserve">Secretaries and Administrative Assistants 43-6010 ($22.57 + 110%) </t>
  </si>
  <si>
    <t>Person-Hours per Occurrence</t>
  </si>
  <si>
    <t>Number of Occurrences per Respondent per Year</t>
  </si>
  <si>
    <t>Person-Hours per Respondent per Year (A*B)</t>
  </si>
  <si>
    <t>Respondents per Year</t>
  </si>
  <si>
    <t>Technical Person-Hours per Year   (C*D)</t>
  </si>
  <si>
    <t>Managerial Person-Hours per Year (0.05*E)</t>
  </si>
  <si>
    <t>Clerical Person-Hours per Year (0.10*E)</t>
  </si>
  <si>
    <t>Cost per Year</t>
  </si>
  <si>
    <t>Subpart OOOOb Proposed Requirement</t>
  </si>
  <si>
    <t>1. APPLICATIONS (Not Applicable)</t>
  </si>
  <si>
    <t>2. SURVEY AND STUDIES (Not Applicable)</t>
  </si>
  <si>
    <t>3. ACQUISITION, INSTALLATION, AND UTILIZATION OF TECHNOLOGY AND SYSTEMS (Not Applicable)</t>
  </si>
  <si>
    <t>4. REPORT REQUIREMENTS</t>
  </si>
  <si>
    <t>A. Read Instructions</t>
  </si>
  <si>
    <t>Affected Facilities</t>
  </si>
  <si>
    <t>B. Required Activities</t>
  </si>
  <si>
    <t>Notification of Construction/Reconstruction/Modification</t>
  </si>
  <si>
    <t>§60.5420b(a)(1)</t>
  </si>
  <si>
    <t>Notification of Well Completion/Recompletion</t>
  </si>
  <si>
    <t>§60.5420b(a)(2)</t>
  </si>
  <si>
    <t>C. Create Information</t>
  </si>
  <si>
    <t>Fugitives - Well Sites</t>
  </si>
  <si>
    <t>§60.5397b(c)</t>
  </si>
  <si>
    <t>Single Wellhead Only/Small Wellsites Only</t>
  </si>
  <si>
    <t>Audible, olfactory, visual (AVO) SOP</t>
  </si>
  <si>
    <t>Spreadsheet to Track Inspections</t>
  </si>
  <si>
    <r>
      <t>Multi Wellhead Only Well Sites (</t>
    </r>
    <r>
      <rPr>
        <b/>
        <sz val="10"/>
        <rFont val="Calibri"/>
        <family val="2"/>
      </rPr>
      <t>≥</t>
    </r>
    <r>
      <rPr>
        <b/>
        <sz val="10"/>
        <rFont val="Times New Roman"/>
        <family val="1"/>
      </rPr>
      <t>2 wellheads)</t>
    </r>
  </si>
  <si>
    <t>OGI Monitoring Plan</t>
  </si>
  <si>
    <t>Recordkeeping Database System Set-up Fee</t>
  </si>
  <si>
    <t>Well sites/CPFs w/major production and processing equipment</t>
  </si>
  <si>
    <t>Fugitives - Compressor Stations</t>
  </si>
  <si>
    <t>Gathering &amp; Boosting</t>
  </si>
  <si>
    <t>Company-Wide Monitoring Plan</t>
  </si>
  <si>
    <t>Transmission and Storage</t>
  </si>
  <si>
    <t>Monitoring Plan</t>
  </si>
  <si>
    <t>D. Gather Existing Information (Included in 5C)</t>
  </si>
  <si>
    <t>E. Annual Reports</t>
  </si>
  <si>
    <t>Well Completion/Recompletion</t>
  </si>
  <si>
    <t>§60.5420b(b)(1), (b)(2), (b)(11</t>
  </si>
  <si>
    <t>Liquids Unloading</t>
  </si>
  <si>
    <t>§60.5420b(b)(1), (b)(3)</t>
  </si>
  <si>
    <t>Oil Wells w/Associated Gas</t>
  </si>
  <si>
    <t>§60.5420b(b)(1), (b)(4)</t>
  </si>
  <si>
    <t>Centrifugal Compressor</t>
  </si>
  <si>
    <t>§60.5420b(b)(1), (b)(5), (b)(11)</t>
  </si>
  <si>
    <t>Reciprocating Compressor</t>
  </si>
  <si>
    <t>§60.5420b(b)(1), (b)(6), (b)(11)</t>
  </si>
  <si>
    <t>§60.5420b(b)(1), (b)(7), (b)(11)</t>
  </si>
  <si>
    <t>§60.5420b(b)(1), (b)(8), (b)(11)</t>
  </si>
  <si>
    <t>§60.5420b(b)(1), (b)(9)</t>
  </si>
  <si>
    <t>§60.5420b(b)(1), (b)(10), (b)(11)</t>
  </si>
  <si>
    <t>Sweetening Unit</t>
  </si>
  <si>
    <t>F. Semiannual Reports</t>
  </si>
  <si>
    <t>Gas Processing Plant</t>
  </si>
  <si>
    <t>§60.5400b(k), §60.5420b(b)(1), (b)(11), §60.5422b</t>
  </si>
  <si>
    <t>Reporting Requirement Subtotal</t>
  </si>
  <si>
    <t>5. RECORDKEEPING REQUIREMENTS</t>
  </si>
  <si>
    <t>A. Read Instructions (Included in 4A)</t>
  </si>
  <si>
    <t>B. Plan Activities (Included in 4B)</t>
  </si>
  <si>
    <t xml:space="preserve">C. Implement Activities </t>
  </si>
  <si>
    <t>Maintain completion log records</t>
  </si>
  <si>
    <t>Maintain 300 GOR exemption records</t>
  </si>
  <si>
    <t>§60.5375b(g)(1); 60.5420b(c)(1)(vi)</t>
  </si>
  <si>
    <t>§60.5376b, §60.5420b(c)(2)</t>
  </si>
  <si>
    <t>§60.5377b, §60.5420b(c)(3)</t>
  </si>
  <si>
    <t>§60.5380b(d); 60.5420b(c)(4), (8-(13)</t>
  </si>
  <si>
    <t>§60.5385b(g); 60.5420b(c)(5), (8), (10), (12)</t>
  </si>
  <si>
    <t>§60.5390b(e); 60.5420b(c)(6, (c)(8), (c)(10)-(13)</t>
  </si>
  <si>
    <t>§60.5395b(d)(3); 60.5420b(c)(7), (8)-(13)</t>
  </si>
  <si>
    <t>Fugitives - Recordkeeping Database Maintenance/License Fee</t>
  </si>
  <si>
    <r>
      <t>Multi Wellhead Only Well Sites (</t>
    </r>
    <r>
      <rPr>
        <sz val="10"/>
        <rFont val="Calibri"/>
        <family val="2"/>
      </rPr>
      <t>≥</t>
    </r>
    <r>
      <rPr>
        <sz val="10"/>
        <rFont val="Times New Roman"/>
        <family val="1"/>
      </rPr>
      <t>2 wellheads)</t>
    </r>
  </si>
  <si>
    <t>Compressor Stations</t>
  </si>
  <si>
    <t xml:space="preserve">Fugitives - Additional recordkeeping/data management costs </t>
  </si>
  <si>
    <t>§60.5393b(j); 60.5420b(c)(8), (10)-(13), (15)</t>
  </si>
  <si>
    <t>Processing Plants</t>
  </si>
  <si>
    <t>§60.5400b(l), §60.5421b</t>
  </si>
  <si>
    <t>Sweetening Units</t>
  </si>
  <si>
    <t>§60.5420b(c)(2)</t>
  </si>
  <si>
    <t>D. Record Data (Included in 5C)</t>
  </si>
  <si>
    <t>E. Time to Transmit or Disclose Information</t>
  </si>
  <si>
    <t>Records required by standards (Included in 4E)</t>
  </si>
  <si>
    <t>F. Train Personnel (Included in 5C)</t>
  </si>
  <si>
    <t>G. Time for Audits (Not Applicable)</t>
  </si>
  <si>
    <t>Recordkeeping Requirement Subtotal</t>
  </si>
  <si>
    <t>TOTAL REPORTING AND RECORDKEEPING LABOR AND COST</t>
  </si>
  <si>
    <t xml:space="preserve">Assumptions: </t>
  </si>
  <si>
    <t>Fugitives with OGI requirements:</t>
  </si>
  <si>
    <t>Recordkeeping Database system set-up fee per well site</t>
  </si>
  <si>
    <t>Recordkeeping Database system set-up fee per compressor station</t>
  </si>
  <si>
    <t>Recordkeeping Database Maintenance/License Fee</t>
  </si>
  <si>
    <t>Additional recordkeeping/data management costs per well site</t>
  </si>
  <si>
    <t>Additional recordkeeping/data management costs per compressor station</t>
  </si>
  <si>
    <t>Liquids Unloading (Events)</t>
  </si>
  <si>
    <t>Storage Vessels (Sites)</t>
  </si>
  <si>
    <t>§60.5375b(b); 60.5410b(a); 60.5415b(a); 60.5420b(c)(1)</t>
  </si>
  <si>
    <t>§60.5380b(d); 60.5420b(c)(4), (8)-(13)</t>
  </si>
  <si>
    <t>Table 1b.  Year 2 Respondent Burden of Reporting and Recordkeeping Requirements</t>
  </si>
  <si>
    <t>§60.5420b(b)(1), (b)(2), (b)(11)</t>
  </si>
  <si>
    <t>Table 1c.  Year 3 Respondent Burden of Reporting and Recordkeeping Requirements</t>
  </si>
  <si>
    <t>Table 1d.  Three-Year Average Respondent Burden of Reporting and Recordkeeping Requirements</t>
  </si>
  <si>
    <t>Standards of Performance for Crude Oil and Natural Gas Facilities for which Construction, Modification,</t>
  </si>
  <si>
    <t>(40 CFR part 60, subpart OOOOb)</t>
  </si>
  <si>
    <t>Total Annual Responses</t>
  </si>
  <si>
    <t>Year</t>
  </si>
  <si>
    <t>Total Respondents</t>
  </si>
  <si>
    <t>Technical Hours</t>
  </si>
  <si>
    <t>Clerical Hours</t>
  </si>
  <si>
    <t>Management Hours</t>
  </si>
  <si>
    <t>Total Labor Hours</t>
  </si>
  <si>
    <t>Labor Cost</t>
  </si>
  <si>
    <t>Capital Cost</t>
  </si>
  <si>
    <t>Information Collection Activity</t>
  </si>
  <si>
    <t>Number of Respondents</t>
  </si>
  <si>
    <t>Number of Responses</t>
  </si>
  <si>
    <t>Total Annual Reports</t>
  </si>
  <si>
    <t>1 (2023)</t>
  </si>
  <si>
    <t>Notification of well completions/recompletions</t>
  </si>
  <si>
    <t>2 (2024)</t>
  </si>
  <si>
    <t>Notification of construction/reconstruction/modification</t>
  </si>
  <si>
    <t>3 (2025)</t>
  </si>
  <si>
    <t>Annual Compliance Reports</t>
  </si>
  <si>
    <t xml:space="preserve">Total  </t>
  </si>
  <si>
    <t>Semiannual Compliance Reports</t>
  </si>
  <si>
    <t>Average</t>
  </si>
  <si>
    <t>Total</t>
  </si>
  <si>
    <t>hours/response</t>
  </si>
  <si>
    <t>Number of New Sources Each Year (not cumulative)</t>
  </si>
  <si>
    <t>RESPONDENTS</t>
  </si>
  <si>
    <t>Source</t>
  </si>
  <si>
    <t>Well Sites</t>
  </si>
  <si>
    <t>This represents the number of companies, assuming 22 well sites per company.</t>
  </si>
  <si>
    <t xml:space="preserve">     Non-Low Production Sites</t>
  </si>
  <si>
    <t>Gas Well Sites  </t>
  </si>
  <si>
    <t>Oil Well Sites (GOR &gt; 300)</t>
  </si>
  <si>
    <t xml:space="preserve">Oil Well Sites (GOR &lt; 300) </t>
  </si>
  <si>
    <t xml:space="preserve">     Low Production Sites</t>
  </si>
  <si>
    <t xml:space="preserve">     GOR &lt; 300</t>
  </si>
  <si>
    <t xml:space="preserve">     Gas and GOR &gt; 300</t>
  </si>
  <si>
    <t>Liquid Unloadings (Events)</t>
  </si>
  <si>
    <t>Reciprocating Compressors</t>
  </si>
  <si>
    <t>Centrifugal Compressors</t>
  </si>
  <si>
    <t>Gathering and Boosting Compressor Stations</t>
  </si>
  <si>
    <t>Transmission Compressor Stations</t>
  </si>
  <si>
    <t>Storage Compressor Stations</t>
  </si>
  <si>
    <t>Natural Gas Processing Plants</t>
  </si>
  <si>
    <t>NOTE: Sources in this table represent new sources becoming subject to the rule each year and are not cumulative amounts.</t>
  </si>
  <si>
    <t>This represents the total number of respondents.</t>
  </si>
  <si>
    <t>Emis.Source</t>
  </si>
  <si>
    <t>Segment</t>
  </si>
  <si>
    <t>Well.Site.Type.Bin</t>
  </si>
  <si>
    <t>Well.Site.Equip.Bin</t>
  </si>
  <si>
    <t>Fac.Count.1.Unit</t>
  </si>
  <si>
    <t>Fac.Count.1</t>
  </si>
  <si>
    <t>Fac.Count.2.Unit</t>
  </si>
  <si>
    <t>Fac.Count.2</t>
  </si>
  <si>
    <t>Dry Seal Centrifugal Compressors</t>
  </si>
  <si>
    <t>G&amp;B</t>
  </si>
  <si>
    <t>Devices</t>
  </si>
  <si>
    <t>PROC</t>
  </si>
  <si>
    <t>TRANS</t>
  </si>
  <si>
    <t>Fugitives</t>
  </si>
  <si>
    <t>PROD</t>
  </si>
  <si>
    <t>Single</t>
  </si>
  <si>
    <t>1: No equipment, no tanks</t>
  </si>
  <si>
    <t>Sites</t>
  </si>
  <si>
    <t>2: Tanks, no equipment</t>
  </si>
  <si>
    <t>3: Equipment = 1, no tanks</t>
  </si>
  <si>
    <t>4: Equipment &gt; 1, no tanks</t>
  </si>
  <si>
    <t>5: Equipment = 1 and tanks</t>
  </si>
  <si>
    <t>6: Equipment &gt; 1 and tanks</t>
  </si>
  <si>
    <t>Multi</t>
  </si>
  <si>
    <t>STOR</t>
  </si>
  <si>
    <t>Events</t>
  </si>
  <si>
    <t>PnC</t>
  </si>
  <si>
    <t>Pumps</t>
  </si>
  <si>
    <t>Tanks</t>
  </si>
  <si>
    <t>Tank Batteries</t>
  </si>
  <si>
    <t>Wet Seal Centrifugal Compressors</t>
  </si>
  <si>
    <t>Source: icr_facility_counts_summary.xlsx received from David Bielen, EPA on 7-27-2022.</t>
  </si>
  <si>
    <t>Table 2a.  Year 1 Annual Burden and Cost to the Federal Government</t>
  </si>
  <si>
    <t>(C)</t>
  </si>
  <si>
    <t>EPA person-</t>
  </si>
  <si>
    <t>No. of</t>
  </si>
  <si>
    <t>Responses</t>
  </si>
  <si>
    <t>Management</t>
  </si>
  <si>
    <t>Cost,$ (a)</t>
  </si>
  <si>
    <t>hours per</t>
  </si>
  <si>
    <t>occurrences</t>
  </si>
  <si>
    <t>per</t>
  </si>
  <si>
    <t>person-hours</t>
  </si>
  <si>
    <t>person-</t>
  </si>
  <si>
    <t>occurrence</t>
  </si>
  <si>
    <t>per plant</t>
  </si>
  <si>
    <t>plant per</t>
  </si>
  <si>
    <t>year (a)</t>
  </si>
  <si>
    <t>per year</t>
  </si>
  <si>
    <t>year</t>
  </si>
  <si>
    <t>(E=CxD)</t>
  </si>
  <si>
    <t>(Ex0.05)</t>
  </si>
  <si>
    <t>Activity</t>
  </si>
  <si>
    <t>(C=AxB)</t>
  </si>
  <si>
    <t>(Ex0.1)</t>
  </si>
  <si>
    <t>Report Review</t>
  </si>
  <si>
    <t xml:space="preserve">   Notification of Construction/Reconstruction/Modification</t>
  </si>
  <si>
    <t>Annual Report</t>
  </si>
  <si>
    <t>Semiannual Report</t>
  </si>
  <si>
    <t>TOTAL ANNUAL BURDEN</t>
  </si>
  <si>
    <t xml:space="preserve"> </t>
  </si>
  <si>
    <t>Labor category -- Agency</t>
  </si>
  <si>
    <t>$/hr</t>
  </si>
  <si>
    <t>Description from Reference 1.</t>
  </si>
  <si>
    <t xml:space="preserve">   Technical</t>
  </si>
  <si>
    <t>GS-12, Step 1, $32.73 + 60%</t>
  </si>
  <si>
    <t xml:space="preserve">    Management</t>
  </si>
  <si>
    <t>GS-13, Step 5, $44.10 + 60%</t>
  </si>
  <si>
    <t xml:space="preserve">    Clerical</t>
  </si>
  <si>
    <t>GS-6, Step 3, $17.71 + 60%</t>
  </si>
  <si>
    <t>Table 2b.  Year 2 Annual Burden and Cost to the Federal Government</t>
  </si>
  <si>
    <t>Cost,$ (b)</t>
  </si>
  <si>
    <t>Table 2c.  Year 3 Annual Burden and Cost to the Federal Government</t>
  </si>
  <si>
    <t>Table 2d.  Three-Year Average Annual Burden and Cost to the Federal Government</t>
  </si>
  <si>
    <t xml:space="preserve"> (40 CFR part 60, subpart OOOOb)</t>
  </si>
  <si>
    <t>This represents the number of companies, assuming 7 gathering and boosting stations per company.</t>
  </si>
  <si>
    <t>**Estimates for natural gas processing plants obtained from Table 2-5 of Draft 2022 RIA, received from David Bielen 7-28-2022.</t>
  </si>
  <si>
    <t>***Estimates for sweetening units obtained from November 2021 RIA.</t>
  </si>
  <si>
    <t>Third Parties</t>
  </si>
  <si>
    <t>§60.5371b(a)</t>
  </si>
  <si>
    <t>§60.5371b(b)</t>
  </si>
  <si>
    <t xml:space="preserve">   Review Application for Third Party Certification as Notifier</t>
  </si>
  <si>
    <t>Certification</t>
  </si>
  <si>
    <t xml:space="preserve">   Develop Guidance for Third Party Application</t>
  </si>
  <si>
    <t xml:space="preserve">   Provide Assistance for Third Party Certification Questions</t>
  </si>
  <si>
    <t>§60.5371b(e)</t>
  </si>
  <si>
    <t>§60.5371b(c), (d), (e)</t>
  </si>
  <si>
    <r>
      <t>Multi Wellhead Only Well Sites (</t>
    </r>
    <r>
      <rPr>
        <sz val="10"/>
        <rFont val="Calibri"/>
        <family val="2"/>
      </rPr>
      <t>≥</t>
    </r>
    <r>
      <rPr>
        <sz val="10"/>
        <rFont val="Times New Roman"/>
        <family val="1"/>
      </rPr>
      <t>2 wellheads)</t>
    </r>
  </si>
  <si>
    <r>
      <rPr>
        <vertAlign val="superscript"/>
        <sz val="10"/>
        <rFont val="Times New Roman"/>
        <family val="1"/>
      </rPr>
      <t>a</t>
    </r>
    <r>
      <rPr>
        <sz val="10"/>
        <rFont val="Times New Roman"/>
        <family val="1"/>
      </rPr>
      <t xml:space="preserve"> The cost is based on the following labor rate which incorporates a 1.6 benefits multiplication factor to account for government overhead expenses. Managerial rates of $70.56 (GS-13, Step 5, $44.10 × 1.6), Technical rate of $52.37 (GS-12, Step 1, $32.73 × 1.6), and Clerical rate of $28.34 (GS-6, Step 3, $17.71 × 1.6).  These rates are from the Office of Personnel Management (OPM), 2022 General Schedule, which excludes locality rates of pay.</t>
    </r>
  </si>
  <si>
    <r>
      <t xml:space="preserve">a </t>
    </r>
    <r>
      <rPr>
        <sz val="11"/>
        <rFont val="Times New Roman"/>
        <family val="1"/>
      </rPr>
      <t>Unloaded labor rates from U.S. Office of Personnel Management &lt;https://www.opm.gov/policy-data-oversight/pay-leave/salaries-wages/salary-tables/pdf/2022/GS_h.pdf&gt;</t>
    </r>
  </si>
  <si>
    <t>after December 6, 2022 (40 CFR part 60, subpart OOOOb)</t>
  </si>
  <si>
    <t>or Reconstruction Commenced after December 6, 2022</t>
  </si>
  <si>
    <t>Process Controllers (Sites)</t>
  </si>
  <si>
    <t>Pumps (Sites)</t>
  </si>
  <si>
    <t>*New sources in 2023 include 2021 and 2022 sources assumed to be affected after December 2022.</t>
  </si>
  <si>
    <t>Final NSPS OOOOb</t>
  </si>
  <si>
    <t>§60.5405b(e), §60.5423(b)b</t>
  </si>
  <si>
    <t>§60.5405b(e), §60.5423b(a)</t>
  </si>
  <si>
    <t>Proces Controllers (Sites)</t>
  </si>
  <si>
    <t>H. Super Emitter Events</t>
  </si>
  <si>
    <t>Super Emitter Events</t>
  </si>
  <si>
    <t>Application for Certification of Third Party for Super Emitter Program</t>
  </si>
  <si>
    <t>Third Party Notification of Super Emitter Event</t>
  </si>
  <si>
    <t>Notification of Super Emitter Event</t>
  </si>
  <si>
    <t>Super Emitter Program Report</t>
  </si>
  <si>
    <t>G. Super Emitter Reports</t>
  </si>
  <si>
    <t>Super Emitter Reports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</si>
</sst>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&quot;$&quot;#,##0"/>
    <numFmt numFmtId="167" formatCode="&quot;$&quot;#,##0.00"/>
    <numFmt numFmtId="168" formatCode="_(&quot;$&quot;* #,##0_);_(&quot;$&quot;* \(#,##0\);_(&quot;$&quot;* &quot;-&quot;??_);_(@_)"/>
    <numFmt numFmtId="169" formatCode="_(* #,##0_);_(* \(#,##0\);_(* &quot;-&quot;??_);_(@_)"/>
  </numFmts>
  <fonts count="25" x14ac:knownFonts="1">
    <font>
      <sz val="1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vertAlign val="superscript"/>
      <sz val="10"/>
      <name val="Times New Roman"/>
      <family val="1"/>
    </font>
    <font>
      <sz val="12"/>
      <name val="Arial"/>
      <family val="2"/>
    </font>
    <font>
      <b/>
      <sz val="10"/>
      <color rgb="FFFF0000"/>
      <name val="Times New Roman"/>
      <family val="1"/>
    </font>
    <font>
      <i/>
      <sz val="10"/>
      <name val="Times New Roman"/>
      <family val="1"/>
    </font>
    <font>
      <sz val="1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u/>
      <sz val="10"/>
      <color theme="10"/>
      <name val="Times New Roman"/>
      <family val="1"/>
    </font>
    <font>
      <i/>
      <sz val="12"/>
      <name val="Times New Roman"/>
      <family val="1"/>
    </font>
    <font>
      <sz val="10"/>
      <name val="Calibri"/>
      <family val="2"/>
    </font>
    <font>
      <b/>
      <sz val="10"/>
      <name val="Calibri"/>
      <family val="2"/>
    </font>
    <font>
      <i/>
      <sz val="10"/>
      <color rgb="FFFF0000"/>
      <name val="Times New Roman"/>
      <family val="1"/>
    </font>
    <font>
      <sz val="11"/>
      <name val="Tahoma"/>
      <family val="2"/>
    </font>
    <font>
      <u/>
      <sz val="10"/>
      <name val="Times New Roman"/>
      <family val="1"/>
    </font>
    <font>
      <vertAlign val="superscript"/>
      <sz val="11"/>
      <name val="Times New Roman"/>
      <family val="1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0" fontId="10" fillId="0" borderId="0"/>
    <xf numFmtId="0" fontId="16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3"/>
    <xf numFmtId="169" fontId="0" fillId="0" borderId="13" xfId="1" applyNumberFormat="1" applyFont="1" applyBorder="1"/>
    <xf numFmtId="169" fontId="0" fillId="0" borderId="14" xfId="1" applyNumberFormat="1" applyFont="1" applyBorder="1"/>
    <xf numFmtId="165" fontId="0" fillId="0" borderId="14" xfId="1" applyNumberFormat="1" applyFont="1" applyBorder="1"/>
    <xf numFmtId="165" fontId="0" fillId="0" borderId="13" xfId="1" applyNumberFormat="1" applyFont="1" applyBorder="1"/>
    <xf numFmtId="166" fontId="0" fillId="0" borderId="19" xfId="2" applyNumberFormat="1" applyFont="1" applyBorder="1"/>
    <xf numFmtId="0" fontId="5" fillId="2" borderId="2" xfId="0" applyFont="1" applyFill="1" applyBorder="1" applyAlignment="1">
      <alignment vertical="center"/>
    </xf>
    <xf numFmtId="3" fontId="5" fillId="2" borderId="5" xfId="0" applyNumberFormat="1" applyFont="1" applyFill="1" applyBorder="1" applyAlignment="1">
      <alignment vertical="center"/>
    </xf>
    <xf numFmtId="0" fontId="5" fillId="2" borderId="23" xfId="0" applyFont="1" applyFill="1" applyBorder="1" applyAlignment="1">
      <alignment vertical="center"/>
    </xf>
    <xf numFmtId="3" fontId="5" fillId="2" borderId="23" xfId="0" applyNumberFormat="1" applyFont="1" applyFill="1" applyBorder="1" applyAlignment="1">
      <alignment vertical="center"/>
    </xf>
    <xf numFmtId="0" fontId="7" fillId="0" borderId="0" xfId="3" applyFont="1"/>
    <xf numFmtId="0" fontId="3" fillId="0" borderId="0" xfId="0" applyFont="1" applyAlignment="1">
      <alignment vertical="center"/>
    </xf>
    <xf numFmtId="0" fontId="4" fillId="0" borderId="1" xfId="3" applyFont="1" applyBorder="1" applyAlignment="1">
      <alignment horizontal="center" wrapText="1"/>
    </xf>
    <xf numFmtId="0" fontId="4" fillId="0" borderId="1" xfId="3" applyFont="1" applyBorder="1" applyAlignment="1">
      <alignment horizontal="center" vertical="center"/>
    </xf>
    <xf numFmtId="3" fontId="4" fillId="0" borderId="1" xfId="3" applyNumberFormat="1" applyFont="1" applyBorder="1" applyAlignment="1">
      <alignment horizontal="center" vertical="center"/>
    </xf>
    <xf numFmtId="166" fontId="4" fillId="0" borderId="1" xfId="3" applyNumberFormat="1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3" fontId="5" fillId="0" borderId="1" xfId="3" applyNumberFormat="1" applyFont="1" applyBorder="1" applyAlignment="1">
      <alignment horizontal="center" vertical="center"/>
    </xf>
    <xf numFmtId="166" fontId="5" fillId="0" borderId="1" xfId="3" applyNumberFormat="1" applyFont="1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/>
    </xf>
    <xf numFmtId="3" fontId="0" fillId="0" borderId="1" xfId="1" applyNumberFormat="1" applyFont="1" applyBorder="1" applyAlignment="1">
      <alignment horizontal="center"/>
    </xf>
    <xf numFmtId="5" fontId="0" fillId="0" borderId="21" xfId="2" applyNumberFormat="1" applyFont="1" applyBorder="1" applyAlignment="1">
      <alignment horizontal="center"/>
    </xf>
    <xf numFmtId="164" fontId="5" fillId="2" borderId="5" xfId="0" applyNumberFormat="1" applyFont="1" applyFill="1" applyBorder="1" applyAlignment="1">
      <alignment horizontal="center" vertical="center"/>
    </xf>
    <xf numFmtId="168" fontId="5" fillId="2" borderId="5" xfId="2" applyNumberFormat="1" applyFont="1" applyFill="1" applyBorder="1" applyAlignment="1">
      <alignment horizontal="center" vertical="center"/>
    </xf>
    <xf numFmtId="3" fontId="5" fillId="2" borderId="1" xfId="1" applyNumberFormat="1" applyFont="1" applyFill="1" applyBorder="1" applyAlignment="1">
      <alignment horizontal="center" vertical="center"/>
    </xf>
    <xf numFmtId="3" fontId="5" fillId="2" borderId="23" xfId="0" applyNumberFormat="1" applyFont="1" applyFill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/>
    </xf>
    <xf numFmtId="0" fontId="4" fillId="0" borderId="0" xfId="3" applyFont="1"/>
    <xf numFmtId="0" fontId="1" fillId="0" borderId="0" xfId="3" applyAlignment="1">
      <alignment horizontal="left"/>
    </xf>
    <xf numFmtId="3" fontId="5" fillId="0" borderId="1" xfId="3" applyNumberFormat="1" applyFont="1" applyBorder="1" applyAlignment="1">
      <alignment horizontal="center"/>
    </xf>
    <xf numFmtId="3" fontId="0" fillId="0" borderId="1" xfId="3" applyNumberFormat="1" applyFont="1" applyBorder="1" applyAlignment="1">
      <alignment horizontal="center" wrapText="1"/>
    </xf>
    <xf numFmtId="0" fontId="13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20" xfId="0" applyBorder="1"/>
    <xf numFmtId="3" fontId="0" fillId="0" borderId="1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33" xfId="0" applyBorder="1"/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24" xfId="0" applyBorder="1"/>
    <xf numFmtId="0" fontId="0" fillId="0" borderId="24" xfId="0" applyBorder="1" applyAlignment="1">
      <alignment horizontal="center"/>
    </xf>
    <xf numFmtId="167" fontId="0" fillId="0" borderId="24" xfId="0" applyNumberFormat="1" applyBorder="1"/>
    <xf numFmtId="0" fontId="0" fillId="0" borderId="0" xfId="3" applyFont="1"/>
    <xf numFmtId="167" fontId="0" fillId="0" borderId="0" xfId="0" applyNumberFormat="1" applyAlignment="1">
      <alignment horizontal="right"/>
    </xf>
    <xf numFmtId="0" fontId="5" fillId="3" borderId="0" xfId="5" applyFont="1" applyFill="1" applyAlignment="1">
      <alignment horizontal="center" vertical="center"/>
    </xf>
    <xf numFmtId="0" fontId="9" fillId="0" borderId="0" xfId="0" applyFont="1"/>
    <xf numFmtId="3" fontId="4" fillId="0" borderId="0" xfId="5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3" fontId="5" fillId="0" borderId="36" xfId="0" applyNumberFormat="1" applyFont="1" applyBorder="1" applyAlignment="1">
      <alignment horizontal="center"/>
    </xf>
    <xf numFmtId="3" fontId="5" fillId="0" borderId="37" xfId="0" applyNumberFormat="1" applyFont="1" applyBorder="1" applyAlignment="1">
      <alignment horizontal="center"/>
    </xf>
    <xf numFmtId="0" fontId="5" fillId="0" borderId="0" xfId="0" applyFont="1"/>
    <xf numFmtId="3" fontId="0" fillId="4" borderId="1" xfId="0" applyNumberFormat="1" applyFill="1" applyBorder="1" applyAlignment="1">
      <alignment horizontal="center" vertical="center"/>
    </xf>
    <xf numFmtId="0" fontId="9" fillId="4" borderId="3" xfId="0" applyFont="1" applyFill="1" applyBorder="1" applyAlignment="1">
      <alignment vertical="center" wrapText="1"/>
    </xf>
    <xf numFmtId="0" fontId="5" fillId="4" borderId="3" xfId="0" applyFont="1" applyFill="1" applyBorder="1" applyAlignment="1">
      <alignment horizontal="left" vertical="center" wrapText="1" indent="1"/>
    </xf>
    <xf numFmtId="0" fontId="9" fillId="4" borderId="3" xfId="0" applyFont="1" applyFill="1" applyBorder="1" applyAlignment="1">
      <alignment horizontal="left" vertical="center" wrapText="1"/>
    </xf>
    <xf numFmtId="0" fontId="0" fillId="4" borderId="0" xfId="0" applyFill="1" applyAlignment="1">
      <alignment horizontal="left" vertical="center"/>
    </xf>
    <xf numFmtId="9" fontId="0" fillId="4" borderId="0" xfId="7" applyFont="1" applyFill="1" applyBorder="1" applyAlignment="1">
      <alignment horizontal="center"/>
    </xf>
    <xf numFmtId="0" fontId="14" fillId="0" borderId="0" xfId="0" applyFont="1"/>
    <xf numFmtId="0" fontId="17" fillId="0" borderId="0" xfId="0" applyFont="1"/>
    <xf numFmtId="0" fontId="0" fillId="4" borderId="3" xfId="0" applyFill="1" applyBorder="1" applyAlignment="1">
      <alignment horizontal="left" vertical="center" wrapText="1" indent="3"/>
    </xf>
    <xf numFmtId="0" fontId="0" fillId="4" borderId="0" xfId="0" applyFill="1" applyAlignment="1">
      <alignment vertical="center"/>
    </xf>
    <xf numFmtId="0" fontId="0" fillId="4" borderId="3" xfId="0" applyFill="1" applyBorder="1" applyAlignment="1">
      <alignment horizontal="left" vertical="center" wrapText="1" indent="1"/>
    </xf>
    <xf numFmtId="0" fontId="0" fillId="4" borderId="0" xfId="0" applyFill="1" applyAlignment="1">
      <alignment horizontal="left" vertical="center" indent="1"/>
    </xf>
    <xf numFmtId="0" fontId="15" fillId="4" borderId="0" xfId="0" applyFont="1" applyFill="1" applyAlignment="1">
      <alignment vertical="center"/>
    </xf>
    <xf numFmtId="3" fontId="0" fillId="0" borderId="0" xfId="0" applyNumberFormat="1"/>
    <xf numFmtId="1" fontId="0" fillId="0" borderId="1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3" fontId="11" fillId="0" borderId="1" xfId="5" applyNumberFormat="1" applyFont="1" applyBorder="1" applyAlignment="1">
      <alignment horizontal="center" vertical="center"/>
    </xf>
    <xf numFmtId="3" fontId="12" fillId="0" borderId="1" xfId="5" applyNumberFormat="1" applyFont="1" applyBorder="1" applyAlignment="1">
      <alignment horizontal="center" vertical="center"/>
    </xf>
    <xf numFmtId="3" fontId="11" fillId="4" borderId="1" xfId="5" applyNumberFormat="1" applyFont="1" applyFill="1" applyBorder="1" applyAlignment="1">
      <alignment horizontal="center"/>
    </xf>
    <xf numFmtId="3" fontId="12" fillId="4" borderId="1" xfId="5" applyNumberFormat="1" applyFont="1" applyFill="1" applyBorder="1" applyAlignment="1">
      <alignment horizontal="center"/>
    </xf>
    <xf numFmtId="0" fontId="12" fillId="4" borderId="20" xfId="5" applyFont="1" applyFill="1" applyBorder="1" applyAlignment="1">
      <alignment horizontal="left" vertical="center" wrapText="1" indent="3"/>
    </xf>
    <xf numFmtId="0" fontId="5" fillId="4" borderId="20" xfId="0" applyFont="1" applyFill="1" applyBorder="1"/>
    <xf numFmtId="3" fontId="11" fillId="4" borderId="21" xfId="5" applyNumberFormat="1" applyFont="1" applyFill="1" applyBorder="1" applyAlignment="1">
      <alignment horizontal="center"/>
    </xf>
    <xf numFmtId="0" fontId="0" fillId="4" borderId="20" xfId="0" applyFill="1" applyBorder="1"/>
    <xf numFmtId="3" fontId="12" fillId="4" borderId="21" xfId="5" applyNumberFormat="1" applyFont="1" applyFill="1" applyBorder="1" applyAlignment="1">
      <alignment horizontal="center"/>
    </xf>
    <xf numFmtId="164" fontId="0" fillId="0" borderId="25" xfId="1" applyNumberFormat="1" applyFont="1" applyBorder="1" applyAlignment="1">
      <alignment horizontal="center"/>
    </xf>
    <xf numFmtId="1" fontId="11" fillId="3" borderId="38" xfId="5" applyNumberFormat="1" applyFont="1" applyFill="1" applyBorder="1" applyAlignment="1">
      <alignment horizontal="left" vertical="center"/>
    </xf>
    <xf numFmtId="0" fontId="11" fillId="3" borderId="39" xfId="5" applyFont="1" applyFill="1" applyBorder="1" applyAlignment="1">
      <alignment horizontal="center" vertical="center"/>
    </xf>
    <xf numFmtId="0" fontId="11" fillId="3" borderId="40" xfId="5" applyFont="1" applyFill="1" applyBorder="1" applyAlignment="1">
      <alignment horizontal="center" vertical="center"/>
    </xf>
    <xf numFmtId="1" fontId="11" fillId="0" borderId="20" xfId="5" applyNumberFormat="1" applyFont="1" applyBorder="1" applyAlignment="1">
      <alignment horizontal="left" vertical="center"/>
    </xf>
    <xf numFmtId="3" fontId="11" fillId="0" borderId="21" xfId="5" applyNumberFormat="1" applyFont="1" applyBorder="1" applyAlignment="1">
      <alignment horizontal="center" vertical="center"/>
    </xf>
    <xf numFmtId="0" fontId="0" fillId="4" borderId="20" xfId="0" applyFill="1" applyBorder="1" applyAlignment="1">
      <alignment horizontal="left" vertical="center" wrapText="1" indent="1"/>
    </xf>
    <xf numFmtId="3" fontId="12" fillId="0" borderId="21" xfId="5" applyNumberFormat="1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20" fillId="0" borderId="0" xfId="0" applyFont="1"/>
    <xf numFmtId="3" fontId="5" fillId="0" borderId="0" xfId="0" applyNumberFormat="1" applyFont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5" fillId="4" borderId="0" xfId="0" applyFont="1" applyFill="1" applyAlignment="1">
      <alignment vertical="center"/>
    </xf>
    <xf numFmtId="0" fontId="5" fillId="0" borderId="1" xfId="3" applyFont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21" fillId="4" borderId="0" xfId="0" applyFont="1" applyFill="1" applyAlignment="1">
      <alignment horizontal="left" vertical="center"/>
    </xf>
    <xf numFmtId="17" fontId="0" fillId="4" borderId="0" xfId="0" applyNumberFormat="1" applyFill="1" applyAlignment="1">
      <alignment horizontal="left"/>
    </xf>
    <xf numFmtId="2" fontId="0" fillId="4" borderId="0" xfId="0" applyNumberFormat="1" applyFill="1" applyAlignment="1">
      <alignment horizontal="left"/>
    </xf>
    <xf numFmtId="0" fontId="0" fillId="4" borderId="1" xfId="0" applyFill="1" applyBorder="1" applyAlignment="1">
      <alignment horizontal="center" vertical="center"/>
    </xf>
    <xf numFmtId="0" fontId="0" fillId="4" borderId="1" xfId="0" quotePrefix="1" applyFill="1" applyBorder="1" applyAlignment="1">
      <alignment horizontal="center" vertical="center"/>
    </xf>
    <xf numFmtId="0" fontId="0" fillId="4" borderId="0" xfId="0" applyFill="1" applyAlignment="1">
      <alignment horizontal="left"/>
    </xf>
    <xf numFmtId="0" fontId="0" fillId="4" borderId="1" xfId="0" applyFill="1" applyBorder="1" applyAlignment="1">
      <alignment horizontal="center" vertical="center" wrapText="1"/>
    </xf>
    <xf numFmtId="0" fontId="0" fillId="4" borderId="0" xfId="0" applyFill="1" applyAlignment="1">
      <alignment horizontal="center" wrapText="1"/>
    </xf>
    <xf numFmtId="0" fontId="0" fillId="4" borderId="2" xfId="0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0" fillId="4" borderId="1" xfId="0" applyFill="1" applyBorder="1" applyAlignment="1">
      <alignment vertical="center" wrapText="1"/>
    </xf>
    <xf numFmtId="0" fontId="0" fillId="4" borderId="5" xfId="0" applyFill="1" applyBorder="1" applyAlignment="1">
      <alignment vertical="center"/>
    </xf>
    <xf numFmtId="166" fontId="0" fillId="4" borderId="1" xfId="0" applyNumberFormat="1" applyFill="1" applyBorder="1" applyAlignment="1">
      <alignment horizontal="center" vertical="center"/>
    </xf>
    <xf numFmtId="1" fontId="0" fillId="4" borderId="0" xfId="0" applyNumberFormat="1" applyFill="1" applyAlignment="1">
      <alignment horizontal="center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vertical="center" wrapText="1"/>
    </xf>
    <xf numFmtId="165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3" fontId="0" fillId="4" borderId="0" xfId="0" applyNumberFormat="1" applyFill="1" applyAlignment="1">
      <alignment vertical="center"/>
    </xf>
    <xf numFmtId="165" fontId="0" fillId="4" borderId="1" xfId="0" applyNumberFormat="1" applyFill="1" applyBorder="1" applyAlignment="1">
      <alignment horizontal="center" vertical="center"/>
    </xf>
    <xf numFmtId="166" fontId="0" fillId="4" borderId="0" xfId="0" applyNumberFormat="1" applyFill="1" applyAlignment="1">
      <alignment horizontal="center"/>
    </xf>
    <xf numFmtId="0" fontId="0" fillId="4" borderId="3" xfId="0" applyFill="1" applyBorder="1" applyAlignment="1">
      <alignment vertical="center" wrapText="1"/>
    </xf>
    <xf numFmtId="4" fontId="0" fillId="4" borderId="1" xfId="0" applyNumberFormat="1" applyFill="1" applyBorder="1" applyAlignment="1">
      <alignment horizontal="center" vertical="center"/>
    </xf>
    <xf numFmtId="0" fontId="0" fillId="4" borderId="6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166" fontId="0" fillId="4" borderId="0" xfId="0" applyNumberFormat="1" applyFill="1"/>
    <xf numFmtId="0" fontId="22" fillId="4" borderId="0" xfId="6" applyFont="1" applyFill="1" applyBorder="1" applyAlignment="1">
      <alignment vertical="center"/>
    </xf>
    <xf numFmtId="0" fontId="0" fillId="4" borderId="0" xfId="0" applyFill="1" applyAlignment="1">
      <alignment horizontal="left" indent="1"/>
    </xf>
    <xf numFmtId="0" fontId="0" fillId="4" borderId="0" xfId="0" applyFill="1" applyAlignment="1">
      <alignment wrapText="1"/>
    </xf>
    <xf numFmtId="6" fontId="0" fillId="4" borderId="0" xfId="0" applyNumberFormat="1" applyFill="1" applyAlignment="1">
      <alignment horizontal="center"/>
    </xf>
    <xf numFmtId="6" fontId="0" fillId="4" borderId="0" xfId="0" applyNumberFormat="1" applyFill="1"/>
    <xf numFmtId="0" fontId="0" fillId="0" borderId="1" xfId="3" applyFont="1" applyBorder="1" applyAlignment="1">
      <alignment horizontal="center" wrapText="1"/>
    </xf>
    <xf numFmtId="0" fontId="0" fillId="0" borderId="1" xfId="3" applyFont="1" applyBorder="1" applyAlignment="1">
      <alignment horizontal="left" wrapText="1"/>
    </xf>
    <xf numFmtId="0" fontId="0" fillId="0" borderId="1" xfId="3" applyFont="1" applyBorder="1" applyAlignment="1">
      <alignment horizontal="center" vertical="center"/>
    </xf>
    <xf numFmtId="3" fontId="0" fillId="0" borderId="1" xfId="3" applyNumberFormat="1" applyFont="1" applyBorder="1" applyAlignment="1">
      <alignment horizontal="center" vertical="center"/>
    </xf>
    <xf numFmtId="166" fontId="0" fillId="0" borderId="1" xfId="3" applyNumberFormat="1" applyFont="1" applyBorder="1" applyAlignment="1">
      <alignment horizontal="center" vertical="center"/>
    </xf>
    <xf numFmtId="3" fontId="1" fillId="0" borderId="0" xfId="3" applyNumberFormat="1"/>
    <xf numFmtId="0" fontId="0" fillId="0" borderId="1" xfId="0" applyBorder="1" applyAlignment="1">
      <alignment horizontal="left"/>
    </xf>
    <xf numFmtId="166" fontId="1" fillId="0" borderId="0" xfId="3" applyNumberFormat="1"/>
    <xf numFmtId="0" fontId="0" fillId="0" borderId="1" xfId="0" applyBorder="1"/>
    <xf numFmtId="167" fontId="1" fillId="0" borderId="0" xfId="3" applyNumberFormat="1"/>
    <xf numFmtId="1" fontId="0" fillId="0" borderId="0" xfId="3" applyNumberFormat="1" applyFont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0" borderId="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vertical="center"/>
    </xf>
    <xf numFmtId="0" fontId="0" fillId="0" borderId="3" xfId="0" applyBorder="1" applyAlignment="1">
      <alignment horizontal="left" vertical="center" wrapText="1" indent="1"/>
    </xf>
    <xf numFmtId="0" fontId="0" fillId="0" borderId="32" xfId="0" applyBorder="1" applyAlignment="1">
      <alignment horizontal="left" vertical="center" wrapText="1" indent="1"/>
    </xf>
    <xf numFmtId="0" fontId="0" fillId="0" borderId="22" xfId="0" applyBorder="1" applyAlignment="1">
      <alignment horizontal="left" vertical="center" indent="1"/>
    </xf>
    <xf numFmtId="169" fontId="1" fillId="0" borderId="0" xfId="3" applyNumberFormat="1"/>
    <xf numFmtId="3" fontId="5" fillId="2" borderId="23" xfId="2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3" fontId="0" fillId="0" borderId="1" xfId="1" applyNumberFormat="1" applyFont="1" applyFill="1" applyBorder="1" applyAlignment="1">
      <alignment horizontal="center"/>
    </xf>
    <xf numFmtId="0" fontId="0" fillId="4" borderId="2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3" fillId="4" borderId="0" xfId="0" applyFont="1" applyFill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5" fillId="4" borderId="0" xfId="0" applyFont="1" applyFill="1" applyAlignment="1">
      <alignment vertical="center"/>
    </xf>
    <xf numFmtId="0" fontId="0" fillId="4" borderId="2" xfId="0" applyFill="1" applyBorder="1" applyAlignment="1">
      <alignment vertical="center" wrapText="1"/>
    </xf>
    <xf numFmtId="0" fontId="0" fillId="4" borderId="5" xfId="0" applyFill="1" applyBorder="1" applyAlignment="1">
      <alignment vertical="center" wrapText="1"/>
    </xf>
    <xf numFmtId="0" fontId="5" fillId="4" borderId="3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166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5" fillId="0" borderId="0" xfId="3" applyFont="1" applyAlignment="1">
      <alignment horizontal="center"/>
    </xf>
    <xf numFmtId="0" fontId="5" fillId="0" borderId="1" xfId="3" applyFont="1" applyBorder="1" applyAlignment="1">
      <alignment horizontal="center"/>
    </xf>
    <xf numFmtId="0" fontId="0" fillId="0" borderId="31" xfId="3" applyFont="1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24" xfId="3" applyFont="1" applyBorder="1" applyAlignment="1">
      <alignment horizontal="center"/>
    </xf>
    <xf numFmtId="0" fontId="23" fillId="0" borderId="0" xfId="0" applyFont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vertical="center" wrapText="1"/>
    </xf>
    <xf numFmtId="0" fontId="3" fillId="0" borderId="0" xfId="3" applyFont="1" applyAlignment="1">
      <alignment horizontal="center"/>
    </xf>
    <xf numFmtId="0" fontId="5" fillId="2" borderId="22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5" fontId="5" fillId="2" borderId="19" xfId="2" applyNumberFormat="1" applyFont="1" applyFill="1" applyBorder="1" applyAlignment="1">
      <alignment horizontal="center" vertical="center"/>
    </xf>
    <xf numFmtId="5" fontId="5" fillId="2" borderId="27" xfId="2" applyNumberFormat="1" applyFont="1" applyFill="1" applyBorder="1" applyAlignment="1">
      <alignment horizontal="center" vertical="center"/>
    </xf>
    <xf numFmtId="3" fontId="5" fillId="2" borderId="28" xfId="1" applyNumberFormat="1" applyFont="1" applyFill="1" applyBorder="1" applyAlignment="1">
      <alignment horizontal="center" vertical="center"/>
    </xf>
    <xf numFmtId="0" fontId="5" fillId="2" borderId="29" xfId="1" applyNumberFormat="1" applyFont="1" applyFill="1" applyBorder="1" applyAlignment="1">
      <alignment horizontal="center" vertical="center"/>
    </xf>
    <xf numFmtId="0" fontId="5" fillId="2" borderId="30" xfId="1" applyNumberFormat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5" fillId="0" borderId="0" xfId="0" applyFont="1" applyAlignment="1">
      <alignment horizontal="center"/>
    </xf>
  </cellXfs>
  <cellStyles count="8">
    <cellStyle name="Comma" xfId="1" builtinId="3"/>
    <cellStyle name="Currency" xfId="2" builtinId="4"/>
    <cellStyle name="Hyperlink" xfId="6" builtinId="8"/>
    <cellStyle name="Normal" xfId="0" builtinId="0" customBuiltin="1"/>
    <cellStyle name="Normal 10" xfId="5" xr:uid="{24B059EB-43A9-4FB4-956D-52150E82D120}"/>
    <cellStyle name="Normal 2" xfId="3" xr:uid="{00000000-0005-0000-0000-000003000000}"/>
    <cellStyle name="Normal 2 2" xfId="4" xr:uid="{00000000-0005-0000-0000-000004000000}"/>
    <cellStyle name="Percent" xfId="7" builtinId="5"/>
  </cellStyles>
  <dxfs count="0"/>
  <tableStyles count="0" defaultTableStyle="TableStyleMedium9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A5E3F-02C9-4D83-B5DD-B0270F62F40F}">
  <sheetPr codeName="Sheet2">
    <pageSetUpPr fitToPage="1"/>
  </sheetPr>
  <dimension ref="A1:X109"/>
  <sheetViews>
    <sheetView topLeftCell="A83" zoomScale="75" zoomScaleNormal="75" workbookViewId="0">
      <selection activeCell="C93" sqref="C93"/>
    </sheetView>
  </sheetViews>
  <sheetFormatPr defaultColWidth="8.6640625" defaultRowHeight="12.75" x14ac:dyDescent="0.2"/>
  <cols>
    <col min="1" max="2" width="3.83203125" style="97" customWidth="1"/>
    <col min="3" max="3" width="62.33203125" style="97" customWidth="1"/>
    <col min="4" max="4" width="15.5" style="97" customWidth="1"/>
    <col min="5" max="5" width="18.33203125" style="97" customWidth="1"/>
    <col min="6" max="6" width="16.33203125" style="97" customWidth="1"/>
    <col min="7" max="7" width="16" style="97" customWidth="1"/>
    <col min="8" max="8" width="15.5" style="97" customWidth="1"/>
    <col min="9" max="9" width="15.33203125" style="97" customWidth="1"/>
    <col min="10" max="10" width="12.83203125" style="97" customWidth="1"/>
    <col min="11" max="11" width="15.1640625" style="97" customWidth="1"/>
    <col min="12" max="12" width="5.83203125" style="96" customWidth="1"/>
    <col min="13" max="16" width="16.83203125" style="97" customWidth="1"/>
    <col min="17" max="16384" width="8.6640625" style="97"/>
  </cols>
  <sheetData>
    <row r="1" spans="1:21" ht="15.75" x14ac:dyDescent="0.2">
      <c r="A1" s="173" t="s">
        <v>260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U1" s="98"/>
    </row>
    <row r="2" spans="1:21" ht="15.75" x14ac:dyDescent="0.2">
      <c r="A2" s="173" t="s">
        <v>0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M2" s="97" t="s">
        <v>1</v>
      </c>
      <c r="N2" s="99">
        <v>44317</v>
      </c>
    </row>
    <row r="3" spans="1:21" ht="15.75" x14ac:dyDescent="0.2">
      <c r="A3" s="173" t="s">
        <v>2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M3" s="97" t="s">
        <v>3</v>
      </c>
      <c r="N3" s="100">
        <f>23.6*2.1</f>
        <v>49.56</v>
      </c>
      <c r="O3" s="97" t="s">
        <v>4</v>
      </c>
    </row>
    <row r="4" spans="1:21" ht="15.75" x14ac:dyDescent="0.2">
      <c r="A4" s="174" t="s">
        <v>255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M4" s="97" t="s">
        <v>5</v>
      </c>
      <c r="N4" s="100">
        <f>57.39*2.1</f>
        <v>120.51900000000001</v>
      </c>
      <c r="O4" s="97" t="s">
        <v>6</v>
      </c>
    </row>
    <row r="5" spans="1:21" x14ac:dyDescent="0.2">
      <c r="A5" s="175" t="s">
        <v>7</v>
      </c>
      <c r="B5" s="176"/>
      <c r="C5" s="176"/>
      <c r="D5" s="101" t="s">
        <v>8</v>
      </c>
      <c r="E5" s="101" t="s">
        <v>9</v>
      </c>
      <c r="F5" s="102" t="s">
        <v>10</v>
      </c>
      <c r="G5" s="101" t="s">
        <v>11</v>
      </c>
      <c r="H5" s="101" t="s">
        <v>12</v>
      </c>
      <c r="I5" s="101" t="s">
        <v>13</v>
      </c>
      <c r="J5" s="101" t="s">
        <v>14</v>
      </c>
      <c r="K5" s="101" t="s">
        <v>15</v>
      </c>
      <c r="M5" s="103" t="s">
        <v>16</v>
      </c>
      <c r="N5" s="100">
        <f>22.57*2.1</f>
        <v>47.397000000000006</v>
      </c>
      <c r="O5" s="97" t="s">
        <v>17</v>
      </c>
      <c r="P5" s="96"/>
    </row>
    <row r="6" spans="1:21" ht="51" x14ac:dyDescent="0.2">
      <c r="A6" s="176"/>
      <c r="B6" s="176"/>
      <c r="C6" s="176"/>
      <c r="D6" s="104" t="s">
        <v>18</v>
      </c>
      <c r="E6" s="104" t="s">
        <v>19</v>
      </c>
      <c r="F6" s="104" t="s">
        <v>20</v>
      </c>
      <c r="G6" s="104" t="s">
        <v>21</v>
      </c>
      <c r="H6" s="104" t="s">
        <v>22</v>
      </c>
      <c r="I6" s="104" t="s">
        <v>23</v>
      </c>
      <c r="J6" s="104" t="s">
        <v>24</v>
      </c>
      <c r="K6" s="104" t="s">
        <v>25</v>
      </c>
      <c r="L6" s="105"/>
      <c r="M6" s="105" t="s">
        <v>26</v>
      </c>
      <c r="N6" s="105"/>
      <c r="O6" s="105"/>
      <c r="P6" s="105"/>
    </row>
    <row r="7" spans="1:21" ht="15" customHeight="1" x14ac:dyDescent="0.2">
      <c r="A7" s="170" t="s">
        <v>27</v>
      </c>
      <c r="B7" s="171"/>
      <c r="C7" s="171"/>
      <c r="D7" s="171"/>
      <c r="E7" s="171"/>
      <c r="F7" s="171"/>
      <c r="G7" s="171"/>
      <c r="H7" s="171"/>
      <c r="I7" s="171"/>
      <c r="J7" s="171"/>
      <c r="K7" s="172"/>
    </row>
    <row r="8" spans="1:21" ht="15" customHeight="1" x14ac:dyDescent="0.2">
      <c r="A8" s="170" t="s">
        <v>28</v>
      </c>
      <c r="B8" s="171"/>
      <c r="C8" s="171"/>
      <c r="D8" s="171"/>
      <c r="E8" s="171"/>
      <c r="F8" s="171"/>
      <c r="G8" s="171"/>
      <c r="H8" s="171"/>
      <c r="I8" s="171"/>
      <c r="J8" s="171"/>
      <c r="K8" s="172"/>
    </row>
    <row r="9" spans="1:21" ht="15" customHeight="1" x14ac:dyDescent="0.2">
      <c r="A9" s="178" t="s">
        <v>29</v>
      </c>
      <c r="B9" s="179"/>
      <c r="C9" s="179"/>
      <c r="D9" s="171"/>
      <c r="E9" s="171"/>
      <c r="F9" s="171"/>
      <c r="G9" s="171"/>
      <c r="H9" s="171"/>
      <c r="I9" s="171"/>
      <c r="J9" s="171"/>
      <c r="K9" s="172"/>
    </row>
    <row r="10" spans="1:21" ht="15" customHeight="1" x14ac:dyDescent="0.2">
      <c r="A10" s="170" t="s">
        <v>30</v>
      </c>
      <c r="B10" s="171"/>
      <c r="C10" s="171"/>
      <c r="D10" s="171"/>
      <c r="E10" s="171"/>
      <c r="F10" s="171"/>
      <c r="G10" s="171"/>
      <c r="H10" s="171"/>
      <c r="I10" s="171"/>
      <c r="J10" s="171"/>
      <c r="K10" s="172"/>
    </row>
    <row r="11" spans="1:21" ht="15" customHeight="1" x14ac:dyDescent="0.2">
      <c r="A11" s="106"/>
      <c r="B11" s="107" t="s">
        <v>31</v>
      </c>
      <c r="C11" s="108"/>
      <c r="D11" s="101"/>
      <c r="E11" s="101"/>
      <c r="F11" s="101"/>
      <c r="G11" s="101"/>
      <c r="H11" s="55"/>
      <c r="I11" s="55"/>
      <c r="J11" s="55"/>
      <c r="K11" s="101"/>
    </row>
    <row r="12" spans="1:21" ht="15" customHeight="1" x14ac:dyDescent="0.2">
      <c r="A12" s="106"/>
      <c r="B12" s="109"/>
      <c r="C12" s="107" t="s">
        <v>32</v>
      </c>
      <c r="D12" s="55">
        <v>4</v>
      </c>
      <c r="E12" s="55">
        <v>1</v>
      </c>
      <c r="F12" s="55">
        <f>D12*E12</f>
        <v>4</v>
      </c>
      <c r="G12" s="55">
        <f>'New Sources'!M30</f>
        <v>1228.4020247317048</v>
      </c>
      <c r="H12" s="55">
        <f>F12*G12</f>
        <v>4913.6080989268194</v>
      </c>
      <c r="I12" s="55">
        <f>H12*0.05</f>
        <v>245.68040494634099</v>
      </c>
      <c r="J12" s="55">
        <f>H12*0.1</f>
        <v>491.36080989268197</v>
      </c>
      <c r="K12" s="110">
        <f>(H12*N$3)+(I12*N$4)+(J12*N$5)</f>
        <v>296416.6024130247</v>
      </c>
      <c r="L12" s="111"/>
    </row>
    <row r="13" spans="1:21" ht="15" customHeight="1" x14ac:dyDescent="0.2">
      <c r="A13" s="106"/>
      <c r="B13" s="109"/>
      <c r="C13" s="107" t="s">
        <v>243</v>
      </c>
      <c r="D13" s="55">
        <v>1</v>
      </c>
      <c r="E13" s="55">
        <v>1</v>
      </c>
      <c r="F13" s="55">
        <f>D13*E13</f>
        <v>1</v>
      </c>
      <c r="G13" s="55">
        <v>10</v>
      </c>
      <c r="H13" s="55">
        <f>F13*G13</f>
        <v>10</v>
      </c>
      <c r="I13" s="55">
        <f>H13*0.05</f>
        <v>0.5</v>
      </c>
      <c r="J13" s="55">
        <f>H13*0.1</f>
        <v>1</v>
      </c>
      <c r="K13" s="110">
        <f>(H13*N$3)+(I13*N$4)+(J13*N$5)</f>
        <v>603.25650000000007</v>
      </c>
      <c r="L13" s="111"/>
    </row>
    <row r="14" spans="1:21" ht="15" customHeight="1" x14ac:dyDescent="0.2">
      <c r="A14" s="106"/>
      <c r="B14" s="107" t="s">
        <v>33</v>
      </c>
      <c r="C14" s="108"/>
      <c r="D14" s="55"/>
      <c r="E14" s="55"/>
      <c r="F14" s="55"/>
      <c r="G14" s="55"/>
      <c r="H14" s="55"/>
      <c r="I14" s="55"/>
      <c r="J14" s="55"/>
      <c r="K14" s="101"/>
    </row>
    <row r="15" spans="1:21" customFormat="1" x14ac:dyDescent="0.2">
      <c r="A15" s="112"/>
      <c r="B15" s="113"/>
      <c r="C15" s="114" t="s">
        <v>34</v>
      </c>
      <c r="D15" s="115">
        <v>0.5</v>
      </c>
      <c r="E15" s="92">
        <v>1</v>
      </c>
      <c r="F15" s="115">
        <f>D15*E15</f>
        <v>0.5</v>
      </c>
      <c r="G15" s="92">
        <f>'New Sources'!D27+'New Sources'!D28</f>
        <v>24</v>
      </c>
      <c r="H15" s="92">
        <f>F15*G15</f>
        <v>12</v>
      </c>
      <c r="I15" s="92">
        <f>H15*0.05</f>
        <v>0.60000000000000009</v>
      </c>
      <c r="J15" s="92">
        <f>H15*0.1</f>
        <v>1.2000000000000002</v>
      </c>
      <c r="K15" s="116">
        <f>(H15*N$3)+(I15*N$4)+(J15*N$5)</f>
        <v>723.90780000000007</v>
      </c>
      <c r="L15" s="33"/>
      <c r="M15" t="s">
        <v>35</v>
      </c>
    </row>
    <row r="16" spans="1:21" customFormat="1" x14ac:dyDescent="0.2">
      <c r="A16" s="112"/>
      <c r="B16" s="113"/>
      <c r="C16" s="114" t="s">
        <v>36</v>
      </c>
      <c r="D16" s="117">
        <v>0.25</v>
      </c>
      <c r="E16" s="92">
        <v>1</v>
      </c>
      <c r="F16" s="115">
        <f>D16*E16</f>
        <v>0.25</v>
      </c>
      <c r="G16" s="92">
        <f>ROUND('New Sources'!D4,0)</f>
        <v>17459</v>
      </c>
      <c r="H16" s="92">
        <f>F16*G16</f>
        <v>4364.75</v>
      </c>
      <c r="I16" s="92">
        <f>H16*0.05</f>
        <v>218.23750000000001</v>
      </c>
      <c r="J16" s="92">
        <f>H16*0.1</f>
        <v>436.47500000000002</v>
      </c>
      <c r="K16" s="116">
        <f>(H16*N$3)+(I16*N$4)+(J16*N$5)</f>
        <v>263306.38083750004</v>
      </c>
      <c r="L16" s="118"/>
      <c r="M16" t="s">
        <v>37</v>
      </c>
    </row>
    <row r="17" spans="1:19" customFormat="1" ht="25.5" x14ac:dyDescent="0.2">
      <c r="A17" s="112"/>
      <c r="B17" s="119"/>
      <c r="C17" s="114" t="s">
        <v>266</v>
      </c>
      <c r="D17" s="117">
        <f>AVERAGE(4,40)</f>
        <v>22</v>
      </c>
      <c r="E17" s="92">
        <v>1</v>
      </c>
      <c r="F17" s="115">
        <f>D17*E17</f>
        <v>22</v>
      </c>
      <c r="G17" s="92">
        <v>10</v>
      </c>
      <c r="H17" s="92">
        <f>F17*G17</f>
        <v>220</v>
      </c>
      <c r="I17" s="92">
        <f>H17*0.05</f>
        <v>11</v>
      </c>
      <c r="J17" s="92">
        <f>H17*0.1</f>
        <v>22</v>
      </c>
      <c r="K17" s="116">
        <f>(H17*N$3)+(I17*N$4)+(J17*N$5)</f>
        <v>13271.643000000002</v>
      </c>
      <c r="L17" s="118"/>
      <c r="M17" t="s">
        <v>244</v>
      </c>
    </row>
    <row r="18" spans="1:19" customFormat="1" x14ac:dyDescent="0.2">
      <c r="A18" s="112"/>
      <c r="B18" s="119"/>
      <c r="C18" s="114" t="s">
        <v>267</v>
      </c>
      <c r="D18" s="117">
        <f>AVERAGE(2,10)</f>
        <v>6</v>
      </c>
      <c r="E18" s="92">
        <v>1</v>
      </c>
      <c r="F18" s="115">
        <f>D18*E18</f>
        <v>6</v>
      </c>
      <c r="G18" s="92">
        <v>0</v>
      </c>
      <c r="H18" s="92">
        <f>F18*G18</f>
        <v>0</v>
      </c>
      <c r="I18" s="92">
        <f>H18*0.05</f>
        <v>0</v>
      </c>
      <c r="J18" s="92">
        <f>H18*0.1</f>
        <v>0</v>
      </c>
      <c r="K18" s="116">
        <f>(H18*N$3)+(I18*N$4)+(J18*N$5)</f>
        <v>0</v>
      </c>
      <c r="L18" s="118"/>
      <c r="M18" t="s">
        <v>245</v>
      </c>
    </row>
    <row r="19" spans="1:19" customFormat="1" ht="15" customHeight="1" x14ac:dyDescent="0.2">
      <c r="A19" s="112"/>
      <c r="B19" s="120" t="s">
        <v>38</v>
      </c>
      <c r="C19" s="121"/>
      <c r="D19" s="92"/>
      <c r="E19" s="92"/>
      <c r="F19" s="92"/>
      <c r="G19" s="92"/>
      <c r="H19" s="92"/>
      <c r="I19" s="92"/>
      <c r="J19" s="92"/>
      <c r="K19" s="122"/>
      <c r="L19" s="33"/>
    </row>
    <row r="20" spans="1:19" ht="15" customHeight="1" x14ac:dyDescent="0.2">
      <c r="A20" s="106"/>
      <c r="B20" s="109"/>
      <c r="C20" s="56" t="s">
        <v>39</v>
      </c>
      <c r="D20" s="55"/>
      <c r="E20" s="55"/>
      <c r="F20" s="55"/>
      <c r="G20" s="55"/>
      <c r="H20" s="55"/>
      <c r="I20" s="55"/>
      <c r="J20" s="55"/>
      <c r="K20" s="101"/>
      <c r="M20" t="s">
        <v>40</v>
      </c>
    </row>
    <row r="21" spans="1:19" ht="15" customHeight="1" x14ac:dyDescent="0.2">
      <c r="A21" s="106"/>
      <c r="B21" s="109"/>
      <c r="C21" s="57" t="s">
        <v>41</v>
      </c>
      <c r="D21" s="55"/>
      <c r="E21" s="55"/>
      <c r="F21" s="55"/>
      <c r="G21" s="55"/>
      <c r="H21" s="55"/>
      <c r="I21" s="55"/>
      <c r="J21" s="55"/>
      <c r="K21" s="101"/>
    </row>
    <row r="22" spans="1:19" ht="14.1" customHeight="1" x14ac:dyDescent="0.2">
      <c r="A22" s="106"/>
      <c r="B22" s="109"/>
      <c r="C22" s="63" t="s">
        <v>42</v>
      </c>
      <c r="D22" s="55">
        <v>4</v>
      </c>
      <c r="E22" s="55">
        <v>1</v>
      </c>
      <c r="F22" s="55">
        <f t="shared" ref="F22:F26" si="0">D22*E22</f>
        <v>4</v>
      </c>
      <c r="G22" s="55">
        <f>'New Sources'!D5</f>
        <v>9679.8018989027823</v>
      </c>
      <c r="H22" s="55">
        <f t="shared" ref="H22" si="1">F22*G22</f>
        <v>38719.207595611129</v>
      </c>
      <c r="I22" s="55">
        <f t="shared" ref="I22" si="2">H22*0.05</f>
        <v>1935.9603797805567</v>
      </c>
      <c r="J22" s="55">
        <f t="shared" ref="J22" si="3">H22*0.1</f>
        <v>3871.9207595611133</v>
      </c>
      <c r="K22" s="110">
        <f t="shared" ref="K22" si="4">(H22*N$3)+(I22*N$4)+(J22*N$5)</f>
        <v>2335761.3656901787</v>
      </c>
      <c r="L22" s="123"/>
      <c r="M22" s="123"/>
      <c r="N22" s="123"/>
      <c r="O22" s="123"/>
      <c r="P22" s="123"/>
      <c r="Q22" s="123"/>
      <c r="R22" s="123"/>
      <c r="S22" s="123"/>
    </row>
    <row r="23" spans="1:19" ht="14.1" customHeight="1" x14ac:dyDescent="0.2">
      <c r="A23" s="106"/>
      <c r="B23" s="109"/>
      <c r="C23" s="63" t="s">
        <v>43</v>
      </c>
      <c r="D23" s="55">
        <v>1</v>
      </c>
      <c r="E23" s="55">
        <v>1</v>
      </c>
      <c r="F23" s="55">
        <f t="shared" si="0"/>
        <v>1</v>
      </c>
      <c r="G23" s="55">
        <f>G22</f>
        <v>9679.8018989027823</v>
      </c>
      <c r="H23" s="55">
        <f t="shared" ref="H23" si="5">F23*G23</f>
        <v>9679.8018989027823</v>
      </c>
      <c r="I23" s="55">
        <f t="shared" ref="I23" si="6">H23*0.05</f>
        <v>483.99009494513916</v>
      </c>
      <c r="J23" s="55">
        <f t="shared" ref="J23" si="7">H23*0.1</f>
        <v>967.98018989027833</v>
      </c>
      <c r="K23" s="110">
        <f t="shared" ref="K23" si="8">(H23*N$3)+(I23*N$4)+(J23*N$5)</f>
        <v>583940.34142254468</v>
      </c>
      <c r="L23" s="123"/>
      <c r="M23" s="123"/>
      <c r="N23" s="123"/>
      <c r="O23" s="123"/>
      <c r="P23" s="123"/>
      <c r="Q23" s="123"/>
      <c r="R23" s="123"/>
      <c r="S23" s="123"/>
    </row>
    <row r="24" spans="1:19" ht="14.1" customHeight="1" x14ac:dyDescent="0.2">
      <c r="A24" s="106"/>
      <c r="B24" s="109"/>
      <c r="C24" s="57" t="s">
        <v>44</v>
      </c>
      <c r="D24" s="55"/>
      <c r="E24" s="55"/>
      <c r="F24" s="55"/>
      <c r="G24" s="55"/>
      <c r="H24" s="55"/>
      <c r="I24" s="55"/>
      <c r="J24" s="55"/>
      <c r="K24" s="110"/>
      <c r="L24" s="123"/>
      <c r="M24" s="123"/>
      <c r="N24" s="123"/>
      <c r="O24" s="123"/>
      <c r="P24" s="123"/>
      <c r="Q24" s="123"/>
      <c r="R24" s="123"/>
      <c r="S24" s="123"/>
    </row>
    <row r="25" spans="1:19" ht="14.1" customHeight="1" x14ac:dyDescent="0.2">
      <c r="A25" s="106"/>
      <c r="B25" s="109"/>
      <c r="C25" s="63" t="s">
        <v>42</v>
      </c>
      <c r="D25" s="55">
        <v>4</v>
      </c>
      <c r="E25" s="55">
        <v>1</v>
      </c>
      <c r="F25" s="55">
        <f t="shared" si="0"/>
        <v>4</v>
      </c>
      <c r="G25" s="55">
        <f>'New Sources'!D6</f>
        <v>257.05333608773498</v>
      </c>
      <c r="H25" s="55">
        <f t="shared" ref="H25:H26" si="9">F25*G25</f>
        <v>1028.2133443509399</v>
      </c>
      <c r="I25" s="55">
        <f t="shared" ref="I25:I26" si="10">H25*0.05</f>
        <v>51.410667217547001</v>
      </c>
      <c r="J25" s="55">
        <f t="shared" ref="J25:J26" si="11">H25*0.1</f>
        <v>102.821334435094</v>
      </c>
      <c r="K25" s="110">
        <f t="shared" ref="K25:K26" si="12">(H25*N$3)+(I25*N$4)+(J25*N$5)</f>
        <v>62027.63833664429</v>
      </c>
      <c r="L25" s="123"/>
      <c r="M25" s="123"/>
      <c r="N25" s="123"/>
      <c r="O25" s="123"/>
      <c r="P25" s="123"/>
      <c r="Q25" s="123"/>
      <c r="R25" s="123"/>
      <c r="S25" s="123"/>
    </row>
    <row r="26" spans="1:19" ht="14.1" customHeight="1" x14ac:dyDescent="0.2">
      <c r="A26" s="106"/>
      <c r="B26" s="109"/>
      <c r="C26" s="63" t="s">
        <v>45</v>
      </c>
      <c r="D26" s="55">
        <v>40</v>
      </c>
      <c r="E26" s="55">
        <v>1</v>
      </c>
      <c r="F26" s="55">
        <f t="shared" si="0"/>
        <v>40</v>
      </c>
      <c r="G26" s="55">
        <f>G25</f>
        <v>257.05333608773498</v>
      </c>
      <c r="H26" s="55">
        <f t="shared" si="9"/>
        <v>10282.1334435094</v>
      </c>
      <c r="I26" s="55">
        <f t="shared" si="10"/>
        <v>514.10667217546995</v>
      </c>
      <c r="J26" s="55">
        <f t="shared" si="11"/>
        <v>1028.2133443509399</v>
      </c>
      <c r="K26" s="110">
        <f t="shared" si="12"/>
        <v>620276.38336644287</v>
      </c>
      <c r="L26" s="123"/>
      <c r="M26" s="123"/>
      <c r="N26" s="123"/>
      <c r="O26" s="123"/>
      <c r="P26" s="123"/>
      <c r="Q26" s="123"/>
      <c r="R26" s="123"/>
      <c r="S26" s="123"/>
    </row>
    <row r="27" spans="1:19" ht="14.1" customHeight="1" x14ac:dyDescent="0.2">
      <c r="A27" s="106"/>
      <c r="B27" s="109"/>
      <c r="C27" s="63" t="s">
        <v>46</v>
      </c>
      <c r="D27" s="55"/>
      <c r="E27" s="55"/>
      <c r="F27" s="55"/>
      <c r="G27" s="55">
        <f>G25</f>
        <v>257.05333608773498</v>
      </c>
      <c r="H27" s="55"/>
      <c r="I27" s="55"/>
      <c r="J27" s="55"/>
      <c r="K27" s="110">
        <f>D100*G27</f>
        <v>230576.84247069826</v>
      </c>
      <c r="L27" s="123"/>
      <c r="M27" s="123"/>
      <c r="N27" s="123"/>
      <c r="O27" s="123"/>
      <c r="P27" s="123"/>
      <c r="Q27" s="123"/>
      <c r="R27" s="123"/>
      <c r="S27" s="123"/>
    </row>
    <row r="28" spans="1:19" ht="27" customHeight="1" x14ac:dyDescent="0.2">
      <c r="A28" s="106"/>
      <c r="B28" s="109"/>
      <c r="C28" s="57" t="s">
        <v>47</v>
      </c>
      <c r="D28" s="55"/>
      <c r="E28" s="55"/>
      <c r="F28" s="55"/>
      <c r="G28" s="55"/>
      <c r="H28" s="55"/>
      <c r="I28" s="55"/>
      <c r="J28" s="55"/>
      <c r="K28" s="110"/>
      <c r="L28" s="123"/>
      <c r="M28" s="123"/>
      <c r="N28" s="123"/>
      <c r="O28" s="123"/>
      <c r="P28" s="123"/>
      <c r="Q28" s="123"/>
      <c r="R28" s="123"/>
      <c r="S28" s="123"/>
    </row>
    <row r="29" spans="1:19" ht="14.85" customHeight="1" x14ac:dyDescent="0.2">
      <c r="A29" s="106"/>
      <c r="B29" s="109"/>
      <c r="C29" s="63" t="s">
        <v>42</v>
      </c>
      <c r="D29" s="55">
        <v>4</v>
      </c>
      <c r="E29" s="55">
        <v>1</v>
      </c>
      <c r="F29" s="55">
        <f t="shared" ref="F29:F30" si="13">D29*E29</f>
        <v>4</v>
      </c>
      <c r="G29" s="55">
        <f>'New Sources'!D7</f>
        <v>7522.0358062503583</v>
      </c>
      <c r="H29" s="55">
        <f t="shared" ref="H29:H30" si="14">F29*G29</f>
        <v>30088.143225001433</v>
      </c>
      <c r="I29" s="55">
        <f t="shared" ref="I29:I30" si="15">H29*0.05</f>
        <v>1504.4071612500718</v>
      </c>
      <c r="J29" s="55">
        <f t="shared" ref="J29:J30" si="16">H29*0.1</f>
        <v>3008.8143225001436</v>
      </c>
      <c r="K29" s="110">
        <f t="shared" ref="K29:K30" si="17">(H29*N$3)+(I29*N$4)+(J29*N$5)</f>
        <v>1815086.7973413079</v>
      </c>
      <c r="L29" s="123"/>
      <c r="M29" s="123"/>
      <c r="N29" s="123"/>
      <c r="O29" s="123"/>
      <c r="P29" s="123"/>
      <c r="Q29" s="123"/>
      <c r="R29" s="123"/>
      <c r="S29" s="123"/>
    </row>
    <row r="30" spans="1:19" ht="14.85" customHeight="1" x14ac:dyDescent="0.2">
      <c r="A30" s="106"/>
      <c r="B30" s="109"/>
      <c r="C30" s="63" t="s">
        <v>45</v>
      </c>
      <c r="D30" s="55">
        <v>40</v>
      </c>
      <c r="E30" s="55">
        <v>1</v>
      </c>
      <c r="F30" s="55">
        <f t="shared" si="13"/>
        <v>40</v>
      </c>
      <c r="G30" s="55">
        <f>G29</f>
        <v>7522.0358062503583</v>
      </c>
      <c r="H30" s="55">
        <f t="shared" si="14"/>
        <v>300881.43225001433</v>
      </c>
      <c r="I30" s="55">
        <f t="shared" si="15"/>
        <v>15044.071612500717</v>
      </c>
      <c r="J30" s="55">
        <f t="shared" si="16"/>
        <v>30088.143225001433</v>
      </c>
      <c r="K30" s="110">
        <f t="shared" si="17"/>
        <v>18150867.97341308</v>
      </c>
      <c r="L30" s="123"/>
      <c r="M30" s="123"/>
      <c r="N30" s="123"/>
      <c r="O30" s="123"/>
      <c r="P30" s="123"/>
      <c r="Q30" s="123"/>
      <c r="R30" s="123"/>
      <c r="S30" s="123"/>
    </row>
    <row r="31" spans="1:19" ht="14.85" customHeight="1" x14ac:dyDescent="0.2">
      <c r="A31" s="106"/>
      <c r="B31" s="109"/>
      <c r="C31" s="63" t="s">
        <v>46</v>
      </c>
      <c r="D31" s="55"/>
      <c r="E31" s="55"/>
      <c r="F31" s="55"/>
      <c r="G31" s="55">
        <f>G30</f>
        <v>7522.0358062503583</v>
      </c>
      <c r="H31" s="55"/>
      <c r="I31" s="55"/>
      <c r="J31" s="55"/>
      <c r="K31" s="110">
        <f>D104*G27</f>
        <v>165799.40177658905</v>
      </c>
      <c r="L31" s="123"/>
      <c r="M31" s="123"/>
      <c r="N31" s="123"/>
      <c r="O31" s="123"/>
      <c r="P31" s="123"/>
      <c r="Q31" s="123"/>
      <c r="R31" s="123"/>
      <c r="S31" s="123"/>
    </row>
    <row r="32" spans="1:19" ht="15" customHeight="1" x14ac:dyDescent="0.2">
      <c r="A32" s="106"/>
      <c r="B32" s="109"/>
      <c r="C32" s="56" t="s">
        <v>48</v>
      </c>
      <c r="D32" s="55"/>
      <c r="E32" s="55"/>
      <c r="F32" s="55"/>
      <c r="G32" s="55"/>
      <c r="H32" s="55"/>
      <c r="I32" s="55"/>
      <c r="J32" s="55"/>
      <c r="K32" s="110"/>
      <c r="M32" t="s">
        <v>40</v>
      </c>
    </row>
    <row r="33" spans="1:24" ht="15" customHeight="1" x14ac:dyDescent="0.2">
      <c r="A33" s="106"/>
      <c r="B33" s="109"/>
      <c r="C33" s="57" t="s">
        <v>49</v>
      </c>
      <c r="D33" s="55"/>
      <c r="E33" s="55"/>
      <c r="F33" s="55"/>
      <c r="G33" s="55"/>
      <c r="H33" s="55"/>
      <c r="I33" s="55"/>
      <c r="J33" s="55"/>
      <c r="K33" s="110"/>
    </row>
    <row r="34" spans="1:24" ht="15" customHeight="1" x14ac:dyDescent="0.2">
      <c r="A34" s="106"/>
      <c r="B34" s="109"/>
      <c r="C34" s="63" t="s">
        <v>42</v>
      </c>
      <c r="D34" s="55">
        <v>4</v>
      </c>
      <c r="E34" s="55">
        <v>1</v>
      </c>
      <c r="F34" s="55">
        <f t="shared" ref="F34:F35" si="18">D34*E34</f>
        <v>4</v>
      </c>
      <c r="G34" s="92">
        <f>'New Sources'!D24/7</f>
        <v>125.56019673869186</v>
      </c>
      <c r="H34" s="55">
        <f t="shared" ref="H34" si="19">F34*G34</f>
        <v>502.24078695476743</v>
      </c>
      <c r="I34" s="55">
        <f t="shared" ref="I34" si="20">H34*0.05</f>
        <v>25.112039347738374</v>
      </c>
      <c r="J34" s="55">
        <f t="shared" ref="J34" si="21">H34*0.1</f>
        <v>50.224078695476749</v>
      </c>
      <c r="K34" s="110">
        <f t="shared" ref="K34" si="22">(H34*N$3)+(I34*N$4)+(J34*N$5)</f>
        <v>30298.001929557868</v>
      </c>
    </row>
    <row r="35" spans="1:24" ht="15" customHeight="1" x14ac:dyDescent="0.2">
      <c r="A35" s="106"/>
      <c r="B35" s="109"/>
      <c r="C35" s="63" t="s">
        <v>50</v>
      </c>
      <c r="D35" s="55">
        <v>25</v>
      </c>
      <c r="E35" s="55">
        <v>1</v>
      </c>
      <c r="F35" s="55">
        <f t="shared" si="18"/>
        <v>25</v>
      </c>
      <c r="G35" s="55">
        <f>G34</f>
        <v>125.56019673869186</v>
      </c>
      <c r="H35" s="55">
        <f t="shared" ref="H35" si="23">F35*G35</f>
        <v>3139.0049184672966</v>
      </c>
      <c r="I35" s="55">
        <f t="shared" ref="I35" si="24">H35*0.05</f>
        <v>156.95024592336483</v>
      </c>
      <c r="J35" s="55">
        <f t="shared" ref="J35" si="25">H35*0.1</f>
        <v>313.90049184672966</v>
      </c>
      <c r="K35" s="110">
        <f t="shared" ref="K35" si="26">(H35*N$3)+(I35*N$4)+(J35*N$5)</f>
        <v>189362.51205973671</v>
      </c>
      <c r="L35" s="123"/>
    </row>
    <row r="36" spans="1:24" ht="15" customHeight="1" x14ac:dyDescent="0.2">
      <c r="A36" s="106"/>
      <c r="B36" s="109"/>
      <c r="C36" s="63" t="s">
        <v>46</v>
      </c>
      <c r="D36" s="124"/>
      <c r="E36" s="55"/>
      <c r="F36" s="124"/>
      <c r="G36" s="55">
        <f>G34</f>
        <v>125.56019673869186</v>
      </c>
      <c r="H36" s="55"/>
      <c r="I36" s="55"/>
      <c r="J36" s="55"/>
      <c r="K36" s="110">
        <f>G36*D101</f>
        <v>2477051.561260913</v>
      </c>
      <c r="L36" s="123"/>
    </row>
    <row r="37" spans="1:24" ht="15" customHeight="1" x14ac:dyDescent="0.2">
      <c r="A37" s="106"/>
      <c r="B37" s="109"/>
      <c r="C37" s="57" t="s">
        <v>51</v>
      </c>
      <c r="D37" s="55"/>
      <c r="E37" s="55"/>
      <c r="F37" s="55"/>
      <c r="G37" s="55"/>
      <c r="H37" s="55"/>
      <c r="I37" s="55"/>
      <c r="J37" s="55"/>
      <c r="K37" s="110"/>
      <c r="L37" s="123"/>
    </row>
    <row r="38" spans="1:24" ht="15" customHeight="1" x14ac:dyDescent="0.2">
      <c r="A38" s="106"/>
      <c r="B38" s="109"/>
      <c r="C38" s="63" t="s">
        <v>42</v>
      </c>
      <c r="D38" s="55">
        <v>4</v>
      </c>
      <c r="E38" s="55">
        <v>1</v>
      </c>
      <c r="F38" s="55">
        <f t="shared" ref="F38:F39" si="27">D38*E38</f>
        <v>4</v>
      </c>
      <c r="G38" s="55">
        <f>'New Sources'!D25+'New Sources'!D26</f>
        <v>208.97015728725907</v>
      </c>
      <c r="H38" s="55">
        <f t="shared" ref="H38" si="28">F38*G38</f>
        <v>835.88062914903628</v>
      </c>
      <c r="I38" s="55">
        <f t="shared" ref="I38" si="29">H38*0.05</f>
        <v>41.794031457451815</v>
      </c>
      <c r="J38" s="55">
        <f t="shared" ref="J38" si="30">H38*0.1</f>
        <v>83.588062914903631</v>
      </c>
      <c r="K38" s="110">
        <f t="shared" ref="K38" si="31">(H38*N$3)+(I38*N$4)+(J38*N$5)</f>
        <v>50425.042275824562</v>
      </c>
      <c r="L38" s="123"/>
    </row>
    <row r="39" spans="1:24" ht="15" customHeight="1" x14ac:dyDescent="0.2">
      <c r="A39" s="106"/>
      <c r="B39" s="109"/>
      <c r="C39" s="63" t="s">
        <v>52</v>
      </c>
      <c r="D39" s="55">
        <v>60</v>
      </c>
      <c r="E39" s="55">
        <v>1</v>
      </c>
      <c r="F39" s="55">
        <f t="shared" si="27"/>
        <v>60</v>
      </c>
      <c r="G39" s="55">
        <f>G38</f>
        <v>208.97015728725907</v>
      </c>
      <c r="H39" s="55">
        <f t="shared" ref="H39" si="32">F39*G39</f>
        <v>12538.209437235544</v>
      </c>
      <c r="I39" s="55">
        <f t="shared" ref="I39" si="33">H39*0.05</f>
        <v>626.9104718617773</v>
      </c>
      <c r="J39" s="55">
        <f t="shared" ref="J39" si="34">H39*0.1</f>
        <v>1253.8209437235546</v>
      </c>
      <c r="K39" s="110">
        <f t="shared" ref="K39" si="35">(H39*N$3)+(I39*N$4)+(J39*N$5)</f>
        <v>756375.63413736841</v>
      </c>
      <c r="L39" s="123"/>
    </row>
    <row r="40" spans="1:24" ht="14.1" customHeight="1" x14ac:dyDescent="0.2">
      <c r="A40" s="106"/>
      <c r="B40" s="109"/>
      <c r="C40" s="63" t="s">
        <v>46</v>
      </c>
      <c r="D40" s="55"/>
      <c r="E40" s="55"/>
      <c r="F40" s="55"/>
      <c r="G40" s="55">
        <f>G39</f>
        <v>208.97015728725907</v>
      </c>
      <c r="H40" s="55"/>
      <c r="I40" s="55"/>
      <c r="J40" s="55"/>
      <c r="K40" s="110">
        <f>G40*D101</f>
        <v>4122563.2629630468</v>
      </c>
      <c r="L40" s="123"/>
    </row>
    <row r="41" spans="1:24" ht="15" customHeight="1" x14ac:dyDescent="0.2">
      <c r="A41" s="106"/>
      <c r="B41" s="109" t="s">
        <v>53</v>
      </c>
      <c r="C41" s="108"/>
      <c r="D41" s="55"/>
      <c r="E41" s="55"/>
      <c r="F41" s="55"/>
      <c r="G41" s="55"/>
      <c r="H41" s="55"/>
      <c r="I41" s="55"/>
      <c r="J41" s="55"/>
      <c r="K41" s="101"/>
      <c r="L41" s="125"/>
    </row>
    <row r="42" spans="1:24" ht="15" customHeight="1" x14ac:dyDescent="0.2">
      <c r="A42" s="106"/>
      <c r="B42" s="109" t="s">
        <v>54</v>
      </c>
      <c r="C42" s="108"/>
      <c r="D42" s="55"/>
      <c r="E42" s="55"/>
      <c r="F42" s="55"/>
      <c r="G42" s="55"/>
      <c r="H42" s="55"/>
      <c r="I42" s="55"/>
      <c r="J42" s="55"/>
      <c r="K42" s="101"/>
    </row>
    <row r="43" spans="1:24" ht="15" customHeight="1" x14ac:dyDescent="0.2">
      <c r="A43" s="106"/>
      <c r="B43" s="109"/>
      <c r="C43" s="126" t="s">
        <v>55</v>
      </c>
      <c r="D43" s="55">
        <v>1</v>
      </c>
      <c r="E43" s="55">
        <v>1</v>
      </c>
      <c r="F43" s="55">
        <f t="shared" ref="F43:F56" si="36">D43*E43</f>
        <v>1</v>
      </c>
      <c r="G43" s="55">
        <f>G16</f>
        <v>17459</v>
      </c>
      <c r="H43" s="55">
        <f t="shared" ref="H43:H56" si="37">F43*G43</f>
        <v>17459</v>
      </c>
      <c r="I43" s="55">
        <f t="shared" ref="I43:I58" si="38">H43*0.05</f>
        <v>872.95</v>
      </c>
      <c r="J43" s="55">
        <f t="shared" ref="J43:J56" si="39">H43*0.1</f>
        <v>1745.9</v>
      </c>
      <c r="K43" s="110">
        <f t="shared" ref="K43:K56" si="40">(H43*N$3)+(I43*N$4)+(J43*N$5)</f>
        <v>1053225.5233500001</v>
      </c>
      <c r="L43" s="111"/>
      <c r="M43" s="97" t="s">
        <v>56</v>
      </c>
    </row>
    <row r="44" spans="1:24" ht="15" customHeight="1" x14ac:dyDescent="0.2">
      <c r="A44" s="106"/>
      <c r="B44" s="109"/>
      <c r="C44" s="126" t="s">
        <v>110</v>
      </c>
      <c r="D44" s="127">
        <v>0.25</v>
      </c>
      <c r="E44" s="55">
        <v>1</v>
      </c>
      <c r="F44" s="55">
        <f t="shared" si="36"/>
        <v>0.25</v>
      </c>
      <c r="G44" s="55">
        <f>'New Sources'!D18</f>
        <v>8007.3458634509598</v>
      </c>
      <c r="H44" s="55">
        <f t="shared" ref="H44" si="41">F44*G44</f>
        <v>2001.8364658627399</v>
      </c>
      <c r="I44" s="55">
        <f t="shared" ref="I44" si="42">H44*0.05</f>
        <v>100.091823293137</v>
      </c>
      <c r="J44" s="55">
        <f t="shared" ref="J44" si="43">H44*0.1</f>
        <v>200.18364658627399</v>
      </c>
      <c r="K44" s="110">
        <f t="shared" ref="K44" si="44">(H44*N$3)+(I44*N$4)+(J44*N$5)</f>
        <v>120762.0859968726</v>
      </c>
      <c r="L44" s="111"/>
      <c r="M44" s="97" t="s">
        <v>58</v>
      </c>
      <c r="P44"/>
      <c r="Q44"/>
      <c r="R44"/>
      <c r="S44"/>
      <c r="T44"/>
      <c r="U44"/>
      <c r="V44"/>
      <c r="W44"/>
      <c r="X44"/>
    </row>
    <row r="45" spans="1:24" ht="15" customHeight="1" x14ac:dyDescent="0.2">
      <c r="A45" s="106"/>
      <c r="B45" s="109"/>
      <c r="C45" s="126" t="s">
        <v>59</v>
      </c>
      <c r="D45" s="55">
        <v>1</v>
      </c>
      <c r="E45" s="55">
        <v>1</v>
      </c>
      <c r="F45" s="55">
        <f t="shared" si="36"/>
        <v>1</v>
      </c>
      <c r="G45" s="92">
        <f>'New Sources'!D10+'New Sources'!D14</f>
        <v>10793.81369028291</v>
      </c>
      <c r="H45" s="55">
        <f t="shared" ref="H45" si="45">F45*G45</f>
        <v>10793.81369028291</v>
      </c>
      <c r="I45" s="55">
        <f t="shared" ref="I45" si="46">H45*0.05</f>
        <v>539.69068451414557</v>
      </c>
      <c r="J45" s="55">
        <f t="shared" ref="J45" si="47">H45*0.1</f>
        <v>1079.3813690282911</v>
      </c>
      <c r="K45" s="110">
        <f t="shared" ref="K45" si="48">(H45*N$3)+(I45*N$4)+(J45*N$5)</f>
        <v>651143.82684521528</v>
      </c>
      <c r="L45" s="111"/>
      <c r="M45" s="97" t="s">
        <v>60</v>
      </c>
      <c r="P45" s="54"/>
      <c r="Q45"/>
      <c r="R45"/>
      <c r="S45"/>
      <c r="T45"/>
      <c r="U45"/>
      <c r="V45"/>
      <c r="W45"/>
      <c r="X45"/>
    </row>
    <row r="46" spans="1:24" ht="15" customHeight="1" x14ac:dyDescent="0.2">
      <c r="A46" s="106"/>
      <c r="B46" s="109"/>
      <c r="C46" s="126" t="s">
        <v>61</v>
      </c>
      <c r="D46" s="55">
        <v>3</v>
      </c>
      <c r="E46" s="55">
        <v>1</v>
      </c>
      <c r="F46" s="55">
        <f>D46*E46</f>
        <v>3</v>
      </c>
      <c r="G46" s="92">
        <f>'New Sources'!D22</f>
        <v>323.30467533470738</v>
      </c>
      <c r="H46" s="55">
        <f>F46*G46</f>
        <v>969.91402600412221</v>
      </c>
      <c r="I46" s="55">
        <f>H46*0.05</f>
        <v>48.495701300206115</v>
      </c>
      <c r="J46" s="55">
        <f>H46*0.1</f>
        <v>96.991402600412229</v>
      </c>
      <c r="K46" s="110">
        <f>(H46*N$3)+(I46*N$4)+(J46*N$5)</f>
        <v>58510.694062815579</v>
      </c>
      <c r="M46" s="97" t="s">
        <v>62</v>
      </c>
      <c r="P46"/>
      <c r="Q46"/>
      <c r="R46"/>
      <c r="S46"/>
      <c r="T46"/>
      <c r="U46"/>
      <c r="V46"/>
      <c r="W46"/>
      <c r="X46"/>
    </row>
    <row r="47" spans="1:24" ht="15" customHeight="1" x14ac:dyDescent="0.2">
      <c r="A47" s="106"/>
      <c r="B47" s="109"/>
      <c r="C47" s="126" t="s">
        <v>63</v>
      </c>
      <c r="D47" s="124">
        <v>1.5</v>
      </c>
      <c r="E47" s="55">
        <v>1</v>
      </c>
      <c r="F47" s="55">
        <f t="shared" si="36"/>
        <v>1.5</v>
      </c>
      <c r="G47" s="92">
        <f>'New Sources'!D21</f>
        <v>2693.5719883660058</v>
      </c>
      <c r="H47" s="55">
        <f t="shared" si="37"/>
        <v>4040.3579825490087</v>
      </c>
      <c r="I47" s="55">
        <f t="shared" si="38"/>
        <v>202.01789912745045</v>
      </c>
      <c r="J47" s="55">
        <f t="shared" si="39"/>
        <v>404.0357982549009</v>
      </c>
      <c r="K47" s="110">
        <f t="shared" si="40"/>
        <v>243737.22152995761</v>
      </c>
      <c r="M47" s="97" t="s">
        <v>64</v>
      </c>
      <c r="P47" s="54"/>
      <c r="Q47"/>
      <c r="R47"/>
      <c r="S47"/>
      <c r="T47"/>
      <c r="U47"/>
      <c r="V47"/>
      <c r="W47"/>
      <c r="X47"/>
    </row>
    <row r="48" spans="1:24" ht="15" customHeight="1" x14ac:dyDescent="0.2">
      <c r="A48" s="106"/>
      <c r="B48" s="109"/>
      <c r="C48" s="126" t="s">
        <v>257</v>
      </c>
      <c r="D48" s="55">
        <v>3</v>
      </c>
      <c r="E48" s="55">
        <v>1</v>
      </c>
      <c r="F48" s="55">
        <f t="shared" si="36"/>
        <v>3</v>
      </c>
      <c r="G48" s="92">
        <f>'New Sources'!D19</f>
        <v>18546.782575698999</v>
      </c>
      <c r="H48" s="55">
        <f t="shared" si="37"/>
        <v>55640.347727096996</v>
      </c>
      <c r="I48" s="55">
        <f t="shared" si="38"/>
        <v>2782.0173863548498</v>
      </c>
      <c r="J48" s="55">
        <f t="shared" si="39"/>
        <v>5564.0347727096996</v>
      </c>
      <c r="K48" s="110">
        <f t="shared" si="40"/>
        <v>3356540.1428631493</v>
      </c>
      <c r="M48" s="97" t="s">
        <v>65</v>
      </c>
      <c r="P48"/>
      <c r="Q48"/>
      <c r="R48"/>
      <c r="S48"/>
      <c r="T48"/>
      <c r="U48"/>
      <c r="V48"/>
      <c r="W48"/>
      <c r="X48"/>
    </row>
    <row r="49" spans="1:24" ht="15" customHeight="1" x14ac:dyDescent="0.2">
      <c r="A49" s="106"/>
      <c r="B49" s="109"/>
      <c r="C49" s="126" t="s">
        <v>111</v>
      </c>
      <c r="D49" s="55">
        <v>2</v>
      </c>
      <c r="E49" s="55">
        <v>1</v>
      </c>
      <c r="F49" s="55">
        <f t="shared" ref="F49:F53" si="49">D49*E49</f>
        <v>2</v>
      </c>
      <c r="G49" s="92">
        <f>'New Sources'!D23</f>
        <v>7998.0352038816</v>
      </c>
      <c r="H49" s="55">
        <f t="shared" ref="H49" si="50">F49*G49</f>
        <v>15996.0704077632</v>
      </c>
      <c r="I49" s="55">
        <f t="shared" ref="I49" si="51">H49*0.05</f>
        <v>799.80352038816</v>
      </c>
      <c r="J49" s="55">
        <f t="shared" ref="J49" si="52">H49*0.1</f>
        <v>1599.60704077632</v>
      </c>
      <c r="K49" s="110">
        <f t="shared" ref="K49" si="53">(H49*N$3)+(I49*N$4)+(J49*N$5)</f>
        <v>964973.34479408013</v>
      </c>
      <c r="M49" s="97" t="s">
        <v>66</v>
      </c>
      <c r="P49"/>
      <c r="Q49"/>
      <c r="R49"/>
      <c r="S49"/>
      <c r="T49"/>
      <c r="U49"/>
      <c r="V49"/>
      <c r="W49"/>
      <c r="X49"/>
    </row>
    <row r="50" spans="1:24" ht="15" customHeight="1" x14ac:dyDescent="0.2">
      <c r="A50" s="106"/>
      <c r="B50" s="109"/>
      <c r="C50" s="56" t="s">
        <v>39</v>
      </c>
      <c r="D50" s="55"/>
      <c r="E50" s="55"/>
      <c r="F50" s="55"/>
      <c r="G50" s="55"/>
      <c r="H50" s="55"/>
      <c r="I50" s="55"/>
      <c r="J50" s="55"/>
      <c r="K50" s="110"/>
      <c r="M50" s="97" t="s">
        <v>67</v>
      </c>
      <c r="P50"/>
      <c r="Q50"/>
      <c r="R50"/>
      <c r="S50"/>
      <c r="T50"/>
      <c r="U50"/>
      <c r="V50"/>
      <c r="W50"/>
      <c r="X50"/>
    </row>
    <row r="51" spans="1:24" ht="15" customHeight="1" x14ac:dyDescent="0.2">
      <c r="A51" s="106"/>
      <c r="B51" s="109"/>
      <c r="C51" s="57" t="s">
        <v>41</v>
      </c>
      <c r="D51" s="55">
        <v>1</v>
      </c>
      <c r="E51" s="55">
        <v>1</v>
      </c>
      <c r="F51" s="55">
        <f t="shared" si="49"/>
        <v>1</v>
      </c>
      <c r="G51" s="55">
        <f>G22</f>
        <v>9679.8018989027823</v>
      </c>
      <c r="H51" s="55">
        <f t="shared" ref="H51:H53" si="54">F51*G51</f>
        <v>9679.8018989027823</v>
      </c>
      <c r="I51" s="55">
        <f t="shared" ref="I51:I53" si="55">H51*0.05</f>
        <v>483.99009494513916</v>
      </c>
      <c r="J51" s="55">
        <f t="shared" ref="J51:J53" si="56">H51*0.1</f>
        <v>967.98018989027833</v>
      </c>
      <c r="K51" s="110">
        <f t="shared" ref="K51:K53" si="57">(H51*N$3)+(I51*N$4)+(J51*N$5)</f>
        <v>583940.34142254468</v>
      </c>
    </row>
    <row r="52" spans="1:24" ht="15" customHeight="1" x14ac:dyDescent="0.2">
      <c r="A52" s="106"/>
      <c r="B52" s="109"/>
      <c r="C52" s="57" t="s">
        <v>44</v>
      </c>
      <c r="D52" s="55">
        <v>3</v>
      </c>
      <c r="E52" s="55">
        <v>1</v>
      </c>
      <c r="F52" s="55">
        <f t="shared" si="49"/>
        <v>3</v>
      </c>
      <c r="G52" s="55">
        <f>G25</f>
        <v>257.05333608773498</v>
      </c>
      <c r="H52" s="55">
        <f t="shared" si="54"/>
        <v>771.16000826320487</v>
      </c>
      <c r="I52" s="55">
        <f t="shared" si="55"/>
        <v>38.558000413160244</v>
      </c>
      <c r="J52" s="55">
        <f t="shared" si="56"/>
        <v>77.116000826320487</v>
      </c>
      <c r="K52" s="110">
        <f t="shared" si="57"/>
        <v>46520.728752483206</v>
      </c>
    </row>
    <row r="53" spans="1:24" ht="15" customHeight="1" x14ac:dyDescent="0.2">
      <c r="A53" s="106"/>
      <c r="B53" s="109"/>
      <c r="C53" s="57" t="str">
        <f>C28</f>
        <v>Well sites/CPFs w/major production and processing equipment</v>
      </c>
      <c r="D53" s="55">
        <v>3</v>
      </c>
      <c r="E53" s="55">
        <v>1</v>
      </c>
      <c r="F53" s="55">
        <f t="shared" si="49"/>
        <v>3</v>
      </c>
      <c r="G53" s="55">
        <f>G29</f>
        <v>7522.0358062503583</v>
      </c>
      <c r="H53" s="55">
        <f t="shared" si="54"/>
        <v>22566.107418751075</v>
      </c>
      <c r="I53" s="55">
        <f t="shared" si="55"/>
        <v>1128.3053709375538</v>
      </c>
      <c r="J53" s="55">
        <f t="shared" si="56"/>
        <v>2256.6107418751076</v>
      </c>
      <c r="K53" s="110">
        <f t="shared" si="57"/>
        <v>1361315.0980059812</v>
      </c>
    </row>
    <row r="54" spans="1:24" ht="16.350000000000001" customHeight="1" x14ac:dyDescent="0.2">
      <c r="A54" s="106"/>
      <c r="B54" s="109"/>
      <c r="C54" s="56" t="s">
        <v>48</v>
      </c>
      <c r="D54" s="55">
        <v>3</v>
      </c>
      <c r="E54" s="55">
        <v>1</v>
      </c>
      <c r="F54" s="55">
        <f>D54*E54</f>
        <v>3</v>
      </c>
      <c r="G54" s="55">
        <f>G34+G38</f>
        <v>334.53035402595094</v>
      </c>
      <c r="H54" s="55">
        <f>F54*G54</f>
        <v>1003.5910620778528</v>
      </c>
      <c r="I54" s="55">
        <f>H54*0.05</f>
        <v>50.179553103892644</v>
      </c>
      <c r="J54" s="55">
        <f>H54*0.1</f>
        <v>100.35910620778529</v>
      </c>
      <c r="K54" s="110">
        <f>(H54*N$3)+(I54*N$4)+(J54*N$5)</f>
        <v>60542.283154036828</v>
      </c>
      <c r="M54" s="97" t="s">
        <v>67</v>
      </c>
    </row>
    <row r="55" spans="1:24" ht="15" customHeight="1" x14ac:dyDescent="0.2">
      <c r="A55" s="106"/>
      <c r="B55" s="109"/>
      <c r="C55" s="126" t="s">
        <v>258</v>
      </c>
      <c r="D55" s="55">
        <v>2</v>
      </c>
      <c r="E55" s="55">
        <v>1</v>
      </c>
      <c r="F55" s="55">
        <f>D55*E55</f>
        <v>2</v>
      </c>
      <c r="G55" s="55">
        <f>'New Sources'!D20</f>
        <v>3896.4210119340632</v>
      </c>
      <c r="H55" s="55">
        <f>F55*G55</f>
        <v>7792.8420238681265</v>
      </c>
      <c r="I55" s="55">
        <f>H55*0.05</f>
        <v>389.64210119340635</v>
      </c>
      <c r="J55" s="55">
        <f>H55*0.1</f>
        <v>779.28420238681269</v>
      </c>
      <c r="K55" s="110">
        <f>(H55*N$3)+(I55*N$4)+(J55*N$5)</f>
        <v>470108.26043716026</v>
      </c>
      <c r="M55" s="97" t="s">
        <v>68</v>
      </c>
    </row>
    <row r="56" spans="1:24" ht="15" customHeight="1" x14ac:dyDescent="0.2">
      <c r="A56" s="106"/>
      <c r="B56" s="109"/>
      <c r="C56" s="126" t="s">
        <v>69</v>
      </c>
      <c r="D56" s="55">
        <v>4</v>
      </c>
      <c r="E56" s="55">
        <v>1</v>
      </c>
      <c r="F56" s="55">
        <f t="shared" si="36"/>
        <v>4</v>
      </c>
      <c r="G56" s="55">
        <f>'New Sources'!D28</f>
        <v>1</v>
      </c>
      <c r="H56" s="55">
        <f t="shared" si="37"/>
        <v>4</v>
      </c>
      <c r="I56" s="55">
        <f t="shared" si="38"/>
        <v>0.2</v>
      </c>
      <c r="J56" s="55">
        <f t="shared" si="39"/>
        <v>0.4</v>
      </c>
      <c r="K56" s="110">
        <f t="shared" si="40"/>
        <v>241.30260000000001</v>
      </c>
      <c r="M56" s="97" t="s">
        <v>261</v>
      </c>
    </row>
    <row r="57" spans="1:24" ht="15" customHeight="1" x14ac:dyDescent="0.2">
      <c r="A57" s="106"/>
      <c r="B57" s="107" t="s">
        <v>70</v>
      </c>
      <c r="C57" s="108"/>
      <c r="D57" s="55"/>
      <c r="E57" s="55"/>
      <c r="F57" s="55"/>
      <c r="G57" s="55"/>
      <c r="H57" s="55"/>
      <c r="I57" s="55"/>
      <c r="J57" s="55"/>
      <c r="K57" s="110"/>
    </row>
    <row r="58" spans="1:24" ht="15" customHeight="1" x14ac:dyDescent="0.2">
      <c r="A58" s="106"/>
      <c r="B58" s="109"/>
      <c r="C58" s="126" t="s">
        <v>71</v>
      </c>
      <c r="D58" s="55">
        <v>24</v>
      </c>
      <c r="E58" s="55">
        <v>2</v>
      </c>
      <c r="F58" s="55">
        <f>D58*E58</f>
        <v>48</v>
      </c>
      <c r="G58" s="55">
        <f>'New Sources'!D27</f>
        <v>23</v>
      </c>
      <c r="H58" s="55">
        <f>F58*G58</f>
        <v>1104</v>
      </c>
      <c r="I58" s="55">
        <f t="shared" si="38"/>
        <v>55.2</v>
      </c>
      <c r="J58" s="55">
        <f>H58*0.1</f>
        <v>110.4</v>
      </c>
      <c r="K58" s="110">
        <f>(H58*N$3)+(I58*N$4)+(J58*N$5)</f>
        <v>66599.517600000006</v>
      </c>
      <c r="M58" s="97" t="s">
        <v>72</v>
      </c>
    </row>
    <row r="59" spans="1:24" ht="15" customHeight="1" x14ac:dyDescent="0.2">
      <c r="A59" s="106"/>
      <c r="B59" s="107" t="s">
        <v>270</v>
      </c>
      <c r="C59" s="108"/>
      <c r="D59" s="55"/>
      <c r="E59" s="55"/>
      <c r="F59" s="55"/>
      <c r="G59" s="55"/>
      <c r="H59" s="55"/>
      <c r="I59" s="55"/>
      <c r="J59" s="55"/>
      <c r="K59" s="110"/>
    </row>
    <row r="60" spans="1:24" ht="15" customHeight="1" x14ac:dyDescent="0.2">
      <c r="A60" s="106"/>
      <c r="B60" s="109"/>
      <c r="C60" s="126" t="s">
        <v>271</v>
      </c>
      <c r="D60" s="55">
        <f>AVERAGE(2,24)</f>
        <v>13</v>
      </c>
      <c r="E60" s="55">
        <v>1</v>
      </c>
      <c r="F60" s="55">
        <f>D60*E60</f>
        <v>13</v>
      </c>
      <c r="G60" s="55">
        <v>0</v>
      </c>
      <c r="H60" s="55">
        <f>F60*G60</f>
        <v>0</v>
      </c>
      <c r="I60" s="55">
        <f t="shared" ref="I60" si="58">H60*0.05</f>
        <v>0</v>
      </c>
      <c r="J60" s="55">
        <f>H60*0.1</f>
        <v>0</v>
      </c>
      <c r="K60" s="110">
        <f>(H60*N$3)+(I60*N$4)+(J60*N$5)</f>
        <v>0</v>
      </c>
      <c r="M60" t="s">
        <v>250</v>
      </c>
    </row>
    <row r="61" spans="1:24" ht="15" customHeight="1" x14ac:dyDescent="0.2">
      <c r="A61" s="128"/>
      <c r="B61" s="180" t="s">
        <v>73</v>
      </c>
      <c r="C61" s="181"/>
      <c r="D61" s="181"/>
      <c r="E61" s="181"/>
      <c r="F61" s="181"/>
      <c r="G61" s="181"/>
      <c r="H61" s="55">
        <f>SUM(H12:H58)</f>
        <v>567037.46833954554</v>
      </c>
      <c r="I61" s="55">
        <f>SUM(I12:I58)</f>
        <v>28351.87341697728</v>
      </c>
      <c r="J61" s="55">
        <f>SUM(J12:J58)</f>
        <v>56703.746833954559</v>
      </c>
      <c r="K61" s="182">
        <f>SUM(K12:K58)</f>
        <v>41202894.920408748</v>
      </c>
    </row>
    <row r="62" spans="1:24" ht="15" customHeight="1" x14ac:dyDescent="0.2">
      <c r="A62" s="129"/>
      <c r="B62" s="180"/>
      <c r="C62" s="181"/>
      <c r="D62" s="181"/>
      <c r="E62" s="181"/>
      <c r="F62" s="181"/>
      <c r="G62" s="181"/>
      <c r="H62" s="184">
        <f>SUM(H61:J61)</f>
        <v>652093.08859047736</v>
      </c>
      <c r="I62" s="183"/>
      <c r="J62" s="183"/>
      <c r="K62" s="183"/>
      <c r="M62" s="130">
        <f>SUM(K16:K49,K56:K58)</f>
        <v>38382724.441923521</v>
      </c>
    </row>
    <row r="63" spans="1:24" ht="15" customHeight="1" x14ac:dyDescent="0.2">
      <c r="A63" s="170" t="s">
        <v>74</v>
      </c>
      <c r="B63" s="171"/>
      <c r="C63" s="171"/>
      <c r="D63" s="171"/>
      <c r="E63" s="171"/>
      <c r="F63" s="171"/>
      <c r="G63" s="171"/>
      <c r="H63" s="171"/>
      <c r="I63" s="171"/>
      <c r="J63" s="171"/>
      <c r="K63" s="172"/>
    </row>
    <row r="64" spans="1:24" ht="15" customHeight="1" x14ac:dyDescent="0.2">
      <c r="A64" s="106"/>
      <c r="B64" s="107" t="s">
        <v>75</v>
      </c>
      <c r="C64" s="108"/>
      <c r="D64" s="101"/>
      <c r="E64" s="101"/>
      <c r="F64" s="101"/>
      <c r="G64" s="101"/>
      <c r="H64" s="55"/>
      <c r="I64" s="101"/>
      <c r="J64" s="101"/>
      <c r="K64" s="101"/>
    </row>
    <row r="65" spans="1:13" ht="15" customHeight="1" x14ac:dyDescent="0.2">
      <c r="A65" s="106"/>
      <c r="B65" s="107" t="s">
        <v>76</v>
      </c>
      <c r="C65" s="108"/>
      <c r="D65" s="101"/>
      <c r="E65" s="101"/>
      <c r="F65" s="101"/>
      <c r="G65" s="101"/>
      <c r="H65" s="55"/>
      <c r="I65" s="101"/>
      <c r="J65" s="101"/>
      <c r="K65" s="101"/>
    </row>
    <row r="66" spans="1:13" ht="15" customHeight="1" x14ac:dyDescent="0.2">
      <c r="A66" s="106"/>
      <c r="B66" s="107" t="s">
        <v>77</v>
      </c>
      <c r="C66" s="108"/>
      <c r="D66" s="101"/>
      <c r="E66" s="101"/>
      <c r="F66" s="101"/>
      <c r="G66" s="55"/>
      <c r="H66" s="55"/>
      <c r="I66" s="101"/>
      <c r="J66" s="101"/>
      <c r="K66" s="101"/>
    </row>
    <row r="67" spans="1:13" ht="15" customHeight="1" x14ac:dyDescent="0.2">
      <c r="A67" s="106"/>
      <c r="B67" s="109"/>
      <c r="C67" s="126" t="s">
        <v>78</v>
      </c>
      <c r="D67" s="124">
        <v>0.5</v>
      </c>
      <c r="E67" s="55">
        <v>1</v>
      </c>
      <c r="F67" s="55">
        <f t="shared" ref="F67:F73" si="59">D67*E67</f>
        <v>0.5</v>
      </c>
      <c r="G67" s="55">
        <f>('New Sources'!D17/'New Sources'!D4)*'New Sources'!D4</f>
        <v>13292.396874558286</v>
      </c>
      <c r="H67" s="55">
        <f t="shared" ref="H67:H73" si="60">F67*G67</f>
        <v>6646.198437279143</v>
      </c>
      <c r="I67" s="55">
        <f t="shared" ref="I67:I73" si="61">H67*0.05</f>
        <v>332.30992186395719</v>
      </c>
      <c r="J67" s="55">
        <f t="shared" ref="J67:J73" si="62">H67*0.1</f>
        <v>664.61984372791437</v>
      </c>
      <c r="K67" s="110">
        <f t="shared" ref="K67:K73" si="63">(H67*N$3)+(I67*N$4)+(J67*N$5)</f>
        <v>400936.2407578486</v>
      </c>
      <c r="L67" s="111"/>
      <c r="M67" s="97" t="s">
        <v>112</v>
      </c>
    </row>
    <row r="68" spans="1:13" ht="15" customHeight="1" x14ac:dyDescent="0.2">
      <c r="A68" s="106"/>
      <c r="B68" s="109"/>
      <c r="C68" s="126" t="s">
        <v>79</v>
      </c>
      <c r="D68" s="55">
        <v>1</v>
      </c>
      <c r="E68" s="55">
        <v>1</v>
      </c>
      <c r="F68" s="55">
        <f>D68*E68</f>
        <v>1</v>
      </c>
      <c r="G68" s="55">
        <f>('New Sources'!D16/'New Sources'!D4)*'New Sources'!D4</f>
        <v>4166.4941666825889</v>
      </c>
      <c r="H68" s="55">
        <f>F68*G68</f>
        <v>4166.4941666825889</v>
      </c>
      <c r="I68" s="55">
        <f>H68*0.05</f>
        <v>208.32470833412947</v>
      </c>
      <c r="J68" s="55">
        <f>H68*0.1</f>
        <v>416.64941666825894</v>
      </c>
      <c r="K68" s="110">
        <f>(H68*N$3)+(I68*N$4)+(J68*N$5)</f>
        <v>251346.46882633553</v>
      </c>
      <c r="L68" s="111"/>
      <c r="M68" s="97" t="s">
        <v>80</v>
      </c>
    </row>
    <row r="69" spans="1:13" ht="15" customHeight="1" x14ac:dyDescent="0.2">
      <c r="A69" s="106"/>
      <c r="B69" s="109"/>
      <c r="C69" s="126" t="s">
        <v>110</v>
      </c>
      <c r="D69" s="127">
        <v>0.1</v>
      </c>
      <c r="E69" s="55">
        <v>1</v>
      </c>
      <c r="F69" s="55">
        <f t="shared" ref="F69" si="64">D69*E69</f>
        <v>0.1</v>
      </c>
      <c r="G69" s="55">
        <f>'New Sources'!D18</f>
        <v>8007.3458634509598</v>
      </c>
      <c r="H69" s="55">
        <f t="shared" ref="H69" si="65">F69*G69</f>
        <v>800.73458634509598</v>
      </c>
      <c r="I69" s="55">
        <f t="shared" ref="I69" si="66">H69*0.05</f>
        <v>40.036729317254803</v>
      </c>
      <c r="J69" s="55">
        <f t="shared" ref="J69" si="67">H69*0.1</f>
        <v>80.073458634509606</v>
      </c>
      <c r="K69" s="110">
        <f t="shared" ref="K69" si="68">(H69*N$3)+(I69*N$4)+(J69*N$5)</f>
        <v>48304.834398749044</v>
      </c>
      <c r="L69" s="111"/>
      <c r="M69" s="97" t="s">
        <v>81</v>
      </c>
    </row>
    <row r="70" spans="1:13" ht="15" customHeight="1" x14ac:dyDescent="0.2">
      <c r="A70" s="106"/>
      <c r="B70" s="109"/>
      <c r="C70" s="126" t="s">
        <v>59</v>
      </c>
      <c r="D70" s="124">
        <v>2</v>
      </c>
      <c r="E70" s="55">
        <v>1</v>
      </c>
      <c r="F70" s="55">
        <f t="shared" ref="F70" si="69">D70*E70</f>
        <v>2</v>
      </c>
      <c r="G70" s="55">
        <f>'New Sources'!D10+'New Sources'!D11+'New Sources'!D14+'New Sources'!D15</f>
        <v>14960.307856965501</v>
      </c>
      <c r="H70" s="55">
        <f t="shared" ref="H70" si="70">F70*G70</f>
        <v>29920.615713931002</v>
      </c>
      <c r="I70" s="55">
        <f t="shared" ref="I70" si="71">H70*0.05</f>
        <v>1496.0307856965501</v>
      </c>
      <c r="J70" s="55">
        <f t="shared" ref="J70" si="72">H70*0.1</f>
        <v>2992.0615713931002</v>
      </c>
      <c r="K70" s="110">
        <f t="shared" ref="K70" si="73">(H70*N$3)+(I70*N$4)+(J70*N$5)</f>
        <v>1804980.5913431018</v>
      </c>
      <c r="L70" s="111"/>
      <c r="M70" s="97" t="s">
        <v>82</v>
      </c>
    </row>
    <row r="71" spans="1:13" ht="15" customHeight="1" x14ac:dyDescent="0.2">
      <c r="A71" s="106"/>
      <c r="B71" s="109"/>
      <c r="C71" s="126" t="s">
        <v>61</v>
      </c>
      <c r="D71" s="55">
        <v>4</v>
      </c>
      <c r="E71" s="55">
        <v>1</v>
      </c>
      <c r="F71" s="55">
        <f t="shared" si="59"/>
        <v>4</v>
      </c>
      <c r="G71" s="55">
        <f>G46</f>
        <v>323.30467533470738</v>
      </c>
      <c r="H71" s="55">
        <f t="shared" si="60"/>
        <v>1293.2187013388295</v>
      </c>
      <c r="I71" s="55">
        <f t="shared" si="61"/>
        <v>64.660935066941477</v>
      </c>
      <c r="J71" s="55">
        <f t="shared" si="62"/>
        <v>129.32187013388295</v>
      </c>
      <c r="K71" s="110">
        <f t="shared" si="63"/>
        <v>78014.258750420762</v>
      </c>
      <c r="M71" s="97" t="s">
        <v>113</v>
      </c>
    </row>
    <row r="72" spans="1:13" ht="15" customHeight="1" x14ac:dyDescent="0.2">
      <c r="A72" s="106"/>
      <c r="B72" s="109"/>
      <c r="C72" s="126" t="s">
        <v>63</v>
      </c>
      <c r="D72" s="55">
        <v>1</v>
      </c>
      <c r="E72" s="55">
        <v>1</v>
      </c>
      <c r="F72" s="55">
        <f t="shared" si="59"/>
        <v>1</v>
      </c>
      <c r="G72" s="55">
        <f>G47</f>
        <v>2693.5719883660058</v>
      </c>
      <c r="H72" s="55">
        <f t="shared" si="60"/>
        <v>2693.5719883660058</v>
      </c>
      <c r="I72" s="55">
        <f t="shared" si="61"/>
        <v>134.67859941830031</v>
      </c>
      <c r="J72" s="55">
        <f t="shared" si="62"/>
        <v>269.35719883660062</v>
      </c>
      <c r="K72" s="110">
        <f t="shared" si="63"/>
        <v>162491.48101997175</v>
      </c>
      <c r="M72" s="97" t="s">
        <v>84</v>
      </c>
    </row>
    <row r="73" spans="1:13" ht="15" customHeight="1" x14ac:dyDescent="0.2">
      <c r="A73" s="106"/>
      <c r="B73" s="109"/>
      <c r="C73" s="126" t="s">
        <v>257</v>
      </c>
      <c r="D73" s="55">
        <v>4</v>
      </c>
      <c r="E73" s="55">
        <v>1</v>
      </c>
      <c r="F73" s="55">
        <f t="shared" si="59"/>
        <v>4</v>
      </c>
      <c r="G73" s="55">
        <f>G48</f>
        <v>18546.782575698999</v>
      </c>
      <c r="H73" s="55">
        <f t="shared" si="60"/>
        <v>74187.130302795995</v>
      </c>
      <c r="I73" s="55">
        <f t="shared" si="61"/>
        <v>3709.3565151397997</v>
      </c>
      <c r="J73" s="55">
        <f t="shared" si="62"/>
        <v>7418.7130302795995</v>
      </c>
      <c r="K73" s="110">
        <f t="shared" si="63"/>
        <v>4475386.8571508657</v>
      </c>
      <c r="M73" s="97" t="s">
        <v>85</v>
      </c>
    </row>
    <row r="74" spans="1:13" ht="15" customHeight="1" x14ac:dyDescent="0.2">
      <c r="A74" s="106"/>
      <c r="B74" s="109"/>
      <c r="C74" s="126" t="s">
        <v>111</v>
      </c>
      <c r="D74" s="55">
        <v>2</v>
      </c>
      <c r="E74" s="55">
        <v>1</v>
      </c>
      <c r="F74" s="55">
        <f>D74*E74</f>
        <v>2</v>
      </c>
      <c r="G74" s="55">
        <f>G49</f>
        <v>7998.0352038816</v>
      </c>
      <c r="H74" s="55">
        <f>F74*G74</f>
        <v>15996.0704077632</v>
      </c>
      <c r="I74" s="55">
        <f>H74*0.05</f>
        <v>799.80352038816</v>
      </c>
      <c r="J74" s="55">
        <f>H74*0.1</f>
        <v>1599.60704077632</v>
      </c>
      <c r="K74" s="110">
        <f>(H74*N$3)+(I74*N$4)+(J74*N$5)</f>
        <v>964973.34479408013</v>
      </c>
      <c r="M74" s="97" t="s">
        <v>86</v>
      </c>
    </row>
    <row r="75" spans="1:13" x14ac:dyDescent="0.2">
      <c r="A75" s="106"/>
      <c r="B75" s="109"/>
      <c r="C75" s="56" t="s">
        <v>87</v>
      </c>
      <c r="D75" s="55"/>
      <c r="E75" s="55"/>
      <c r="F75" s="55"/>
      <c r="G75" s="55"/>
      <c r="H75" s="55"/>
      <c r="I75" s="55"/>
      <c r="J75" s="55"/>
      <c r="K75" s="110"/>
    </row>
    <row r="76" spans="1:13" ht="12" customHeight="1" x14ac:dyDescent="0.2">
      <c r="A76" s="106"/>
      <c r="B76" s="109"/>
      <c r="C76" s="65" t="s">
        <v>252</v>
      </c>
      <c r="D76" s="55"/>
      <c r="E76" s="55"/>
      <c r="F76" s="55"/>
      <c r="G76" s="92">
        <f>G25</f>
        <v>257.05333608773498</v>
      </c>
      <c r="H76" s="55"/>
      <c r="I76" s="55"/>
      <c r="J76" s="55"/>
      <c r="K76" s="110">
        <f>G76*D102</f>
        <v>223122.29572415396</v>
      </c>
    </row>
    <row r="77" spans="1:13" x14ac:dyDescent="0.2">
      <c r="A77" s="106"/>
      <c r="B77" s="109"/>
      <c r="C77" s="65" t="s">
        <v>47</v>
      </c>
      <c r="D77" s="55"/>
      <c r="E77" s="55"/>
      <c r="F77" s="55"/>
      <c r="G77" s="92">
        <f>G29</f>
        <v>7522.0358062503583</v>
      </c>
      <c r="H77" s="55"/>
      <c r="I77" s="55"/>
      <c r="J77" s="55"/>
      <c r="K77" s="110">
        <f>G77*D102</f>
        <v>6529127.079825311</v>
      </c>
      <c r="L77" s="125"/>
    </row>
    <row r="78" spans="1:13" x14ac:dyDescent="0.2">
      <c r="A78" s="106"/>
      <c r="B78" s="109"/>
      <c r="C78" s="65" t="s">
        <v>89</v>
      </c>
      <c r="D78" s="55"/>
      <c r="E78" s="55"/>
      <c r="F78" s="55"/>
      <c r="G78" s="92">
        <f>G54</f>
        <v>334.53035402595094</v>
      </c>
      <c r="H78" s="55"/>
      <c r="I78" s="55"/>
      <c r="J78" s="55"/>
      <c r="K78" s="110">
        <f>G78*D102</f>
        <v>290372.34729452542</v>
      </c>
      <c r="L78" s="125"/>
    </row>
    <row r="79" spans="1:13" x14ac:dyDescent="0.2">
      <c r="A79" s="106"/>
      <c r="B79" s="109"/>
      <c r="C79" s="58" t="s">
        <v>90</v>
      </c>
      <c r="D79" s="55"/>
      <c r="E79" s="55"/>
      <c r="F79" s="55"/>
      <c r="G79" s="92"/>
      <c r="H79" s="55"/>
      <c r="I79" s="55"/>
      <c r="J79" s="55"/>
      <c r="K79" s="110"/>
    </row>
    <row r="80" spans="1:13" x14ac:dyDescent="0.2">
      <c r="A80" s="106"/>
      <c r="B80" s="109"/>
      <c r="C80" s="65" t="s">
        <v>252</v>
      </c>
      <c r="D80" s="55"/>
      <c r="E80" s="55"/>
      <c r="F80" s="55"/>
      <c r="G80" s="92">
        <f>G76</f>
        <v>257.05333608773498</v>
      </c>
      <c r="H80" s="55"/>
      <c r="I80" s="55"/>
      <c r="J80" s="55"/>
      <c r="K80" s="110">
        <f>G80*D103</f>
        <v>83028.227556338403</v>
      </c>
    </row>
    <row r="81" spans="1:13" x14ac:dyDescent="0.2">
      <c r="A81" s="106"/>
      <c r="B81" s="109"/>
      <c r="C81" s="65" t="s">
        <v>47</v>
      </c>
      <c r="D81" s="55"/>
      <c r="E81" s="55"/>
      <c r="F81" s="55"/>
      <c r="G81" s="92">
        <f>G77</f>
        <v>7522.0358062503583</v>
      </c>
      <c r="H81" s="55"/>
      <c r="I81" s="55"/>
      <c r="J81" s="55"/>
      <c r="K81" s="110">
        <f>G81*D103</f>
        <v>2429617.5654188655</v>
      </c>
      <c r="L81" s="125"/>
    </row>
    <row r="82" spans="1:13" x14ac:dyDescent="0.2">
      <c r="A82" s="106"/>
      <c r="B82" s="109"/>
      <c r="C82" s="65" t="s">
        <v>89</v>
      </c>
      <c r="D82" s="55"/>
      <c r="E82" s="55"/>
      <c r="F82" s="55"/>
      <c r="G82" s="55">
        <f>G78</f>
        <v>334.53035402595094</v>
      </c>
      <c r="H82" s="55"/>
      <c r="I82" s="55"/>
      <c r="J82" s="55"/>
      <c r="K82" s="110">
        <f>G82*D104</f>
        <v>215772.07834673836</v>
      </c>
      <c r="L82" s="125"/>
    </row>
    <row r="83" spans="1:13" ht="15" customHeight="1" x14ac:dyDescent="0.2">
      <c r="A83" s="106"/>
      <c r="B83" s="109"/>
      <c r="C83" s="126" t="s">
        <v>258</v>
      </c>
      <c r="D83" s="55">
        <v>2</v>
      </c>
      <c r="E83" s="55">
        <v>1</v>
      </c>
      <c r="F83" s="55">
        <f>D83*E83</f>
        <v>2</v>
      </c>
      <c r="G83" s="55">
        <f>G55</f>
        <v>3896.4210119340632</v>
      </c>
      <c r="H83" s="55">
        <f>F83*G83</f>
        <v>7792.8420238681265</v>
      </c>
      <c r="I83" s="55">
        <f>H83*0.05</f>
        <v>389.64210119340635</v>
      </c>
      <c r="J83" s="55">
        <f>H83*0.1</f>
        <v>779.28420238681269</v>
      </c>
      <c r="K83" s="110">
        <f>(H83*N$3)+(I83*N$4)+(J83*N$5)</f>
        <v>470108.26043716026</v>
      </c>
      <c r="L83" s="111"/>
      <c r="M83" s="97" t="s">
        <v>91</v>
      </c>
    </row>
    <row r="84" spans="1:13" ht="15" customHeight="1" x14ac:dyDescent="0.2">
      <c r="A84" s="106"/>
      <c r="B84" s="109"/>
      <c r="C84" s="126" t="s">
        <v>92</v>
      </c>
      <c r="D84" s="55">
        <v>8</v>
      </c>
      <c r="E84" s="55">
        <v>4</v>
      </c>
      <c r="F84" s="55">
        <f>D84*E84</f>
        <v>32</v>
      </c>
      <c r="G84" s="55">
        <f>G58</f>
        <v>23</v>
      </c>
      <c r="H84" s="55">
        <f>F84*G84</f>
        <v>736</v>
      </c>
      <c r="I84" s="55">
        <f>H84*0.05</f>
        <v>36.800000000000004</v>
      </c>
      <c r="J84" s="55">
        <f>H84*0.1</f>
        <v>73.600000000000009</v>
      </c>
      <c r="K84" s="110">
        <f>(H84*N$3)+(I84*N$4)+(J84*N$5)</f>
        <v>44399.678400000004</v>
      </c>
      <c r="M84" s="97" t="s">
        <v>93</v>
      </c>
    </row>
    <row r="85" spans="1:13" ht="15" customHeight="1" x14ac:dyDescent="0.2">
      <c r="A85" s="106"/>
      <c r="B85" s="109"/>
      <c r="C85" s="126" t="s">
        <v>94</v>
      </c>
      <c r="D85" s="55">
        <v>4</v>
      </c>
      <c r="E85" s="55">
        <v>1</v>
      </c>
      <c r="F85" s="55">
        <f>D85*E85</f>
        <v>4</v>
      </c>
      <c r="G85" s="55">
        <f>G56</f>
        <v>1</v>
      </c>
      <c r="H85" s="55">
        <f>F85*G85</f>
        <v>4</v>
      </c>
      <c r="I85" s="55">
        <f>H85*0.05</f>
        <v>0.2</v>
      </c>
      <c r="J85" s="55">
        <f>H85*0.1</f>
        <v>0.4</v>
      </c>
      <c r="K85" s="110">
        <f>(H85*N$3)+(I85*N$4)+(J85*N$5)</f>
        <v>241.30260000000001</v>
      </c>
      <c r="M85" s="97" t="s">
        <v>262</v>
      </c>
    </row>
    <row r="86" spans="1:13" ht="15" customHeight="1" x14ac:dyDescent="0.2">
      <c r="A86" s="106"/>
      <c r="B86" s="109"/>
      <c r="C86" s="126" t="s">
        <v>57</v>
      </c>
      <c r="D86" s="55">
        <v>2</v>
      </c>
      <c r="E86" s="55">
        <v>1</v>
      </c>
      <c r="F86" s="55">
        <f>D86*E86</f>
        <v>2</v>
      </c>
      <c r="G86" s="55">
        <f>G44</f>
        <v>8007.3458634509598</v>
      </c>
      <c r="H86" s="55">
        <f>F86*G86</f>
        <v>16014.69172690192</v>
      </c>
      <c r="I86" s="55">
        <f>H86*0.05</f>
        <v>800.73458634509598</v>
      </c>
      <c r="J86" s="55">
        <f>H86*0.1</f>
        <v>1601.469172690192</v>
      </c>
      <c r="K86" s="110">
        <f>(H86*N$3)+(I86*N$4)+(J86*N$5)</f>
        <v>966096.6879749808</v>
      </c>
      <c r="M86" s="97" t="s">
        <v>95</v>
      </c>
    </row>
    <row r="87" spans="1:13" ht="15" customHeight="1" x14ac:dyDescent="0.2">
      <c r="A87" s="106"/>
      <c r="B87" s="107" t="s">
        <v>96</v>
      </c>
      <c r="C87" s="108"/>
      <c r="D87" s="101"/>
      <c r="E87" s="101"/>
      <c r="F87" s="101"/>
      <c r="G87" s="101"/>
      <c r="H87" s="55"/>
      <c r="I87" s="101"/>
      <c r="J87" s="101"/>
      <c r="K87" s="101"/>
      <c r="M87" s="67"/>
    </row>
    <row r="88" spans="1:13" ht="15" customHeight="1" x14ac:dyDescent="0.2">
      <c r="A88" s="106"/>
      <c r="B88" s="107" t="s">
        <v>97</v>
      </c>
      <c r="C88" s="108"/>
      <c r="D88" s="101"/>
      <c r="E88" s="101"/>
      <c r="F88" s="101"/>
      <c r="G88" s="101"/>
      <c r="H88" s="55"/>
      <c r="I88" s="101"/>
      <c r="J88" s="101"/>
      <c r="K88" s="101"/>
      <c r="M88" s="64"/>
    </row>
    <row r="89" spans="1:13" ht="15" customHeight="1" x14ac:dyDescent="0.2">
      <c r="A89" s="106"/>
      <c r="B89" s="109"/>
      <c r="C89" s="126" t="s">
        <v>98</v>
      </c>
      <c r="D89" s="101"/>
      <c r="E89" s="101"/>
      <c r="F89" s="101"/>
      <c r="G89" s="101"/>
      <c r="H89" s="55"/>
      <c r="I89" s="101"/>
      <c r="J89" s="101"/>
      <c r="K89" s="101"/>
      <c r="M89" s="64"/>
    </row>
    <row r="90" spans="1:13" ht="15" customHeight="1" x14ac:dyDescent="0.2">
      <c r="A90" s="106"/>
      <c r="B90" s="107" t="s">
        <v>99</v>
      </c>
      <c r="C90" s="108"/>
      <c r="D90" s="101"/>
      <c r="E90" s="101"/>
      <c r="F90" s="101"/>
      <c r="G90" s="101"/>
      <c r="H90" s="55"/>
      <c r="I90" s="101"/>
      <c r="J90" s="101"/>
      <c r="K90" s="101"/>
      <c r="M90" s="131"/>
    </row>
    <row r="91" spans="1:13" ht="15" customHeight="1" x14ac:dyDescent="0.2">
      <c r="A91" s="106"/>
      <c r="B91" s="107" t="s">
        <v>100</v>
      </c>
      <c r="C91" s="108"/>
      <c r="D91" s="101"/>
      <c r="E91" s="101"/>
      <c r="F91" s="101"/>
      <c r="G91" s="101"/>
      <c r="H91" s="55"/>
      <c r="I91" s="101"/>
      <c r="J91" s="101"/>
      <c r="K91" s="101"/>
      <c r="M91" s="67"/>
    </row>
    <row r="92" spans="1:13" ht="15" customHeight="1" x14ac:dyDescent="0.2">
      <c r="A92" s="106"/>
      <c r="B92" s="107" t="s">
        <v>264</v>
      </c>
      <c r="C92" s="108"/>
      <c r="D92" s="55"/>
      <c r="E92" s="55"/>
      <c r="F92" s="55"/>
      <c r="G92" s="55"/>
      <c r="H92" s="55"/>
      <c r="I92" s="55"/>
      <c r="J92" s="55"/>
      <c r="K92" s="110"/>
    </row>
    <row r="93" spans="1:13" ht="15" customHeight="1" x14ac:dyDescent="0.2">
      <c r="A93" s="106"/>
      <c r="B93" s="109"/>
      <c r="C93" s="126" t="s">
        <v>265</v>
      </c>
      <c r="D93" s="55">
        <f>AVERAGE(2,40)</f>
        <v>21</v>
      </c>
      <c r="E93" s="55">
        <v>1</v>
      </c>
      <c r="F93" s="55">
        <f>D93*E93</f>
        <v>21</v>
      </c>
      <c r="G93" s="55">
        <v>0</v>
      </c>
      <c r="H93" s="55">
        <f>F93*G93</f>
        <v>0</v>
      </c>
      <c r="I93" s="55">
        <f t="shared" ref="I93" si="74">H93*0.05</f>
        <v>0</v>
      </c>
      <c r="J93" s="55">
        <f>H93*0.1</f>
        <v>0</v>
      </c>
      <c r="K93" s="110">
        <f>(H93*N$3)+(I93*N$4)+(J93*N$5)</f>
        <v>0</v>
      </c>
      <c r="M93" t="s">
        <v>251</v>
      </c>
    </row>
    <row r="94" spans="1:13" ht="15" customHeight="1" x14ac:dyDescent="0.2">
      <c r="A94" s="128"/>
      <c r="B94" s="180" t="s">
        <v>101</v>
      </c>
      <c r="C94" s="181"/>
      <c r="D94" s="181"/>
      <c r="E94" s="181"/>
      <c r="F94" s="181"/>
      <c r="G94" s="181"/>
      <c r="H94" s="55">
        <f>SUM(H64:H91)</f>
        <v>160251.5680552719</v>
      </c>
      <c r="I94" s="55">
        <f t="shared" ref="I94:J94" si="75">SUM(I64:I91)</f>
        <v>8012.5784027635946</v>
      </c>
      <c r="J94" s="55">
        <f t="shared" si="75"/>
        <v>16025.156805527189</v>
      </c>
      <c r="K94" s="182">
        <f>SUM(K64:K91)</f>
        <v>19438319.600619446</v>
      </c>
      <c r="M94" s="67"/>
    </row>
    <row r="95" spans="1:13" ht="15" customHeight="1" x14ac:dyDescent="0.2">
      <c r="A95" s="129"/>
      <c r="B95" s="180"/>
      <c r="C95" s="181"/>
      <c r="D95" s="181"/>
      <c r="E95" s="181"/>
      <c r="F95" s="181"/>
      <c r="G95" s="181"/>
      <c r="H95" s="184">
        <f>SUM(H94:J94)</f>
        <v>184289.30326356267</v>
      </c>
      <c r="I95" s="183"/>
      <c r="J95" s="183"/>
      <c r="K95" s="183"/>
      <c r="M95" s="67"/>
    </row>
    <row r="96" spans="1:13" ht="15" customHeight="1" x14ac:dyDescent="0.2">
      <c r="A96" s="185" t="s">
        <v>102</v>
      </c>
      <c r="B96" s="185"/>
      <c r="C96" s="185"/>
      <c r="D96" s="185"/>
      <c r="E96" s="185"/>
      <c r="F96" s="185"/>
      <c r="G96" s="185"/>
      <c r="H96" s="55">
        <f>SUM(H61,H94)</f>
        <v>727289.03639481741</v>
      </c>
      <c r="I96" s="55">
        <f>SUM(I61,I94)</f>
        <v>36364.451819740876</v>
      </c>
      <c r="J96" s="55">
        <f>SUM(J61,J94)</f>
        <v>72728.903639481752</v>
      </c>
      <c r="K96" s="182">
        <f>SUM(K61,K94)</f>
        <v>60641214.521028191</v>
      </c>
    </row>
    <row r="97" spans="1:13" ht="15" customHeight="1" x14ac:dyDescent="0.2">
      <c r="A97" s="185"/>
      <c r="B97" s="185"/>
      <c r="C97" s="185"/>
      <c r="D97" s="185"/>
      <c r="E97" s="185"/>
      <c r="F97" s="185"/>
      <c r="G97" s="185"/>
      <c r="H97" s="184">
        <f>SUM(H96:J96)</f>
        <v>836382.39185403998</v>
      </c>
      <c r="I97" s="183"/>
      <c r="J97" s="183"/>
      <c r="K97" s="183"/>
      <c r="M97" s="130"/>
    </row>
    <row r="98" spans="1:13" x14ac:dyDescent="0.2">
      <c r="A98" s="177" t="s">
        <v>103</v>
      </c>
      <c r="B98" s="177"/>
      <c r="C98" s="177"/>
      <c r="D98" s="177"/>
      <c r="E98" s="177"/>
      <c r="F98" s="177"/>
      <c r="G98" s="177"/>
      <c r="H98" s="177"/>
      <c r="I98" s="177"/>
      <c r="J98" s="177"/>
      <c r="K98" s="177"/>
    </row>
    <row r="99" spans="1:13" x14ac:dyDescent="0.2">
      <c r="A99" s="64" t="s">
        <v>104</v>
      </c>
      <c r="B99" s="64"/>
      <c r="C99" s="94"/>
      <c r="D99" s="94"/>
      <c r="E99" s="94"/>
      <c r="F99" s="94"/>
      <c r="G99" s="94"/>
      <c r="H99" s="94"/>
      <c r="I99" s="94"/>
      <c r="J99" s="94"/>
      <c r="K99" s="94"/>
    </row>
    <row r="100" spans="1:13" x14ac:dyDescent="0.2">
      <c r="A100" s="132" t="s">
        <v>105</v>
      </c>
      <c r="C100" s="133"/>
      <c r="D100" s="134">
        <v>897</v>
      </c>
      <c r="E100" s="135"/>
    </row>
    <row r="101" spans="1:13" x14ac:dyDescent="0.2">
      <c r="A101" s="132" t="s">
        <v>106</v>
      </c>
      <c r="C101" s="133"/>
      <c r="D101" s="125">
        <v>19728</v>
      </c>
    </row>
    <row r="102" spans="1:13" x14ac:dyDescent="0.2">
      <c r="A102" s="66" t="s">
        <v>107</v>
      </c>
      <c r="D102" s="125">
        <v>868</v>
      </c>
    </row>
    <row r="103" spans="1:13" x14ac:dyDescent="0.2">
      <c r="A103" s="66" t="s">
        <v>108</v>
      </c>
      <c r="D103" s="125">
        <v>323</v>
      </c>
    </row>
    <row r="104" spans="1:13" x14ac:dyDescent="0.2">
      <c r="A104" s="66" t="s">
        <v>109</v>
      </c>
      <c r="D104" s="125">
        <v>645</v>
      </c>
    </row>
    <row r="105" spans="1:13" x14ac:dyDescent="0.2">
      <c r="A105" s="59"/>
      <c r="D105" s="125"/>
    </row>
    <row r="106" spans="1:13" x14ac:dyDescent="0.2">
      <c r="A106" s="66"/>
      <c r="D106" s="60"/>
    </row>
    <row r="107" spans="1:13" ht="15.75" x14ac:dyDescent="0.25">
      <c r="A107" s="62"/>
      <c r="D107" s="60"/>
    </row>
    <row r="108" spans="1:13" ht="15.75" x14ac:dyDescent="0.25">
      <c r="A108" s="62"/>
    </row>
    <row r="109" spans="1:13" ht="15.75" x14ac:dyDescent="0.25">
      <c r="A109" s="61"/>
    </row>
  </sheetData>
  <mergeCells count="20">
    <mergeCell ref="A98:K98"/>
    <mergeCell ref="A8:K8"/>
    <mergeCell ref="A9:K9"/>
    <mergeCell ref="A10:K10"/>
    <mergeCell ref="B61:G62"/>
    <mergeCell ref="K61:K62"/>
    <mergeCell ref="H62:J62"/>
    <mergeCell ref="A63:K63"/>
    <mergeCell ref="B94:G95"/>
    <mergeCell ref="K94:K95"/>
    <mergeCell ref="H95:J95"/>
    <mergeCell ref="A96:G97"/>
    <mergeCell ref="K96:K97"/>
    <mergeCell ref="H97:J97"/>
    <mergeCell ref="A7:K7"/>
    <mergeCell ref="A1:K1"/>
    <mergeCell ref="A2:K2"/>
    <mergeCell ref="A3:K3"/>
    <mergeCell ref="A4:K4"/>
    <mergeCell ref="A5:C6"/>
  </mergeCells>
  <pageMargins left="0.7" right="0.7" top="0.75" bottom="0.75" header="0.3" footer="0.3"/>
  <pageSetup scale="2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19135-0830-46F2-942B-AD0B2DF4DED9}">
  <dimension ref="A1:I111"/>
  <sheetViews>
    <sheetView workbookViewId="0">
      <selection activeCell="K7" sqref="K7"/>
    </sheetView>
  </sheetViews>
  <sheetFormatPr defaultRowHeight="12.75" x14ac:dyDescent="0.2"/>
  <cols>
    <col min="1" max="1" width="40" customWidth="1"/>
    <col min="4" max="4" width="32.33203125" customWidth="1"/>
  </cols>
  <sheetData>
    <row r="1" spans="1:9" x14ac:dyDescent="0.2">
      <c r="A1" t="s">
        <v>165</v>
      </c>
      <c r="B1" t="s">
        <v>166</v>
      </c>
      <c r="C1" t="s">
        <v>167</v>
      </c>
      <c r="D1" t="s">
        <v>168</v>
      </c>
      <c r="E1" t="s">
        <v>121</v>
      </c>
      <c r="F1" t="s">
        <v>169</v>
      </c>
      <c r="G1" t="s">
        <v>170</v>
      </c>
      <c r="H1" t="s">
        <v>171</v>
      </c>
      <c r="I1" t="s">
        <v>172</v>
      </c>
    </row>
    <row r="2" spans="1:9" x14ac:dyDescent="0.2">
      <c r="A2" t="s">
        <v>173</v>
      </c>
      <c r="B2" t="s">
        <v>174</v>
      </c>
      <c r="E2">
        <v>2023</v>
      </c>
      <c r="F2" t="s">
        <v>175</v>
      </c>
      <c r="G2">
        <v>40.8773785379502</v>
      </c>
    </row>
    <row r="3" spans="1:9" x14ac:dyDescent="0.2">
      <c r="A3" t="s">
        <v>173</v>
      </c>
      <c r="B3" t="s">
        <v>174</v>
      </c>
      <c r="E3">
        <v>2024</v>
      </c>
      <c r="F3" t="s">
        <v>175</v>
      </c>
      <c r="G3">
        <v>61.316067806925297</v>
      </c>
    </row>
    <row r="4" spans="1:9" x14ac:dyDescent="0.2">
      <c r="A4" t="s">
        <v>173</v>
      </c>
      <c r="B4" t="s">
        <v>174</v>
      </c>
      <c r="E4">
        <v>2025</v>
      </c>
      <c r="F4" t="s">
        <v>175</v>
      </c>
      <c r="G4">
        <v>81.7547570759004</v>
      </c>
    </row>
    <row r="5" spans="1:9" x14ac:dyDescent="0.2">
      <c r="A5" t="s">
        <v>173</v>
      </c>
      <c r="B5" t="s">
        <v>176</v>
      </c>
      <c r="E5">
        <v>2023</v>
      </c>
      <c r="F5" t="s">
        <v>175</v>
      </c>
      <c r="G5">
        <v>14.036055082032499</v>
      </c>
    </row>
    <row r="6" spans="1:9" x14ac:dyDescent="0.2">
      <c r="A6" t="s">
        <v>173</v>
      </c>
      <c r="B6" t="s">
        <v>176</v>
      </c>
      <c r="E6">
        <v>2024</v>
      </c>
      <c r="F6" t="s">
        <v>175</v>
      </c>
      <c r="G6">
        <v>21.0540826230487</v>
      </c>
    </row>
    <row r="7" spans="1:9" x14ac:dyDescent="0.2">
      <c r="A7" t="s">
        <v>173</v>
      </c>
      <c r="B7" t="s">
        <v>176</v>
      </c>
      <c r="E7">
        <v>2025</v>
      </c>
      <c r="F7" t="s">
        <v>175</v>
      </c>
      <c r="G7">
        <v>28.072110164064998</v>
      </c>
    </row>
    <row r="8" spans="1:9" x14ac:dyDescent="0.2">
      <c r="A8" t="s">
        <v>173</v>
      </c>
      <c r="B8" t="s">
        <v>177</v>
      </c>
      <c r="E8">
        <v>2023</v>
      </c>
      <c r="F8" t="s">
        <v>175</v>
      </c>
      <c r="G8">
        <v>241.718376986907</v>
      </c>
    </row>
    <row r="9" spans="1:9" x14ac:dyDescent="0.2">
      <c r="A9" t="s">
        <v>173</v>
      </c>
      <c r="B9" t="s">
        <v>177</v>
      </c>
      <c r="E9">
        <v>2024</v>
      </c>
      <c r="F9" t="s">
        <v>175</v>
      </c>
      <c r="G9">
        <v>362.57756548036099</v>
      </c>
    </row>
    <row r="10" spans="1:9" x14ac:dyDescent="0.2">
      <c r="A10" t="s">
        <v>173</v>
      </c>
      <c r="B10" t="s">
        <v>177</v>
      </c>
      <c r="E10">
        <v>2025</v>
      </c>
      <c r="F10" t="s">
        <v>175</v>
      </c>
      <c r="G10">
        <v>483.43675397381497</v>
      </c>
    </row>
    <row r="11" spans="1:9" x14ac:dyDescent="0.2">
      <c r="A11" t="s">
        <v>178</v>
      </c>
      <c r="B11" t="s">
        <v>179</v>
      </c>
      <c r="C11" t="s">
        <v>180</v>
      </c>
      <c r="D11" t="s">
        <v>181</v>
      </c>
      <c r="E11">
        <v>2023</v>
      </c>
      <c r="F11" t="s">
        <v>182</v>
      </c>
      <c r="G11">
        <v>4599.9124719759202</v>
      </c>
    </row>
    <row r="12" spans="1:9" x14ac:dyDescent="0.2">
      <c r="A12" t="s">
        <v>178</v>
      </c>
      <c r="B12" t="s">
        <v>179</v>
      </c>
      <c r="C12" t="s">
        <v>180</v>
      </c>
      <c r="D12" t="s">
        <v>183</v>
      </c>
      <c r="E12">
        <v>2023</v>
      </c>
      <c r="F12" t="s">
        <v>182</v>
      </c>
      <c r="G12">
        <v>483.64748901881097</v>
      </c>
    </row>
    <row r="13" spans="1:9" x14ac:dyDescent="0.2">
      <c r="A13" t="s">
        <v>178</v>
      </c>
      <c r="B13" t="s">
        <v>179</v>
      </c>
      <c r="C13" t="s">
        <v>180</v>
      </c>
      <c r="D13" t="s">
        <v>184</v>
      </c>
      <c r="E13">
        <v>2023</v>
      </c>
      <c r="F13" t="s">
        <v>182</v>
      </c>
      <c r="G13">
        <v>282.47811154331401</v>
      </c>
    </row>
    <row r="14" spans="1:9" x14ac:dyDescent="0.2">
      <c r="A14" t="s">
        <v>178</v>
      </c>
      <c r="B14" t="s">
        <v>179</v>
      </c>
      <c r="C14" t="s">
        <v>180</v>
      </c>
      <c r="D14" t="s">
        <v>185</v>
      </c>
      <c r="E14">
        <v>2023</v>
      </c>
      <c r="F14" t="s">
        <v>182</v>
      </c>
      <c r="G14">
        <v>452.92279786398598</v>
      </c>
    </row>
    <row r="15" spans="1:9" x14ac:dyDescent="0.2">
      <c r="A15" t="s">
        <v>178</v>
      </c>
      <c r="B15" t="s">
        <v>179</v>
      </c>
      <c r="C15" t="s">
        <v>180</v>
      </c>
      <c r="D15" t="s">
        <v>186</v>
      </c>
      <c r="E15">
        <v>2023</v>
      </c>
      <c r="F15" t="s">
        <v>182</v>
      </c>
      <c r="G15">
        <v>929.74492522700098</v>
      </c>
    </row>
    <row r="16" spans="1:9" x14ac:dyDescent="0.2">
      <c r="A16" t="s">
        <v>178</v>
      </c>
      <c r="B16" t="s">
        <v>179</v>
      </c>
      <c r="C16" t="s">
        <v>180</v>
      </c>
      <c r="D16" t="s">
        <v>187</v>
      </c>
      <c r="E16">
        <v>2023</v>
      </c>
      <c r="F16" t="s">
        <v>182</v>
      </c>
      <c r="G16">
        <v>2931.09610327375</v>
      </c>
    </row>
    <row r="17" spans="1:7" x14ac:dyDescent="0.2">
      <c r="A17" t="s">
        <v>178</v>
      </c>
      <c r="B17" t="s">
        <v>179</v>
      </c>
      <c r="C17" t="s">
        <v>188</v>
      </c>
      <c r="D17" t="s">
        <v>181</v>
      </c>
      <c r="E17">
        <v>2023</v>
      </c>
      <c r="F17" t="s">
        <v>182</v>
      </c>
      <c r="G17">
        <v>257.05333608773498</v>
      </c>
    </row>
    <row r="18" spans="1:7" x14ac:dyDescent="0.2">
      <c r="A18" t="s">
        <v>178</v>
      </c>
      <c r="B18" t="s">
        <v>179</v>
      </c>
      <c r="C18" t="s">
        <v>188</v>
      </c>
      <c r="D18" t="s">
        <v>183</v>
      </c>
      <c r="E18">
        <v>2023</v>
      </c>
      <c r="F18" t="s">
        <v>182</v>
      </c>
      <c r="G18">
        <v>462.49323234034603</v>
      </c>
    </row>
    <row r="19" spans="1:7" x14ac:dyDescent="0.2">
      <c r="A19" t="s">
        <v>178</v>
      </c>
      <c r="B19" t="s">
        <v>179</v>
      </c>
      <c r="C19" t="s">
        <v>188</v>
      </c>
      <c r="D19" t="s">
        <v>184</v>
      </c>
      <c r="E19">
        <v>2023</v>
      </c>
      <c r="F19" t="s">
        <v>182</v>
      </c>
      <c r="G19">
        <v>47.642901834051798</v>
      </c>
    </row>
    <row r="20" spans="1:7" x14ac:dyDescent="0.2">
      <c r="A20" t="s">
        <v>178</v>
      </c>
      <c r="B20" t="s">
        <v>179</v>
      </c>
      <c r="C20" t="s">
        <v>188</v>
      </c>
      <c r="D20" t="s">
        <v>185</v>
      </c>
      <c r="E20">
        <v>2023</v>
      </c>
      <c r="F20" t="s">
        <v>182</v>
      </c>
      <c r="G20">
        <v>1149.06140030605</v>
      </c>
    </row>
    <row r="21" spans="1:7" x14ac:dyDescent="0.2">
      <c r="A21" t="s">
        <v>178</v>
      </c>
      <c r="B21" t="s">
        <v>179</v>
      </c>
      <c r="C21" t="s">
        <v>188</v>
      </c>
      <c r="D21" t="s">
        <v>186</v>
      </c>
      <c r="E21">
        <v>2023</v>
      </c>
      <c r="F21" t="s">
        <v>182</v>
      </c>
      <c r="G21">
        <v>245.50287623718</v>
      </c>
    </row>
    <row r="22" spans="1:7" x14ac:dyDescent="0.2">
      <c r="A22" t="s">
        <v>178</v>
      </c>
      <c r="B22" t="s">
        <v>179</v>
      </c>
      <c r="C22" t="s">
        <v>188</v>
      </c>
      <c r="D22" t="s">
        <v>187</v>
      </c>
      <c r="E22">
        <v>2023</v>
      </c>
      <c r="F22" t="s">
        <v>182</v>
      </c>
      <c r="G22">
        <v>5617.3353955327302</v>
      </c>
    </row>
    <row r="23" spans="1:7" x14ac:dyDescent="0.2">
      <c r="A23" t="s">
        <v>178</v>
      </c>
      <c r="B23" t="s">
        <v>179</v>
      </c>
      <c r="C23" t="s">
        <v>180</v>
      </c>
      <c r="D23" t="s">
        <v>181</v>
      </c>
      <c r="E23">
        <v>2024</v>
      </c>
      <c r="F23" t="s">
        <v>182</v>
      </c>
      <c r="G23">
        <v>7199.4063818615105</v>
      </c>
    </row>
    <row r="24" spans="1:7" x14ac:dyDescent="0.2">
      <c r="A24" t="s">
        <v>178</v>
      </c>
      <c r="B24" t="s">
        <v>179</v>
      </c>
      <c r="C24" t="s">
        <v>180</v>
      </c>
      <c r="D24" t="s">
        <v>183</v>
      </c>
      <c r="E24">
        <v>2024</v>
      </c>
      <c r="F24" t="s">
        <v>182</v>
      </c>
      <c r="G24">
        <v>756.96545102251105</v>
      </c>
    </row>
    <row r="25" spans="1:7" x14ac:dyDescent="0.2">
      <c r="A25" t="s">
        <v>178</v>
      </c>
      <c r="B25" t="s">
        <v>179</v>
      </c>
      <c r="C25" t="s">
        <v>180</v>
      </c>
      <c r="D25" t="s">
        <v>184</v>
      </c>
      <c r="E25">
        <v>2024</v>
      </c>
      <c r="F25" t="s">
        <v>182</v>
      </c>
      <c r="G25">
        <v>442.111612203687</v>
      </c>
    </row>
    <row r="26" spans="1:7" x14ac:dyDescent="0.2">
      <c r="A26" t="s">
        <v>178</v>
      </c>
      <c r="B26" t="s">
        <v>179</v>
      </c>
      <c r="C26" t="s">
        <v>180</v>
      </c>
      <c r="D26" t="s">
        <v>185</v>
      </c>
      <c r="E26">
        <v>2024</v>
      </c>
      <c r="F26" t="s">
        <v>182</v>
      </c>
      <c r="G26">
        <v>708.87768002069504</v>
      </c>
    </row>
    <row r="27" spans="1:7" x14ac:dyDescent="0.2">
      <c r="A27" t="s">
        <v>178</v>
      </c>
      <c r="B27" t="s">
        <v>179</v>
      </c>
      <c r="C27" t="s">
        <v>180</v>
      </c>
      <c r="D27" t="s">
        <v>186</v>
      </c>
      <c r="E27">
        <v>2024</v>
      </c>
      <c r="F27" t="s">
        <v>182</v>
      </c>
      <c r="G27">
        <v>1455.1606338081799</v>
      </c>
    </row>
    <row r="28" spans="1:7" x14ac:dyDescent="0.2">
      <c r="A28" t="s">
        <v>178</v>
      </c>
      <c r="B28" t="s">
        <v>179</v>
      </c>
      <c r="C28" t="s">
        <v>180</v>
      </c>
      <c r="D28" t="s">
        <v>187</v>
      </c>
      <c r="E28">
        <v>2024</v>
      </c>
      <c r="F28" t="s">
        <v>182</v>
      </c>
      <c r="G28">
        <v>4587.5116364320502</v>
      </c>
    </row>
    <row r="29" spans="1:7" x14ac:dyDescent="0.2">
      <c r="A29" t="s">
        <v>178</v>
      </c>
      <c r="B29" t="s">
        <v>179</v>
      </c>
      <c r="C29" t="s">
        <v>188</v>
      </c>
      <c r="D29" t="s">
        <v>181</v>
      </c>
      <c r="E29">
        <v>2024</v>
      </c>
      <c r="F29" t="s">
        <v>182</v>
      </c>
      <c r="G29">
        <v>402.31883532207399</v>
      </c>
    </row>
    <row r="30" spans="1:7" x14ac:dyDescent="0.2">
      <c r="A30" t="s">
        <v>178</v>
      </c>
      <c r="B30" t="s">
        <v>179</v>
      </c>
      <c r="C30" t="s">
        <v>188</v>
      </c>
      <c r="D30" t="s">
        <v>183</v>
      </c>
      <c r="E30">
        <v>2024</v>
      </c>
      <c r="F30" t="s">
        <v>182</v>
      </c>
      <c r="G30">
        <v>723.85654048077197</v>
      </c>
    </row>
    <row r="31" spans="1:7" x14ac:dyDescent="0.2">
      <c r="A31" t="s">
        <v>178</v>
      </c>
      <c r="B31" t="s">
        <v>179</v>
      </c>
      <c r="C31" t="s">
        <v>188</v>
      </c>
      <c r="D31" t="s">
        <v>184</v>
      </c>
      <c r="E31">
        <v>2024</v>
      </c>
      <c r="F31" t="s">
        <v>182</v>
      </c>
      <c r="G31">
        <v>74.566769173139505</v>
      </c>
    </row>
    <row r="32" spans="1:7" x14ac:dyDescent="0.2">
      <c r="A32" t="s">
        <v>178</v>
      </c>
      <c r="B32" t="s">
        <v>179</v>
      </c>
      <c r="C32" t="s">
        <v>188</v>
      </c>
      <c r="D32" t="s">
        <v>185</v>
      </c>
      <c r="E32">
        <v>2024</v>
      </c>
      <c r="F32" t="s">
        <v>182</v>
      </c>
      <c r="G32">
        <v>1798.4168239967701</v>
      </c>
    </row>
    <row r="33" spans="1:7" x14ac:dyDescent="0.2">
      <c r="A33" t="s">
        <v>178</v>
      </c>
      <c r="B33" t="s">
        <v>179</v>
      </c>
      <c r="C33" t="s">
        <v>188</v>
      </c>
      <c r="D33" t="s">
        <v>186</v>
      </c>
      <c r="E33">
        <v>2024</v>
      </c>
      <c r="F33" t="s">
        <v>182</v>
      </c>
      <c r="G33">
        <v>384.24100126150501</v>
      </c>
    </row>
    <row r="34" spans="1:7" x14ac:dyDescent="0.2">
      <c r="A34" t="s">
        <v>178</v>
      </c>
      <c r="B34" t="s">
        <v>179</v>
      </c>
      <c r="C34" t="s">
        <v>188</v>
      </c>
      <c r="D34" t="s">
        <v>187</v>
      </c>
      <c r="E34">
        <v>2024</v>
      </c>
      <c r="F34" t="s">
        <v>182</v>
      </c>
      <c r="G34">
        <v>8791.7934399919195</v>
      </c>
    </row>
    <row r="35" spans="1:7" x14ac:dyDescent="0.2">
      <c r="A35" t="s">
        <v>178</v>
      </c>
      <c r="B35" t="s">
        <v>179</v>
      </c>
      <c r="C35" t="s">
        <v>180</v>
      </c>
      <c r="D35" t="s">
        <v>181</v>
      </c>
      <c r="E35">
        <v>2025</v>
      </c>
      <c r="F35" t="s">
        <v>182</v>
      </c>
      <c r="G35">
        <v>10032.6112671508</v>
      </c>
    </row>
    <row r="36" spans="1:7" x14ac:dyDescent="0.2">
      <c r="A36" t="s">
        <v>178</v>
      </c>
      <c r="B36" t="s">
        <v>179</v>
      </c>
      <c r="C36" t="s">
        <v>180</v>
      </c>
      <c r="D36" t="s">
        <v>183</v>
      </c>
      <c r="E36">
        <v>2025</v>
      </c>
      <c r="F36" t="s">
        <v>182</v>
      </c>
      <c r="G36">
        <v>1054.8564298170299</v>
      </c>
    </row>
    <row r="37" spans="1:7" x14ac:dyDescent="0.2">
      <c r="A37" t="s">
        <v>178</v>
      </c>
      <c r="B37" t="s">
        <v>179</v>
      </c>
      <c r="C37" t="s">
        <v>180</v>
      </c>
      <c r="D37" t="s">
        <v>184</v>
      </c>
      <c r="E37">
        <v>2025</v>
      </c>
      <c r="F37" t="s">
        <v>182</v>
      </c>
      <c r="G37">
        <v>616.09717616552405</v>
      </c>
    </row>
    <row r="38" spans="1:7" x14ac:dyDescent="0.2">
      <c r="A38" t="s">
        <v>178</v>
      </c>
      <c r="B38" t="s">
        <v>179</v>
      </c>
      <c r="C38" t="s">
        <v>180</v>
      </c>
      <c r="D38" t="s">
        <v>185</v>
      </c>
      <c r="E38">
        <v>2025</v>
      </c>
      <c r="F38" t="s">
        <v>182</v>
      </c>
      <c r="G38">
        <v>987.84452806072704</v>
      </c>
    </row>
    <row r="39" spans="1:7" x14ac:dyDescent="0.2">
      <c r="A39" t="s">
        <v>178</v>
      </c>
      <c r="B39" t="s">
        <v>179</v>
      </c>
      <c r="C39" t="s">
        <v>180</v>
      </c>
      <c r="D39" t="s">
        <v>186</v>
      </c>
      <c r="E39">
        <v>2025</v>
      </c>
      <c r="F39" t="s">
        <v>182</v>
      </c>
      <c r="G39">
        <v>2027.81454413238</v>
      </c>
    </row>
    <row r="40" spans="1:7" x14ac:dyDescent="0.2">
      <c r="A40" t="s">
        <v>178</v>
      </c>
      <c r="B40" t="s">
        <v>179</v>
      </c>
      <c r="C40" t="s">
        <v>180</v>
      </c>
      <c r="D40" t="s">
        <v>187</v>
      </c>
      <c r="E40">
        <v>2025</v>
      </c>
      <c r="F40" t="s">
        <v>182</v>
      </c>
      <c r="G40">
        <v>6392.8494226705097</v>
      </c>
    </row>
    <row r="41" spans="1:7" x14ac:dyDescent="0.2">
      <c r="A41" t="s">
        <v>178</v>
      </c>
      <c r="B41" t="s">
        <v>179</v>
      </c>
      <c r="C41" t="s">
        <v>188</v>
      </c>
      <c r="D41" t="s">
        <v>181</v>
      </c>
      <c r="E41">
        <v>2025</v>
      </c>
      <c r="F41" t="s">
        <v>182</v>
      </c>
      <c r="G41">
        <v>560.64462348013706</v>
      </c>
    </row>
    <row r="42" spans="1:7" x14ac:dyDescent="0.2">
      <c r="A42" t="s">
        <v>178</v>
      </c>
      <c r="B42" t="s">
        <v>179</v>
      </c>
      <c r="C42" t="s">
        <v>188</v>
      </c>
      <c r="D42" t="s">
        <v>183</v>
      </c>
      <c r="E42">
        <v>2025</v>
      </c>
      <c r="F42" t="s">
        <v>182</v>
      </c>
      <c r="G42">
        <v>1008.71806627347</v>
      </c>
    </row>
    <row r="43" spans="1:7" x14ac:dyDescent="0.2">
      <c r="A43" t="s">
        <v>178</v>
      </c>
      <c r="B43" t="s">
        <v>179</v>
      </c>
      <c r="C43" t="s">
        <v>188</v>
      </c>
      <c r="D43" t="s">
        <v>184</v>
      </c>
      <c r="E43">
        <v>2025</v>
      </c>
      <c r="F43" t="s">
        <v>182</v>
      </c>
      <c r="G43">
        <v>103.91126280164799</v>
      </c>
    </row>
    <row r="44" spans="1:7" x14ac:dyDescent="0.2">
      <c r="A44" t="s">
        <v>178</v>
      </c>
      <c r="B44" t="s">
        <v>179</v>
      </c>
      <c r="C44" t="s">
        <v>188</v>
      </c>
      <c r="D44" t="s">
        <v>185</v>
      </c>
      <c r="E44">
        <v>2025</v>
      </c>
      <c r="F44" t="s">
        <v>182</v>
      </c>
      <c r="G44">
        <v>2506.15341522066</v>
      </c>
    </row>
    <row r="45" spans="1:7" x14ac:dyDescent="0.2">
      <c r="A45" t="s">
        <v>178</v>
      </c>
      <c r="B45" t="s">
        <v>179</v>
      </c>
      <c r="C45" t="s">
        <v>188</v>
      </c>
      <c r="D45" t="s">
        <v>186</v>
      </c>
      <c r="E45">
        <v>2025</v>
      </c>
      <c r="F45" t="s">
        <v>182</v>
      </c>
      <c r="G45">
        <v>535.45256290432303</v>
      </c>
    </row>
    <row r="46" spans="1:7" x14ac:dyDescent="0.2">
      <c r="A46" t="s">
        <v>178</v>
      </c>
      <c r="B46" t="s">
        <v>179</v>
      </c>
      <c r="C46" t="s">
        <v>188</v>
      </c>
      <c r="D46" t="s">
        <v>187</v>
      </c>
      <c r="E46">
        <v>2025</v>
      </c>
      <c r="F46" t="s">
        <v>182</v>
      </c>
      <c r="G46">
        <v>12251.6553790813</v>
      </c>
    </row>
    <row r="47" spans="1:7" x14ac:dyDescent="0.2">
      <c r="A47" t="s">
        <v>178</v>
      </c>
      <c r="B47" t="s">
        <v>174</v>
      </c>
      <c r="E47">
        <v>2023</v>
      </c>
      <c r="F47" t="s">
        <v>182</v>
      </c>
      <c r="G47">
        <v>878.92137717084302</v>
      </c>
    </row>
    <row r="48" spans="1:7" x14ac:dyDescent="0.2">
      <c r="A48" t="s">
        <v>178</v>
      </c>
      <c r="B48" t="s">
        <v>174</v>
      </c>
      <c r="E48">
        <v>2024</v>
      </c>
      <c r="F48" t="s">
        <v>182</v>
      </c>
      <c r="G48">
        <v>1318.3820657562601</v>
      </c>
    </row>
    <row r="49" spans="1:9" x14ac:dyDescent="0.2">
      <c r="A49" t="s">
        <v>178</v>
      </c>
      <c r="B49" t="s">
        <v>174</v>
      </c>
      <c r="E49">
        <v>2025</v>
      </c>
      <c r="F49" t="s">
        <v>182</v>
      </c>
      <c r="G49">
        <v>1757.8427543416899</v>
      </c>
    </row>
    <row r="50" spans="1:9" x14ac:dyDescent="0.2">
      <c r="A50" t="s">
        <v>178</v>
      </c>
      <c r="B50" t="s">
        <v>176</v>
      </c>
      <c r="E50">
        <v>2023</v>
      </c>
      <c r="F50" t="s">
        <v>182</v>
      </c>
      <c r="G50">
        <v>13.011892033965401</v>
      </c>
    </row>
    <row r="51" spans="1:9" x14ac:dyDescent="0.2">
      <c r="A51" t="s">
        <v>178</v>
      </c>
      <c r="B51" t="s">
        <v>176</v>
      </c>
      <c r="E51">
        <v>2024</v>
      </c>
      <c r="F51" t="s">
        <v>182</v>
      </c>
      <c r="G51">
        <v>19.5178380509482</v>
      </c>
    </row>
    <row r="52" spans="1:9" x14ac:dyDescent="0.2">
      <c r="A52" t="s">
        <v>178</v>
      </c>
      <c r="B52" t="s">
        <v>176</v>
      </c>
      <c r="E52">
        <v>2025</v>
      </c>
      <c r="F52" t="s">
        <v>182</v>
      </c>
      <c r="G52">
        <v>26.023784067930901</v>
      </c>
    </row>
    <row r="53" spans="1:9" x14ac:dyDescent="0.2">
      <c r="A53" t="s">
        <v>178</v>
      </c>
      <c r="B53" t="s">
        <v>177</v>
      </c>
      <c r="E53">
        <v>2023</v>
      </c>
      <c r="F53" t="s">
        <v>182</v>
      </c>
      <c r="G53">
        <v>204.04631078628799</v>
      </c>
    </row>
    <row r="54" spans="1:9" x14ac:dyDescent="0.2">
      <c r="A54" t="s">
        <v>178</v>
      </c>
      <c r="B54" t="s">
        <v>177</v>
      </c>
      <c r="E54">
        <v>2024</v>
      </c>
      <c r="F54" t="s">
        <v>182</v>
      </c>
      <c r="G54">
        <v>306.06946617943203</v>
      </c>
    </row>
    <row r="55" spans="1:9" x14ac:dyDescent="0.2">
      <c r="A55" t="s">
        <v>178</v>
      </c>
      <c r="B55" t="s">
        <v>177</v>
      </c>
      <c r="E55">
        <v>2025</v>
      </c>
      <c r="F55" t="s">
        <v>182</v>
      </c>
      <c r="G55">
        <v>408.092621572577</v>
      </c>
    </row>
    <row r="56" spans="1:9" x14ac:dyDescent="0.2">
      <c r="A56" t="s">
        <v>178</v>
      </c>
      <c r="B56" t="s">
        <v>189</v>
      </c>
      <c r="E56">
        <v>2023</v>
      </c>
      <c r="F56" t="s">
        <v>182</v>
      </c>
      <c r="G56">
        <v>4.9238465009710799</v>
      </c>
    </row>
    <row r="57" spans="1:9" x14ac:dyDescent="0.2">
      <c r="A57" t="s">
        <v>178</v>
      </c>
      <c r="B57" t="s">
        <v>189</v>
      </c>
      <c r="E57">
        <v>2024</v>
      </c>
      <c r="F57" t="s">
        <v>182</v>
      </c>
      <c r="G57">
        <v>7.3857697514566203</v>
      </c>
    </row>
    <row r="58" spans="1:9" x14ac:dyDescent="0.2">
      <c r="A58" t="s">
        <v>178</v>
      </c>
      <c r="B58" t="s">
        <v>189</v>
      </c>
      <c r="E58">
        <v>2025</v>
      </c>
      <c r="F58" t="s">
        <v>182</v>
      </c>
      <c r="G58">
        <v>9.8476930019421598</v>
      </c>
    </row>
    <row r="59" spans="1:9" x14ac:dyDescent="0.2">
      <c r="A59" t="s">
        <v>57</v>
      </c>
      <c r="B59" t="s">
        <v>179</v>
      </c>
      <c r="E59">
        <v>2023</v>
      </c>
      <c r="F59" t="s">
        <v>190</v>
      </c>
      <c r="G59">
        <v>8007.3458634509598</v>
      </c>
    </row>
    <row r="60" spans="1:9" x14ac:dyDescent="0.2">
      <c r="A60" t="s">
        <v>57</v>
      </c>
      <c r="B60" t="s">
        <v>179</v>
      </c>
      <c r="E60">
        <v>2024</v>
      </c>
      <c r="F60" t="s">
        <v>190</v>
      </c>
      <c r="G60">
        <v>12532.4421415215</v>
      </c>
    </row>
    <row r="61" spans="1:9" x14ac:dyDescent="0.2">
      <c r="A61" t="s">
        <v>57</v>
      </c>
      <c r="B61" t="s">
        <v>179</v>
      </c>
      <c r="E61">
        <v>2025</v>
      </c>
      <c r="F61" t="s">
        <v>190</v>
      </c>
      <c r="G61">
        <v>17464.373250372599</v>
      </c>
    </row>
    <row r="62" spans="1:9" x14ac:dyDescent="0.2">
      <c r="A62" t="s">
        <v>191</v>
      </c>
      <c r="B62" t="s">
        <v>179</v>
      </c>
      <c r="E62">
        <v>2023</v>
      </c>
      <c r="F62" t="s">
        <v>182</v>
      </c>
      <c r="G62">
        <v>17458.891041240899</v>
      </c>
      <c r="H62" t="s">
        <v>175</v>
      </c>
      <c r="I62">
        <v>76056.753299166798</v>
      </c>
    </row>
    <row r="63" spans="1:9" x14ac:dyDescent="0.2">
      <c r="A63" t="s">
        <v>191</v>
      </c>
      <c r="B63" t="s">
        <v>179</v>
      </c>
      <c r="E63">
        <v>2024</v>
      </c>
      <c r="F63" t="s">
        <v>182</v>
      </c>
      <c r="G63">
        <v>27325.226805574799</v>
      </c>
      <c r="H63" t="s">
        <v>175</v>
      </c>
      <c r="I63">
        <v>118805.028052144</v>
      </c>
    </row>
    <row r="64" spans="1:9" x14ac:dyDescent="0.2">
      <c r="A64" t="s">
        <v>191</v>
      </c>
      <c r="B64" t="s">
        <v>179</v>
      </c>
      <c r="E64">
        <v>2025</v>
      </c>
      <c r="F64" t="s">
        <v>182</v>
      </c>
      <c r="G64">
        <v>38078.608677758501</v>
      </c>
      <c r="H64" t="s">
        <v>175</v>
      </c>
      <c r="I64">
        <v>165293.392841497</v>
      </c>
    </row>
    <row r="65" spans="1:9" x14ac:dyDescent="0.2">
      <c r="A65" t="s">
        <v>191</v>
      </c>
      <c r="B65" t="s">
        <v>174</v>
      </c>
      <c r="E65">
        <v>2023</v>
      </c>
      <c r="F65" t="s">
        <v>182</v>
      </c>
      <c r="G65">
        <v>878.92137717084302</v>
      </c>
      <c r="H65" t="s">
        <v>175</v>
      </c>
      <c r="I65">
        <v>17009.6000763921</v>
      </c>
    </row>
    <row r="66" spans="1:9" x14ac:dyDescent="0.2">
      <c r="A66" t="s">
        <v>191</v>
      </c>
      <c r="B66" t="s">
        <v>174</v>
      </c>
      <c r="E66">
        <v>2024</v>
      </c>
      <c r="F66" t="s">
        <v>182</v>
      </c>
      <c r="G66">
        <v>1318.3820657562601</v>
      </c>
      <c r="H66" t="s">
        <v>175</v>
      </c>
      <c r="I66">
        <v>25514.400114588101</v>
      </c>
    </row>
    <row r="67" spans="1:9" x14ac:dyDescent="0.2">
      <c r="A67" t="s">
        <v>191</v>
      </c>
      <c r="B67" t="s">
        <v>174</v>
      </c>
      <c r="E67">
        <v>2025</v>
      </c>
      <c r="F67" t="s">
        <v>182</v>
      </c>
      <c r="G67">
        <v>1757.8427543416899</v>
      </c>
      <c r="H67" t="s">
        <v>175</v>
      </c>
      <c r="I67">
        <v>34019.200152784098</v>
      </c>
    </row>
    <row r="68" spans="1:9" x14ac:dyDescent="0.2">
      <c r="A68" t="s">
        <v>191</v>
      </c>
      <c r="B68" t="s">
        <v>177</v>
      </c>
      <c r="E68">
        <v>2023</v>
      </c>
      <c r="F68" t="s">
        <v>182</v>
      </c>
      <c r="G68">
        <v>204.04631078628799</v>
      </c>
      <c r="H68" t="s">
        <v>175</v>
      </c>
      <c r="I68">
        <v>6806.7756495631102</v>
      </c>
    </row>
    <row r="69" spans="1:9" x14ac:dyDescent="0.2">
      <c r="A69" t="s">
        <v>191</v>
      </c>
      <c r="B69" t="s">
        <v>177</v>
      </c>
      <c r="E69">
        <v>2024</v>
      </c>
      <c r="F69" t="s">
        <v>182</v>
      </c>
      <c r="G69">
        <v>306.06946617943203</v>
      </c>
      <c r="H69" t="s">
        <v>175</v>
      </c>
      <c r="I69">
        <v>10210.163474344699</v>
      </c>
    </row>
    <row r="70" spans="1:9" x14ac:dyDescent="0.2">
      <c r="A70" t="s">
        <v>191</v>
      </c>
      <c r="B70" t="s">
        <v>177</v>
      </c>
      <c r="E70">
        <v>2025</v>
      </c>
      <c r="F70" t="s">
        <v>182</v>
      </c>
      <c r="G70">
        <v>408.092621572577</v>
      </c>
      <c r="H70" t="s">
        <v>175</v>
      </c>
      <c r="I70">
        <v>13613.5512991262</v>
      </c>
    </row>
    <row r="71" spans="1:9" x14ac:dyDescent="0.2">
      <c r="A71" t="s">
        <v>191</v>
      </c>
      <c r="B71" t="s">
        <v>189</v>
      </c>
      <c r="E71">
        <v>2023</v>
      </c>
      <c r="F71" t="s">
        <v>182</v>
      </c>
      <c r="G71">
        <v>4.9238465009710799</v>
      </c>
      <c r="H71" t="s">
        <v>175</v>
      </c>
      <c r="I71">
        <v>359.74225456074402</v>
      </c>
    </row>
    <row r="72" spans="1:9" x14ac:dyDescent="0.2">
      <c r="A72" t="s">
        <v>191</v>
      </c>
      <c r="B72" t="s">
        <v>189</v>
      </c>
      <c r="E72">
        <v>2024</v>
      </c>
      <c r="F72" t="s">
        <v>182</v>
      </c>
      <c r="G72">
        <v>7.3857697514566203</v>
      </c>
      <c r="H72" t="s">
        <v>175</v>
      </c>
      <c r="I72">
        <v>539.61338184111605</v>
      </c>
    </row>
    <row r="73" spans="1:9" x14ac:dyDescent="0.2">
      <c r="A73" t="s">
        <v>191</v>
      </c>
      <c r="B73" t="s">
        <v>189</v>
      </c>
      <c r="E73">
        <v>2025</v>
      </c>
      <c r="F73" t="s">
        <v>182</v>
      </c>
      <c r="G73">
        <v>9.8476930019421598</v>
      </c>
      <c r="H73" t="s">
        <v>175</v>
      </c>
      <c r="I73">
        <v>719.48450912148803</v>
      </c>
    </row>
    <row r="74" spans="1:9" x14ac:dyDescent="0.2">
      <c r="A74" t="s">
        <v>192</v>
      </c>
      <c r="B74" t="s">
        <v>179</v>
      </c>
      <c r="E74">
        <v>2023</v>
      </c>
      <c r="F74" t="s">
        <v>182</v>
      </c>
      <c r="G74">
        <v>3017.49963476322</v>
      </c>
      <c r="H74" t="s">
        <v>175</v>
      </c>
      <c r="I74">
        <v>3762.1804458053598</v>
      </c>
    </row>
    <row r="75" spans="1:9" x14ac:dyDescent="0.2">
      <c r="A75" t="s">
        <v>192</v>
      </c>
      <c r="B75" t="s">
        <v>179</v>
      </c>
      <c r="E75">
        <v>2024</v>
      </c>
      <c r="F75" t="s">
        <v>182</v>
      </c>
      <c r="G75">
        <v>4722.7433696031603</v>
      </c>
      <c r="H75" t="s">
        <v>175</v>
      </c>
      <c r="I75">
        <v>5885.9527443317102</v>
      </c>
    </row>
    <row r="76" spans="1:9" x14ac:dyDescent="0.2">
      <c r="A76" t="s">
        <v>192</v>
      </c>
      <c r="B76" t="s">
        <v>179</v>
      </c>
      <c r="E76">
        <v>2025</v>
      </c>
      <c r="F76" t="s">
        <v>182</v>
      </c>
      <c r="G76">
        <v>6581.2993222770901</v>
      </c>
      <c r="H76" t="s">
        <v>175</v>
      </c>
      <c r="I76">
        <v>8199.6528565576009</v>
      </c>
    </row>
    <row r="77" spans="1:9" x14ac:dyDescent="0.2">
      <c r="A77" t="s">
        <v>192</v>
      </c>
      <c r="B77" t="s">
        <v>174</v>
      </c>
      <c r="E77">
        <v>2023</v>
      </c>
      <c r="F77" t="s">
        <v>182</v>
      </c>
      <c r="G77">
        <v>878.92137717084302</v>
      </c>
      <c r="H77" t="s">
        <v>175</v>
      </c>
      <c r="I77">
        <v>1822.0158933872301</v>
      </c>
    </row>
    <row r="78" spans="1:9" x14ac:dyDescent="0.2">
      <c r="A78" t="s">
        <v>192</v>
      </c>
      <c r="B78" t="s">
        <v>174</v>
      </c>
      <c r="E78">
        <v>2024</v>
      </c>
      <c r="F78" t="s">
        <v>182</v>
      </c>
      <c r="G78">
        <v>1318.3820657562601</v>
      </c>
      <c r="H78" t="s">
        <v>175</v>
      </c>
      <c r="I78">
        <v>2733.0238400808398</v>
      </c>
    </row>
    <row r="79" spans="1:9" x14ac:dyDescent="0.2">
      <c r="A79" t="s">
        <v>192</v>
      </c>
      <c r="B79" t="s">
        <v>174</v>
      </c>
      <c r="E79">
        <v>2025</v>
      </c>
      <c r="F79" t="s">
        <v>182</v>
      </c>
      <c r="G79">
        <v>1757.8427543416899</v>
      </c>
      <c r="H79" t="s">
        <v>175</v>
      </c>
      <c r="I79">
        <v>3644.0317867744602</v>
      </c>
    </row>
    <row r="80" spans="1:9" x14ac:dyDescent="0.2">
      <c r="A80" t="s">
        <v>192</v>
      </c>
      <c r="B80" t="s">
        <v>177</v>
      </c>
      <c r="E80">
        <v>2023</v>
      </c>
      <c r="F80" t="s">
        <v>182</v>
      </c>
      <c r="G80">
        <v>0</v>
      </c>
      <c r="H80" t="s">
        <v>175</v>
      </c>
      <c r="I80">
        <v>0</v>
      </c>
    </row>
    <row r="81" spans="1:9" x14ac:dyDescent="0.2">
      <c r="A81" t="s">
        <v>192</v>
      </c>
      <c r="B81" t="s">
        <v>177</v>
      </c>
      <c r="E81">
        <v>2024</v>
      </c>
      <c r="F81" t="s">
        <v>182</v>
      </c>
      <c r="G81">
        <v>0</v>
      </c>
      <c r="H81" t="s">
        <v>175</v>
      </c>
      <c r="I81">
        <v>0</v>
      </c>
    </row>
    <row r="82" spans="1:9" x14ac:dyDescent="0.2">
      <c r="A82" t="s">
        <v>192</v>
      </c>
      <c r="B82" t="s">
        <v>177</v>
      </c>
      <c r="E82">
        <v>2025</v>
      </c>
      <c r="F82" t="s">
        <v>182</v>
      </c>
      <c r="G82">
        <v>0</v>
      </c>
      <c r="H82" t="s">
        <v>175</v>
      </c>
      <c r="I82">
        <v>0</v>
      </c>
    </row>
    <row r="83" spans="1:9" x14ac:dyDescent="0.2">
      <c r="A83" t="s">
        <v>192</v>
      </c>
      <c r="B83" t="s">
        <v>189</v>
      </c>
      <c r="E83">
        <v>2023</v>
      </c>
      <c r="F83" t="s">
        <v>182</v>
      </c>
      <c r="G83">
        <v>0</v>
      </c>
      <c r="H83" t="s">
        <v>175</v>
      </c>
      <c r="I83">
        <v>0</v>
      </c>
    </row>
    <row r="84" spans="1:9" x14ac:dyDescent="0.2">
      <c r="A84" t="s">
        <v>192</v>
      </c>
      <c r="B84" t="s">
        <v>189</v>
      </c>
      <c r="E84">
        <v>2024</v>
      </c>
      <c r="F84" t="s">
        <v>182</v>
      </c>
      <c r="G84">
        <v>0</v>
      </c>
      <c r="H84" t="s">
        <v>175</v>
      </c>
      <c r="I84">
        <v>0</v>
      </c>
    </row>
    <row r="85" spans="1:9" x14ac:dyDescent="0.2">
      <c r="A85" t="s">
        <v>192</v>
      </c>
      <c r="B85" t="s">
        <v>189</v>
      </c>
      <c r="E85">
        <v>2025</v>
      </c>
      <c r="F85" t="s">
        <v>182</v>
      </c>
      <c r="G85">
        <v>0</v>
      </c>
      <c r="H85" t="s">
        <v>175</v>
      </c>
      <c r="I85">
        <v>0</v>
      </c>
    </row>
    <row r="86" spans="1:9" x14ac:dyDescent="0.2">
      <c r="A86" t="s">
        <v>157</v>
      </c>
      <c r="B86" t="s">
        <v>174</v>
      </c>
      <c r="E86">
        <v>2023</v>
      </c>
      <c r="F86" t="s">
        <v>175</v>
      </c>
      <c r="G86">
        <v>2003.9905502177801</v>
      </c>
    </row>
    <row r="87" spans="1:9" x14ac:dyDescent="0.2">
      <c r="A87" t="s">
        <v>157</v>
      </c>
      <c r="B87" t="s">
        <v>174</v>
      </c>
      <c r="E87">
        <v>2024</v>
      </c>
      <c r="F87" t="s">
        <v>175</v>
      </c>
      <c r="G87">
        <v>3005.9858253266698</v>
      </c>
    </row>
    <row r="88" spans="1:9" x14ac:dyDescent="0.2">
      <c r="A88" t="s">
        <v>157</v>
      </c>
      <c r="B88" t="s">
        <v>174</v>
      </c>
      <c r="E88">
        <v>2025</v>
      </c>
      <c r="F88" t="s">
        <v>175</v>
      </c>
      <c r="G88">
        <v>4007.9811004355602</v>
      </c>
    </row>
    <row r="89" spans="1:9" x14ac:dyDescent="0.2">
      <c r="A89" t="s">
        <v>157</v>
      </c>
      <c r="B89" t="s">
        <v>176</v>
      </c>
      <c r="E89">
        <v>2023</v>
      </c>
      <c r="F89" t="s">
        <v>175</v>
      </c>
      <c r="G89">
        <v>87.668287128223199</v>
      </c>
    </row>
    <row r="90" spans="1:9" x14ac:dyDescent="0.2">
      <c r="A90" t="s">
        <v>157</v>
      </c>
      <c r="B90" t="s">
        <v>176</v>
      </c>
      <c r="E90">
        <v>2024</v>
      </c>
      <c r="F90" t="s">
        <v>175</v>
      </c>
      <c r="G90">
        <v>131.502430692335</v>
      </c>
    </row>
    <row r="91" spans="1:9" x14ac:dyDescent="0.2">
      <c r="A91" t="s">
        <v>157</v>
      </c>
      <c r="B91" t="s">
        <v>176</v>
      </c>
      <c r="E91">
        <v>2025</v>
      </c>
      <c r="F91" t="s">
        <v>175</v>
      </c>
      <c r="G91">
        <v>175.336574256446</v>
      </c>
    </row>
    <row r="92" spans="1:9" x14ac:dyDescent="0.2">
      <c r="A92" t="s">
        <v>157</v>
      </c>
      <c r="B92" t="s">
        <v>177</v>
      </c>
      <c r="E92">
        <v>2023</v>
      </c>
      <c r="F92" t="s">
        <v>175</v>
      </c>
      <c r="G92">
        <v>580.89554639725895</v>
      </c>
    </row>
    <row r="93" spans="1:9" x14ac:dyDescent="0.2">
      <c r="A93" t="s">
        <v>157</v>
      </c>
      <c r="B93" t="s">
        <v>177</v>
      </c>
      <c r="E93">
        <v>2024</v>
      </c>
      <c r="F93" t="s">
        <v>175</v>
      </c>
      <c r="G93">
        <v>871.34331959588906</v>
      </c>
    </row>
    <row r="94" spans="1:9" x14ac:dyDescent="0.2">
      <c r="A94" t="s">
        <v>157</v>
      </c>
      <c r="B94" t="s">
        <v>177</v>
      </c>
      <c r="E94">
        <v>2025</v>
      </c>
      <c r="F94" t="s">
        <v>175</v>
      </c>
      <c r="G94">
        <v>1161.79109279452</v>
      </c>
    </row>
    <row r="95" spans="1:9" x14ac:dyDescent="0.2">
      <c r="A95" t="s">
        <v>157</v>
      </c>
      <c r="B95" t="s">
        <v>189</v>
      </c>
      <c r="E95">
        <v>2023</v>
      </c>
      <c r="F95" t="s">
        <v>175</v>
      </c>
      <c r="G95">
        <v>21.017604622743701</v>
      </c>
    </row>
    <row r="96" spans="1:9" x14ac:dyDescent="0.2">
      <c r="A96" t="s">
        <v>157</v>
      </c>
      <c r="B96" t="s">
        <v>189</v>
      </c>
      <c r="E96">
        <v>2024</v>
      </c>
      <c r="F96" t="s">
        <v>175</v>
      </c>
      <c r="G96">
        <v>31.526406934115499</v>
      </c>
    </row>
    <row r="97" spans="1:9" x14ac:dyDescent="0.2">
      <c r="A97" t="s">
        <v>157</v>
      </c>
      <c r="B97" t="s">
        <v>189</v>
      </c>
      <c r="E97">
        <v>2025</v>
      </c>
      <c r="F97" t="s">
        <v>175</v>
      </c>
      <c r="G97">
        <v>42.035209245487401</v>
      </c>
    </row>
    <row r="98" spans="1:9" x14ac:dyDescent="0.2">
      <c r="A98" t="s">
        <v>193</v>
      </c>
      <c r="B98" t="s">
        <v>179</v>
      </c>
      <c r="E98">
        <v>2023</v>
      </c>
      <c r="F98" t="s">
        <v>194</v>
      </c>
      <c r="G98">
        <v>7998.0352038816</v>
      </c>
      <c r="H98" t="s">
        <v>193</v>
      </c>
      <c r="I98">
        <v>49254.216844484501</v>
      </c>
    </row>
    <row r="99" spans="1:9" x14ac:dyDescent="0.2">
      <c r="A99" t="s">
        <v>193</v>
      </c>
      <c r="B99" t="s">
        <v>179</v>
      </c>
      <c r="E99">
        <v>2024</v>
      </c>
      <c r="F99" t="s">
        <v>194</v>
      </c>
      <c r="G99">
        <v>11992.857490508601</v>
      </c>
      <c r="H99" t="s">
        <v>193</v>
      </c>
      <c r="I99">
        <v>74998.319703142799</v>
      </c>
    </row>
    <row r="100" spans="1:9" x14ac:dyDescent="0.2">
      <c r="A100" t="s">
        <v>193</v>
      </c>
      <c r="B100" t="s">
        <v>179</v>
      </c>
      <c r="E100">
        <v>2025</v>
      </c>
      <c r="F100" t="s">
        <v>194</v>
      </c>
      <c r="G100">
        <v>16118.882080929399</v>
      </c>
      <c r="H100" t="s">
        <v>193</v>
      </c>
      <c r="I100">
        <v>101999.142695905</v>
      </c>
    </row>
    <row r="101" spans="1:9" x14ac:dyDescent="0.2">
      <c r="A101" t="s">
        <v>195</v>
      </c>
      <c r="B101" t="s">
        <v>174</v>
      </c>
      <c r="E101">
        <v>2023</v>
      </c>
      <c r="F101" t="s">
        <v>175</v>
      </c>
      <c r="G101">
        <v>26.6728647278177</v>
      </c>
    </row>
    <row r="102" spans="1:9" x14ac:dyDescent="0.2">
      <c r="A102" t="s">
        <v>195</v>
      </c>
      <c r="B102" t="s">
        <v>174</v>
      </c>
      <c r="E102">
        <v>2024</v>
      </c>
      <c r="F102" t="s">
        <v>175</v>
      </c>
      <c r="G102">
        <v>40.009297091726602</v>
      </c>
    </row>
    <row r="103" spans="1:9" x14ac:dyDescent="0.2">
      <c r="A103" t="s">
        <v>195</v>
      </c>
      <c r="B103" t="s">
        <v>174</v>
      </c>
      <c r="E103">
        <v>2025</v>
      </c>
      <c r="F103" t="s">
        <v>175</v>
      </c>
      <c r="G103">
        <v>53.3457294556354</v>
      </c>
    </row>
    <row r="104" spans="1:9" x14ac:dyDescent="0.2">
      <c r="A104" t="s">
        <v>195</v>
      </c>
      <c r="B104" t="s">
        <v>176</v>
      </c>
      <c r="E104">
        <v>2023</v>
      </c>
      <c r="F104" t="s">
        <v>175</v>
      </c>
      <c r="G104">
        <v>0</v>
      </c>
    </row>
    <row r="105" spans="1:9" x14ac:dyDescent="0.2">
      <c r="A105" t="s">
        <v>195</v>
      </c>
      <c r="B105" t="s">
        <v>176</v>
      </c>
      <c r="E105">
        <v>2024</v>
      </c>
      <c r="F105" t="s">
        <v>175</v>
      </c>
      <c r="G105">
        <v>0</v>
      </c>
    </row>
    <row r="106" spans="1:9" x14ac:dyDescent="0.2">
      <c r="A106" t="s">
        <v>195</v>
      </c>
      <c r="B106" t="s">
        <v>176</v>
      </c>
      <c r="E106">
        <v>2025</v>
      </c>
      <c r="F106" t="s">
        <v>175</v>
      </c>
      <c r="G106">
        <v>0</v>
      </c>
    </row>
    <row r="107" spans="1:9" x14ac:dyDescent="0.2">
      <c r="A107" t="s">
        <v>195</v>
      </c>
      <c r="B107" t="s">
        <v>177</v>
      </c>
      <c r="E107">
        <v>2023</v>
      </c>
      <c r="F107" t="s">
        <v>175</v>
      </c>
      <c r="G107">
        <v>0</v>
      </c>
    </row>
    <row r="108" spans="1:9" x14ac:dyDescent="0.2">
      <c r="A108" t="s">
        <v>195</v>
      </c>
      <c r="B108" t="s">
        <v>177</v>
      </c>
      <c r="E108">
        <v>2024</v>
      </c>
      <c r="F108" t="s">
        <v>175</v>
      </c>
      <c r="G108">
        <v>0</v>
      </c>
    </row>
    <row r="109" spans="1:9" x14ac:dyDescent="0.2">
      <c r="A109" t="s">
        <v>195</v>
      </c>
      <c r="B109" t="s">
        <v>177</v>
      </c>
      <c r="E109">
        <v>2025</v>
      </c>
      <c r="F109" t="s">
        <v>175</v>
      </c>
      <c r="G109">
        <v>0</v>
      </c>
    </row>
    <row r="111" spans="1:9" x14ac:dyDescent="0.2">
      <c r="A111" s="54" t="s">
        <v>196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9BBB6-A152-4A6A-B010-99E2096DB560}">
  <sheetPr>
    <pageSetUpPr fitToPage="1"/>
  </sheetPr>
  <dimension ref="A1:X109"/>
  <sheetViews>
    <sheetView topLeftCell="A8" zoomScale="75" zoomScaleNormal="75" workbookViewId="0">
      <selection activeCell="C18" sqref="C18"/>
    </sheetView>
  </sheetViews>
  <sheetFormatPr defaultColWidth="8.6640625" defaultRowHeight="12.75" x14ac:dyDescent="0.2"/>
  <cols>
    <col min="1" max="2" width="3.83203125" style="97" customWidth="1"/>
    <col min="3" max="3" width="62.33203125" style="97" customWidth="1"/>
    <col min="4" max="4" width="15.5" style="97" customWidth="1"/>
    <col min="5" max="5" width="18.33203125" style="97" customWidth="1"/>
    <col min="6" max="6" width="16.33203125" style="97" customWidth="1"/>
    <col min="7" max="7" width="16" style="97" customWidth="1"/>
    <col min="8" max="8" width="15.5" style="97" customWidth="1"/>
    <col min="9" max="9" width="15.33203125" style="97" customWidth="1"/>
    <col min="10" max="10" width="12.83203125" style="97" customWidth="1"/>
    <col min="11" max="11" width="15.1640625" style="97" customWidth="1"/>
    <col min="12" max="12" width="5.83203125" style="96" customWidth="1"/>
    <col min="13" max="16" width="16.83203125" style="97" customWidth="1"/>
    <col min="17" max="16384" width="8.6640625" style="97"/>
  </cols>
  <sheetData>
    <row r="1" spans="1:21" ht="15.75" x14ac:dyDescent="0.2">
      <c r="A1" s="173" t="s">
        <v>260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U1" s="98"/>
    </row>
    <row r="2" spans="1:21" ht="15.75" x14ac:dyDescent="0.2">
      <c r="A2" s="173" t="s">
        <v>114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M2" s="97" t="s">
        <v>1</v>
      </c>
      <c r="N2" s="99">
        <v>44317</v>
      </c>
    </row>
    <row r="3" spans="1:21" ht="15.75" x14ac:dyDescent="0.2">
      <c r="A3" s="173" t="s">
        <v>2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M3" s="97" t="s">
        <v>3</v>
      </c>
      <c r="N3" s="100">
        <f>23.6*2.1</f>
        <v>49.56</v>
      </c>
      <c r="O3" s="97" t="s">
        <v>4</v>
      </c>
    </row>
    <row r="4" spans="1:21" ht="15.75" x14ac:dyDescent="0.2">
      <c r="A4" s="174" t="s">
        <v>255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M4" s="97" t="s">
        <v>5</v>
      </c>
      <c r="N4" s="100">
        <f>57.39*2.1</f>
        <v>120.51900000000001</v>
      </c>
      <c r="O4" s="97" t="s">
        <v>6</v>
      </c>
    </row>
    <row r="5" spans="1:21" x14ac:dyDescent="0.2">
      <c r="A5" s="175" t="s">
        <v>7</v>
      </c>
      <c r="B5" s="176"/>
      <c r="C5" s="176"/>
      <c r="D5" s="101" t="s">
        <v>8</v>
      </c>
      <c r="E5" s="101" t="s">
        <v>9</v>
      </c>
      <c r="F5" s="102" t="s">
        <v>10</v>
      </c>
      <c r="G5" s="101" t="s">
        <v>11</v>
      </c>
      <c r="H5" s="101" t="s">
        <v>12</v>
      </c>
      <c r="I5" s="101" t="s">
        <v>13</v>
      </c>
      <c r="J5" s="101" t="s">
        <v>14</v>
      </c>
      <c r="K5" s="101" t="s">
        <v>15</v>
      </c>
      <c r="M5" s="103" t="s">
        <v>16</v>
      </c>
      <c r="N5" s="100">
        <f>22.57*2.1</f>
        <v>47.397000000000006</v>
      </c>
      <c r="O5" s="97" t="s">
        <v>17</v>
      </c>
      <c r="P5" s="96"/>
    </row>
    <row r="6" spans="1:21" ht="51" x14ac:dyDescent="0.2">
      <c r="A6" s="176"/>
      <c r="B6" s="176"/>
      <c r="C6" s="176"/>
      <c r="D6" s="104" t="s">
        <v>18</v>
      </c>
      <c r="E6" s="104" t="s">
        <v>19</v>
      </c>
      <c r="F6" s="104" t="s">
        <v>20</v>
      </c>
      <c r="G6" s="104" t="s">
        <v>21</v>
      </c>
      <c r="H6" s="104" t="s">
        <v>22</v>
      </c>
      <c r="I6" s="104" t="s">
        <v>23</v>
      </c>
      <c r="J6" s="104" t="s">
        <v>24</v>
      </c>
      <c r="K6" s="104" t="s">
        <v>25</v>
      </c>
      <c r="L6" s="105"/>
      <c r="M6" s="105" t="s">
        <v>26</v>
      </c>
      <c r="N6" s="105"/>
      <c r="O6" s="105"/>
      <c r="P6" s="105"/>
    </row>
    <row r="7" spans="1:21" ht="15" customHeight="1" x14ac:dyDescent="0.2">
      <c r="A7" s="170" t="s">
        <v>27</v>
      </c>
      <c r="B7" s="171"/>
      <c r="C7" s="171"/>
      <c r="D7" s="171"/>
      <c r="E7" s="171"/>
      <c r="F7" s="171"/>
      <c r="G7" s="171"/>
      <c r="H7" s="171"/>
      <c r="I7" s="171"/>
      <c r="J7" s="171"/>
      <c r="K7" s="172"/>
    </row>
    <row r="8" spans="1:21" ht="15" customHeight="1" x14ac:dyDescent="0.2">
      <c r="A8" s="170" t="s">
        <v>28</v>
      </c>
      <c r="B8" s="171"/>
      <c r="C8" s="171"/>
      <c r="D8" s="171"/>
      <c r="E8" s="171"/>
      <c r="F8" s="171"/>
      <c r="G8" s="171"/>
      <c r="H8" s="171"/>
      <c r="I8" s="171"/>
      <c r="J8" s="171"/>
      <c r="K8" s="172"/>
    </row>
    <row r="9" spans="1:21" ht="15" customHeight="1" x14ac:dyDescent="0.2">
      <c r="A9" s="178" t="s">
        <v>29</v>
      </c>
      <c r="B9" s="179"/>
      <c r="C9" s="179"/>
      <c r="D9" s="171"/>
      <c r="E9" s="171"/>
      <c r="F9" s="171"/>
      <c r="G9" s="171"/>
      <c r="H9" s="171"/>
      <c r="I9" s="171"/>
      <c r="J9" s="171"/>
      <c r="K9" s="172"/>
    </row>
    <row r="10" spans="1:21" ht="15" customHeight="1" x14ac:dyDescent="0.2">
      <c r="A10" s="170" t="s">
        <v>30</v>
      </c>
      <c r="B10" s="171"/>
      <c r="C10" s="171"/>
      <c r="D10" s="171"/>
      <c r="E10" s="171"/>
      <c r="F10" s="171"/>
      <c r="G10" s="171"/>
      <c r="H10" s="171"/>
      <c r="I10" s="171"/>
      <c r="J10" s="171"/>
      <c r="K10" s="172"/>
    </row>
    <row r="11" spans="1:21" ht="15" customHeight="1" x14ac:dyDescent="0.2">
      <c r="A11" s="106"/>
      <c r="B11" s="107" t="s">
        <v>31</v>
      </c>
      <c r="C11" s="108"/>
      <c r="D11" s="101"/>
      <c r="E11" s="101"/>
      <c r="F11" s="101"/>
      <c r="G11" s="101"/>
      <c r="H11" s="55"/>
      <c r="I11" s="55"/>
      <c r="J11" s="55"/>
      <c r="K11" s="101"/>
    </row>
    <row r="12" spans="1:21" ht="15" customHeight="1" x14ac:dyDescent="0.2">
      <c r="A12" s="106"/>
      <c r="B12" s="109"/>
      <c r="C12" s="107" t="s">
        <v>32</v>
      </c>
      <c r="D12" s="55">
        <v>4</v>
      </c>
      <c r="E12" s="55">
        <v>1</v>
      </c>
      <c r="F12" s="55">
        <f>D12*E12</f>
        <v>4</v>
      </c>
      <c r="G12" s="55">
        <f>'New Sources'!N30</f>
        <v>1856.1370092144043</v>
      </c>
      <c r="H12" s="55">
        <f>F12*G12</f>
        <v>7424.5480368576173</v>
      </c>
      <c r="I12" s="55">
        <f>H12*0.05</f>
        <v>371.22740184288091</v>
      </c>
      <c r="J12" s="55">
        <f>H12*0.1</f>
        <v>742.45480368576182</v>
      </c>
      <c r="K12" s="110">
        <f>(H12*N$3)+(I12*N$4)+(J12*N$5)</f>
        <v>447890.68627965974</v>
      </c>
      <c r="L12" s="111"/>
    </row>
    <row r="13" spans="1:21" ht="15" customHeight="1" x14ac:dyDescent="0.2">
      <c r="A13" s="106"/>
      <c r="B13" s="109"/>
      <c r="C13" s="107" t="s">
        <v>243</v>
      </c>
      <c r="D13" s="55">
        <v>1</v>
      </c>
      <c r="E13" s="55">
        <v>1</v>
      </c>
      <c r="F13" s="55">
        <f>D13*E13</f>
        <v>1</v>
      </c>
      <c r="G13" s="55">
        <v>2</v>
      </c>
      <c r="H13" s="55">
        <f>F13*G13</f>
        <v>2</v>
      </c>
      <c r="I13" s="55">
        <f>H13*0.05</f>
        <v>0.1</v>
      </c>
      <c r="J13" s="55">
        <f>H13*0.1</f>
        <v>0.2</v>
      </c>
      <c r="K13" s="110">
        <f>(H13*N$3)+(I13*N$4)+(J13*N$5)</f>
        <v>120.65130000000001</v>
      </c>
      <c r="L13" s="111"/>
    </row>
    <row r="14" spans="1:21" ht="15" customHeight="1" x14ac:dyDescent="0.2">
      <c r="A14" s="106"/>
      <c r="B14" s="107" t="s">
        <v>33</v>
      </c>
      <c r="C14" s="108"/>
      <c r="D14" s="55"/>
      <c r="E14" s="55"/>
      <c r="F14" s="55"/>
      <c r="G14" s="55"/>
      <c r="H14" s="55"/>
      <c r="I14" s="55"/>
      <c r="J14" s="55"/>
      <c r="K14" s="101"/>
    </row>
    <row r="15" spans="1:21" customFormat="1" x14ac:dyDescent="0.2">
      <c r="A15" s="112"/>
      <c r="B15" s="113"/>
      <c r="C15" s="114" t="s">
        <v>34</v>
      </c>
      <c r="D15" s="115">
        <v>0.5</v>
      </c>
      <c r="E15" s="92">
        <v>1</v>
      </c>
      <c r="F15" s="115">
        <f>D15*E15</f>
        <v>0.5</v>
      </c>
      <c r="G15" s="92">
        <f>'New Sources'!E27+'New Sources'!E28</f>
        <v>12</v>
      </c>
      <c r="H15" s="92">
        <f>F15*G15</f>
        <v>6</v>
      </c>
      <c r="I15" s="92">
        <f>H15*0.05</f>
        <v>0.30000000000000004</v>
      </c>
      <c r="J15" s="92">
        <f>H15*0.1</f>
        <v>0.60000000000000009</v>
      </c>
      <c r="K15" s="116">
        <f>(H15*N$3)+(I15*N$4)+(J15*N$5)</f>
        <v>361.95390000000003</v>
      </c>
      <c r="L15" s="33"/>
      <c r="M15" t="s">
        <v>35</v>
      </c>
    </row>
    <row r="16" spans="1:21" customFormat="1" x14ac:dyDescent="0.2">
      <c r="A16" s="112"/>
      <c r="B16" s="113"/>
      <c r="C16" s="114" t="s">
        <v>36</v>
      </c>
      <c r="D16" s="117">
        <v>0.25</v>
      </c>
      <c r="E16" s="92">
        <v>1</v>
      </c>
      <c r="F16" s="115">
        <f>D16*E16</f>
        <v>0.25</v>
      </c>
      <c r="G16" s="92">
        <f>ROUND('New Sources'!E4,0)</f>
        <v>9866</v>
      </c>
      <c r="H16" s="92">
        <f>F16*G16</f>
        <v>2466.5</v>
      </c>
      <c r="I16" s="92">
        <f>H16*0.05</f>
        <v>123.325</v>
      </c>
      <c r="J16" s="92">
        <f>H16*0.1</f>
        <v>246.65</v>
      </c>
      <c r="K16" s="116">
        <f>(H16*N$3)+(I16*N$4)+(J16*N$5)</f>
        <v>148793.21572500002</v>
      </c>
      <c r="L16" s="118"/>
      <c r="M16" t="s">
        <v>37</v>
      </c>
    </row>
    <row r="17" spans="1:19" customFormat="1" ht="25.5" x14ac:dyDescent="0.2">
      <c r="A17" s="112"/>
      <c r="B17" s="119"/>
      <c r="C17" s="114" t="s">
        <v>266</v>
      </c>
      <c r="D17" s="117">
        <f>AVERAGE(4,40)</f>
        <v>22</v>
      </c>
      <c r="E17" s="92">
        <v>1</v>
      </c>
      <c r="F17" s="115">
        <f>D17*E17</f>
        <v>22</v>
      </c>
      <c r="G17" s="92">
        <v>2</v>
      </c>
      <c r="H17" s="92">
        <f>F17*G17</f>
        <v>44</v>
      </c>
      <c r="I17" s="92">
        <f>H17*0.05</f>
        <v>2.2000000000000002</v>
      </c>
      <c r="J17" s="92">
        <f>H17*0.1</f>
        <v>4.4000000000000004</v>
      </c>
      <c r="K17" s="116">
        <f>(H17*N$3)+(I17*N$4)+(J17*N$5)</f>
        <v>2654.3286000000003</v>
      </c>
      <c r="L17" s="118"/>
      <c r="M17" t="s">
        <v>244</v>
      </c>
    </row>
    <row r="18" spans="1:19" customFormat="1" x14ac:dyDescent="0.2">
      <c r="A18" s="112"/>
      <c r="B18" s="119"/>
      <c r="C18" s="114" t="s">
        <v>267</v>
      </c>
      <c r="D18" s="117">
        <f>AVERAGE(2,10)</f>
        <v>6</v>
      </c>
      <c r="E18" s="92">
        <v>1</v>
      </c>
      <c r="F18" s="115">
        <f>D18*E18</f>
        <v>6</v>
      </c>
      <c r="G18" s="92">
        <v>500</v>
      </c>
      <c r="H18" s="92">
        <f>F18*G18</f>
        <v>3000</v>
      </c>
      <c r="I18" s="92">
        <f>H18*0.05</f>
        <v>150</v>
      </c>
      <c r="J18" s="92">
        <f>H18*0.1</f>
        <v>300</v>
      </c>
      <c r="K18" s="116">
        <f>(H18*N$3)+(I18*N$4)+(J18*N$5)</f>
        <v>180976.95</v>
      </c>
      <c r="L18" s="118"/>
      <c r="M18" t="s">
        <v>245</v>
      </c>
    </row>
    <row r="19" spans="1:19" customFormat="1" ht="15" customHeight="1" x14ac:dyDescent="0.2">
      <c r="A19" s="112"/>
      <c r="B19" s="120" t="s">
        <v>38</v>
      </c>
      <c r="C19" s="121"/>
      <c r="D19" s="92"/>
      <c r="E19" s="92"/>
      <c r="F19" s="92"/>
      <c r="G19" s="92"/>
      <c r="H19" s="92"/>
      <c r="I19" s="92"/>
      <c r="J19" s="92"/>
      <c r="K19" s="122"/>
      <c r="L19" s="33"/>
    </row>
    <row r="20" spans="1:19" ht="15" customHeight="1" x14ac:dyDescent="0.2">
      <c r="A20" s="106"/>
      <c r="B20" s="109"/>
      <c r="C20" s="56" t="s">
        <v>39</v>
      </c>
      <c r="D20" s="55"/>
      <c r="E20" s="55"/>
      <c r="F20" s="55"/>
      <c r="G20" s="55"/>
      <c r="H20" s="55"/>
      <c r="I20" s="55"/>
      <c r="J20" s="55"/>
      <c r="K20" s="101"/>
      <c r="M20" t="s">
        <v>40</v>
      </c>
    </row>
    <row r="21" spans="1:19" ht="15" customHeight="1" x14ac:dyDescent="0.2">
      <c r="A21" s="106"/>
      <c r="B21" s="109"/>
      <c r="C21" s="57" t="s">
        <v>41</v>
      </c>
      <c r="D21" s="55"/>
      <c r="E21" s="55"/>
      <c r="F21" s="55"/>
      <c r="G21" s="55"/>
      <c r="H21" s="55"/>
      <c r="I21" s="55"/>
      <c r="J21" s="55"/>
      <c r="K21" s="101"/>
    </row>
    <row r="22" spans="1:19" ht="14.1" customHeight="1" x14ac:dyDescent="0.2">
      <c r="A22" s="106"/>
      <c r="B22" s="109"/>
      <c r="C22" s="63" t="s">
        <v>42</v>
      </c>
      <c r="D22" s="55">
        <v>4</v>
      </c>
      <c r="E22" s="55">
        <v>1</v>
      </c>
      <c r="F22" s="55">
        <f t="shared" ref="F22:F26" si="0">D22*E22</f>
        <v>4</v>
      </c>
      <c r="G22" s="55">
        <f>'New Sources'!E5</f>
        <v>5470.231496445851</v>
      </c>
      <c r="H22" s="55">
        <f t="shared" ref="H22:H23" si="1">F22*G22</f>
        <v>21880.925985783404</v>
      </c>
      <c r="I22" s="55">
        <f t="shared" ref="I22:I23" si="2">H22*0.05</f>
        <v>1094.0462992891703</v>
      </c>
      <c r="J22" s="55">
        <f t="shared" ref="J22:J23" si="3">H22*0.1</f>
        <v>2188.0925985783406</v>
      </c>
      <c r="K22" s="110">
        <f t="shared" ref="K22:K23" si="4">(H22*N$3)+(I22*N$4)+(J22*N$5)</f>
        <v>1319981.0826942748</v>
      </c>
      <c r="L22" s="123"/>
      <c r="M22" s="123"/>
      <c r="N22" s="123"/>
      <c r="O22" s="123"/>
      <c r="P22" s="123"/>
      <c r="Q22" s="123"/>
      <c r="R22" s="123"/>
      <c r="S22" s="123"/>
    </row>
    <row r="23" spans="1:19" ht="14.1" customHeight="1" x14ac:dyDescent="0.2">
      <c r="A23" s="106"/>
      <c r="B23" s="109"/>
      <c r="C23" s="63" t="s">
        <v>43</v>
      </c>
      <c r="D23" s="55">
        <v>1</v>
      </c>
      <c r="E23" s="55">
        <v>1</v>
      </c>
      <c r="F23" s="55">
        <f t="shared" si="0"/>
        <v>1</v>
      </c>
      <c r="G23" s="55">
        <f>G22</f>
        <v>5470.231496445851</v>
      </c>
      <c r="H23" s="55">
        <f t="shared" si="1"/>
        <v>5470.231496445851</v>
      </c>
      <c r="I23" s="55">
        <f t="shared" si="2"/>
        <v>273.51157482229257</v>
      </c>
      <c r="J23" s="55">
        <f t="shared" si="3"/>
        <v>547.02314964458515</v>
      </c>
      <c r="K23" s="110">
        <f t="shared" si="4"/>
        <v>329995.27067356871</v>
      </c>
      <c r="L23" s="123"/>
      <c r="M23" s="123"/>
      <c r="N23" s="123"/>
      <c r="O23" s="123"/>
      <c r="P23" s="123"/>
      <c r="Q23" s="123"/>
      <c r="R23" s="123"/>
      <c r="S23" s="123"/>
    </row>
    <row r="24" spans="1:19" ht="14.1" customHeight="1" x14ac:dyDescent="0.2">
      <c r="A24" s="106"/>
      <c r="B24" s="109"/>
      <c r="C24" s="57" t="s">
        <v>44</v>
      </c>
      <c r="D24" s="55"/>
      <c r="E24" s="55"/>
      <c r="F24" s="55"/>
      <c r="G24" s="55"/>
      <c r="H24" s="55"/>
      <c r="I24" s="55"/>
      <c r="J24" s="55"/>
      <c r="K24" s="110"/>
      <c r="L24" s="123"/>
      <c r="M24" s="123"/>
      <c r="N24" s="123"/>
      <c r="O24" s="123"/>
      <c r="P24" s="123"/>
      <c r="Q24" s="123"/>
      <c r="R24" s="123"/>
      <c r="S24" s="123"/>
    </row>
    <row r="25" spans="1:19" ht="14.1" customHeight="1" x14ac:dyDescent="0.2">
      <c r="A25" s="106"/>
      <c r="B25" s="109"/>
      <c r="C25" s="63" t="s">
        <v>42</v>
      </c>
      <c r="D25" s="55">
        <v>4</v>
      </c>
      <c r="E25" s="55">
        <v>1</v>
      </c>
      <c r="F25" s="55">
        <f t="shared" si="0"/>
        <v>4</v>
      </c>
      <c r="G25" s="55">
        <f>'New Sources'!E6</f>
        <v>145.26549923433902</v>
      </c>
      <c r="H25" s="55">
        <f t="shared" ref="H25:H26" si="5">F25*G25</f>
        <v>581.06199693735607</v>
      </c>
      <c r="I25" s="55">
        <f t="shared" ref="I25:I26" si="6">H25*0.05</f>
        <v>29.053099846867806</v>
      </c>
      <c r="J25" s="55">
        <f t="shared" ref="J25:J26" si="7">H25*0.1</f>
        <v>58.106199693735611</v>
      </c>
      <c r="K25" s="110">
        <f t="shared" ref="K25:K26" si="8">(H25*N$3)+(I25*N$4)+(J25*N$5)</f>
        <v>35052.942655544015</v>
      </c>
      <c r="L25" s="123"/>
      <c r="M25" s="123"/>
      <c r="N25" s="123"/>
      <c r="O25" s="123"/>
      <c r="P25" s="123"/>
      <c r="Q25" s="123"/>
      <c r="R25" s="123"/>
      <c r="S25" s="123"/>
    </row>
    <row r="26" spans="1:19" ht="14.1" customHeight="1" x14ac:dyDescent="0.2">
      <c r="A26" s="106"/>
      <c r="B26" s="109"/>
      <c r="C26" s="63" t="s">
        <v>45</v>
      </c>
      <c r="D26" s="55">
        <v>40</v>
      </c>
      <c r="E26" s="55">
        <v>1</v>
      </c>
      <c r="F26" s="55">
        <f t="shared" si="0"/>
        <v>40</v>
      </c>
      <c r="G26" s="55">
        <f>G25</f>
        <v>145.26549923433902</v>
      </c>
      <c r="H26" s="55">
        <f t="shared" si="5"/>
        <v>5810.6199693735607</v>
      </c>
      <c r="I26" s="55">
        <f t="shared" si="6"/>
        <v>290.53099846867804</v>
      </c>
      <c r="J26" s="55">
        <f t="shared" si="7"/>
        <v>581.06199693735607</v>
      </c>
      <c r="K26" s="110">
        <f t="shared" si="8"/>
        <v>350529.42655544018</v>
      </c>
      <c r="L26" s="123"/>
      <c r="M26" s="123"/>
      <c r="N26" s="123"/>
      <c r="O26" s="123"/>
      <c r="P26" s="123"/>
      <c r="Q26" s="123"/>
      <c r="R26" s="123"/>
      <c r="S26" s="123"/>
    </row>
    <row r="27" spans="1:19" ht="14.1" customHeight="1" x14ac:dyDescent="0.2">
      <c r="A27" s="106"/>
      <c r="B27" s="109"/>
      <c r="C27" s="63" t="s">
        <v>46</v>
      </c>
      <c r="D27" s="55"/>
      <c r="E27" s="55"/>
      <c r="F27" s="55"/>
      <c r="G27" s="55">
        <f>G25</f>
        <v>145.26549923433902</v>
      </c>
      <c r="H27" s="55"/>
      <c r="I27" s="55"/>
      <c r="J27" s="55"/>
      <c r="K27" s="110">
        <f>D100*G27</f>
        <v>130303.1528132021</v>
      </c>
      <c r="L27" s="123"/>
      <c r="M27" s="123"/>
      <c r="N27" s="123"/>
      <c r="O27" s="123"/>
      <c r="P27" s="123"/>
      <c r="Q27" s="123"/>
      <c r="R27" s="123"/>
      <c r="S27" s="123"/>
    </row>
    <row r="28" spans="1:19" ht="14.85" customHeight="1" x14ac:dyDescent="0.2">
      <c r="A28" s="106"/>
      <c r="B28" s="109"/>
      <c r="C28" s="57" t="s">
        <v>47</v>
      </c>
      <c r="D28" s="55"/>
      <c r="E28" s="55"/>
      <c r="F28" s="55"/>
      <c r="G28" s="55"/>
      <c r="H28" s="55"/>
      <c r="I28" s="55"/>
      <c r="J28" s="55"/>
      <c r="K28" s="110"/>
      <c r="L28" s="123"/>
      <c r="M28" s="123"/>
      <c r="N28" s="123"/>
      <c r="O28" s="123"/>
      <c r="P28" s="123"/>
      <c r="Q28" s="123"/>
      <c r="R28" s="123"/>
      <c r="S28" s="123"/>
    </row>
    <row r="29" spans="1:19" ht="14.85" customHeight="1" x14ac:dyDescent="0.2">
      <c r="A29" s="106"/>
      <c r="B29" s="109"/>
      <c r="C29" s="63" t="s">
        <v>42</v>
      </c>
      <c r="D29" s="55">
        <v>4</v>
      </c>
      <c r="E29" s="55">
        <v>1</v>
      </c>
      <c r="F29" s="55">
        <f t="shared" ref="F29:F30" si="9">D29*E29</f>
        <v>4</v>
      </c>
      <c r="G29" s="55">
        <f>'New Sources'!E7</f>
        <v>4250.838768653748</v>
      </c>
      <c r="H29" s="55">
        <f t="shared" ref="H29:H30" si="10">F29*G29</f>
        <v>17003.355074614992</v>
      </c>
      <c r="I29" s="55">
        <f t="shared" ref="I29:I30" si="11">H29*0.05</f>
        <v>850.16775373074961</v>
      </c>
      <c r="J29" s="55">
        <f t="shared" ref="J29:J30" si="12">H29*0.1</f>
        <v>1700.3355074614992</v>
      </c>
      <c r="K29" s="110">
        <f t="shared" ref="K29:K30" si="13">(H29*N$3)+(I29*N$4)+(J29*N$5)</f>
        <v>1025738.4470569479</v>
      </c>
      <c r="L29" s="123"/>
      <c r="M29" s="123"/>
      <c r="N29" s="123"/>
      <c r="O29" s="123"/>
      <c r="P29" s="123"/>
      <c r="Q29" s="123"/>
      <c r="R29" s="123"/>
      <c r="S29" s="123"/>
    </row>
    <row r="30" spans="1:19" ht="14.85" customHeight="1" x14ac:dyDescent="0.2">
      <c r="A30" s="106"/>
      <c r="B30" s="109"/>
      <c r="C30" s="63" t="s">
        <v>45</v>
      </c>
      <c r="D30" s="55">
        <v>40</v>
      </c>
      <c r="E30" s="55">
        <v>1</v>
      </c>
      <c r="F30" s="55">
        <f t="shared" si="9"/>
        <v>40</v>
      </c>
      <c r="G30" s="55">
        <f>G29</f>
        <v>4250.838768653748</v>
      </c>
      <c r="H30" s="55">
        <f t="shared" si="10"/>
        <v>170033.55074614991</v>
      </c>
      <c r="I30" s="55">
        <f t="shared" si="11"/>
        <v>8501.6775373074961</v>
      </c>
      <c r="J30" s="55">
        <f t="shared" si="12"/>
        <v>17003.355074614992</v>
      </c>
      <c r="K30" s="110">
        <f t="shared" si="13"/>
        <v>10257384.470569478</v>
      </c>
      <c r="L30" s="123"/>
      <c r="M30" s="123"/>
      <c r="N30" s="123"/>
      <c r="O30" s="123"/>
      <c r="P30" s="123"/>
      <c r="Q30" s="123"/>
      <c r="R30" s="123"/>
      <c r="S30" s="123"/>
    </row>
    <row r="31" spans="1:19" ht="14.85" customHeight="1" x14ac:dyDescent="0.2">
      <c r="A31" s="106"/>
      <c r="B31" s="109"/>
      <c r="C31" s="63" t="s">
        <v>46</v>
      </c>
      <c r="D31" s="55"/>
      <c r="E31" s="55"/>
      <c r="F31" s="55"/>
      <c r="G31" s="55">
        <f>G30</f>
        <v>4250.838768653748</v>
      </c>
      <c r="H31" s="55"/>
      <c r="I31" s="55"/>
      <c r="J31" s="55"/>
      <c r="K31" s="110">
        <f>D104*G27</f>
        <v>93696.247006148667</v>
      </c>
      <c r="L31" s="123"/>
      <c r="M31" s="123"/>
      <c r="N31" s="123"/>
      <c r="O31" s="123"/>
      <c r="P31" s="123"/>
      <c r="Q31" s="123"/>
      <c r="R31" s="123"/>
      <c r="S31" s="123"/>
    </row>
    <row r="32" spans="1:19" ht="15" customHeight="1" x14ac:dyDescent="0.2">
      <c r="A32" s="106"/>
      <c r="B32" s="109"/>
      <c r="C32" s="56" t="s">
        <v>48</v>
      </c>
      <c r="D32" s="55"/>
      <c r="E32" s="55"/>
      <c r="F32" s="55"/>
      <c r="G32" s="55"/>
      <c r="H32" s="55"/>
      <c r="I32" s="55"/>
      <c r="J32" s="55"/>
      <c r="K32" s="110"/>
      <c r="M32" t="s">
        <v>40</v>
      </c>
    </row>
    <row r="33" spans="1:24" ht="15" customHeight="1" x14ac:dyDescent="0.2">
      <c r="A33" s="106"/>
      <c r="B33" s="109"/>
      <c r="C33" s="57" t="s">
        <v>49</v>
      </c>
      <c r="D33" s="55"/>
      <c r="E33" s="55"/>
      <c r="F33" s="55"/>
      <c r="G33" s="55"/>
      <c r="H33" s="55"/>
      <c r="I33" s="55"/>
      <c r="J33" s="55"/>
      <c r="K33" s="110"/>
    </row>
    <row r="34" spans="1:24" ht="15" customHeight="1" x14ac:dyDescent="0.2">
      <c r="A34" s="106"/>
      <c r="B34" s="109"/>
      <c r="C34" s="63" t="s">
        <v>42</v>
      </c>
      <c r="D34" s="55">
        <v>4</v>
      </c>
      <c r="E34" s="55">
        <v>1</v>
      </c>
      <c r="F34" s="55">
        <f t="shared" ref="F34:F35" si="14">D34*E34</f>
        <v>4</v>
      </c>
      <c r="G34" s="92">
        <f>'New Sources'!E24/7</f>
        <v>62.780098369345296</v>
      </c>
      <c r="H34" s="55">
        <f t="shared" ref="H34:H35" si="15">F34*G34</f>
        <v>251.12039347738119</v>
      </c>
      <c r="I34" s="55">
        <f t="shared" ref="I34:I35" si="16">H34*0.05</f>
        <v>12.556019673869059</v>
      </c>
      <c r="J34" s="55">
        <f t="shared" ref="J34:J35" si="17">H34*0.1</f>
        <v>25.112039347738119</v>
      </c>
      <c r="K34" s="110">
        <f t="shared" ref="K34:K35" si="18">(H34*N$3)+(I34*N$4)+(J34*N$5)</f>
        <v>15149.000964778781</v>
      </c>
    </row>
    <row r="35" spans="1:24" ht="15" customHeight="1" x14ac:dyDescent="0.2">
      <c r="A35" s="106"/>
      <c r="B35" s="109"/>
      <c r="C35" s="63" t="s">
        <v>50</v>
      </c>
      <c r="D35" s="55">
        <v>25</v>
      </c>
      <c r="E35" s="55">
        <v>1</v>
      </c>
      <c r="F35" s="55">
        <f t="shared" si="14"/>
        <v>25</v>
      </c>
      <c r="G35" s="55">
        <f>G34</f>
        <v>62.780098369345296</v>
      </c>
      <c r="H35" s="55">
        <f t="shared" si="15"/>
        <v>1569.5024592336324</v>
      </c>
      <c r="I35" s="55">
        <f t="shared" si="16"/>
        <v>78.47512296168162</v>
      </c>
      <c r="J35" s="55">
        <f t="shared" si="17"/>
        <v>156.95024592336324</v>
      </c>
      <c r="K35" s="110">
        <f t="shared" si="18"/>
        <v>94681.256029867392</v>
      </c>
      <c r="L35" s="123"/>
    </row>
    <row r="36" spans="1:24" ht="15" customHeight="1" x14ac:dyDescent="0.2">
      <c r="A36" s="106"/>
      <c r="B36" s="109"/>
      <c r="C36" s="63" t="s">
        <v>46</v>
      </c>
      <c r="D36" s="124"/>
      <c r="E36" s="55"/>
      <c r="F36" s="124"/>
      <c r="G36" s="55">
        <f>G34</f>
        <v>62.780098369345296</v>
      </c>
      <c r="H36" s="55"/>
      <c r="I36" s="55"/>
      <c r="J36" s="55"/>
      <c r="K36" s="110">
        <f>G36*D101</f>
        <v>1238525.7806304439</v>
      </c>
      <c r="L36" s="123"/>
    </row>
    <row r="37" spans="1:24" ht="15" customHeight="1" x14ac:dyDescent="0.2">
      <c r="A37" s="106"/>
      <c r="B37" s="109"/>
      <c r="C37" s="57" t="s">
        <v>51</v>
      </c>
      <c r="D37" s="55"/>
      <c r="E37" s="55"/>
      <c r="F37" s="55"/>
      <c r="G37" s="55"/>
      <c r="H37" s="55"/>
      <c r="I37" s="55"/>
      <c r="J37" s="55"/>
      <c r="K37" s="110"/>
      <c r="L37" s="123"/>
    </row>
    <row r="38" spans="1:24" ht="15" customHeight="1" x14ac:dyDescent="0.2">
      <c r="A38" s="106"/>
      <c r="B38" s="109"/>
      <c r="C38" s="63" t="s">
        <v>42</v>
      </c>
      <c r="D38" s="55">
        <v>4</v>
      </c>
      <c r="E38" s="55">
        <v>1</v>
      </c>
      <c r="F38" s="55">
        <f t="shared" ref="F38:F39" si="19">D38*E38</f>
        <v>4</v>
      </c>
      <c r="G38" s="55">
        <f>'New Sources'!E25+'New Sources'!E26</f>
        <v>104.48507864362958</v>
      </c>
      <c r="H38" s="55">
        <f t="shared" ref="H38:H39" si="20">F38*G38</f>
        <v>417.94031457451831</v>
      </c>
      <c r="I38" s="55">
        <f t="shared" ref="I38:I39" si="21">H38*0.05</f>
        <v>20.897015728725918</v>
      </c>
      <c r="J38" s="55">
        <f t="shared" ref="J38:J39" si="22">H38*0.1</f>
        <v>41.794031457451837</v>
      </c>
      <c r="K38" s="110">
        <f t="shared" ref="K38:K39" si="23">(H38*N$3)+(I38*N$4)+(J38*N$5)</f>
        <v>25212.521137912292</v>
      </c>
      <c r="L38" s="123"/>
    </row>
    <row r="39" spans="1:24" ht="15" customHeight="1" x14ac:dyDescent="0.2">
      <c r="A39" s="106"/>
      <c r="B39" s="109"/>
      <c r="C39" s="63" t="s">
        <v>52</v>
      </c>
      <c r="D39" s="55">
        <v>60</v>
      </c>
      <c r="E39" s="55">
        <v>1</v>
      </c>
      <c r="F39" s="55">
        <f t="shared" si="19"/>
        <v>60</v>
      </c>
      <c r="G39" s="55">
        <f>G38</f>
        <v>104.48507864362958</v>
      </c>
      <c r="H39" s="55">
        <f t="shared" si="20"/>
        <v>6269.1047186177748</v>
      </c>
      <c r="I39" s="55">
        <f t="shared" si="21"/>
        <v>313.45523593088876</v>
      </c>
      <c r="J39" s="55">
        <f t="shared" si="22"/>
        <v>626.91047186177752</v>
      </c>
      <c r="K39" s="110">
        <f t="shared" si="23"/>
        <v>378187.81706868438</v>
      </c>
      <c r="L39" s="123"/>
    </row>
    <row r="40" spans="1:24" ht="14.1" customHeight="1" x14ac:dyDescent="0.2">
      <c r="A40" s="106"/>
      <c r="B40" s="109"/>
      <c r="C40" s="63" t="s">
        <v>46</v>
      </c>
      <c r="D40" s="55"/>
      <c r="E40" s="55"/>
      <c r="F40" s="55"/>
      <c r="G40" s="55">
        <f>G39</f>
        <v>104.48507864362958</v>
      </c>
      <c r="H40" s="55"/>
      <c r="I40" s="55"/>
      <c r="J40" s="55"/>
      <c r="K40" s="110">
        <f>G40*D101</f>
        <v>2061281.6314815243</v>
      </c>
      <c r="L40" s="123"/>
    </row>
    <row r="41" spans="1:24" ht="15" customHeight="1" x14ac:dyDescent="0.2">
      <c r="A41" s="106"/>
      <c r="B41" s="109" t="s">
        <v>53</v>
      </c>
      <c r="C41" s="108"/>
      <c r="D41" s="55"/>
      <c r="E41" s="55"/>
      <c r="F41" s="55"/>
      <c r="G41" s="55"/>
      <c r="H41" s="55"/>
      <c r="I41" s="55"/>
      <c r="J41" s="55"/>
      <c r="K41" s="101"/>
      <c r="L41" s="125"/>
      <c r="P41"/>
      <c r="Q41"/>
      <c r="R41"/>
      <c r="S41"/>
      <c r="T41"/>
      <c r="U41"/>
      <c r="V41"/>
      <c r="W41"/>
      <c r="X41"/>
    </row>
    <row r="42" spans="1:24" ht="15" customHeight="1" x14ac:dyDescent="0.2">
      <c r="A42" s="106"/>
      <c r="B42" s="109" t="s">
        <v>54</v>
      </c>
      <c r="C42" s="108"/>
      <c r="D42" s="55"/>
      <c r="E42" s="55"/>
      <c r="F42" s="55"/>
      <c r="G42" s="55"/>
      <c r="H42" s="55"/>
      <c r="I42" s="55"/>
      <c r="J42" s="55"/>
      <c r="K42" s="101"/>
      <c r="P42"/>
      <c r="Q42"/>
      <c r="R42"/>
      <c r="S42"/>
      <c r="T42"/>
      <c r="U42"/>
      <c r="V42"/>
      <c r="W42"/>
      <c r="X42"/>
    </row>
    <row r="43" spans="1:24" ht="15" customHeight="1" x14ac:dyDescent="0.2">
      <c r="A43" s="106"/>
      <c r="B43" s="109"/>
      <c r="C43" s="126" t="s">
        <v>55</v>
      </c>
      <c r="D43" s="55">
        <v>1</v>
      </c>
      <c r="E43" s="55">
        <v>1</v>
      </c>
      <c r="F43" s="55">
        <f t="shared" ref="F43:F56" si="24">D43*E43</f>
        <v>1</v>
      </c>
      <c r="G43" s="92">
        <f>G16</f>
        <v>9866</v>
      </c>
      <c r="H43" s="55">
        <f t="shared" ref="H43:H56" si="25">F43*G43</f>
        <v>9866</v>
      </c>
      <c r="I43" s="55">
        <f t="shared" ref="I43:I58" si="26">H43*0.05</f>
        <v>493.3</v>
      </c>
      <c r="J43" s="55">
        <f t="shared" ref="J43:J56" si="27">H43*0.1</f>
        <v>986.6</v>
      </c>
      <c r="K43" s="110">
        <f t="shared" ref="K43:K56" si="28">(H43*N$3)+(I43*N$4)+(J43*N$5)</f>
        <v>595172.86290000007</v>
      </c>
      <c r="L43" s="111"/>
      <c r="M43" s="97" t="s">
        <v>115</v>
      </c>
      <c r="P43"/>
      <c r="Q43"/>
      <c r="R43"/>
      <c r="S43"/>
      <c r="T43"/>
      <c r="U43"/>
      <c r="V43"/>
      <c r="W43"/>
      <c r="X43"/>
    </row>
    <row r="44" spans="1:24" ht="15" customHeight="1" x14ac:dyDescent="0.2">
      <c r="A44" s="106"/>
      <c r="B44" s="109"/>
      <c r="C44" s="126" t="s">
        <v>110</v>
      </c>
      <c r="D44" s="127">
        <v>0.25</v>
      </c>
      <c r="E44" s="55">
        <v>1</v>
      </c>
      <c r="F44" s="55">
        <f t="shared" si="24"/>
        <v>0.25</v>
      </c>
      <c r="G44" s="92">
        <f>SUM('New Sources'!D18:E18)</f>
        <v>12532.4421415215</v>
      </c>
      <c r="H44" s="55">
        <f t="shared" si="25"/>
        <v>3133.110535380375</v>
      </c>
      <c r="I44" s="55">
        <f t="shared" si="26"/>
        <v>156.65552676901876</v>
      </c>
      <c r="J44" s="55">
        <f t="shared" si="27"/>
        <v>313.31105353803753</v>
      </c>
      <c r="K44" s="110">
        <f t="shared" si="28"/>
        <v>189006.92956866915</v>
      </c>
      <c r="L44" s="111"/>
      <c r="M44" s="97" t="s">
        <v>58</v>
      </c>
      <c r="P44"/>
      <c r="Q44"/>
      <c r="R44"/>
      <c r="S44"/>
      <c r="T44"/>
      <c r="U44"/>
      <c r="V44"/>
      <c r="W44"/>
      <c r="X44"/>
    </row>
    <row r="45" spans="1:24" ht="15" customHeight="1" x14ac:dyDescent="0.2">
      <c r="A45" s="106"/>
      <c r="B45" s="109"/>
      <c r="C45" s="126" t="s">
        <v>59</v>
      </c>
      <c r="D45" s="55">
        <v>1</v>
      </c>
      <c r="E45" s="55">
        <v>1</v>
      </c>
      <c r="F45" s="55">
        <f t="shared" si="24"/>
        <v>1</v>
      </c>
      <c r="G45" s="92">
        <f>'New Sources'!D10+'New Sources'!E10+'New Sources'!D14+'New Sources'!E14</f>
        <v>16893.593441152272</v>
      </c>
      <c r="H45" s="55">
        <f t="shared" si="25"/>
        <v>16893.593441152272</v>
      </c>
      <c r="I45" s="55">
        <f t="shared" si="26"/>
        <v>844.67967205761363</v>
      </c>
      <c r="J45" s="55">
        <f t="shared" si="27"/>
        <v>1689.3593441152273</v>
      </c>
      <c r="K45" s="110">
        <f t="shared" si="28"/>
        <v>1019117.0051732475</v>
      </c>
      <c r="L45" s="111"/>
      <c r="M45" s="97" t="s">
        <v>60</v>
      </c>
      <c r="P45" s="54"/>
      <c r="Q45"/>
      <c r="R45"/>
      <c r="S45"/>
      <c r="T45"/>
      <c r="U45"/>
      <c r="V45"/>
      <c r="W45"/>
      <c r="X45"/>
    </row>
    <row r="46" spans="1:24" ht="15" customHeight="1" x14ac:dyDescent="0.2">
      <c r="A46" s="106"/>
      <c r="B46" s="109"/>
      <c r="C46" s="126" t="s">
        <v>61</v>
      </c>
      <c r="D46" s="55">
        <v>3</v>
      </c>
      <c r="E46" s="55">
        <v>1</v>
      </c>
      <c r="F46" s="55">
        <f>D46*E46</f>
        <v>3</v>
      </c>
      <c r="G46" s="92">
        <f>SUM('New Sources'!D22:E22)</f>
        <v>484.95701300206156</v>
      </c>
      <c r="H46" s="55">
        <f>F46*G46</f>
        <v>1454.8710390061847</v>
      </c>
      <c r="I46" s="55">
        <f>H46*0.05</f>
        <v>72.743551950309239</v>
      </c>
      <c r="J46" s="55">
        <f>H46*0.1</f>
        <v>145.48710390061848</v>
      </c>
      <c r="K46" s="110">
        <f>(H46*N$3)+(I46*N$4)+(J46*N$5)</f>
        <v>87766.041094223459</v>
      </c>
      <c r="M46" s="97" t="s">
        <v>62</v>
      </c>
      <c r="P46"/>
      <c r="Q46"/>
      <c r="R46"/>
      <c r="S46"/>
      <c r="T46"/>
      <c r="U46"/>
      <c r="V46"/>
      <c r="W46"/>
      <c r="X46"/>
    </row>
    <row r="47" spans="1:24" ht="15" customHeight="1" x14ac:dyDescent="0.2">
      <c r="A47" s="106"/>
      <c r="B47" s="109"/>
      <c r="C47" s="126" t="s">
        <v>63</v>
      </c>
      <c r="D47" s="124">
        <v>1.5</v>
      </c>
      <c r="E47" s="55">
        <v>1</v>
      </c>
      <c r="F47" s="55">
        <f t="shared" si="24"/>
        <v>1.5</v>
      </c>
      <c r="G47" s="92">
        <f>SUM('New Sources'!D21:E21)</f>
        <v>4040.3579825490096</v>
      </c>
      <c r="H47" s="55">
        <f t="shared" si="25"/>
        <v>6060.5369738235149</v>
      </c>
      <c r="I47" s="55">
        <f t="shared" si="26"/>
        <v>303.02684869117576</v>
      </c>
      <c r="J47" s="55">
        <f t="shared" si="27"/>
        <v>606.05369738235152</v>
      </c>
      <c r="K47" s="110">
        <f t="shared" si="28"/>
        <v>365605.83229493658</v>
      </c>
      <c r="M47" s="97" t="s">
        <v>64</v>
      </c>
      <c r="P47" s="54"/>
      <c r="Q47"/>
      <c r="R47"/>
      <c r="S47"/>
      <c r="T47"/>
      <c r="U47"/>
      <c r="V47"/>
      <c r="W47"/>
      <c r="X47"/>
    </row>
    <row r="48" spans="1:24" ht="15" customHeight="1" x14ac:dyDescent="0.2">
      <c r="A48" s="106"/>
      <c r="B48" s="109"/>
      <c r="C48" s="126" t="s">
        <v>263</v>
      </c>
      <c r="D48" s="55">
        <v>3</v>
      </c>
      <c r="E48" s="55">
        <v>1</v>
      </c>
      <c r="F48" s="55">
        <f t="shared" si="24"/>
        <v>3</v>
      </c>
      <c r="G48" s="92">
        <f>SUM('New Sources'!D19:E19)</f>
        <v>28957.064107261951</v>
      </c>
      <c r="H48" s="55">
        <f t="shared" si="25"/>
        <v>86871.192321785857</v>
      </c>
      <c r="I48" s="55">
        <f t="shared" si="26"/>
        <v>4343.5596160892928</v>
      </c>
      <c r="J48" s="55">
        <f t="shared" si="27"/>
        <v>8687.1192321785857</v>
      </c>
      <c r="K48" s="110">
        <f t="shared" si="28"/>
        <v>5240561.1430867417</v>
      </c>
      <c r="M48" s="97" t="s">
        <v>65</v>
      </c>
      <c r="P48"/>
      <c r="Q48"/>
      <c r="R48"/>
      <c r="S48"/>
      <c r="T48"/>
      <c r="U48"/>
      <c r="V48"/>
      <c r="W48"/>
      <c r="X48"/>
    </row>
    <row r="49" spans="1:24" ht="15" customHeight="1" x14ac:dyDescent="0.2">
      <c r="A49" s="106"/>
      <c r="B49" s="109"/>
      <c r="C49" s="126" t="s">
        <v>111</v>
      </c>
      <c r="D49" s="55">
        <v>2</v>
      </c>
      <c r="E49" s="55">
        <v>1</v>
      </c>
      <c r="F49" s="55">
        <f t="shared" si="24"/>
        <v>2</v>
      </c>
      <c r="G49" s="92">
        <f>SUM('New Sources'!D23:E23)</f>
        <v>11992.857490508601</v>
      </c>
      <c r="H49" s="55">
        <f t="shared" si="25"/>
        <v>23985.714981017201</v>
      </c>
      <c r="I49" s="55">
        <f t="shared" si="26"/>
        <v>1199.2857490508602</v>
      </c>
      <c r="J49" s="55">
        <f t="shared" si="27"/>
        <v>2398.5714981017204</v>
      </c>
      <c r="K49" s="110">
        <f t="shared" si="28"/>
        <v>1446953.8469446003</v>
      </c>
      <c r="M49" s="97" t="s">
        <v>66</v>
      </c>
      <c r="P49"/>
      <c r="Q49"/>
      <c r="R49"/>
      <c r="S49"/>
      <c r="T49"/>
      <c r="U49"/>
      <c r="V49"/>
      <c r="W49"/>
      <c r="X49"/>
    </row>
    <row r="50" spans="1:24" ht="15" customHeight="1" x14ac:dyDescent="0.2">
      <c r="A50" s="106"/>
      <c r="B50" s="109"/>
      <c r="C50" s="56" t="s">
        <v>39</v>
      </c>
      <c r="D50" s="55"/>
      <c r="E50" s="55"/>
      <c r="F50" s="55"/>
      <c r="G50" s="92"/>
      <c r="H50" s="55"/>
      <c r="I50" s="55"/>
      <c r="J50" s="55"/>
      <c r="K50" s="110"/>
      <c r="M50" s="97" t="s">
        <v>67</v>
      </c>
      <c r="P50"/>
      <c r="Q50"/>
      <c r="R50"/>
      <c r="S50"/>
      <c r="T50"/>
      <c r="U50"/>
      <c r="V50"/>
      <c r="W50"/>
      <c r="X50"/>
    </row>
    <row r="51" spans="1:24" ht="15" customHeight="1" x14ac:dyDescent="0.2">
      <c r="A51" s="106"/>
      <c r="B51" s="109"/>
      <c r="C51" s="57" t="s">
        <v>41</v>
      </c>
      <c r="D51" s="55">
        <v>1</v>
      </c>
      <c r="E51" s="55">
        <v>1</v>
      </c>
      <c r="F51" s="55">
        <f t="shared" si="24"/>
        <v>1</v>
      </c>
      <c r="G51" s="55">
        <f>SUM('New Sources'!D5:E5)</f>
        <v>15150.033395348633</v>
      </c>
      <c r="H51" s="55">
        <f t="shared" ref="H51:H53" si="29">F51*G51</f>
        <v>15150.033395348633</v>
      </c>
      <c r="I51" s="55">
        <f t="shared" ref="I51:I53" si="30">H51*0.05</f>
        <v>757.50166976743174</v>
      </c>
      <c r="J51" s="55">
        <f t="shared" ref="J51:J53" si="31">H51*0.1</f>
        <v>1515.0033395348635</v>
      </c>
      <c r="K51" s="110">
        <f t="shared" ref="K51:K53" si="32">(H51*N$3)+(I51*N$4)+(J51*N$5)</f>
        <v>913935.61209611339</v>
      </c>
    </row>
    <row r="52" spans="1:24" ht="15" customHeight="1" x14ac:dyDescent="0.2">
      <c r="A52" s="106"/>
      <c r="B52" s="109"/>
      <c r="C52" s="57" t="s">
        <v>44</v>
      </c>
      <c r="D52" s="55">
        <v>3</v>
      </c>
      <c r="E52" s="55">
        <v>1</v>
      </c>
      <c r="F52" s="55">
        <f t="shared" si="24"/>
        <v>3</v>
      </c>
      <c r="G52" s="55">
        <f>SUM('New Sources'!D6:E6)</f>
        <v>402.31883532207399</v>
      </c>
      <c r="H52" s="55">
        <f t="shared" si="29"/>
        <v>1206.956505966222</v>
      </c>
      <c r="I52" s="55">
        <f t="shared" si="30"/>
        <v>60.347825298311108</v>
      </c>
      <c r="J52" s="55">
        <f t="shared" si="31"/>
        <v>120.69565059662222</v>
      </c>
      <c r="K52" s="110">
        <f t="shared" si="32"/>
        <v>72810.435744141228</v>
      </c>
    </row>
    <row r="53" spans="1:24" ht="15" customHeight="1" x14ac:dyDescent="0.2">
      <c r="A53" s="106"/>
      <c r="B53" s="109"/>
      <c r="C53" s="57" t="str">
        <f>C28</f>
        <v>Well sites/CPFs w/major production and processing equipment</v>
      </c>
      <c r="D53" s="55">
        <v>3</v>
      </c>
      <c r="E53" s="55">
        <v>1</v>
      </c>
      <c r="F53" s="55">
        <f t="shared" si="24"/>
        <v>3</v>
      </c>
      <c r="G53" s="55">
        <f>SUM('New Sources'!D7:E7)</f>
        <v>11772.874574904106</v>
      </c>
      <c r="H53" s="55">
        <f t="shared" si="29"/>
        <v>35318.623724712321</v>
      </c>
      <c r="I53" s="55">
        <f t="shared" si="30"/>
        <v>1765.9311862356162</v>
      </c>
      <c r="J53" s="55">
        <f t="shared" si="31"/>
        <v>3531.8623724712324</v>
      </c>
      <c r="K53" s="110">
        <f t="shared" si="32"/>
        <v>2130618.9332986921</v>
      </c>
    </row>
    <row r="54" spans="1:24" ht="16.350000000000001" customHeight="1" x14ac:dyDescent="0.2">
      <c r="A54" s="106"/>
      <c r="B54" s="109"/>
      <c r="C54" s="56" t="s">
        <v>48</v>
      </c>
      <c r="D54" s="55">
        <v>3</v>
      </c>
      <c r="E54" s="55">
        <v>1</v>
      </c>
      <c r="F54" s="55">
        <f>D54*E54</f>
        <v>3</v>
      </c>
      <c r="G54" s="55" cm="1">
        <f t="array" ref="G54">SUM('New Sources'!D24:E24/7)+SUM('New Sources'!D25:E26)</f>
        <v>501.79553103892579</v>
      </c>
      <c r="H54" s="55">
        <f>F54*G54</f>
        <v>1505.3865931167775</v>
      </c>
      <c r="I54" s="55">
        <f>H54*0.05</f>
        <v>75.269329655838874</v>
      </c>
      <c r="J54" s="55">
        <f>H54*0.1</f>
        <v>150.53865931167775</v>
      </c>
      <c r="K54" s="110">
        <f>(H54*N$3)+(I54*N$4)+(J54*N$5)</f>
        <v>90813.424731055144</v>
      </c>
      <c r="M54" s="97" t="s">
        <v>67</v>
      </c>
    </row>
    <row r="55" spans="1:24" ht="15" customHeight="1" x14ac:dyDescent="0.2">
      <c r="A55" s="106"/>
      <c r="B55" s="109"/>
      <c r="C55" s="126" t="s">
        <v>258</v>
      </c>
      <c r="D55" s="55">
        <v>2</v>
      </c>
      <c r="E55" s="55">
        <v>1</v>
      </c>
      <c r="F55" s="55">
        <f>D55*E55</f>
        <v>2</v>
      </c>
      <c r="G55" s="55">
        <f>SUM('New Sources'!D20:E20)</f>
        <v>6041.1254353594204</v>
      </c>
      <c r="H55" s="55">
        <f>F55*G55</f>
        <v>12082.250870718841</v>
      </c>
      <c r="I55" s="55">
        <f>H55*0.05</f>
        <v>604.11254353594211</v>
      </c>
      <c r="J55" s="55">
        <f>H55*0.1</f>
        <v>1208.2250870718842</v>
      </c>
      <c r="K55" s="110">
        <f>(H55*N$3)+(I55*N$4)+(J55*N$5)</f>
        <v>728869.63723918004</v>
      </c>
      <c r="M55" s="97" t="s">
        <v>68</v>
      </c>
    </row>
    <row r="56" spans="1:24" ht="15" customHeight="1" x14ac:dyDescent="0.2">
      <c r="A56" s="106"/>
      <c r="B56" s="109"/>
      <c r="C56" s="126" t="s">
        <v>69</v>
      </c>
      <c r="D56" s="55">
        <v>4</v>
      </c>
      <c r="E56" s="55">
        <v>1</v>
      </c>
      <c r="F56" s="55">
        <f t="shared" si="24"/>
        <v>4</v>
      </c>
      <c r="G56" s="55">
        <f>SUM('New Sources'!D28:E28)</f>
        <v>2</v>
      </c>
      <c r="H56" s="55">
        <f t="shared" si="25"/>
        <v>8</v>
      </c>
      <c r="I56" s="55">
        <f t="shared" si="26"/>
        <v>0.4</v>
      </c>
      <c r="J56" s="55">
        <f t="shared" si="27"/>
        <v>0.8</v>
      </c>
      <c r="K56" s="110">
        <f t="shared" si="28"/>
        <v>482.60520000000002</v>
      </c>
      <c r="M56" s="97" t="s">
        <v>261</v>
      </c>
    </row>
    <row r="57" spans="1:24" ht="15" customHeight="1" x14ac:dyDescent="0.2">
      <c r="A57" s="106"/>
      <c r="B57" s="107" t="s">
        <v>70</v>
      </c>
      <c r="C57" s="108"/>
      <c r="D57" s="55"/>
      <c r="E57" s="55"/>
      <c r="F57" s="55"/>
      <c r="G57" s="55"/>
      <c r="H57" s="55"/>
      <c r="I57" s="55"/>
      <c r="J57" s="55"/>
      <c r="K57" s="110"/>
    </row>
    <row r="58" spans="1:24" ht="15" customHeight="1" x14ac:dyDescent="0.2">
      <c r="A58" s="106"/>
      <c r="B58" s="109"/>
      <c r="C58" s="126" t="s">
        <v>71</v>
      </c>
      <c r="D58" s="55">
        <v>24</v>
      </c>
      <c r="E58" s="55">
        <v>2</v>
      </c>
      <c r="F58" s="55">
        <f>D58*E58</f>
        <v>48</v>
      </c>
      <c r="G58" s="55">
        <f>SUM('New Sources'!D27:E27)</f>
        <v>34</v>
      </c>
      <c r="H58" s="55">
        <f>F58*G58</f>
        <v>1632</v>
      </c>
      <c r="I58" s="55">
        <f t="shared" si="26"/>
        <v>81.600000000000009</v>
      </c>
      <c r="J58" s="55">
        <f>H58*0.1</f>
        <v>163.20000000000002</v>
      </c>
      <c r="K58" s="110">
        <f>(H58*N$3)+(I58*N$4)+(J58*N$5)</f>
        <v>98451.460800000001</v>
      </c>
      <c r="M58" s="97" t="s">
        <v>72</v>
      </c>
    </row>
    <row r="59" spans="1:24" ht="15" customHeight="1" x14ac:dyDescent="0.2">
      <c r="A59" s="106"/>
      <c r="B59" s="107" t="s">
        <v>270</v>
      </c>
      <c r="C59" s="108"/>
      <c r="D59" s="55"/>
      <c r="E59" s="55"/>
      <c r="F59" s="55"/>
      <c r="G59" s="55"/>
      <c r="H59" s="55"/>
      <c r="I59" s="55"/>
      <c r="J59" s="55"/>
      <c r="K59" s="110"/>
    </row>
    <row r="60" spans="1:24" ht="15" customHeight="1" x14ac:dyDescent="0.2">
      <c r="A60" s="106"/>
      <c r="B60" s="109"/>
      <c r="C60" s="126" t="s">
        <v>271</v>
      </c>
      <c r="D60" s="55">
        <f>AVERAGE(2,24)</f>
        <v>13</v>
      </c>
      <c r="E60" s="55">
        <v>1</v>
      </c>
      <c r="F60" s="55">
        <f>D60*E60</f>
        <v>13</v>
      </c>
      <c r="G60" s="55">
        <v>500</v>
      </c>
      <c r="H60" s="55">
        <f>F60*G60</f>
        <v>6500</v>
      </c>
      <c r="I60" s="55">
        <f t="shared" ref="I60" si="33">H60*0.05</f>
        <v>325</v>
      </c>
      <c r="J60" s="55">
        <f>H60*0.1</f>
        <v>650</v>
      </c>
      <c r="K60" s="110">
        <f>(H60*N$3)+(I60*N$4)+(J60*N$5)</f>
        <v>392116.72499999998</v>
      </c>
      <c r="M60" t="s">
        <v>250</v>
      </c>
    </row>
    <row r="61" spans="1:24" ht="15" customHeight="1" x14ac:dyDescent="0.2">
      <c r="A61" s="128"/>
      <c r="B61" s="180" t="s">
        <v>73</v>
      </c>
      <c r="C61" s="181"/>
      <c r="D61" s="181"/>
      <c r="E61" s="181"/>
      <c r="F61" s="181"/>
      <c r="G61" s="181"/>
      <c r="H61" s="55">
        <f>SUM(H12:H58)</f>
        <v>457398.73157409416</v>
      </c>
      <c r="I61" s="55">
        <f>SUM(I12:I58)</f>
        <v>22869.93657870471</v>
      </c>
      <c r="J61" s="55">
        <f>SUM(J12:J58)</f>
        <v>45739.87315740942</v>
      </c>
      <c r="K61" s="182">
        <f>SUM(K12:K58)</f>
        <v>31116682.603314076</v>
      </c>
    </row>
    <row r="62" spans="1:24" ht="15" customHeight="1" x14ac:dyDescent="0.2">
      <c r="A62" s="129"/>
      <c r="B62" s="180"/>
      <c r="C62" s="181"/>
      <c r="D62" s="181"/>
      <c r="E62" s="181"/>
      <c r="F62" s="181"/>
      <c r="G62" s="181"/>
      <c r="H62" s="184">
        <f>SUM(H61:J61)</f>
        <v>526008.54131020827</v>
      </c>
      <c r="I62" s="183"/>
      <c r="J62" s="183"/>
      <c r="K62" s="183"/>
      <c r="M62" s="130">
        <f>SUM(K16:K49,K56:K58)</f>
        <v>26731261.268725235</v>
      </c>
    </row>
    <row r="63" spans="1:24" ht="15" customHeight="1" x14ac:dyDescent="0.2">
      <c r="A63" s="170" t="s">
        <v>74</v>
      </c>
      <c r="B63" s="171"/>
      <c r="C63" s="171"/>
      <c r="D63" s="171"/>
      <c r="E63" s="171"/>
      <c r="F63" s="171"/>
      <c r="G63" s="171"/>
      <c r="H63" s="171"/>
      <c r="I63" s="171"/>
      <c r="J63" s="171"/>
      <c r="K63" s="172"/>
    </row>
    <row r="64" spans="1:24" ht="15" customHeight="1" x14ac:dyDescent="0.2">
      <c r="A64" s="106"/>
      <c r="B64" s="107" t="s">
        <v>75</v>
      </c>
      <c r="C64" s="108"/>
      <c r="D64" s="101"/>
      <c r="E64" s="101"/>
      <c r="F64" s="101"/>
      <c r="G64" s="101"/>
      <c r="H64" s="55"/>
      <c r="I64" s="101"/>
      <c r="J64" s="101"/>
      <c r="K64" s="101"/>
    </row>
    <row r="65" spans="1:13" ht="15" customHeight="1" x14ac:dyDescent="0.2">
      <c r="A65" s="106"/>
      <c r="B65" s="107" t="s">
        <v>76</v>
      </c>
      <c r="C65" s="108"/>
      <c r="D65" s="101"/>
      <c r="E65" s="101"/>
      <c r="F65" s="101"/>
      <c r="G65" s="101"/>
      <c r="H65" s="55"/>
      <c r="I65" s="101"/>
      <c r="J65" s="101"/>
      <c r="K65" s="101"/>
    </row>
    <row r="66" spans="1:13" ht="15" customHeight="1" x14ac:dyDescent="0.2">
      <c r="A66" s="106"/>
      <c r="B66" s="107" t="s">
        <v>77</v>
      </c>
      <c r="C66" s="108"/>
      <c r="D66" s="101"/>
      <c r="E66" s="101"/>
      <c r="F66" s="101"/>
      <c r="G66" s="55"/>
      <c r="H66" s="55"/>
      <c r="I66" s="101"/>
      <c r="J66" s="101"/>
      <c r="K66" s="101"/>
    </row>
    <row r="67" spans="1:13" ht="15" customHeight="1" x14ac:dyDescent="0.2">
      <c r="A67" s="106"/>
      <c r="B67" s="109"/>
      <c r="C67" s="126" t="s">
        <v>78</v>
      </c>
      <c r="D67" s="124">
        <v>0.5</v>
      </c>
      <c r="E67" s="55">
        <v>1</v>
      </c>
      <c r="F67" s="55">
        <f t="shared" ref="F67:F73" si="34">D67*E67</f>
        <v>0.5</v>
      </c>
      <c r="G67" s="55">
        <f>('New Sources'!D17/'New Sources'!D4)*SUM('New Sources'!D4:E4)</f>
        <v>20804.171268898852</v>
      </c>
      <c r="H67" s="55">
        <f t="shared" ref="H67:H73" si="35">F67*G67</f>
        <v>10402.085634449426</v>
      </c>
      <c r="I67" s="55">
        <f t="shared" ref="I67:I73" si="36">H67*0.05</f>
        <v>520.10428172247134</v>
      </c>
      <c r="J67" s="55">
        <f t="shared" ref="J67:J73" si="37">H67*0.1</f>
        <v>1040.2085634449427</v>
      </c>
      <c r="K67" s="110">
        <f t="shared" ref="K67:K73" si="38">(H67*N$3)+(I67*N$4)+(J67*N$5)</f>
        <v>627512.57725382398</v>
      </c>
      <c r="L67" s="111"/>
      <c r="M67" s="97" t="s">
        <v>112</v>
      </c>
    </row>
    <row r="68" spans="1:13" ht="15" customHeight="1" x14ac:dyDescent="0.2">
      <c r="A68" s="106"/>
      <c r="B68" s="109"/>
      <c r="C68" s="126" t="s">
        <v>79</v>
      </c>
      <c r="D68" s="55">
        <v>1</v>
      </c>
      <c r="E68" s="55">
        <v>1</v>
      </c>
      <c r="F68" s="55">
        <f>D68*E68</f>
        <v>1</v>
      </c>
      <c r="G68" s="55">
        <f>('New Sources'!D16/'New Sources'!D4)*SUM('New Sources'!D4:E4)</f>
        <v>6521.0555366759636</v>
      </c>
      <c r="H68" s="55">
        <f>F68*G68</f>
        <v>6521.0555366759636</v>
      </c>
      <c r="I68" s="55">
        <f>H68*0.05</f>
        <v>326.05277683379819</v>
      </c>
      <c r="J68" s="55">
        <f>H68*0.1</f>
        <v>652.10555366759638</v>
      </c>
      <c r="K68" s="110">
        <f>(H68*N$3)+(I68*N$4)+(J68*N$5)</f>
        <v>393386.91393607634</v>
      </c>
      <c r="L68" s="111"/>
      <c r="M68" s="97" t="s">
        <v>80</v>
      </c>
    </row>
    <row r="69" spans="1:13" ht="15" customHeight="1" x14ac:dyDescent="0.2">
      <c r="A69" s="106"/>
      <c r="B69" s="109"/>
      <c r="C69" s="126" t="s">
        <v>110</v>
      </c>
      <c r="D69" s="127">
        <v>0.1</v>
      </c>
      <c r="E69" s="55">
        <v>1</v>
      </c>
      <c r="F69" s="55">
        <f t="shared" ref="F69:F70" si="39">D69*E69</f>
        <v>0.1</v>
      </c>
      <c r="G69" s="55">
        <f t="shared" ref="G69:G74" si="40">G44</f>
        <v>12532.4421415215</v>
      </c>
      <c r="H69" s="55">
        <f t="shared" ref="H69:H70" si="41">F69*G69</f>
        <v>1253.2442141521501</v>
      </c>
      <c r="I69" s="55">
        <f t="shared" ref="I69:I70" si="42">H69*0.05</f>
        <v>62.662210707607507</v>
      </c>
      <c r="J69" s="55">
        <f t="shared" ref="J69:J70" si="43">H69*0.1</f>
        <v>125.32442141521501</v>
      </c>
      <c r="K69" s="110">
        <f t="shared" ref="K69:K70" si="44">(H69*N$3)+(I69*N$4)+(J69*N$5)</f>
        <v>75602.771827467659</v>
      </c>
      <c r="L69" s="111"/>
      <c r="M69" s="97" t="s">
        <v>81</v>
      </c>
    </row>
    <row r="70" spans="1:13" ht="15" customHeight="1" x14ac:dyDescent="0.2">
      <c r="A70" s="106"/>
      <c r="B70" s="109"/>
      <c r="C70" s="126" t="s">
        <v>59</v>
      </c>
      <c r="D70" s="124">
        <v>2</v>
      </c>
      <c r="E70" s="55">
        <v>1</v>
      </c>
      <c r="F70" s="55">
        <f t="shared" si="39"/>
        <v>2</v>
      </c>
      <c r="G70" s="55">
        <f t="shared" si="40"/>
        <v>16893.593441152272</v>
      </c>
      <c r="H70" s="55">
        <f t="shared" si="41"/>
        <v>33787.186882304544</v>
      </c>
      <c r="I70" s="55">
        <f t="shared" si="42"/>
        <v>1689.3593441152273</v>
      </c>
      <c r="J70" s="55">
        <f t="shared" si="43"/>
        <v>3378.7186882304545</v>
      </c>
      <c r="K70" s="110">
        <f t="shared" si="44"/>
        <v>2038234.0103464951</v>
      </c>
      <c r="L70" s="111"/>
      <c r="M70" s="97" t="s">
        <v>82</v>
      </c>
    </row>
    <row r="71" spans="1:13" ht="15" customHeight="1" x14ac:dyDescent="0.2">
      <c r="A71" s="106"/>
      <c r="B71" s="109"/>
      <c r="C71" s="126" t="s">
        <v>61</v>
      </c>
      <c r="D71" s="55">
        <v>4</v>
      </c>
      <c r="E71" s="55">
        <v>1</v>
      </c>
      <c r="F71" s="55">
        <f t="shared" si="34"/>
        <v>4</v>
      </c>
      <c r="G71" s="55">
        <f t="shared" si="40"/>
        <v>484.95701300206156</v>
      </c>
      <c r="H71" s="55">
        <f t="shared" si="35"/>
        <v>1939.8280520082462</v>
      </c>
      <c r="I71" s="55">
        <f t="shared" si="36"/>
        <v>96.991402600412314</v>
      </c>
      <c r="J71" s="55">
        <f t="shared" si="37"/>
        <v>193.98280520082463</v>
      </c>
      <c r="K71" s="110">
        <f t="shared" si="38"/>
        <v>117021.38812563126</v>
      </c>
      <c r="M71" s="97" t="s">
        <v>83</v>
      </c>
    </row>
    <row r="72" spans="1:13" ht="15" customHeight="1" x14ac:dyDescent="0.2">
      <c r="A72" s="106"/>
      <c r="B72" s="109"/>
      <c r="C72" s="126" t="s">
        <v>63</v>
      </c>
      <c r="D72" s="55">
        <v>1</v>
      </c>
      <c r="E72" s="55">
        <v>1</v>
      </c>
      <c r="F72" s="55">
        <f t="shared" si="34"/>
        <v>1</v>
      </c>
      <c r="G72" s="55">
        <f t="shared" si="40"/>
        <v>4040.3579825490096</v>
      </c>
      <c r="H72" s="55">
        <f t="shared" si="35"/>
        <v>4040.3579825490096</v>
      </c>
      <c r="I72" s="55">
        <f t="shared" si="36"/>
        <v>202.01789912745051</v>
      </c>
      <c r="J72" s="55">
        <f t="shared" si="37"/>
        <v>404.03579825490101</v>
      </c>
      <c r="K72" s="110">
        <f t="shared" si="38"/>
        <v>243737.22152995769</v>
      </c>
      <c r="M72" s="97" t="s">
        <v>84</v>
      </c>
    </row>
    <row r="73" spans="1:13" ht="15" customHeight="1" x14ac:dyDescent="0.2">
      <c r="A73" s="106"/>
      <c r="B73" s="109"/>
      <c r="C73" s="126" t="s">
        <v>257</v>
      </c>
      <c r="D73" s="55">
        <v>4</v>
      </c>
      <c r="E73" s="55">
        <v>1</v>
      </c>
      <c r="F73" s="55">
        <f t="shared" si="34"/>
        <v>4</v>
      </c>
      <c r="G73" s="55">
        <f t="shared" si="40"/>
        <v>28957.064107261951</v>
      </c>
      <c r="H73" s="55">
        <f t="shared" si="35"/>
        <v>115828.2564290478</v>
      </c>
      <c r="I73" s="55">
        <f t="shared" si="36"/>
        <v>5791.4128214523907</v>
      </c>
      <c r="J73" s="55">
        <f t="shared" si="37"/>
        <v>11582.825642904781</v>
      </c>
      <c r="K73" s="110">
        <f t="shared" si="38"/>
        <v>6987414.8574489877</v>
      </c>
      <c r="M73" s="97" t="s">
        <v>85</v>
      </c>
    </row>
    <row r="74" spans="1:13" ht="15" customHeight="1" x14ac:dyDescent="0.2">
      <c r="A74" s="106"/>
      <c r="B74" s="109"/>
      <c r="C74" s="126" t="s">
        <v>111</v>
      </c>
      <c r="D74" s="55">
        <v>2</v>
      </c>
      <c r="E74" s="55">
        <v>1</v>
      </c>
      <c r="F74" s="55">
        <f>D74*E74</f>
        <v>2</v>
      </c>
      <c r="G74" s="55">
        <f t="shared" si="40"/>
        <v>11992.857490508601</v>
      </c>
      <c r="H74" s="55">
        <f>F74*G74</f>
        <v>23985.714981017201</v>
      </c>
      <c r="I74" s="55">
        <f>H74*0.05</f>
        <v>1199.2857490508602</v>
      </c>
      <c r="J74" s="55">
        <f>H74*0.1</f>
        <v>2398.5714981017204</v>
      </c>
      <c r="K74" s="110">
        <f>(H74*N$3)+(I74*N$4)+(J74*N$5)</f>
        <v>1446953.8469446003</v>
      </c>
      <c r="M74" s="97" t="s">
        <v>86</v>
      </c>
    </row>
    <row r="75" spans="1:13" x14ac:dyDescent="0.2">
      <c r="A75" s="106"/>
      <c r="B75" s="109"/>
      <c r="C75" s="56" t="s">
        <v>87</v>
      </c>
      <c r="D75" s="55"/>
      <c r="E75" s="55"/>
      <c r="F75" s="55"/>
      <c r="G75" s="55"/>
      <c r="H75" s="55"/>
      <c r="I75" s="55"/>
      <c r="J75" s="55"/>
      <c r="K75" s="110"/>
    </row>
    <row r="76" spans="1:13" ht="12" customHeight="1" x14ac:dyDescent="0.2">
      <c r="A76" s="106"/>
      <c r="B76" s="109"/>
      <c r="C76" s="65" t="s">
        <v>252</v>
      </c>
      <c r="D76" s="55"/>
      <c r="E76" s="55"/>
      <c r="F76" s="55"/>
      <c r="G76" s="92">
        <f>G25</f>
        <v>145.26549923433902</v>
      </c>
      <c r="H76" s="55"/>
      <c r="I76" s="55"/>
      <c r="J76" s="55"/>
      <c r="K76" s="110">
        <f>G76*D102</f>
        <v>126090.45333540627</v>
      </c>
    </row>
    <row r="77" spans="1:13" x14ac:dyDescent="0.2">
      <c r="A77" s="106"/>
      <c r="B77" s="109"/>
      <c r="C77" s="65" t="s">
        <v>47</v>
      </c>
      <c r="D77" s="55"/>
      <c r="E77" s="55"/>
      <c r="F77" s="55"/>
      <c r="G77" s="92">
        <f>G29</f>
        <v>4250.838768653748</v>
      </c>
      <c r="H77" s="55"/>
      <c r="I77" s="55"/>
      <c r="J77" s="55"/>
      <c r="K77" s="110">
        <f>G77*D102</f>
        <v>3689728.0511914534</v>
      </c>
      <c r="L77" s="125"/>
    </row>
    <row r="78" spans="1:13" x14ac:dyDescent="0.2">
      <c r="A78" s="106"/>
      <c r="B78" s="109"/>
      <c r="C78" s="65" t="s">
        <v>89</v>
      </c>
      <c r="D78" s="55"/>
      <c r="E78" s="55"/>
      <c r="F78" s="55"/>
      <c r="G78" s="92">
        <f>G54</f>
        <v>501.79553103892579</v>
      </c>
      <c r="H78" s="55"/>
      <c r="I78" s="55"/>
      <c r="J78" s="55"/>
      <c r="K78" s="110">
        <f>G78*D102</f>
        <v>435558.52094178757</v>
      </c>
      <c r="L78" s="125"/>
    </row>
    <row r="79" spans="1:13" x14ac:dyDescent="0.2">
      <c r="A79" s="106"/>
      <c r="B79" s="109"/>
      <c r="C79" s="58" t="s">
        <v>90</v>
      </c>
      <c r="D79" s="55"/>
      <c r="E79" s="55"/>
      <c r="F79" s="55"/>
      <c r="G79" s="92"/>
      <c r="H79" s="55"/>
      <c r="I79" s="55"/>
      <c r="J79" s="55"/>
      <c r="K79" s="110"/>
    </row>
    <row r="80" spans="1:13" x14ac:dyDescent="0.2">
      <c r="A80" s="106"/>
      <c r="B80" s="109"/>
      <c r="C80" s="65" t="s">
        <v>252</v>
      </c>
      <c r="D80" s="55"/>
      <c r="E80" s="55"/>
      <c r="F80" s="55"/>
      <c r="G80" s="92">
        <f>G76</f>
        <v>145.26549923433902</v>
      </c>
      <c r="H80" s="55"/>
      <c r="I80" s="55"/>
      <c r="J80" s="55"/>
      <c r="K80" s="110">
        <f>G80*D103</f>
        <v>46920.756252691506</v>
      </c>
    </row>
    <row r="81" spans="1:13" x14ac:dyDescent="0.2">
      <c r="A81" s="106"/>
      <c r="B81" s="109"/>
      <c r="C81" s="65" t="s">
        <v>47</v>
      </c>
      <c r="D81" s="55"/>
      <c r="E81" s="55"/>
      <c r="F81" s="55"/>
      <c r="G81" s="92">
        <f>G77</f>
        <v>4250.838768653748</v>
      </c>
      <c r="H81" s="55"/>
      <c r="I81" s="55"/>
      <c r="J81" s="55"/>
      <c r="K81" s="110">
        <f>G81*D103</f>
        <v>1373020.9222751607</v>
      </c>
      <c r="L81" s="125"/>
    </row>
    <row r="82" spans="1:13" x14ac:dyDescent="0.2">
      <c r="A82" s="106"/>
      <c r="B82" s="109"/>
      <c r="C82" s="65" t="s">
        <v>89</v>
      </c>
      <c r="D82" s="55"/>
      <c r="E82" s="55"/>
      <c r="F82" s="55"/>
      <c r="G82" s="55">
        <f>G78</f>
        <v>501.79553103892579</v>
      </c>
      <c r="H82" s="55"/>
      <c r="I82" s="55"/>
      <c r="J82" s="55"/>
      <c r="K82" s="110">
        <f>G82*D104</f>
        <v>323658.11752010713</v>
      </c>
      <c r="L82" s="125"/>
    </row>
    <row r="83" spans="1:13" ht="15" customHeight="1" x14ac:dyDescent="0.2">
      <c r="A83" s="106"/>
      <c r="B83" s="109"/>
      <c r="C83" s="126" t="s">
        <v>258</v>
      </c>
      <c r="D83" s="55">
        <v>2</v>
      </c>
      <c r="E83" s="55">
        <v>1</v>
      </c>
      <c r="F83" s="55">
        <f>D83*E83</f>
        <v>2</v>
      </c>
      <c r="G83" s="55">
        <f>G55</f>
        <v>6041.1254353594204</v>
      </c>
      <c r="H83" s="55">
        <f>F83*G83</f>
        <v>12082.250870718841</v>
      </c>
      <c r="I83" s="55">
        <f>H83*0.05</f>
        <v>604.11254353594211</v>
      </c>
      <c r="J83" s="55">
        <f>H83*0.1</f>
        <v>1208.2250870718842</v>
      </c>
      <c r="K83" s="110">
        <f>(H83*N$3)+(I83*N$4)+(J83*N$5)</f>
        <v>728869.63723918004</v>
      </c>
      <c r="L83" s="111"/>
      <c r="M83" s="97" t="s">
        <v>91</v>
      </c>
    </row>
    <row r="84" spans="1:13" ht="15" customHeight="1" x14ac:dyDescent="0.2">
      <c r="A84" s="106"/>
      <c r="B84" s="109"/>
      <c r="C84" s="126" t="s">
        <v>92</v>
      </c>
      <c r="D84" s="55">
        <v>8</v>
      </c>
      <c r="E84" s="55">
        <v>4</v>
      </c>
      <c r="F84" s="55">
        <f>D84*E84</f>
        <v>32</v>
      </c>
      <c r="G84" s="55">
        <f>G58</f>
        <v>34</v>
      </c>
      <c r="H84" s="55">
        <f>F84*G84</f>
        <v>1088</v>
      </c>
      <c r="I84" s="55">
        <f>H84*0.05</f>
        <v>54.400000000000006</v>
      </c>
      <c r="J84" s="55">
        <f>H84*0.1</f>
        <v>108.80000000000001</v>
      </c>
      <c r="K84" s="110">
        <f>(H84*N$3)+(I84*N$4)+(J84*N$5)</f>
        <v>65634.307199999996</v>
      </c>
      <c r="M84" s="97" t="s">
        <v>93</v>
      </c>
    </row>
    <row r="85" spans="1:13" ht="15" customHeight="1" x14ac:dyDescent="0.2">
      <c r="A85" s="106"/>
      <c r="B85" s="109"/>
      <c r="C85" s="126" t="s">
        <v>94</v>
      </c>
      <c r="D85" s="55">
        <v>4</v>
      </c>
      <c r="E85" s="55">
        <v>1</v>
      </c>
      <c r="F85" s="55">
        <f>D85*E85</f>
        <v>4</v>
      </c>
      <c r="G85" s="55">
        <f>G56</f>
        <v>2</v>
      </c>
      <c r="H85" s="55">
        <f>F85*G85</f>
        <v>8</v>
      </c>
      <c r="I85" s="55">
        <f>H85*0.05</f>
        <v>0.4</v>
      </c>
      <c r="J85" s="55">
        <f>H85*0.1</f>
        <v>0.8</v>
      </c>
      <c r="K85" s="110">
        <f>(H85*N$3)+(I85*N$4)+(J85*N$5)</f>
        <v>482.60520000000002</v>
      </c>
      <c r="M85" s="97" t="s">
        <v>262</v>
      </c>
    </row>
    <row r="86" spans="1:13" ht="15" customHeight="1" x14ac:dyDescent="0.2">
      <c r="A86" s="106"/>
      <c r="B86" s="109"/>
      <c r="C86" s="126" t="s">
        <v>57</v>
      </c>
      <c r="D86" s="55">
        <v>2</v>
      </c>
      <c r="E86" s="55">
        <v>1</v>
      </c>
      <c r="F86" s="55">
        <f>D86*E86</f>
        <v>2</v>
      </c>
      <c r="G86" s="55">
        <f>G44</f>
        <v>12532.4421415215</v>
      </c>
      <c r="H86" s="55">
        <f>F86*G86</f>
        <v>25064.884283043</v>
      </c>
      <c r="I86" s="55">
        <f>H86*0.05</f>
        <v>1253.2442141521501</v>
      </c>
      <c r="J86" s="55">
        <f>H86*0.1</f>
        <v>2506.4884283043002</v>
      </c>
      <c r="K86" s="110">
        <f>(H86*N$3)+(I86*N$4)+(J86*N$5)</f>
        <v>1512055.4365493532</v>
      </c>
      <c r="M86" s="97" t="s">
        <v>95</v>
      </c>
    </row>
    <row r="87" spans="1:13" ht="15" customHeight="1" x14ac:dyDescent="0.2">
      <c r="A87" s="106"/>
      <c r="B87" s="107" t="s">
        <v>96</v>
      </c>
      <c r="C87" s="108"/>
      <c r="D87" s="101"/>
      <c r="E87" s="101"/>
      <c r="F87" s="101"/>
      <c r="G87" s="101"/>
      <c r="H87" s="55"/>
      <c r="I87" s="101"/>
      <c r="J87" s="101"/>
      <c r="K87" s="101"/>
      <c r="M87" s="67"/>
    </row>
    <row r="88" spans="1:13" ht="15" customHeight="1" x14ac:dyDescent="0.2">
      <c r="A88" s="106"/>
      <c r="B88" s="107" t="s">
        <v>97</v>
      </c>
      <c r="C88" s="108"/>
      <c r="D88" s="101"/>
      <c r="E88" s="101"/>
      <c r="F88" s="101"/>
      <c r="G88" s="101"/>
      <c r="H88" s="55"/>
      <c r="I88" s="101"/>
      <c r="J88" s="101"/>
      <c r="K88" s="101"/>
      <c r="M88" s="64"/>
    </row>
    <row r="89" spans="1:13" ht="15" customHeight="1" x14ac:dyDescent="0.2">
      <c r="A89" s="106"/>
      <c r="B89" s="109"/>
      <c r="C89" s="126" t="s">
        <v>98</v>
      </c>
      <c r="D89" s="101"/>
      <c r="E89" s="101"/>
      <c r="F89" s="101"/>
      <c r="G89" s="101"/>
      <c r="H89" s="55"/>
      <c r="I89" s="101"/>
      <c r="J89" s="101"/>
      <c r="K89" s="101"/>
      <c r="M89" s="64"/>
    </row>
    <row r="90" spans="1:13" ht="15" customHeight="1" x14ac:dyDescent="0.2">
      <c r="A90" s="106"/>
      <c r="B90" s="107" t="s">
        <v>99</v>
      </c>
      <c r="C90" s="108"/>
      <c r="D90" s="101"/>
      <c r="E90" s="101"/>
      <c r="F90" s="101"/>
      <c r="G90" s="101"/>
      <c r="H90" s="55"/>
      <c r="I90" s="101"/>
      <c r="J90" s="101"/>
      <c r="K90" s="101"/>
      <c r="M90" s="131"/>
    </row>
    <row r="91" spans="1:13" ht="15" customHeight="1" x14ac:dyDescent="0.2">
      <c r="A91" s="106"/>
      <c r="B91" s="107" t="s">
        <v>100</v>
      </c>
      <c r="C91" s="108"/>
      <c r="D91" s="101"/>
      <c r="E91" s="101"/>
      <c r="F91" s="101"/>
      <c r="G91" s="101"/>
      <c r="H91" s="55"/>
      <c r="I91" s="101"/>
      <c r="J91" s="101"/>
      <c r="K91" s="101"/>
      <c r="M91" s="67"/>
    </row>
    <row r="92" spans="1:13" ht="15" customHeight="1" x14ac:dyDescent="0.2">
      <c r="A92" s="106"/>
      <c r="B92" s="107" t="s">
        <v>264</v>
      </c>
      <c r="C92" s="108"/>
      <c r="D92" s="55"/>
      <c r="E92" s="55"/>
      <c r="F92" s="55"/>
      <c r="G92" s="55"/>
      <c r="H92" s="55"/>
      <c r="I92" s="55"/>
      <c r="J92" s="55"/>
      <c r="K92" s="110"/>
    </row>
    <row r="93" spans="1:13" ht="15" customHeight="1" x14ac:dyDescent="0.2">
      <c r="A93" s="106"/>
      <c r="B93" s="109"/>
      <c r="C93" s="126" t="s">
        <v>265</v>
      </c>
      <c r="D93" s="55">
        <f>AVERAGE(2,40)</f>
        <v>21</v>
      </c>
      <c r="E93" s="55">
        <v>1</v>
      </c>
      <c r="F93" s="55">
        <f>D93*E93</f>
        <v>21</v>
      </c>
      <c r="G93" s="55">
        <v>500</v>
      </c>
      <c r="H93" s="55">
        <f>F93*G93</f>
        <v>10500</v>
      </c>
      <c r="I93" s="55">
        <f t="shared" ref="I93" si="45">H93*0.05</f>
        <v>525</v>
      </c>
      <c r="J93" s="55">
        <f>H93*0.1</f>
        <v>1050</v>
      </c>
      <c r="K93" s="110">
        <f>(H93*N$3)+(I93*N$4)+(J93*N$5)</f>
        <v>633419.32499999995</v>
      </c>
      <c r="M93" t="s">
        <v>251</v>
      </c>
    </row>
    <row r="94" spans="1:13" ht="15" customHeight="1" x14ac:dyDescent="0.2">
      <c r="A94" s="128"/>
      <c r="B94" s="180" t="s">
        <v>101</v>
      </c>
      <c r="C94" s="181"/>
      <c r="D94" s="181"/>
      <c r="E94" s="181"/>
      <c r="F94" s="181"/>
      <c r="G94" s="181"/>
      <c r="H94" s="55">
        <f>SUM(H64:H91)</f>
        <v>236000.8648659662</v>
      </c>
      <c r="I94" s="55">
        <f t="shared" ref="I94:J94" si="46">SUM(I64:I91)</f>
        <v>11800.043243298309</v>
      </c>
      <c r="J94" s="55">
        <f t="shared" si="46"/>
        <v>23600.086486596618</v>
      </c>
      <c r="K94" s="182">
        <f>SUM(K64:K91)</f>
        <v>20231882.395118181</v>
      </c>
      <c r="M94" s="67"/>
    </row>
    <row r="95" spans="1:13" ht="15" customHeight="1" x14ac:dyDescent="0.2">
      <c r="A95" s="129"/>
      <c r="B95" s="180"/>
      <c r="C95" s="181"/>
      <c r="D95" s="181"/>
      <c r="E95" s="181"/>
      <c r="F95" s="181"/>
      <c r="G95" s="181"/>
      <c r="H95" s="184">
        <f>SUM(H94:J94)</f>
        <v>271400.99459586112</v>
      </c>
      <c r="I95" s="183"/>
      <c r="J95" s="183"/>
      <c r="K95" s="183"/>
      <c r="M95" s="67"/>
    </row>
    <row r="96" spans="1:13" ht="15" customHeight="1" x14ac:dyDescent="0.2">
      <c r="A96" s="185" t="s">
        <v>102</v>
      </c>
      <c r="B96" s="185"/>
      <c r="C96" s="185"/>
      <c r="D96" s="185"/>
      <c r="E96" s="185"/>
      <c r="F96" s="185"/>
      <c r="G96" s="185"/>
      <c r="H96" s="55">
        <f>SUM(H61,H94)</f>
        <v>693399.5964400603</v>
      </c>
      <c r="I96" s="55">
        <f>SUM(I61,I94)</f>
        <v>34669.979822003021</v>
      </c>
      <c r="J96" s="55">
        <f>SUM(J61,J94)</f>
        <v>69339.959644006041</v>
      </c>
      <c r="K96" s="182">
        <f>SUM(K61,K94)</f>
        <v>51348564.998432256</v>
      </c>
    </row>
    <row r="97" spans="1:13" ht="15" customHeight="1" x14ac:dyDescent="0.2">
      <c r="A97" s="185"/>
      <c r="B97" s="185"/>
      <c r="C97" s="185"/>
      <c r="D97" s="185"/>
      <c r="E97" s="185"/>
      <c r="F97" s="185"/>
      <c r="G97" s="185"/>
      <c r="H97" s="184">
        <f>SUM(H96:J96)</f>
        <v>797409.53590606945</v>
      </c>
      <c r="I97" s="183"/>
      <c r="J97" s="183"/>
      <c r="K97" s="183"/>
      <c r="M97" s="130"/>
    </row>
    <row r="98" spans="1:13" x14ac:dyDescent="0.2">
      <c r="A98" s="177" t="s">
        <v>103</v>
      </c>
      <c r="B98" s="177"/>
      <c r="C98" s="177"/>
      <c r="D98" s="177"/>
      <c r="E98" s="177"/>
      <c r="F98" s="177"/>
      <c r="G98" s="177"/>
      <c r="H98" s="177"/>
      <c r="I98" s="177"/>
      <c r="J98" s="177"/>
      <c r="K98" s="177"/>
    </row>
    <row r="99" spans="1:13" x14ac:dyDescent="0.2">
      <c r="A99" s="64" t="s">
        <v>104</v>
      </c>
      <c r="B99" s="64"/>
      <c r="C99" s="94"/>
      <c r="D99" s="94"/>
      <c r="E99" s="94"/>
      <c r="F99" s="94"/>
      <c r="G99" s="94"/>
      <c r="H99" s="94"/>
      <c r="I99" s="94"/>
      <c r="J99" s="94"/>
      <c r="K99" s="94"/>
    </row>
    <row r="100" spans="1:13" x14ac:dyDescent="0.2">
      <c r="A100" s="132" t="s">
        <v>105</v>
      </c>
      <c r="C100" s="133"/>
      <c r="D100" s="134">
        <v>897</v>
      </c>
    </row>
    <row r="101" spans="1:13" x14ac:dyDescent="0.2">
      <c r="A101" s="132" t="s">
        <v>106</v>
      </c>
      <c r="C101" s="133"/>
      <c r="D101" s="125">
        <v>19728</v>
      </c>
    </row>
    <row r="102" spans="1:13" x14ac:dyDescent="0.2">
      <c r="A102" s="66" t="s">
        <v>107</v>
      </c>
      <c r="D102" s="125">
        <v>868</v>
      </c>
    </row>
    <row r="103" spans="1:13" x14ac:dyDescent="0.2">
      <c r="A103" s="66" t="s">
        <v>108</v>
      </c>
      <c r="D103" s="125">
        <v>323</v>
      </c>
    </row>
    <row r="104" spans="1:13" x14ac:dyDescent="0.2">
      <c r="A104" s="66" t="s">
        <v>109</v>
      </c>
      <c r="D104" s="125">
        <v>645</v>
      </c>
    </row>
    <row r="105" spans="1:13" x14ac:dyDescent="0.2">
      <c r="A105" s="59"/>
      <c r="D105" s="125"/>
    </row>
    <row r="106" spans="1:13" x14ac:dyDescent="0.2">
      <c r="A106" s="66"/>
      <c r="D106" s="60"/>
    </row>
    <row r="107" spans="1:13" ht="15.75" x14ac:dyDescent="0.25">
      <c r="A107" s="62"/>
      <c r="D107" s="60"/>
    </row>
    <row r="108" spans="1:13" ht="15.75" x14ac:dyDescent="0.25">
      <c r="A108" s="62"/>
    </row>
    <row r="109" spans="1:13" ht="15.75" x14ac:dyDescent="0.25">
      <c r="A109" s="61"/>
    </row>
  </sheetData>
  <mergeCells count="20">
    <mergeCell ref="A7:K7"/>
    <mergeCell ref="A1:K1"/>
    <mergeCell ref="A2:K2"/>
    <mergeCell ref="A3:K3"/>
    <mergeCell ref="A4:K4"/>
    <mergeCell ref="A5:C6"/>
    <mergeCell ref="A8:K8"/>
    <mergeCell ref="A9:K9"/>
    <mergeCell ref="A10:K10"/>
    <mergeCell ref="B61:G62"/>
    <mergeCell ref="K61:K62"/>
    <mergeCell ref="H62:J62"/>
    <mergeCell ref="A98:K98"/>
    <mergeCell ref="A63:K63"/>
    <mergeCell ref="B94:G95"/>
    <mergeCell ref="K94:K95"/>
    <mergeCell ref="H95:J95"/>
    <mergeCell ref="A96:G97"/>
    <mergeCell ref="K96:K97"/>
    <mergeCell ref="H97:J97"/>
  </mergeCells>
  <pageMargins left="0.7" right="0.7" top="0.75" bottom="0.75" header="0.3" footer="0.3"/>
  <pageSetup scale="2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9A1DB-88EC-44CB-9A8E-28075177CFDF}">
  <sheetPr>
    <pageSetUpPr fitToPage="1"/>
  </sheetPr>
  <dimension ref="A1:U109"/>
  <sheetViews>
    <sheetView topLeftCell="A83" zoomScale="75" zoomScaleNormal="75" workbookViewId="0">
      <selection activeCell="C93" sqref="C93"/>
    </sheetView>
  </sheetViews>
  <sheetFormatPr defaultColWidth="8.6640625" defaultRowHeight="12.75" x14ac:dyDescent="0.2"/>
  <cols>
    <col min="1" max="2" width="3.83203125" style="97" customWidth="1"/>
    <col min="3" max="3" width="62.33203125" style="97" customWidth="1"/>
    <col min="4" max="4" width="15.5" style="97" customWidth="1"/>
    <col min="5" max="5" width="18.33203125" style="97" customWidth="1"/>
    <col min="6" max="6" width="16.33203125" style="97" customWidth="1"/>
    <col min="7" max="7" width="16" style="97" customWidth="1"/>
    <col min="8" max="8" width="15.5" style="97" customWidth="1"/>
    <col min="9" max="9" width="15.33203125" style="97" customWidth="1"/>
    <col min="10" max="10" width="12.83203125" style="97" customWidth="1"/>
    <col min="11" max="11" width="15.1640625" style="97" customWidth="1"/>
    <col min="12" max="12" width="5.83203125" style="96" customWidth="1"/>
    <col min="13" max="16" width="16.83203125" style="97" customWidth="1"/>
    <col min="17" max="16384" width="8.6640625" style="97"/>
  </cols>
  <sheetData>
    <row r="1" spans="1:21" ht="15.75" x14ac:dyDescent="0.2">
      <c r="A1" s="173" t="s">
        <v>260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U1" s="98"/>
    </row>
    <row r="2" spans="1:21" ht="15.75" x14ac:dyDescent="0.2">
      <c r="A2" s="173" t="s">
        <v>116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M2" s="97" t="s">
        <v>1</v>
      </c>
      <c r="N2" s="99">
        <v>44317</v>
      </c>
    </row>
    <row r="3" spans="1:21" ht="15.75" x14ac:dyDescent="0.2">
      <c r="A3" s="173" t="s">
        <v>2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M3" s="97" t="s">
        <v>3</v>
      </c>
      <c r="N3" s="100">
        <f>23.6*2.1</f>
        <v>49.56</v>
      </c>
      <c r="O3" s="97" t="s">
        <v>4</v>
      </c>
    </row>
    <row r="4" spans="1:21" ht="15.75" x14ac:dyDescent="0.2">
      <c r="A4" s="174" t="s">
        <v>255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M4" s="97" t="s">
        <v>5</v>
      </c>
      <c r="N4" s="100">
        <f>57.39*2.1</f>
        <v>120.51900000000001</v>
      </c>
      <c r="O4" s="97" t="s">
        <v>6</v>
      </c>
    </row>
    <row r="5" spans="1:21" x14ac:dyDescent="0.2">
      <c r="A5" s="175" t="s">
        <v>7</v>
      </c>
      <c r="B5" s="176"/>
      <c r="C5" s="176"/>
      <c r="D5" s="101" t="s">
        <v>8</v>
      </c>
      <c r="E5" s="101" t="s">
        <v>9</v>
      </c>
      <c r="F5" s="102" t="s">
        <v>10</v>
      </c>
      <c r="G5" s="101" t="s">
        <v>11</v>
      </c>
      <c r="H5" s="101" t="s">
        <v>12</v>
      </c>
      <c r="I5" s="101" t="s">
        <v>13</v>
      </c>
      <c r="J5" s="101" t="s">
        <v>14</v>
      </c>
      <c r="K5" s="101" t="s">
        <v>15</v>
      </c>
      <c r="M5" s="103" t="s">
        <v>16</v>
      </c>
      <c r="N5" s="100">
        <f>22.57*2.1</f>
        <v>47.397000000000006</v>
      </c>
      <c r="O5" s="97" t="s">
        <v>17</v>
      </c>
      <c r="P5" s="96"/>
    </row>
    <row r="6" spans="1:21" ht="51" x14ac:dyDescent="0.2">
      <c r="A6" s="176"/>
      <c r="B6" s="176"/>
      <c r="C6" s="176"/>
      <c r="D6" s="104" t="s">
        <v>18</v>
      </c>
      <c r="E6" s="104" t="s">
        <v>19</v>
      </c>
      <c r="F6" s="104" t="s">
        <v>20</v>
      </c>
      <c r="G6" s="104" t="s">
        <v>21</v>
      </c>
      <c r="H6" s="104" t="s">
        <v>22</v>
      </c>
      <c r="I6" s="104" t="s">
        <v>23</v>
      </c>
      <c r="J6" s="104" t="s">
        <v>24</v>
      </c>
      <c r="K6" s="104" t="s">
        <v>25</v>
      </c>
      <c r="L6" s="105"/>
      <c r="M6" s="105" t="s">
        <v>26</v>
      </c>
      <c r="N6" s="105"/>
      <c r="O6" s="105"/>
      <c r="P6" s="105"/>
    </row>
    <row r="7" spans="1:21" ht="15" customHeight="1" x14ac:dyDescent="0.2">
      <c r="A7" s="170" t="s">
        <v>27</v>
      </c>
      <c r="B7" s="171"/>
      <c r="C7" s="171"/>
      <c r="D7" s="171"/>
      <c r="E7" s="171"/>
      <c r="F7" s="171"/>
      <c r="G7" s="171"/>
      <c r="H7" s="171"/>
      <c r="I7" s="171"/>
      <c r="J7" s="171"/>
      <c r="K7" s="172"/>
    </row>
    <row r="8" spans="1:21" ht="15" customHeight="1" x14ac:dyDescent="0.2">
      <c r="A8" s="170" t="s">
        <v>28</v>
      </c>
      <c r="B8" s="171"/>
      <c r="C8" s="171"/>
      <c r="D8" s="171"/>
      <c r="E8" s="171"/>
      <c r="F8" s="171"/>
      <c r="G8" s="171"/>
      <c r="H8" s="171"/>
      <c r="I8" s="171"/>
      <c r="J8" s="171"/>
      <c r="K8" s="172"/>
    </row>
    <row r="9" spans="1:21" ht="15" customHeight="1" x14ac:dyDescent="0.2">
      <c r="A9" s="178" t="s">
        <v>29</v>
      </c>
      <c r="B9" s="179"/>
      <c r="C9" s="179"/>
      <c r="D9" s="171"/>
      <c r="E9" s="171"/>
      <c r="F9" s="171"/>
      <c r="G9" s="171"/>
      <c r="H9" s="171"/>
      <c r="I9" s="171"/>
      <c r="J9" s="171"/>
      <c r="K9" s="172"/>
    </row>
    <row r="10" spans="1:21" ht="15" customHeight="1" x14ac:dyDescent="0.2">
      <c r="A10" s="170" t="s">
        <v>30</v>
      </c>
      <c r="B10" s="171"/>
      <c r="C10" s="171"/>
      <c r="D10" s="171"/>
      <c r="E10" s="171"/>
      <c r="F10" s="171"/>
      <c r="G10" s="171"/>
      <c r="H10" s="171"/>
      <c r="I10" s="171"/>
      <c r="J10" s="171"/>
      <c r="K10" s="172"/>
    </row>
    <row r="11" spans="1:21" ht="15" customHeight="1" x14ac:dyDescent="0.2">
      <c r="A11" s="106"/>
      <c r="B11" s="107" t="s">
        <v>31</v>
      </c>
      <c r="C11" s="108"/>
      <c r="D11" s="101"/>
      <c r="E11" s="101"/>
      <c r="F11" s="101"/>
      <c r="G11" s="101"/>
      <c r="H11" s="55"/>
      <c r="I11" s="55"/>
      <c r="J11" s="55"/>
      <c r="K11" s="101"/>
    </row>
    <row r="12" spans="1:21" ht="15" customHeight="1" x14ac:dyDescent="0.2">
      <c r="A12" s="106"/>
      <c r="B12" s="109"/>
      <c r="C12" s="107" t="s">
        <v>32</v>
      </c>
      <c r="D12" s="55">
        <v>4</v>
      </c>
      <c r="E12" s="55">
        <v>1</v>
      </c>
      <c r="F12" s="55">
        <f>D12*E12</f>
        <v>4</v>
      </c>
      <c r="G12" s="55">
        <f>'New Sources'!O30</f>
        <v>2447.9065570409266</v>
      </c>
      <c r="H12" s="55">
        <f>F12*G12</f>
        <v>9791.6262281637064</v>
      </c>
      <c r="I12" s="55">
        <f>H12*0.05</f>
        <v>489.58131140818534</v>
      </c>
      <c r="J12" s="55">
        <f>H12*0.1</f>
        <v>979.16262281637069</v>
      </c>
      <c r="K12" s="110">
        <f>(H12*N$3)+(I12*N$4)+(J12*N$5)</f>
        <v>590686.21677102393</v>
      </c>
      <c r="L12" s="111"/>
    </row>
    <row r="13" spans="1:21" ht="15" customHeight="1" x14ac:dyDescent="0.2">
      <c r="A13" s="106"/>
      <c r="B13" s="109"/>
      <c r="C13" s="107" t="s">
        <v>243</v>
      </c>
      <c r="D13" s="55">
        <v>1</v>
      </c>
      <c r="E13" s="55">
        <v>1</v>
      </c>
      <c r="F13" s="55">
        <f>D13*E13</f>
        <v>1</v>
      </c>
      <c r="G13" s="55">
        <v>2</v>
      </c>
      <c r="H13" s="55">
        <f>F13*G13</f>
        <v>2</v>
      </c>
      <c r="I13" s="55">
        <f>H13*0.05</f>
        <v>0.1</v>
      </c>
      <c r="J13" s="55">
        <f>H13*0.1</f>
        <v>0.2</v>
      </c>
      <c r="K13" s="110">
        <f>(H13*N$3)+(I13*N$4)+(J13*N$5)</f>
        <v>120.65130000000001</v>
      </c>
      <c r="L13" s="111"/>
    </row>
    <row r="14" spans="1:21" ht="15" customHeight="1" x14ac:dyDescent="0.2">
      <c r="A14" s="106"/>
      <c r="B14" s="107" t="s">
        <v>33</v>
      </c>
      <c r="C14" s="108"/>
      <c r="D14" s="55"/>
      <c r="E14" s="55"/>
      <c r="F14" s="55"/>
      <c r="G14" s="55"/>
      <c r="H14" s="55"/>
      <c r="I14" s="55"/>
      <c r="J14" s="55"/>
      <c r="K14" s="101"/>
    </row>
    <row r="15" spans="1:21" customFormat="1" x14ac:dyDescent="0.2">
      <c r="A15" s="112"/>
      <c r="B15" s="113"/>
      <c r="C15" s="114" t="s">
        <v>34</v>
      </c>
      <c r="D15" s="115">
        <v>0.5</v>
      </c>
      <c r="E15" s="92">
        <v>1</v>
      </c>
      <c r="F15" s="115">
        <f>D15*E15</f>
        <v>0.5</v>
      </c>
      <c r="G15" s="92">
        <f>'New Sources'!F27+'New Sources'!F28</f>
        <v>12</v>
      </c>
      <c r="H15" s="92">
        <f>F15*G15</f>
        <v>6</v>
      </c>
      <c r="I15" s="92">
        <f>H15*0.05</f>
        <v>0.30000000000000004</v>
      </c>
      <c r="J15" s="92">
        <f>H15*0.1</f>
        <v>0.60000000000000009</v>
      </c>
      <c r="K15" s="116">
        <f>(H15*N$3)+(I15*N$4)+(J15*N$5)</f>
        <v>361.95390000000003</v>
      </c>
      <c r="L15" s="33"/>
      <c r="M15" t="s">
        <v>35</v>
      </c>
    </row>
    <row r="16" spans="1:21" customFormat="1" x14ac:dyDescent="0.2">
      <c r="A16" s="112"/>
      <c r="B16" s="113"/>
      <c r="C16" s="114" t="s">
        <v>36</v>
      </c>
      <c r="D16" s="117">
        <v>0.25</v>
      </c>
      <c r="E16" s="92">
        <v>1</v>
      </c>
      <c r="F16" s="115">
        <f>D16*E16</f>
        <v>0.25</v>
      </c>
      <c r="G16" s="92">
        <f>ROUND('New Sources'!F4,0)</f>
        <v>10753</v>
      </c>
      <c r="H16" s="92">
        <f>F16*G16</f>
        <v>2688.25</v>
      </c>
      <c r="I16" s="92">
        <f>H16*0.05</f>
        <v>134.41249999999999</v>
      </c>
      <c r="J16" s="92">
        <f>H16*0.1</f>
        <v>268.82499999999999</v>
      </c>
      <c r="K16" s="116">
        <f>(H16*N$3)+(I16*N$4)+(J16*N$5)</f>
        <v>162170.42861250002</v>
      </c>
      <c r="L16" s="118"/>
      <c r="M16" t="s">
        <v>37</v>
      </c>
    </row>
    <row r="17" spans="1:19" customFormat="1" ht="25.5" x14ac:dyDescent="0.2">
      <c r="A17" s="112"/>
      <c r="B17" s="119"/>
      <c r="C17" s="114" t="s">
        <v>266</v>
      </c>
      <c r="D17" s="117">
        <f>AVERAGE(4,40)</f>
        <v>22</v>
      </c>
      <c r="E17" s="92">
        <v>1</v>
      </c>
      <c r="F17" s="115">
        <f>D17*E17</f>
        <v>22</v>
      </c>
      <c r="G17" s="92">
        <v>2</v>
      </c>
      <c r="H17" s="92">
        <f>F17*G17</f>
        <v>44</v>
      </c>
      <c r="I17" s="92">
        <f>H17*0.05</f>
        <v>2.2000000000000002</v>
      </c>
      <c r="J17" s="92">
        <f>H17*0.1</f>
        <v>4.4000000000000004</v>
      </c>
      <c r="K17" s="116">
        <f>(H17*N$3)+(I17*N$4)+(J17*N$5)</f>
        <v>2654.3286000000003</v>
      </c>
      <c r="L17" s="118"/>
      <c r="M17" t="s">
        <v>244</v>
      </c>
    </row>
    <row r="18" spans="1:19" customFormat="1" x14ac:dyDescent="0.2">
      <c r="A18" s="112"/>
      <c r="B18" s="119"/>
      <c r="C18" s="114" t="s">
        <v>267</v>
      </c>
      <c r="D18" s="117">
        <f>AVERAGE(2,10)</f>
        <v>6</v>
      </c>
      <c r="E18" s="92">
        <v>1</v>
      </c>
      <c r="F18" s="115">
        <f>D18*E18</f>
        <v>6</v>
      </c>
      <c r="G18" s="92">
        <v>250</v>
      </c>
      <c r="H18" s="92">
        <f>F18*G18</f>
        <v>1500</v>
      </c>
      <c r="I18" s="92">
        <f>H18*0.05</f>
        <v>75</v>
      </c>
      <c r="J18" s="92">
        <f>H18*0.1</f>
        <v>150</v>
      </c>
      <c r="K18" s="116">
        <f>(H18*N$3)+(I18*N$4)+(J18*N$5)</f>
        <v>90488.475000000006</v>
      </c>
      <c r="L18" s="118"/>
      <c r="M18" t="s">
        <v>245</v>
      </c>
    </row>
    <row r="19" spans="1:19" customFormat="1" ht="15" customHeight="1" x14ac:dyDescent="0.2">
      <c r="A19" s="112"/>
      <c r="B19" s="120" t="s">
        <v>38</v>
      </c>
      <c r="C19" s="121"/>
      <c r="D19" s="92"/>
      <c r="E19" s="92"/>
      <c r="F19" s="92"/>
      <c r="G19" s="92"/>
      <c r="H19" s="92"/>
      <c r="I19" s="92"/>
      <c r="J19" s="92"/>
      <c r="K19" s="122"/>
      <c r="L19" s="33"/>
    </row>
    <row r="20" spans="1:19" ht="15" customHeight="1" x14ac:dyDescent="0.2">
      <c r="A20" s="106"/>
      <c r="B20" s="109"/>
      <c r="C20" s="56" t="s">
        <v>39</v>
      </c>
      <c r="D20" s="55"/>
      <c r="E20" s="55"/>
      <c r="F20" s="55"/>
      <c r="G20" s="55"/>
      <c r="H20" s="55"/>
      <c r="I20" s="55"/>
      <c r="J20" s="55"/>
      <c r="K20" s="101"/>
      <c r="M20" t="s">
        <v>40</v>
      </c>
    </row>
    <row r="21" spans="1:19" ht="15" customHeight="1" x14ac:dyDescent="0.2">
      <c r="A21" s="106"/>
      <c r="B21" s="109"/>
      <c r="C21" s="57" t="s">
        <v>41</v>
      </c>
      <c r="D21" s="55"/>
      <c r="E21" s="55"/>
      <c r="F21" s="55"/>
      <c r="G21" s="55"/>
      <c r="H21" s="55"/>
      <c r="I21" s="55"/>
      <c r="J21" s="55"/>
      <c r="K21" s="101"/>
    </row>
    <row r="22" spans="1:19" ht="14.1" customHeight="1" x14ac:dyDescent="0.2">
      <c r="A22" s="106"/>
      <c r="B22" s="109"/>
      <c r="C22" s="63" t="s">
        <v>42</v>
      </c>
      <c r="D22" s="55">
        <v>4</v>
      </c>
      <c r="E22" s="55">
        <v>1</v>
      </c>
      <c r="F22" s="55">
        <f t="shared" ref="F22:F26" si="0">D22*E22</f>
        <v>4</v>
      </c>
      <c r="G22" s="55">
        <f>'New Sources'!F5</f>
        <v>5962.0399726483374</v>
      </c>
      <c r="H22" s="55">
        <f t="shared" ref="H22:H23" si="1">F22*G22</f>
        <v>23848.15989059335</v>
      </c>
      <c r="I22" s="55">
        <f t="shared" ref="I22:I23" si="2">H22*0.05</f>
        <v>1192.4079945296676</v>
      </c>
      <c r="J22" s="55">
        <f t="shared" ref="J22:J23" si="3">H22*0.1</f>
        <v>2384.8159890593352</v>
      </c>
      <c r="K22" s="110">
        <f t="shared" ref="K22:K23" si="4">(H22*N$3)+(I22*N$4)+(J22*N$5)</f>
        <v>1438655.7467039728</v>
      </c>
      <c r="L22" s="123"/>
      <c r="M22" s="123"/>
      <c r="N22" s="123"/>
      <c r="O22" s="123"/>
      <c r="P22" s="123"/>
      <c r="Q22" s="123"/>
      <c r="R22" s="123"/>
      <c r="S22" s="123"/>
    </row>
    <row r="23" spans="1:19" ht="14.1" customHeight="1" x14ac:dyDescent="0.2">
      <c r="A23" s="106"/>
      <c r="B23" s="109"/>
      <c r="C23" s="63" t="s">
        <v>43</v>
      </c>
      <c r="D23" s="55">
        <v>1</v>
      </c>
      <c r="E23" s="55">
        <v>1</v>
      </c>
      <c r="F23" s="55">
        <f t="shared" si="0"/>
        <v>1</v>
      </c>
      <c r="G23" s="55">
        <f>G22</f>
        <v>5962.0399726483374</v>
      </c>
      <c r="H23" s="55">
        <f t="shared" si="1"/>
        <v>5962.0399726483374</v>
      </c>
      <c r="I23" s="55">
        <f t="shared" si="2"/>
        <v>298.10199863241689</v>
      </c>
      <c r="J23" s="55">
        <f t="shared" si="3"/>
        <v>596.20399726483379</v>
      </c>
      <c r="K23" s="110">
        <f t="shared" si="4"/>
        <v>359663.9366759932</v>
      </c>
      <c r="L23" s="123"/>
      <c r="M23" s="123"/>
      <c r="N23" s="123"/>
      <c r="O23" s="123"/>
      <c r="P23" s="123"/>
      <c r="Q23" s="123"/>
      <c r="R23" s="123"/>
      <c r="S23" s="123"/>
    </row>
    <row r="24" spans="1:19" ht="14.1" customHeight="1" x14ac:dyDescent="0.2">
      <c r="A24" s="106"/>
      <c r="B24" s="109"/>
      <c r="C24" s="57" t="s">
        <v>44</v>
      </c>
      <c r="D24" s="55"/>
      <c r="E24" s="55"/>
      <c r="F24" s="55"/>
      <c r="G24" s="55"/>
      <c r="H24" s="55"/>
      <c r="I24" s="55"/>
      <c r="J24" s="55"/>
      <c r="K24" s="110"/>
      <c r="L24" s="123"/>
      <c r="M24" s="123"/>
      <c r="N24" s="123"/>
      <c r="O24" s="123"/>
      <c r="P24" s="123"/>
      <c r="Q24" s="123"/>
      <c r="R24" s="123"/>
      <c r="S24" s="123"/>
    </row>
    <row r="25" spans="1:19" ht="14.1" customHeight="1" x14ac:dyDescent="0.2">
      <c r="A25" s="106"/>
      <c r="B25" s="109"/>
      <c r="C25" s="63" t="s">
        <v>42</v>
      </c>
      <c r="D25" s="55">
        <v>4</v>
      </c>
      <c r="E25" s="55">
        <v>1</v>
      </c>
      <c r="F25" s="55">
        <f t="shared" si="0"/>
        <v>4</v>
      </c>
      <c r="G25" s="55">
        <f>'New Sources'!F6</f>
        <v>158.32578815806306</v>
      </c>
      <c r="H25" s="55">
        <f t="shared" ref="H25:H26" si="5">F25*G25</f>
        <v>633.30315263225225</v>
      </c>
      <c r="I25" s="55">
        <f t="shared" ref="I25:I26" si="6">H25*0.05</f>
        <v>31.665157631612615</v>
      </c>
      <c r="J25" s="55">
        <f t="shared" ref="J25:J26" si="7">H25*0.1</f>
        <v>63.330315263225231</v>
      </c>
      <c r="K25" s="110">
        <f t="shared" ref="K25:K26" si="8">(H25*N$3)+(I25*N$4)+(J25*N$5)</f>
        <v>38204.424329589834</v>
      </c>
      <c r="L25" s="123"/>
      <c r="M25" s="123"/>
      <c r="N25" s="123"/>
      <c r="O25" s="123"/>
      <c r="P25" s="123"/>
      <c r="Q25" s="123"/>
      <c r="R25" s="123"/>
      <c r="S25" s="123"/>
    </row>
    <row r="26" spans="1:19" ht="14.1" customHeight="1" x14ac:dyDescent="0.2">
      <c r="A26" s="106"/>
      <c r="B26" s="109"/>
      <c r="C26" s="63" t="s">
        <v>45</v>
      </c>
      <c r="D26" s="55">
        <v>40</v>
      </c>
      <c r="E26" s="55">
        <v>1</v>
      </c>
      <c r="F26" s="55">
        <f t="shared" si="0"/>
        <v>40</v>
      </c>
      <c r="G26" s="55">
        <f>G25</f>
        <v>158.32578815806306</v>
      </c>
      <c r="H26" s="55">
        <f t="shared" si="5"/>
        <v>6333.031526322522</v>
      </c>
      <c r="I26" s="55">
        <f t="shared" si="6"/>
        <v>316.65157631612612</v>
      </c>
      <c r="J26" s="55">
        <f t="shared" si="7"/>
        <v>633.30315263225225</v>
      </c>
      <c r="K26" s="110">
        <f t="shared" si="8"/>
        <v>382044.24329589825</v>
      </c>
      <c r="L26" s="123"/>
      <c r="M26" s="123"/>
      <c r="N26" s="123"/>
      <c r="O26" s="123"/>
      <c r="P26" s="123"/>
      <c r="Q26" s="123"/>
      <c r="R26" s="123"/>
      <c r="S26" s="123"/>
    </row>
    <row r="27" spans="1:19" ht="14.1" customHeight="1" x14ac:dyDescent="0.2">
      <c r="A27" s="106"/>
      <c r="B27" s="109"/>
      <c r="C27" s="63" t="s">
        <v>46</v>
      </c>
      <c r="D27" s="55"/>
      <c r="E27" s="55"/>
      <c r="F27" s="55"/>
      <c r="G27" s="55">
        <f>G25</f>
        <v>158.32578815806306</v>
      </c>
      <c r="H27" s="55"/>
      <c r="I27" s="55"/>
      <c r="J27" s="55"/>
      <c r="K27" s="110">
        <f>D100*G27</f>
        <v>142018.23197778256</v>
      </c>
      <c r="L27" s="123"/>
      <c r="M27" s="123"/>
      <c r="N27" s="123"/>
      <c r="O27" s="123"/>
      <c r="P27" s="123"/>
      <c r="Q27" s="123"/>
      <c r="R27" s="123"/>
      <c r="S27" s="123"/>
    </row>
    <row r="28" spans="1:19" ht="14.85" customHeight="1" x14ac:dyDescent="0.2">
      <c r="A28" s="106"/>
      <c r="B28" s="109"/>
      <c r="C28" s="57" t="s">
        <v>47</v>
      </c>
      <c r="D28" s="55"/>
      <c r="E28" s="55"/>
      <c r="F28" s="55"/>
      <c r="G28" s="55"/>
      <c r="H28" s="55"/>
      <c r="I28" s="55"/>
      <c r="J28" s="55"/>
      <c r="K28" s="110"/>
      <c r="L28" s="123"/>
      <c r="M28" s="123"/>
      <c r="N28" s="123"/>
      <c r="O28" s="123"/>
      <c r="P28" s="123"/>
      <c r="Q28" s="123"/>
      <c r="R28" s="123"/>
      <c r="S28" s="123"/>
    </row>
    <row r="29" spans="1:19" ht="14.85" customHeight="1" x14ac:dyDescent="0.2">
      <c r="A29" s="106"/>
      <c r="B29" s="109"/>
      <c r="C29" s="63" t="s">
        <v>42</v>
      </c>
      <c r="D29" s="55">
        <v>4</v>
      </c>
      <c r="E29" s="55">
        <v>1</v>
      </c>
      <c r="F29" s="55">
        <f t="shared" ref="F29:F30" si="9">D29*E29</f>
        <v>4</v>
      </c>
      <c r="G29" s="55">
        <f>'New Sources'!F7</f>
        <v>4633.0161113772938</v>
      </c>
      <c r="H29" s="55">
        <f t="shared" ref="H29:H30" si="10">F29*G29</f>
        <v>18532.064445509175</v>
      </c>
      <c r="I29" s="55">
        <f t="shared" ref="I29:I30" si="11">H29*0.05</f>
        <v>926.60322227545885</v>
      </c>
      <c r="J29" s="55">
        <f t="shared" ref="J29:J30" si="12">H29*0.1</f>
        <v>1853.2064445509177</v>
      </c>
      <c r="K29" s="110">
        <f t="shared" ref="K29:K30" si="13">(H29*N$3)+(I29*N$4)+(J29*N$5)</f>
        <v>1117958.8335172306</v>
      </c>
      <c r="L29" s="123"/>
      <c r="M29" s="123"/>
      <c r="N29" s="123"/>
      <c r="O29" s="123"/>
      <c r="P29" s="123"/>
      <c r="Q29" s="123"/>
      <c r="R29" s="123"/>
      <c r="S29" s="123"/>
    </row>
    <row r="30" spans="1:19" ht="14.85" customHeight="1" x14ac:dyDescent="0.2">
      <c r="A30" s="106"/>
      <c r="B30" s="109"/>
      <c r="C30" s="63" t="s">
        <v>45</v>
      </c>
      <c r="D30" s="55">
        <v>40</v>
      </c>
      <c r="E30" s="55">
        <v>1</v>
      </c>
      <c r="F30" s="55">
        <f t="shared" si="9"/>
        <v>40</v>
      </c>
      <c r="G30" s="55">
        <f>G29</f>
        <v>4633.0161113772938</v>
      </c>
      <c r="H30" s="55">
        <f t="shared" si="10"/>
        <v>185320.64445509174</v>
      </c>
      <c r="I30" s="55">
        <f t="shared" si="11"/>
        <v>9266.0322227545876</v>
      </c>
      <c r="J30" s="55">
        <f t="shared" si="12"/>
        <v>18532.064445509175</v>
      </c>
      <c r="K30" s="110">
        <f t="shared" si="13"/>
        <v>11179588.335172305</v>
      </c>
      <c r="L30" s="123"/>
      <c r="M30" s="123"/>
      <c r="N30" s="123"/>
      <c r="O30" s="123"/>
      <c r="P30" s="123"/>
      <c r="Q30" s="123"/>
      <c r="R30" s="123"/>
      <c r="S30" s="123"/>
    </row>
    <row r="31" spans="1:19" ht="14.85" customHeight="1" x14ac:dyDescent="0.2">
      <c r="A31" s="106"/>
      <c r="B31" s="109"/>
      <c r="C31" s="63" t="s">
        <v>46</v>
      </c>
      <c r="D31" s="55"/>
      <c r="E31" s="55"/>
      <c r="F31" s="55"/>
      <c r="G31" s="55">
        <f>G30</f>
        <v>4633.0161113772938</v>
      </c>
      <c r="H31" s="55"/>
      <c r="I31" s="55"/>
      <c r="J31" s="55"/>
      <c r="K31" s="110">
        <f>D104*G27</f>
        <v>102120.13336195068</v>
      </c>
      <c r="L31" s="123"/>
      <c r="M31" s="123"/>
      <c r="N31" s="123"/>
      <c r="O31" s="123"/>
      <c r="P31" s="123"/>
      <c r="Q31" s="123"/>
      <c r="R31" s="123"/>
      <c r="S31" s="123"/>
    </row>
    <row r="32" spans="1:19" ht="15" customHeight="1" x14ac:dyDescent="0.2">
      <c r="A32" s="106"/>
      <c r="B32" s="109"/>
      <c r="C32" s="56" t="s">
        <v>48</v>
      </c>
      <c r="D32" s="55"/>
      <c r="E32" s="55"/>
      <c r="F32" s="55"/>
      <c r="G32" s="55"/>
      <c r="H32" s="55"/>
      <c r="I32" s="55"/>
      <c r="J32" s="55"/>
      <c r="K32" s="110"/>
      <c r="M32" t="s">
        <v>40</v>
      </c>
    </row>
    <row r="33" spans="1:20" ht="15" customHeight="1" x14ac:dyDescent="0.2">
      <c r="A33" s="106"/>
      <c r="B33" s="109"/>
      <c r="C33" s="57" t="s">
        <v>49</v>
      </c>
      <c r="D33" s="55"/>
      <c r="E33" s="55"/>
      <c r="F33" s="55"/>
      <c r="G33" s="55"/>
      <c r="H33" s="55"/>
      <c r="I33" s="55"/>
      <c r="J33" s="55"/>
      <c r="K33" s="110"/>
    </row>
    <row r="34" spans="1:20" ht="15" customHeight="1" x14ac:dyDescent="0.2">
      <c r="A34" s="106"/>
      <c r="B34" s="109"/>
      <c r="C34" s="63" t="s">
        <v>42</v>
      </c>
      <c r="D34" s="55">
        <v>4</v>
      </c>
      <c r="E34" s="55">
        <v>1</v>
      </c>
      <c r="F34" s="55">
        <f t="shared" ref="F34:F35" si="14">D34*E34</f>
        <v>4</v>
      </c>
      <c r="G34" s="92">
        <f>'New Sources'!F24/7</f>
        <v>62.780098369347115</v>
      </c>
      <c r="H34" s="55">
        <f t="shared" ref="H34:H35" si="15">F34*G34</f>
        <v>251.12039347738846</v>
      </c>
      <c r="I34" s="55">
        <f t="shared" ref="I34:I35" si="16">H34*0.05</f>
        <v>12.556019673869423</v>
      </c>
      <c r="J34" s="55">
        <f t="shared" ref="J34:J35" si="17">H34*0.1</f>
        <v>25.112039347738847</v>
      </c>
      <c r="K34" s="110">
        <f t="shared" ref="K34:K35" si="18">(H34*N$3)+(I34*N$4)+(J34*N$5)</f>
        <v>15149.000964779219</v>
      </c>
    </row>
    <row r="35" spans="1:20" ht="15" customHeight="1" x14ac:dyDescent="0.2">
      <c r="A35" s="106"/>
      <c r="B35" s="109"/>
      <c r="C35" s="63" t="s">
        <v>50</v>
      </c>
      <c r="D35" s="55">
        <v>25</v>
      </c>
      <c r="E35" s="55">
        <v>1</v>
      </c>
      <c r="F35" s="55">
        <f t="shared" si="14"/>
        <v>25</v>
      </c>
      <c r="G35" s="55">
        <f>G34</f>
        <v>62.780098369347115</v>
      </c>
      <c r="H35" s="55">
        <f t="shared" si="15"/>
        <v>1569.5024592336779</v>
      </c>
      <c r="I35" s="55">
        <f t="shared" si="16"/>
        <v>78.475122961683894</v>
      </c>
      <c r="J35" s="55">
        <f t="shared" si="17"/>
        <v>156.95024592336779</v>
      </c>
      <c r="K35" s="110">
        <f t="shared" si="18"/>
        <v>94681.256029870114</v>
      </c>
      <c r="L35" s="123"/>
    </row>
    <row r="36" spans="1:20" ht="15" customHeight="1" x14ac:dyDescent="0.2">
      <c r="A36" s="106"/>
      <c r="B36" s="109"/>
      <c r="C36" s="63" t="s">
        <v>46</v>
      </c>
      <c r="D36" s="124"/>
      <c r="E36" s="55"/>
      <c r="F36" s="124"/>
      <c r="G36" s="55">
        <f>G34</f>
        <v>62.780098369347115</v>
      </c>
      <c r="H36" s="55"/>
      <c r="I36" s="55"/>
      <c r="J36" s="55"/>
      <c r="K36" s="110">
        <f>G36*D101</f>
        <v>1238525.7806304798</v>
      </c>
      <c r="L36" s="123"/>
    </row>
    <row r="37" spans="1:20" ht="15" customHeight="1" x14ac:dyDescent="0.2">
      <c r="A37" s="106"/>
      <c r="B37" s="109"/>
      <c r="C37" s="57" t="s">
        <v>51</v>
      </c>
      <c r="D37" s="55"/>
      <c r="E37" s="55"/>
      <c r="F37" s="55"/>
      <c r="G37" s="55"/>
      <c r="H37" s="55"/>
      <c r="I37" s="55"/>
      <c r="J37" s="55"/>
      <c r="K37" s="110"/>
      <c r="L37" s="123"/>
    </row>
    <row r="38" spans="1:20" ht="15" customHeight="1" x14ac:dyDescent="0.2">
      <c r="A38" s="106"/>
      <c r="B38" s="109"/>
      <c r="C38" s="63" t="s">
        <v>42</v>
      </c>
      <c r="D38" s="55">
        <v>4</v>
      </c>
      <c r="E38" s="55">
        <v>1</v>
      </c>
      <c r="F38" s="55">
        <f t="shared" ref="F38:F39" si="19">D38*E38</f>
        <v>4</v>
      </c>
      <c r="G38" s="55">
        <f>'New Sources'!F25+'New Sources'!F26</f>
        <v>104.48507864363054</v>
      </c>
      <c r="H38" s="55">
        <f t="shared" ref="H38:H39" si="20">F38*G38</f>
        <v>417.94031457452218</v>
      </c>
      <c r="I38" s="55">
        <f t="shared" ref="I38:I39" si="21">H38*0.05</f>
        <v>20.89701572872611</v>
      </c>
      <c r="J38" s="55">
        <f t="shared" ref="J38:J39" si="22">H38*0.1</f>
        <v>41.79403145745222</v>
      </c>
      <c r="K38" s="110">
        <f t="shared" ref="K38:K39" si="23">(H38*N$3)+(I38*N$4)+(J38*N$5)</f>
        <v>25212.521137912529</v>
      </c>
      <c r="L38" s="123"/>
    </row>
    <row r="39" spans="1:20" ht="15" customHeight="1" x14ac:dyDescent="0.2">
      <c r="A39" s="106"/>
      <c r="B39" s="109"/>
      <c r="C39" s="63" t="s">
        <v>52</v>
      </c>
      <c r="D39" s="55">
        <v>60</v>
      </c>
      <c r="E39" s="55">
        <v>1</v>
      </c>
      <c r="F39" s="55">
        <f t="shared" si="19"/>
        <v>60</v>
      </c>
      <c r="G39" s="55">
        <f>G38</f>
        <v>104.48507864363054</v>
      </c>
      <c r="H39" s="55">
        <f t="shared" si="20"/>
        <v>6269.104718617833</v>
      </c>
      <c r="I39" s="55">
        <f t="shared" si="21"/>
        <v>313.45523593089166</v>
      </c>
      <c r="J39" s="55">
        <f t="shared" si="22"/>
        <v>626.91047186178332</v>
      </c>
      <c r="K39" s="110">
        <f t="shared" si="23"/>
        <v>378187.81706868793</v>
      </c>
      <c r="L39" s="123"/>
    </row>
    <row r="40" spans="1:20" ht="14.1" customHeight="1" x14ac:dyDescent="0.2">
      <c r="A40" s="106"/>
      <c r="B40" s="109"/>
      <c r="C40" s="63" t="s">
        <v>46</v>
      </c>
      <c r="D40" s="55"/>
      <c r="E40" s="55"/>
      <c r="F40" s="55"/>
      <c r="G40" s="55">
        <f>G39</f>
        <v>104.48507864363054</v>
      </c>
      <c r="H40" s="55"/>
      <c r="I40" s="55"/>
      <c r="J40" s="55"/>
      <c r="K40" s="110">
        <f>G40*D101</f>
        <v>2061281.6314815434</v>
      </c>
      <c r="L40" s="123"/>
    </row>
    <row r="41" spans="1:20" ht="15" customHeight="1" x14ac:dyDescent="0.2">
      <c r="A41" s="106"/>
      <c r="B41" s="109" t="s">
        <v>53</v>
      </c>
      <c r="C41" s="108"/>
      <c r="D41" s="55"/>
      <c r="E41" s="55"/>
      <c r="F41" s="55"/>
      <c r="G41" s="55"/>
      <c r="H41" s="55"/>
      <c r="I41" s="55"/>
      <c r="J41" s="55"/>
      <c r="K41" s="101"/>
      <c r="L41" s="125"/>
    </row>
    <row r="42" spans="1:20" ht="15" customHeight="1" x14ac:dyDescent="0.2">
      <c r="A42" s="106"/>
      <c r="B42" s="109" t="s">
        <v>54</v>
      </c>
      <c r="C42" s="108"/>
      <c r="D42" s="55"/>
      <c r="E42" s="55"/>
      <c r="F42" s="55"/>
      <c r="G42" s="55"/>
      <c r="H42" s="55"/>
      <c r="I42" s="55"/>
      <c r="J42" s="55"/>
      <c r="K42" s="101"/>
    </row>
    <row r="43" spans="1:20" ht="15" customHeight="1" x14ac:dyDescent="0.2">
      <c r="A43" s="106"/>
      <c r="B43" s="109"/>
      <c r="C43" s="126" t="s">
        <v>55</v>
      </c>
      <c r="D43" s="55">
        <v>1</v>
      </c>
      <c r="E43" s="55">
        <v>1</v>
      </c>
      <c r="F43" s="55">
        <f t="shared" ref="F43:F53" si="24">D43*E43</f>
        <v>1</v>
      </c>
      <c r="G43" s="55">
        <f>G16</f>
        <v>10753</v>
      </c>
      <c r="H43" s="55">
        <f t="shared" ref="H43:H49" si="25">F43*G43</f>
        <v>10753</v>
      </c>
      <c r="I43" s="55">
        <f t="shared" ref="I43:I49" si="26">H43*0.05</f>
        <v>537.65</v>
      </c>
      <c r="J43" s="55">
        <f t="shared" ref="J43:J49" si="27">H43*0.1</f>
        <v>1075.3</v>
      </c>
      <c r="K43" s="110">
        <f t="shared" ref="K43:K49" si="28">(H43*N$3)+(I43*N$4)+(J43*N$5)</f>
        <v>648681.71445000009</v>
      </c>
      <c r="L43" s="111"/>
      <c r="M43" s="97" t="s">
        <v>115</v>
      </c>
    </row>
    <row r="44" spans="1:20" ht="15" customHeight="1" x14ac:dyDescent="0.2">
      <c r="A44" s="106"/>
      <c r="B44" s="109"/>
      <c r="C44" s="126" t="s">
        <v>110</v>
      </c>
      <c r="D44" s="127">
        <v>0.25</v>
      </c>
      <c r="E44" s="55">
        <v>1</v>
      </c>
      <c r="F44" s="55">
        <f t="shared" si="24"/>
        <v>0.25</v>
      </c>
      <c r="G44" s="92">
        <f>SUM('New Sources'!D18:F18)</f>
        <v>17464.373250372599</v>
      </c>
      <c r="H44" s="55">
        <f t="shared" si="25"/>
        <v>4366.0933125931497</v>
      </c>
      <c r="I44" s="55">
        <f t="shared" si="26"/>
        <v>218.30466562965751</v>
      </c>
      <c r="J44" s="55">
        <f t="shared" si="27"/>
        <v>436.60933125931501</v>
      </c>
      <c r="K44" s="110">
        <f t="shared" si="28"/>
        <v>263387.41704283492</v>
      </c>
      <c r="L44" s="111"/>
      <c r="M44" s="97" t="s">
        <v>58</v>
      </c>
      <c r="P44"/>
      <c r="Q44"/>
      <c r="R44"/>
      <c r="S44"/>
      <c r="T44"/>
    </row>
    <row r="45" spans="1:20" ht="15" customHeight="1" x14ac:dyDescent="0.2">
      <c r="A45" s="106"/>
      <c r="B45" s="109"/>
      <c r="C45" s="126" t="s">
        <v>59</v>
      </c>
      <c r="D45" s="55">
        <v>1</v>
      </c>
      <c r="E45" s="55">
        <v>1</v>
      </c>
      <c r="F45" s="55">
        <f t="shared" si="24"/>
        <v>1</v>
      </c>
      <c r="G45" s="92">
        <f>'New Sources'!D10+'New Sources'!E10+'New Sources'!F10+'New Sources'!D14+'New Sources'!E14+'New Sources'!F14</f>
        <v>23541.782045722823</v>
      </c>
      <c r="H45" s="55">
        <f t="shared" si="25"/>
        <v>23541.782045722823</v>
      </c>
      <c r="I45" s="55">
        <f t="shared" si="26"/>
        <v>1177.0891022861413</v>
      </c>
      <c r="J45" s="55">
        <f t="shared" si="27"/>
        <v>2354.1782045722825</v>
      </c>
      <c r="K45" s="110">
        <f t="shared" si="28"/>
        <v>1420173.3040665593</v>
      </c>
      <c r="L45" s="111"/>
      <c r="M45" s="97" t="s">
        <v>60</v>
      </c>
      <c r="P45" s="54"/>
      <c r="Q45"/>
      <c r="R45"/>
      <c r="S45"/>
      <c r="T45"/>
    </row>
    <row r="46" spans="1:20" ht="15" customHeight="1" x14ac:dyDescent="0.2">
      <c r="A46" s="106"/>
      <c r="B46" s="109"/>
      <c r="C46" s="126" t="s">
        <v>61</v>
      </c>
      <c r="D46" s="55">
        <v>3</v>
      </c>
      <c r="E46" s="55">
        <v>1</v>
      </c>
      <c r="F46" s="55">
        <f>D46*E46</f>
        <v>3</v>
      </c>
      <c r="G46" s="92">
        <f>SUM('New Sources'!D22:F22)</f>
        <v>646.60935066941579</v>
      </c>
      <c r="H46" s="55">
        <f>F46*G46</f>
        <v>1939.8280520082474</v>
      </c>
      <c r="I46" s="55">
        <f>H46*0.05</f>
        <v>96.991402600412371</v>
      </c>
      <c r="J46" s="55">
        <f>H46*0.1</f>
        <v>193.98280520082474</v>
      </c>
      <c r="K46" s="110">
        <f>(H46*N$3)+(I46*N$4)+(J46*N$5)</f>
        <v>117021.38812563135</v>
      </c>
      <c r="M46" s="97" t="s">
        <v>62</v>
      </c>
      <c r="P46"/>
      <c r="Q46"/>
      <c r="R46"/>
      <c r="S46"/>
      <c r="T46"/>
    </row>
    <row r="47" spans="1:20" ht="15" customHeight="1" x14ac:dyDescent="0.2">
      <c r="A47" s="106"/>
      <c r="B47" s="109"/>
      <c r="C47" s="126" t="s">
        <v>63</v>
      </c>
      <c r="D47" s="124">
        <v>1.5</v>
      </c>
      <c r="E47" s="55">
        <v>1</v>
      </c>
      <c r="F47" s="55">
        <f t="shared" si="24"/>
        <v>1.5</v>
      </c>
      <c r="G47" s="92">
        <f>SUM('New Sources'!D21:F21)</f>
        <v>5387.1439767320144</v>
      </c>
      <c r="H47" s="55">
        <f t="shared" si="25"/>
        <v>8080.7159650980211</v>
      </c>
      <c r="I47" s="55">
        <f t="shared" si="26"/>
        <v>404.03579825490107</v>
      </c>
      <c r="J47" s="55">
        <f t="shared" si="27"/>
        <v>808.07159650980213</v>
      </c>
      <c r="K47" s="110">
        <f t="shared" si="28"/>
        <v>487474.44305991544</v>
      </c>
      <c r="M47" s="97" t="s">
        <v>64</v>
      </c>
      <c r="P47" s="54"/>
      <c r="Q47"/>
      <c r="R47"/>
      <c r="S47"/>
      <c r="T47"/>
    </row>
    <row r="48" spans="1:20" ht="15" customHeight="1" x14ac:dyDescent="0.2">
      <c r="A48" s="106"/>
      <c r="B48" s="109"/>
      <c r="C48" s="126" t="s">
        <v>257</v>
      </c>
      <c r="D48" s="55">
        <v>3</v>
      </c>
      <c r="E48" s="55">
        <v>1</v>
      </c>
      <c r="F48" s="55">
        <f t="shared" si="24"/>
        <v>3</v>
      </c>
      <c r="G48" s="92">
        <f>SUM('New Sources'!D19:F19)</f>
        <v>40254.391746674708</v>
      </c>
      <c r="H48" s="55">
        <f t="shared" si="25"/>
        <v>120763.17524002412</v>
      </c>
      <c r="I48" s="55">
        <f t="shared" si="26"/>
        <v>6038.1587620012069</v>
      </c>
      <c r="J48" s="55">
        <f t="shared" si="27"/>
        <v>12076.317524002414</v>
      </c>
      <c r="K48" s="110">
        <f t="shared" si="28"/>
        <v>7285117.0424183616</v>
      </c>
      <c r="M48" s="97" t="s">
        <v>65</v>
      </c>
      <c r="P48"/>
      <c r="Q48"/>
      <c r="R48"/>
      <c r="S48"/>
      <c r="T48"/>
    </row>
    <row r="49" spans="1:13" ht="15" customHeight="1" x14ac:dyDescent="0.2">
      <c r="A49" s="106"/>
      <c r="B49" s="109"/>
      <c r="C49" s="126" t="s">
        <v>111</v>
      </c>
      <c r="D49" s="55">
        <v>2</v>
      </c>
      <c r="E49" s="55">
        <v>1</v>
      </c>
      <c r="F49" s="55">
        <f t="shared" si="24"/>
        <v>2</v>
      </c>
      <c r="G49" s="92">
        <f>SUM('New Sources'!D23:F23)</f>
        <v>16118.882080929399</v>
      </c>
      <c r="H49" s="55">
        <f t="shared" si="25"/>
        <v>32237.764161858799</v>
      </c>
      <c r="I49" s="55">
        <f t="shared" si="26"/>
        <v>1611.88820809294</v>
      </c>
      <c r="J49" s="55">
        <f t="shared" si="27"/>
        <v>3223.77641618588</v>
      </c>
      <c r="K49" s="110">
        <f t="shared" si="28"/>
        <v>1944764.0776108373</v>
      </c>
      <c r="M49" s="97" t="s">
        <v>66</v>
      </c>
    </row>
    <row r="50" spans="1:13" ht="15" customHeight="1" x14ac:dyDescent="0.2">
      <c r="A50" s="106"/>
      <c r="B50" s="109"/>
      <c r="C50" s="56" t="s">
        <v>39</v>
      </c>
      <c r="D50" s="55"/>
      <c r="E50" s="55"/>
      <c r="F50" s="55"/>
      <c r="G50" s="55"/>
      <c r="H50" s="55"/>
      <c r="I50" s="55"/>
      <c r="J50" s="55"/>
      <c r="K50" s="110"/>
      <c r="M50" s="97" t="s">
        <v>67</v>
      </c>
    </row>
    <row r="51" spans="1:13" ht="15" customHeight="1" x14ac:dyDescent="0.2">
      <c r="A51" s="106"/>
      <c r="B51" s="109"/>
      <c r="C51" s="57" t="s">
        <v>41</v>
      </c>
      <c r="D51" s="55">
        <v>1</v>
      </c>
      <c r="E51" s="55">
        <v>1</v>
      </c>
      <c r="F51" s="55">
        <f t="shared" si="24"/>
        <v>1</v>
      </c>
      <c r="G51" s="55">
        <f>SUM('New Sources'!D5:F5)</f>
        <v>21112.073367996971</v>
      </c>
      <c r="H51" s="55">
        <f t="shared" ref="H51:H53" si="29">F51*G51</f>
        <v>21112.073367996971</v>
      </c>
      <c r="I51" s="55">
        <f t="shared" ref="I51:I53" si="30">H51*0.05</f>
        <v>1055.6036683998486</v>
      </c>
      <c r="J51" s="55">
        <f t="shared" ref="J51:J53" si="31">H51*0.1</f>
        <v>2111.2073367996973</v>
      </c>
      <c r="K51" s="110">
        <f t="shared" ref="K51:K53" si="32">(H51*N$3)+(I51*N$4)+(J51*N$5)</f>
        <v>1273599.5487721064</v>
      </c>
    </row>
    <row r="52" spans="1:13" ht="15" customHeight="1" x14ac:dyDescent="0.2">
      <c r="A52" s="106"/>
      <c r="B52" s="109"/>
      <c r="C52" s="57" t="s">
        <v>44</v>
      </c>
      <c r="D52" s="55">
        <v>3</v>
      </c>
      <c r="E52" s="55">
        <v>1</v>
      </c>
      <c r="F52" s="55">
        <f t="shared" si="24"/>
        <v>3</v>
      </c>
      <c r="G52" s="55">
        <f>SUM('New Sources'!D6:F6)</f>
        <v>560.64462348013706</v>
      </c>
      <c r="H52" s="55">
        <f t="shared" si="29"/>
        <v>1681.9338704404113</v>
      </c>
      <c r="I52" s="55">
        <f t="shared" si="30"/>
        <v>84.096693522020573</v>
      </c>
      <c r="J52" s="55">
        <f t="shared" si="31"/>
        <v>168.19338704404115</v>
      </c>
      <c r="K52" s="110">
        <f t="shared" si="32"/>
        <v>101463.75399133359</v>
      </c>
    </row>
    <row r="53" spans="1:13" ht="15" customHeight="1" x14ac:dyDescent="0.2">
      <c r="A53" s="106"/>
      <c r="B53" s="109"/>
      <c r="C53" s="57" t="str">
        <f>C28</f>
        <v>Well sites/CPFs w/major production and processing equipment</v>
      </c>
      <c r="D53" s="55">
        <v>3</v>
      </c>
      <c r="E53" s="55">
        <v>1</v>
      </c>
      <c r="F53" s="55">
        <f t="shared" si="24"/>
        <v>3</v>
      </c>
      <c r="G53" s="55">
        <f>SUM('New Sources'!D7:F7)</f>
        <v>16405.8906862814</v>
      </c>
      <c r="H53" s="55">
        <f t="shared" si="29"/>
        <v>49217.672058844197</v>
      </c>
      <c r="I53" s="55">
        <f t="shared" si="30"/>
        <v>2460.88360294221</v>
      </c>
      <c r="J53" s="55">
        <f t="shared" si="31"/>
        <v>4921.76720588442</v>
      </c>
      <c r="K53" s="110">
        <f t="shared" si="32"/>
        <v>2969088.0584366145</v>
      </c>
    </row>
    <row r="54" spans="1:13" ht="16.350000000000001" customHeight="1" x14ac:dyDescent="0.2">
      <c r="A54" s="106"/>
      <c r="B54" s="109"/>
      <c r="C54" s="56" t="s">
        <v>48</v>
      </c>
      <c r="D54" s="55">
        <v>3</v>
      </c>
      <c r="E54" s="55">
        <v>1</v>
      </c>
      <c r="F54" s="55">
        <f>D54*E54</f>
        <v>3</v>
      </c>
      <c r="G54" s="55" cm="1">
        <f t="array" ref="G54">SUM('New Sources'!D24:F24/7)+SUM('New Sources'!D25:F26)</f>
        <v>669.06070805190348</v>
      </c>
      <c r="H54" s="55">
        <f>F54*G54</f>
        <v>2007.1821241557104</v>
      </c>
      <c r="I54" s="55">
        <f>H54*0.05</f>
        <v>100.35910620778553</v>
      </c>
      <c r="J54" s="55">
        <f>H54*0.1</f>
        <v>200.71821241557106</v>
      </c>
      <c r="K54" s="110">
        <f>(H54*N$3)+(I54*N$4)+(J54*N$5)</f>
        <v>121084.56630807395</v>
      </c>
      <c r="M54" s="97" t="s">
        <v>67</v>
      </c>
    </row>
    <row r="55" spans="1:13" ht="15" customHeight="1" x14ac:dyDescent="0.2">
      <c r="A55" s="106"/>
      <c r="B55" s="109"/>
      <c r="C55" s="126" t="s">
        <v>258</v>
      </c>
      <c r="D55" s="55">
        <v>2</v>
      </c>
      <c r="E55" s="55">
        <v>1</v>
      </c>
      <c r="F55" s="55">
        <f>D55*E55</f>
        <v>2</v>
      </c>
      <c r="G55" s="55">
        <f>SUM('New Sources'!D20:F20)</f>
        <v>8339.1420766187803</v>
      </c>
      <c r="H55" s="55">
        <f>F55*G55</f>
        <v>16678.284153237561</v>
      </c>
      <c r="I55" s="55">
        <f>H55*0.05</f>
        <v>833.91420766187809</v>
      </c>
      <c r="J55" s="55">
        <f>H55*0.1</f>
        <v>1667.8284153237562</v>
      </c>
      <c r="K55" s="110">
        <f>(H55*N$3)+(I55*N$4)+(J55*N$5)</f>
        <v>1006128.3324287555</v>
      </c>
      <c r="M55" s="97" t="s">
        <v>68</v>
      </c>
    </row>
    <row r="56" spans="1:13" ht="15" customHeight="1" x14ac:dyDescent="0.2">
      <c r="A56" s="106"/>
      <c r="B56" s="109"/>
      <c r="C56" s="126" t="s">
        <v>69</v>
      </c>
      <c r="D56" s="55">
        <v>4</v>
      </c>
      <c r="E56" s="55">
        <v>1</v>
      </c>
      <c r="F56" s="55">
        <f t="shared" ref="F56" si="33">D56*E56</f>
        <v>4</v>
      </c>
      <c r="G56" s="55">
        <f>SUM('New Sources'!D28:F28)</f>
        <v>3</v>
      </c>
      <c r="H56" s="55">
        <f t="shared" ref="H56" si="34">F56*G56</f>
        <v>12</v>
      </c>
      <c r="I56" s="55">
        <f t="shared" ref="I56:I58" si="35">H56*0.05</f>
        <v>0.60000000000000009</v>
      </c>
      <c r="J56" s="55">
        <f t="shared" ref="J56" si="36">H56*0.1</f>
        <v>1.2000000000000002</v>
      </c>
      <c r="K56" s="110">
        <f t="shared" ref="K56" si="37">(H56*N$3)+(I56*N$4)+(J56*N$5)</f>
        <v>723.90780000000007</v>
      </c>
      <c r="M56" s="97" t="s">
        <v>261</v>
      </c>
    </row>
    <row r="57" spans="1:13" ht="15" customHeight="1" x14ac:dyDescent="0.2">
      <c r="A57" s="106"/>
      <c r="B57" s="107" t="s">
        <v>70</v>
      </c>
      <c r="C57" s="108"/>
      <c r="D57" s="55"/>
      <c r="E57" s="55"/>
      <c r="F57" s="55"/>
      <c r="G57" s="55"/>
      <c r="H57" s="55"/>
      <c r="I57" s="55"/>
      <c r="J57" s="55"/>
      <c r="K57" s="110"/>
    </row>
    <row r="58" spans="1:13" ht="15" customHeight="1" x14ac:dyDescent="0.2">
      <c r="A58" s="106"/>
      <c r="B58" s="109"/>
      <c r="C58" s="126" t="s">
        <v>71</v>
      </c>
      <c r="D58" s="55">
        <v>24</v>
      </c>
      <c r="E58" s="55">
        <v>2</v>
      </c>
      <c r="F58" s="55">
        <f>D58*E58</f>
        <v>48</v>
      </c>
      <c r="G58" s="55">
        <f>SUM('New Sources'!D27:F27)</f>
        <v>45</v>
      </c>
      <c r="H58" s="55">
        <f>F58*G58</f>
        <v>2160</v>
      </c>
      <c r="I58" s="55">
        <f t="shared" si="35"/>
        <v>108</v>
      </c>
      <c r="J58" s="55">
        <f>H58*0.1</f>
        <v>216</v>
      </c>
      <c r="K58" s="110">
        <f>(H58*N$3)+(I58*N$4)+(J58*N$5)</f>
        <v>130303.40400000001</v>
      </c>
      <c r="M58" s="97" t="s">
        <v>72</v>
      </c>
    </row>
    <row r="59" spans="1:13" ht="15" customHeight="1" x14ac:dyDescent="0.2">
      <c r="A59" s="106"/>
      <c r="B59" s="107" t="s">
        <v>270</v>
      </c>
      <c r="C59" s="108"/>
      <c r="D59" s="55"/>
      <c r="E59" s="55"/>
      <c r="F59" s="55"/>
      <c r="G59" s="55"/>
      <c r="H59" s="55"/>
      <c r="I59" s="55"/>
      <c r="J59" s="55"/>
      <c r="K59" s="110"/>
    </row>
    <row r="60" spans="1:13" ht="15" customHeight="1" x14ac:dyDescent="0.2">
      <c r="A60" s="106"/>
      <c r="B60" s="109"/>
      <c r="C60" s="126" t="s">
        <v>271</v>
      </c>
      <c r="D60" s="55">
        <f>AVERAGE(2,24)</f>
        <v>13</v>
      </c>
      <c r="E60" s="55">
        <v>1</v>
      </c>
      <c r="F60" s="55">
        <f>D60*E60</f>
        <v>13</v>
      </c>
      <c r="G60" s="55">
        <v>250</v>
      </c>
      <c r="H60" s="55">
        <f>F60*G60</f>
        <v>3250</v>
      </c>
      <c r="I60" s="55">
        <f t="shared" ref="I60" si="38">H60*0.05</f>
        <v>162.5</v>
      </c>
      <c r="J60" s="55">
        <f>H60*0.1</f>
        <v>325</v>
      </c>
      <c r="K60" s="110">
        <f>(H60*N$3)+(I60*N$4)+(J60*N$5)</f>
        <v>196058.36249999999</v>
      </c>
      <c r="M60" t="s">
        <v>250</v>
      </c>
    </row>
    <row r="61" spans="1:13" ht="15" customHeight="1" x14ac:dyDescent="0.2">
      <c r="A61" s="128"/>
      <c r="B61" s="180" t="s">
        <v>73</v>
      </c>
      <c r="C61" s="181"/>
      <c r="D61" s="181"/>
      <c r="E61" s="181"/>
      <c r="F61" s="181"/>
      <c r="G61" s="181"/>
      <c r="H61" s="55">
        <f>SUM(H12:H58)</f>
        <v>557720.29190884449</v>
      </c>
      <c r="I61" s="55">
        <f>SUM(I12:I58)</f>
        <v>27886.014595442222</v>
      </c>
      <c r="J61" s="55">
        <f>SUM(J12:J58)</f>
        <v>55772.029190884445</v>
      </c>
      <c r="K61" s="182">
        <f>SUM(K12:K58)</f>
        <v>37188784.905042544</v>
      </c>
    </row>
    <row r="62" spans="1:13" ht="15" customHeight="1" x14ac:dyDescent="0.2">
      <c r="A62" s="129"/>
      <c r="B62" s="180"/>
      <c r="C62" s="181"/>
      <c r="D62" s="181"/>
      <c r="E62" s="181"/>
      <c r="F62" s="181"/>
      <c r="G62" s="181"/>
      <c r="H62" s="184">
        <f>SUM(H61:J61)</f>
        <v>641378.33569517115</v>
      </c>
      <c r="I62" s="183"/>
      <c r="J62" s="183"/>
      <c r="K62" s="183"/>
      <c r="M62" s="130">
        <f>SUM(K16:K49,K56:K58)</f>
        <v>31126251.823134642</v>
      </c>
    </row>
    <row r="63" spans="1:13" ht="15" customHeight="1" x14ac:dyDescent="0.2">
      <c r="A63" s="170" t="s">
        <v>74</v>
      </c>
      <c r="B63" s="171"/>
      <c r="C63" s="171"/>
      <c r="D63" s="171"/>
      <c r="E63" s="171"/>
      <c r="F63" s="171"/>
      <c r="G63" s="171"/>
      <c r="H63" s="171"/>
      <c r="I63" s="171"/>
      <c r="J63" s="171"/>
      <c r="K63" s="172"/>
    </row>
    <row r="64" spans="1:13" ht="15" customHeight="1" x14ac:dyDescent="0.2">
      <c r="A64" s="106"/>
      <c r="B64" s="107" t="s">
        <v>75</v>
      </c>
      <c r="C64" s="108"/>
      <c r="D64" s="101"/>
      <c r="E64" s="101"/>
      <c r="F64" s="101"/>
      <c r="G64" s="101"/>
      <c r="H64" s="55"/>
      <c r="I64" s="101"/>
      <c r="J64" s="101"/>
      <c r="K64" s="101"/>
    </row>
    <row r="65" spans="1:13" ht="15" customHeight="1" x14ac:dyDescent="0.2">
      <c r="A65" s="106"/>
      <c r="B65" s="107" t="s">
        <v>76</v>
      </c>
      <c r="C65" s="108"/>
      <c r="D65" s="101"/>
      <c r="E65" s="101"/>
      <c r="F65" s="101"/>
      <c r="G65" s="101"/>
      <c r="H65" s="55"/>
      <c r="I65" s="101"/>
      <c r="J65" s="101"/>
      <c r="K65" s="101"/>
    </row>
    <row r="66" spans="1:13" ht="15" customHeight="1" x14ac:dyDescent="0.2">
      <c r="A66" s="106"/>
      <c r="B66" s="107" t="s">
        <v>77</v>
      </c>
      <c r="C66" s="108"/>
      <c r="D66" s="101"/>
      <c r="E66" s="101"/>
      <c r="F66" s="101"/>
      <c r="G66" s="55"/>
      <c r="H66" s="55"/>
      <c r="I66" s="101"/>
      <c r="J66" s="101"/>
      <c r="K66" s="101"/>
    </row>
    <row r="67" spans="1:13" ht="15" customHeight="1" x14ac:dyDescent="0.2">
      <c r="A67" s="106"/>
      <c r="B67" s="109"/>
      <c r="C67" s="126" t="s">
        <v>78</v>
      </c>
      <c r="D67" s="124">
        <v>0.5</v>
      </c>
      <c r="E67" s="55">
        <v>1</v>
      </c>
      <c r="F67" s="55">
        <f t="shared" ref="F67:F73" si="39">D67*E67</f>
        <v>0.5</v>
      </c>
      <c r="G67" s="55">
        <f>('New Sources'!D17/'New Sources'!D4)*SUM('New Sources'!D4:F4)</f>
        <v>28991.301783150979</v>
      </c>
      <c r="H67" s="55">
        <f t="shared" ref="H67:H73" si="40">F67*G67</f>
        <v>14495.650891575489</v>
      </c>
      <c r="I67" s="55">
        <f t="shared" ref="I67:I73" si="41">H67*0.05</f>
        <v>724.78254457877449</v>
      </c>
      <c r="J67" s="55">
        <f t="shared" ref="J67:J73" si="42">H67*0.1</f>
        <v>1449.565089157549</v>
      </c>
      <c r="K67" s="110">
        <f t="shared" ref="K67:K73" si="43">(H67*N$3)+(I67*N$4)+(J67*N$5)</f>
        <v>874459.562207371</v>
      </c>
      <c r="L67" s="111"/>
      <c r="M67" s="97" t="s">
        <v>112</v>
      </c>
    </row>
    <row r="68" spans="1:13" ht="15" customHeight="1" x14ac:dyDescent="0.2">
      <c r="A68" s="106"/>
      <c r="B68" s="109"/>
      <c r="C68" s="126" t="s">
        <v>79</v>
      </c>
      <c r="D68" s="55">
        <v>1</v>
      </c>
      <c r="E68" s="55">
        <v>1</v>
      </c>
      <c r="F68" s="55">
        <f>D68*E68</f>
        <v>1</v>
      </c>
      <c r="G68" s="55">
        <f>('New Sources'!D16/'New Sources'!D4)*SUM('New Sources'!D4:F4)</f>
        <v>9087.3068946075309</v>
      </c>
      <c r="H68" s="55">
        <f>F68*G68</f>
        <v>9087.3068946075309</v>
      </c>
      <c r="I68" s="55">
        <f>H68*0.05</f>
        <v>454.36534473037659</v>
      </c>
      <c r="J68" s="55">
        <f>H68*0.1</f>
        <v>908.73068946075318</v>
      </c>
      <c r="K68" s="110">
        <f>(H68*N$3)+(I68*N$4)+(J68*N$5)</f>
        <v>548197.69516668085</v>
      </c>
      <c r="L68" s="111"/>
      <c r="M68" s="97" t="s">
        <v>80</v>
      </c>
    </row>
    <row r="69" spans="1:13" ht="15" customHeight="1" x14ac:dyDescent="0.2">
      <c r="A69" s="106"/>
      <c r="B69" s="109"/>
      <c r="C69" s="126" t="s">
        <v>110</v>
      </c>
      <c r="D69" s="127">
        <v>0.1</v>
      </c>
      <c r="E69" s="55">
        <v>1</v>
      </c>
      <c r="F69" s="55">
        <f t="shared" ref="F69:F70" si="44">D69*E69</f>
        <v>0.1</v>
      </c>
      <c r="G69" s="55">
        <f t="shared" ref="G69:G74" si="45">G44</f>
        <v>17464.373250372599</v>
      </c>
      <c r="H69" s="55">
        <f t="shared" ref="H69:H70" si="46">F69*G69</f>
        <v>1746.4373250372601</v>
      </c>
      <c r="I69" s="55">
        <f t="shared" ref="I69:I70" si="47">H69*0.05</f>
        <v>87.321866251863014</v>
      </c>
      <c r="J69" s="55">
        <f t="shared" ref="J69:J70" si="48">H69*0.1</f>
        <v>174.64373250372603</v>
      </c>
      <c r="K69" s="110">
        <f t="shared" ref="K69:K70" si="49">(H69*N$3)+(I69*N$4)+(J69*N$5)</f>
        <v>105354.96681713399</v>
      </c>
      <c r="L69" s="111"/>
      <c r="M69" s="97" t="s">
        <v>81</v>
      </c>
    </row>
    <row r="70" spans="1:13" ht="15" customHeight="1" x14ac:dyDescent="0.2">
      <c r="A70" s="106"/>
      <c r="B70" s="109"/>
      <c r="C70" s="126" t="s">
        <v>59</v>
      </c>
      <c r="D70" s="124">
        <v>2</v>
      </c>
      <c r="E70" s="55">
        <v>1</v>
      </c>
      <c r="F70" s="55">
        <f t="shared" si="44"/>
        <v>2</v>
      </c>
      <c r="G70" s="55">
        <f t="shared" si="45"/>
        <v>23541.782045722823</v>
      </c>
      <c r="H70" s="55">
        <f t="shared" si="46"/>
        <v>47083.564091445645</v>
      </c>
      <c r="I70" s="55">
        <f t="shared" si="47"/>
        <v>2354.1782045722825</v>
      </c>
      <c r="J70" s="55">
        <f t="shared" si="48"/>
        <v>4708.3564091445651</v>
      </c>
      <c r="K70" s="110">
        <f t="shared" si="49"/>
        <v>2840346.6081331186</v>
      </c>
      <c r="L70" s="111"/>
      <c r="M70" s="97" t="s">
        <v>82</v>
      </c>
    </row>
    <row r="71" spans="1:13" ht="15" customHeight="1" x14ac:dyDescent="0.2">
      <c r="A71" s="106"/>
      <c r="B71" s="109"/>
      <c r="C71" s="126" t="s">
        <v>61</v>
      </c>
      <c r="D71" s="55">
        <v>4</v>
      </c>
      <c r="E71" s="55">
        <v>1</v>
      </c>
      <c r="F71" s="55">
        <f t="shared" si="39"/>
        <v>4</v>
      </c>
      <c r="G71" s="55">
        <f t="shared" si="45"/>
        <v>646.60935066941579</v>
      </c>
      <c r="H71" s="55">
        <f t="shared" si="40"/>
        <v>2586.4374026776632</v>
      </c>
      <c r="I71" s="55">
        <f t="shared" si="41"/>
        <v>129.32187013388315</v>
      </c>
      <c r="J71" s="55">
        <f t="shared" si="42"/>
        <v>258.6437402677663</v>
      </c>
      <c r="K71" s="110">
        <f t="shared" si="43"/>
        <v>156028.51750084179</v>
      </c>
      <c r="M71" s="97" t="s">
        <v>83</v>
      </c>
    </row>
    <row r="72" spans="1:13" ht="15" customHeight="1" x14ac:dyDescent="0.2">
      <c r="A72" s="106"/>
      <c r="B72" s="109"/>
      <c r="C72" s="126" t="s">
        <v>63</v>
      </c>
      <c r="D72" s="55">
        <v>1</v>
      </c>
      <c r="E72" s="55">
        <v>1</v>
      </c>
      <c r="F72" s="55">
        <f t="shared" si="39"/>
        <v>1</v>
      </c>
      <c r="G72" s="55">
        <f t="shared" si="45"/>
        <v>5387.1439767320144</v>
      </c>
      <c r="H72" s="55">
        <f t="shared" si="40"/>
        <v>5387.1439767320144</v>
      </c>
      <c r="I72" s="55">
        <f t="shared" si="41"/>
        <v>269.35719883660073</v>
      </c>
      <c r="J72" s="55">
        <f t="shared" si="42"/>
        <v>538.71439767320146</v>
      </c>
      <c r="K72" s="110">
        <f t="shared" si="43"/>
        <v>324982.96203994367</v>
      </c>
      <c r="M72" s="97" t="s">
        <v>84</v>
      </c>
    </row>
    <row r="73" spans="1:13" ht="15" customHeight="1" x14ac:dyDescent="0.2">
      <c r="A73" s="106"/>
      <c r="B73" s="109"/>
      <c r="C73" s="126" t="s">
        <v>257</v>
      </c>
      <c r="D73" s="55">
        <v>4</v>
      </c>
      <c r="E73" s="55">
        <v>1</v>
      </c>
      <c r="F73" s="55">
        <f t="shared" si="39"/>
        <v>4</v>
      </c>
      <c r="G73" s="55">
        <f t="shared" si="45"/>
        <v>40254.391746674708</v>
      </c>
      <c r="H73" s="55">
        <f t="shared" si="40"/>
        <v>161017.56698669883</v>
      </c>
      <c r="I73" s="55">
        <f t="shared" si="41"/>
        <v>8050.878349334942</v>
      </c>
      <c r="J73" s="55">
        <f t="shared" si="42"/>
        <v>16101.756698669884</v>
      </c>
      <c r="K73" s="110">
        <f t="shared" si="43"/>
        <v>9713489.3898911476</v>
      </c>
      <c r="M73" s="97" t="s">
        <v>85</v>
      </c>
    </row>
    <row r="74" spans="1:13" ht="15" customHeight="1" x14ac:dyDescent="0.2">
      <c r="A74" s="106"/>
      <c r="B74" s="109"/>
      <c r="C74" s="126" t="s">
        <v>111</v>
      </c>
      <c r="D74" s="55">
        <v>2</v>
      </c>
      <c r="E74" s="55">
        <v>1</v>
      </c>
      <c r="F74" s="55">
        <f>D74*E74</f>
        <v>2</v>
      </c>
      <c r="G74" s="55">
        <f t="shared" si="45"/>
        <v>16118.882080929399</v>
      </c>
      <c r="H74" s="55">
        <f>F74*G74</f>
        <v>32237.764161858799</v>
      </c>
      <c r="I74" s="55">
        <f>H74*0.05</f>
        <v>1611.88820809294</v>
      </c>
      <c r="J74" s="55">
        <f>H74*0.1</f>
        <v>3223.77641618588</v>
      </c>
      <c r="K74" s="110">
        <f>(H74*N$3)+(I74*N$4)+(J74*N$5)</f>
        <v>1944764.0776108373</v>
      </c>
      <c r="M74" s="97" t="s">
        <v>86</v>
      </c>
    </row>
    <row r="75" spans="1:13" x14ac:dyDescent="0.2">
      <c r="A75" s="106"/>
      <c r="B75" s="109"/>
      <c r="C75" s="56" t="s">
        <v>87</v>
      </c>
      <c r="D75" s="55"/>
      <c r="E75" s="55"/>
      <c r="F75" s="55"/>
      <c r="G75" s="55"/>
      <c r="H75" s="55"/>
      <c r="I75" s="55"/>
      <c r="J75" s="55"/>
      <c r="K75" s="110"/>
    </row>
    <row r="76" spans="1:13" ht="12" customHeight="1" x14ac:dyDescent="0.2">
      <c r="A76" s="106"/>
      <c r="B76" s="109"/>
      <c r="C76" s="65" t="s">
        <v>252</v>
      </c>
      <c r="D76" s="55"/>
      <c r="E76" s="55"/>
      <c r="F76" s="55"/>
      <c r="G76" s="92">
        <f>G25</f>
        <v>158.32578815806306</v>
      </c>
      <c r="H76" s="55"/>
      <c r="I76" s="55"/>
      <c r="J76" s="55"/>
      <c r="K76" s="110">
        <f>G76*D102</f>
        <v>137426.78412119873</v>
      </c>
    </row>
    <row r="77" spans="1:13" x14ac:dyDescent="0.2">
      <c r="A77" s="106"/>
      <c r="B77" s="109"/>
      <c r="C77" s="65" t="s">
        <v>47</v>
      </c>
      <c r="D77" s="55"/>
      <c r="E77" s="55"/>
      <c r="F77" s="55"/>
      <c r="G77" s="92">
        <f>G29</f>
        <v>4633.0161113772938</v>
      </c>
      <c r="H77" s="55"/>
      <c r="I77" s="55"/>
      <c r="J77" s="55"/>
      <c r="K77" s="110">
        <f>G77*D102</f>
        <v>4021457.9846754912</v>
      </c>
      <c r="L77" s="125"/>
    </row>
    <row r="78" spans="1:13" x14ac:dyDescent="0.2">
      <c r="A78" s="106"/>
      <c r="B78" s="109"/>
      <c r="C78" s="65" t="s">
        <v>89</v>
      </c>
      <c r="D78" s="55"/>
      <c r="E78" s="55"/>
      <c r="F78" s="55"/>
      <c r="G78" s="92">
        <f>G54</f>
        <v>669.06070805190348</v>
      </c>
      <c r="H78" s="55"/>
      <c r="I78" s="55"/>
      <c r="J78" s="55"/>
      <c r="K78" s="110">
        <f>G78*D102</f>
        <v>580744.69458905223</v>
      </c>
      <c r="L78" s="125"/>
    </row>
    <row r="79" spans="1:13" x14ac:dyDescent="0.2">
      <c r="A79" s="106"/>
      <c r="B79" s="109"/>
      <c r="C79" s="58" t="s">
        <v>90</v>
      </c>
      <c r="D79" s="55"/>
      <c r="E79" s="55"/>
      <c r="F79" s="55"/>
      <c r="G79" s="92"/>
      <c r="H79" s="55"/>
      <c r="I79" s="55"/>
      <c r="J79" s="55"/>
      <c r="K79" s="110"/>
    </row>
    <row r="80" spans="1:13" x14ac:dyDescent="0.2">
      <c r="A80" s="106"/>
      <c r="B80" s="109"/>
      <c r="C80" s="65" t="s">
        <v>252</v>
      </c>
      <c r="D80" s="55"/>
      <c r="E80" s="55"/>
      <c r="F80" s="55"/>
      <c r="G80" s="92">
        <f>G76</f>
        <v>158.32578815806306</v>
      </c>
      <c r="H80" s="55"/>
      <c r="I80" s="55"/>
      <c r="J80" s="55"/>
      <c r="K80" s="110">
        <f>G80*D103</f>
        <v>51139.229575054371</v>
      </c>
    </row>
    <row r="81" spans="1:13" x14ac:dyDescent="0.2">
      <c r="A81" s="106"/>
      <c r="B81" s="109"/>
      <c r="C81" s="65" t="s">
        <v>47</v>
      </c>
      <c r="D81" s="55"/>
      <c r="E81" s="55"/>
      <c r="F81" s="55"/>
      <c r="G81" s="92">
        <f>G77</f>
        <v>4633.0161113772938</v>
      </c>
      <c r="H81" s="55"/>
      <c r="I81" s="55"/>
      <c r="J81" s="55"/>
      <c r="K81" s="110">
        <f>G81*D103</f>
        <v>1496464.2039748658</v>
      </c>
      <c r="L81" s="125"/>
    </row>
    <row r="82" spans="1:13" x14ac:dyDescent="0.2">
      <c r="A82" s="106"/>
      <c r="B82" s="109"/>
      <c r="C82" s="65" t="s">
        <v>89</v>
      </c>
      <c r="D82" s="55"/>
      <c r="E82" s="55"/>
      <c r="F82" s="55"/>
      <c r="G82" s="55">
        <f>G78</f>
        <v>669.06070805190348</v>
      </c>
      <c r="H82" s="55"/>
      <c r="I82" s="55"/>
      <c r="J82" s="55"/>
      <c r="K82" s="110">
        <f>G82*D104</f>
        <v>431544.15669347777</v>
      </c>
      <c r="L82" s="125"/>
    </row>
    <row r="83" spans="1:13" ht="15" customHeight="1" x14ac:dyDescent="0.2">
      <c r="A83" s="106"/>
      <c r="B83" s="109"/>
      <c r="C83" s="126" t="s">
        <v>258</v>
      </c>
      <c r="D83" s="55">
        <v>2</v>
      </c>
      <c r="E83" s="55">
        <v>1</v>
      </c>
      <c r="F83" s="55">
        <f>D83*E83</f>
        <v>2</v>
      </c>
      <c r="G83" s="55">
        <f>G55</f>
        <v>8339.1420766187803</v>
      </c>
      <c r="H83" s="55">
        <f>F83*G83</f>
        <v>16678.284153237561</v>
      </c>
      <c r="I83" s="55">
        <f>H83*0.05</f>
        <v>833.91420766187809</v>
      </c>
      <c r="J83" s="55">
        <f>H83*0.1</f>
        <v>1667.8284153237562</v>
      </c>
      <c r="K83" s="110">
        <f>(H83*N$3)+(I83*N$4)+(J83*N$5)</f>
        <v>1006128.3324287555</v>
      </c>
      <c r="L83" s="111"/>
      <c r="M83" s="97" t="s">
        <v>91</v>
      </c>
    </row>
    <row r="84" spans="1:13" ht="15" customHeight="1" x14ac:dyDescent="0.2">
      <c r="A84" s="106"/>
      <c r="B84" s="109"/>
      <c r="C84" s="126" t="s">
        <v>92</v>
      </c>
      <c r="D84" s="55">
        <v>8</v>
      </c>
      <c r="E84" s="55">
        <v>4</v>
      </c>
      <c r="F84" s="55">
        <f>D84*E84</f>
        <v>32</v>
      </c>
      <c r="G84" s="55">
        <f>G58</f>
        <v>45</v>
      </c>
      <c r="H84" s="55">
        <f>F84*G84</f>
        <v>1440</v>
      </c>
      <c r="I84" s="55">
        <f>H84*0.05</f>
        <v>72</v>
      </c>
      <c r="J84" s="55">
        <f>H84*0.1</f>
        <v>144</v>
      </c>
      <c r="K84" s="110">
        <f>(H84*N$3)+(I84*N$4)+(J84*N$5)</f>
        <v>86868.936000000016</v>
      </c>
      <c r="M84" s="97" t="s">
        <v>93</v>
      </c>
    </row>
    <row r="85" spans="1:13" ht="15" customHeight="1" x14ac:dyDescent="0.2">
      <c r="A85" s="106"/>
      <c r="B85" s="109"/>
      <c r="C85" s="126" t="s">
        <v>94</v>
      </c>
      <c r="D85" s="55">
        <v>4</v>
      </c>
      <c r="E85" s="55">
        <v>1</v>
      </c>
      <c r="F85" s="55">
        <f>D85*E85</f>
        <v>4</v>
      </c>
      <c r="G85" s="55">
        <f>G56</f>
        <v>3</v>
      </c>
      <c r="H85" s="55">
        <f>F85*G85</f>
        <v>12</v>
      </c>
      <c r="I85" s="55">
        <f>H85*0.05</f>
        <v>0.60000000000000009</v>
      </c>
      <c r="J85" s="55">
        <f>H85*0.1</f>
        <v>1.2000000000000002</v>
      </c>
      <c r="K85" s="110">
        <f>(H85*N$3)+(I85*N$4)+(J85*N$5)</f>
        <v>723.90780000000007</v>
      </c>
      <c r="M85" s="97" t="s">
        <v>262</v>
      </c>
    </row>
    <row r="86" spans="1:13" ht="15" customHeight="1" x14ac:dyDescent="0.2">
      <c r="A86" s="106"/>
      <c r="B86" s="109"/>
      <c r="C86" s="126" t="s">
        <v>57</v>
      </c>
      <c r="D86" s="55">
        <v>2</v>
      </c>
      <c r="E86" s="55">
        <v>1</v>
      </c>
      <c r="F86" s="55">
        <f>D86*E86</f>
        <v>2</v>
      </c>
      <c r="G86" s="55">
        <f>G44</f>
        <v>17464.373250372599</v>
      </c>
      <c r="H86" s="55">
        <f>F86*G86</f>
        <v>34928.746500745197</v>
      </c>
      <c r="I86" s="55">
        <f>H86*0.05</f>
        <v>1746.4373250372601</v>
      </c>
      <c r="J86" s="55">
        <f>H86*0.1</f>
        <v>3492.8746500745201</v>
      </c>
      <c r="K86" s="110">
        <f>(H86*N$3)+(I86*N$4)+(J86*N$5)</f>
        <v>2107099.3363426793</v>
      </c>
      <c r="M86" s="97" t="s">
        <v>95</v>
      </c>
    </row>
    <row r="87" spans="1:13" ht="15" customHeight="1" x14ac:dyDescent="0.2">
      <c r="A87" s="106"/>
      <c r="B87" s="107" t="s">
        <v>96</v>
      </c>
      <c r="C87" s="108"/>
      <c r="D87" s="101"/>
      <c r="E87" s="101"/>
      <c r="F87" s="101"/>
      <c r="G87" s="101"/>
      <c r="H87" s="55"/>
      <c r="I87" s="101"/>
      <c r="J87" s="101"/>
      <c r="K87" s="101"/>
      <c r="M87" s="67"/>
    </row>
    <row r="88" spans="1:13" ht="15" customHeight="1" x14ac:dyDescent="0.2">
      <c r="A88" s="106"/>
      <c r="B88" s="107" t="s">
        <v>97</v>
      </c>
      <c r="C88" s="108"/>
      <c r="D88" s="101"/>
      <c r="E88" s="101"/>
      <c r="F88" s="101"/>
      <c r="G88" s="101"/>
      <c r="H88" s="55"/>
      <c r="I88" s="101"/>
      <c r="J88" s="101"/>
      <c r="K88" s="101"/>
      <c r="M88" s="64"/>
    </row>
    <row r="89" spans="1:13" ht="15" customHeight="1" x14ac:dyDescent="0.2">
      <c r="A89" s="106"/>
      <c r="B89" s="109"/>
      <c r="C89" s="126" t="s">
        <v>98</v>
      </c>
      <c r="D89" s="101"/>
      <c r="E89" s="101"/>
      <c r="F89" s="101"/>
      <c r="G89" s="101"/>
      <c r="H89" s="55"/>
      <c r="I89" s="101"/>
      <c r="J89" s="101"/>
      <c r="K89" s="101"/>
      <c r="M89" s="64"/>
    </row>
    <row r="90" spans="1:13" ht="15" customHeight="1" x14ac:dyDescent="0.2">
      <c r="A90" s="106"/>
      <c r="B90" s="107" t="s">
        <v>99</v>
      </c>
      <c r="C90" s="108"/>
      <c r="D90" s="101"/>
      <c r="E90" s="101"/>
      <c r="F90" s="101"/>
      <c r="G90" s="101"/>
      <c r="H90" s="55"/>
      <c r="I90" s="101"/>
      <c r="J90" s="101"/>
      <c r="K90" s="101"/>
      <c r="M90" s="131"/>
    </row>
    <row r="91" spans="1:13" ht="15" customHeight="1" x14ac:dyDescent="0.2">
      <c r="A91" s="106"/>
      <c r="B91" s="107" t="s">
        <v>100</v>
      </c>
      <c r="C91" s="108"/>
      <c r="D91" s="101"/>
      <c r="E91" s="101"/>
      <c r="F91" s="101"/>
      <c r="G91" s="101"/>
      <c r="H91" s="55"/>
      <c r="I91" s="101"/>
      <c r="J91" s="101"/>
      <c r="K91" s="101"/>
      <c r="M91" s="67"/>
    </row>
    <row r="92" spans="1:13" ht="15" customHeight="1" x14ac:dyDescent="0.2">
      <c r="A92" s="106"/>
      <c r="B92" s="107" t="s">
        <v>264</v>
      </c>
      <c r="C92" s="108"/>
      <c r="D92" s="55"/>
      <c r="E92" s="55"/>
      <c r="F92" s="55"/>
      <c r="G92" s="55"/>
      <c r="H92" s="55"/>
      <c r="I92" s="55"/>
      <c r="J92" s="55"/>
      <c r="K92" s="110"/>
    </row>
    <row r="93" spans="1:13" ht="15" customHeight="1" x14ac:dyDescent="0.2">
      <c r="A93" s="106"/>
      <c r="B93" s="109"/>
      <c r="C93" s="126" t="s">
        <v>265</v>
      </c>
      <c r="D93" s="55">
        <f>AVERAGE(2,40)</f>
        <v>21</v>
      </c>
      <c r="E93" s="55">
        <v>1</v>
      </c>
      <c r="F93" s="55">
        <f>D93*E93</f>
        <v>21</v>
      </c>
      <c r="G93" s="55">
        <v>250</v>
      </c>
      <c r="H93" s="55">
        <f>F93*G93</f>
        <v>5250</v>
      </c>
      <c r="I93" s="55">
        <f t="shared" ref="I93" si="50">H93*0.05</f>
        <v>262.5</v>
      </c>
      <c r="J93" s="55">
        <f>H93*0.1</f>
        <v>525</v>
      </c>
      <c r="K93" s="110">
        <f>(H93*N$3)+(I93*N$4)+(J93*N$5)</f>
        <v>316709.66249999998</v>
      </c>
      <c r="M93" t="s">
        <v>251</v>
      </c>
    </row>
    <row r="94" spans="1:13" ht="15" customHeight="1" x14ac:dyDescent="0.2">
      <c r="A94" s="128"/>
      <c r="B94" s="180" t="s">
        <v>101</v>
      </c>
      <c r="C94" s="181"/>
      <c r="D94" s="181"/>
      <c r="E94" s="181"/>
      <c r="F94" s="181"/>
      <c r="G94" s="181"/>
      <c r="H94" s="55">
        <f>SUM(H64:H91)</f>
        <v>326700.90238461597</v>
      </c>
      <c r="I94" s="55">
        <f t="shared" ref="I94:J94" si="51">SUM(I64:I91)</f>
        <v>16335.045119230799</v>
      </c>
      <c r="J94" s="55">
        <f t="shared" si="51"/>
        <v>32670.090238461598</v>
      </c>
      <c r="K94" s="182">
        <f>SUM(K64:K91)</f>
        <v>26427221.345567651</v>
      </c>
      <c r="M94" s="67"/>
    </row>
    <row r="95" spans="1:13" ht="15" customHeight="1" x14ac:dyDescent="0.2">
      <c r="A95" s="129"/>
      <c r="B95" s="180"/>
      <c r="C95" s="181"/>
      <c r="D95" s="181"/>
      <c r="E95" s="181"/>
      <c r="F95" s="181"/>
      <c r="G95" s="181"/>
      <c r="H95" s="184">
        <f>SUM(H94:J94)</f>
        <v>375706.0377423084</v>
      </c>
      <c r="I95" s="183"/>
      <c r="J95" s="183"/>
      <c r="K95" s="183"/>
      <c r="M95" s="67"/>
    </row>
    <row r="96" spans="1:13" ht="15" customHeight="1" x14ac:dyDescent="0.2">
      <c r="A96" s="185" t="s">
        <v>102</v>
      </c>
      <c r="B96" s="185"/>
      <c r="C96" s="185"/>
      <c r="D96" s="185"/>
      <c r="E96" s="185"/>
      <c r="F96" s="185"/>
      <c r="G96" s="185"/>
      <c r="H96" s="55">
        <f>SUM(H61,H94)</f>
        <v>884421.19429346046</v>
      </c>
      <c r="I96" s="55">
        <f>SUM(I61,I94)</f>
        <v>44221.059714673022</v>
      </c>
      <c r="J96" s="55">
        <f>SUM(J61,J94)</f>
        <v>88442.119429346043</v>
      </c>
      <c r="K96" s="182">
        <f>SUM(K61,K94)</f>
        <v>63616006.250610195</v>
      </c>
    </row>
    <row r="97" spans="1:13" ht="15" customHeight="1" x14ac:dyDescent="0.2">
      <c r="A97" s="185"/>
      <c r="B97" s="185"/>
      <c r="C97" s="185"/>
      <c r="D97" s="185"/>
      <c r="E97" s="185"/>
      <c r="F97" s="185"/>
      <c r="G97" s="185"/>
      <c r="H97" s="184">
        <f>SUM(H96:J96)</f>
        <v>1017084.3734374795</v>
      </c>
      <c r="I97" s="183"/>
      <c r="J97" s="183"/>
      <c r="K97" s="183"/>
      <c r="M97" s="130"/>
    </row>
    <row r="98" spans="1:13" x14ac:dyDescent="0.2">
      <c r="A98" s="177" t="s">
        <v>103</v>
      </c>
      <c r="B98" s="177"/>
      <c r="C98" s="177"/>
      <c r="D98" s="177"/>
      <c r="E98" s="177"/>
      <c r="F98" s="177"/>
      <c r="G98" s="177"/>
      <c r="H98" s="177"/>
      <c r="I98" s="177"/>
      <c r="J98" s="177"/>
      <c r="K98" s="177"/>
    </row>
    <row r="99" spans="1:13" x14ac:dyDescent="0.2">
      <c r="A99" s="64" t="s">
        <v>104</v>
      </c>
      <c r="B99" s="64"/>
      <c r="C99" s="94"/>
      <c r="D99" s="94"/>
      <c r="E99" s="94"/>
      <c r="F99" s="94"/>
      <c r="G99" s="94"/>
      <c r="H99" s="94"/>
      <c r="I99" s="94"/>
      <c r="J99" s="94"/>
      <c r="K99" s="94"/>
    </row>
    <row r="100" spans="1:13" x14ac:dyDescent="0.2">
      <c r="A100" s="132" t="s">
        <v>105</v>
      </c>
      <c r="C100" s="133"/>
      <c r="D100" s="134">
        <v>897</v>
      </c>
    </row>
    <row r="101" spans="1:13" x14ac:dyDescent="0.2">
      <c r="A101" s="132" t="s">
        <v>106</v>
      </c>
      <c r="C101" s="133"/>
      <c r="D101" s="125">
        <v>19728</v>
      </c>
    </row>
    <row r="102" spans="1:13" x14ac:dyDescent="0.2">
      <c r="A102" s="66" t="s">
        <v>107</v>
      </c>
      <c r="D102" s="125">
        <v>868</v>
      </c>
    </row>
    <row r="103" spans="1:13" x14ac:dyDescent="0.2">
      <c r="A103" s="66" t="s">
        <v>108</v>
      </c>
      <c r="D103" s="125">
        <v>323</v>
      </c>
    </row>
    <row r="104" spans="1:13" x14ac:dyDescent="0.2">
      <c r="A104" s="66" t="s">
        <v>109</v>
      </c>
      <c r="D104" s="125">
        <v>645</v>
      </c>
    </row>
    <row r="105" spans="1:13" x14ac:dyDescent="0.2">
      <c r="A105" s="59"/>
      <c r="D105" s="125"/>
    </row>
    <row r="106" spans="1:13" x14ac:dyDescent="0.2">
      <c r="A106" s="66"/>
      <c r="D106" s="60"/>
    </row>
    <row r="107" spans="1:13" ht="15.75" x14ac:dyDescent="0.25">
      <c r="A107" s="62"/>
      <c r="D107" s="60"/>
    </row>
    <row r="108" spans="1:13" ht="15.75" x14ac:dyDescent="0.25">
      <c r="A108" s="62"/>
    </row>
    <row r="109" spans="1:13" ht="15.75" x14ac:dyDescent="0.25">
      <c r="A109" s="61"/>
    </row>
  </sheetData>
  <mergeCells count="20">
    <mergeCell ref="A7:K7"/>
    <mergeCell ref="A1:K1"/>
    <mergeCell ref="A2:K2"/>
    <mergeCell ref="A3:K3"/>
    <mergeCell ref="A4:K4"/>
    <mergeCell ref="A5:C6"/>
    <mergeCell ref="A8:K8"/>
    <mergeCell ref="A9:K9"/>
    <mergeCell ref="A10:K10"/>
    <mergeCell ref="B61:G62"/>
    <mergeCell ref="K61:K62"/>
    <mergeCell ref="H62:J62"/>
    <mergeCell ref="A98:K98"/>
    <mergeCell ref="A63:K63"/>
    <mergeCell ref="B94:G95"/>
    <mergeCell ref="K94:K95"/>
    <mergeCell ref="H95:J95"/>
    <mergeCell ref="A96:G97"/>
    <mergeCell ref="K96:K97"/>
    <mergeCell ref="H97:J97"/>
  </mergeCells>
  <pageMargins left="0.7" right="0.7" top="0.75" bottom="0.75" header="0.3" footer="0.3"/>
  <pageSetup scale="2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93EE0-534C-4E28-9745-FB683641936B}">
  <sheetPr codeName="Sheet3"/>
  <dimension ref="A1:O16"/>
  <sheetViews>
    <sheetView showGridLines="0" tabSelected="1" topLeftCell="D1" zoomScale="75" zoomScaleNormal="75" workbookViewId="0">
      <selection activeCell="K17" sqref="K17"/>
    </sheetView>
  </sheetViews>
  <sheetFormatPr defaultColWidth="9.33203125" defaultRowHeight="12.75" x14ac:dyDescent="0.2"/>
  <cols>
    <col min="1" max="1" width="17.1640625" style="1" customWidth="1"/>
    <col min="2" max="2" width="15.83203125" style="1" customWidth="1"/>
    <col min="3" max="3" width="15" style="1" customWidth="1"/>
    <col min="4" max="7" width="17.1640625" style="1" customWidth="1"/>
    <col min="8" max="8" width="13.83203125" style="1" customWidth="1"/>
    <col min="9" max="9" width="16.83203125" style="1" customWidth="1"/>
    <col min="10" max="10" width="5.1640625" style="1" customWidth="1"/>
    <col min="11" max="11" width="67.83203125" style="1" customWidth="1"/>
    <col min="12" max="15" width="16.83203125" style="1" customWidth="1"/>
    <col min="16" max="16384" width="9.33203125" style="1"/>
  </cols>
  <sheetData>
    <row r="1" spans="1:15" customFormat="1" ht="15.6" customHeight="1" x14ac:dyDescent="0.2">
      <c r="A1" s="190" t="s">
        <v>260</v>
      </c>
      <c r="B1" s="190"/>
      <c r="C1" s="190"/>
      <c r="D1" s="190"/>
      <c r="E1" s="190"/>
      <c r="F1" s="190"/>
      <c r="G1" s="190"/>
      <c r="H1" s="12"/>
      <c r="I1" s="12"/>
      <c r="J1" s="12"/>
      <c r="K1" s="12"/>
    </row>
    <row r="2" spans="1:15" customFormat="1" ht="15.75" x14ac:dyDescent="0.25">
      <c r="A2" s="191" t="s">
        <v>117</v>
      </c>
      <c r="B2" s="191"/>
      <c r="C2" s="191"/>
      <c r="D2" s="191"/>
      <c r="E2" s="191"/>
      <c r="F2" s="191"/>
      <c r="G2" s="191"/>
    </row>
    <row r="3" spans="1:15" customFormat="1" ht="15.75" x14ac:dyDescent="0.2">
      <c r="A3" s="190" t="s">
        <v>118</v>
      </c>
      <c r="B3" s="192"/>
      <c r="C3" s="192"/>
      <c r="D3" s="192"/>
      <c r="E3" s="192"/>
      <c r="F3" s="192"/>
      <c r="G3" s="192"/>
    </row>
    <row r="4" spans="1:15" customFormat="1" ht="15.75" x14ac:dyDescent="0.2">
      <c r="A4" s="190" t="s">
        <v>256</v>
      </c>
      <c r="B4" s="192"/>
      <c r="C4" s="192"/>
      <c r="D4" s="192"/>
      <c r="E4" s="192"/>
      <c r="F4" s="192"/>
      <c r="G4" s="192"/>
      <c r="K4" s="186"/>
      <c r="L4" s="186"/>
      <c r="M4" s="186"/>
      <c r="N4" s="186"/>
    </row>
    <row r="5" spans="1:15" ht="13.15" customHeight="1" x14ac:dyDescent="0.25">
      <c r="A5" s="193" t="s">
        <v>119</v>
      </c>
      <c r="B5" s="193"/>
      <c r="C5" s="193"/>
      <c r="D5" s="193"/>
      <c r="E5" s="193"/>
      <c r="F5" s="193"/>
      <c r="G5" s="193"/>
      <c r="K5" s="187" t="s">
        <v>120</v>
      </c>
      <c r="L5" s="187"/>
      <c r="M5" s="187"/>
      <c r="N5" s="187"/>
    </row>
    <row r="6" spans="1:15" ht="25.5" x14ac:dyDescent="0.2">
      <c r="A6" s="136" t="s">
        <v>121</v>
      </c>
      <c r="B6" s="136" t="s">
        <v>122</v>
      </c>
      <c r="C6" s="136" t="s">
        <v>123</v>
      </c>
      <c r="D6" s="136" t="s">
        <v>124</v>
      </c>
      <c r="E6" s="136" t="s">
        <v>125</v>
      </c>
      <c r="F6" s="136" t="s">
        <v>126</v>
      </c>
      <c r="G6" s="136" t="s">
        <v>127</v>
      </c>
      <c r="I6" s="136" t="s">
        <v>128</v>
      </c>
      <c r="J6" s="29"/>
      <c r="K6" s="137" t="s">
        <v>129</v>
      </c>
      <c r="L6" s="31" t="s">
        <v>130</v>
      </c>
      <c r="M6" s="31" t="s">
        <v>131</v>
      </c>
      <c r="N6" s="31" t="s">
        <v>132</v>
      </c>
      <c r="O6" s="29"/>
    </row>
    <row r="7" spans="1:15" ht="15" customHeight="1" x14ac:dyDescent="0.2">
      <c r="A7" s="138" t="s">
        <v>133</v>
      </c>
      <c r="B7" s="139">
        <f>'Year 1 (2023)'!G12+'Year 1 (2023)'!G13</f>
        <v>1238.4020247317048</v>
      </c>
      <c r="C7" s="139">
        <f>'Year 1 (2023)'!H96</f>
        <v>727289.03639481741</v>
      </c>
      <c r="D7" s="139">
        <f>'Year 1 (2023)'!I96</f>
        <v>36364.451819740876</v>
      </c>
      <c r="E7" s="139">
        <f>'Year 1 (2023)'!J96</f>
        <v>72728.903639481752</v>
      </c>
      <c r="F7" s="139">
        <f>SUM(C7:E7)</f>
        <v>836382.39185403998</v>
      </c>
      <c r="G7" s="140">
        <f>'Year 1 (2023)'!K96</f>
        <v>60641214.521028191</v>
      </c>
      <c r="I7" s="140">
        <f>'Year 1 (2023)'!K27+'Year 1 (2023)'!K31+'Year 1 (2023)'!K36+'Year 1 (2023)'!K40+'Year 1 (2023)'!K76+'Year 1 (2023)'!K77+'Year 1 (2023)'!K78+'Year 1 (2023)'!K80+'Year 1 (2023)'!K81+'Year 1 (2023)'!K82</f>
        <v>16767030.66263718</v>
      </c>
      <c r="J7" s="141"/>
      <c r="K7" s="142" t="s">
        <v>134</v>
      </c>
      <c r="L7" s="139">
        <f>('Year 1 (2023)'!G16+'Year 2 (2024)'!G16+'Year 3 (2025)'!G16)/3</f>
        <v>12692.666666666666</v>
      </c>
      <c r="M7" s="139">
        <v>1</v>
      </c>
      <c r="N7" s="139">
        <f>L7*M7</f>
        <v>12692.666666666666</v>
      </c>
      <c r="O7" s="143"/>
    </row>
    <row r="8" spans="1:15" ht="15" customHeight="1" x14ac:dyDescent="0.2">
      <c r="A8" s="138" t="s">
        <v>135</v>
      </c>
      <c r="B8" s="139">
        <f>'Year 2 (2024)'!G12+'Year 2 (2024)'!G13</f>
        <v>1858.1370092144043</v>
      </c>
      <c r="C8" s="139">
        <f>'Year 2 (2024)'!H96</f>
        <v>693399.5964400603</v>
      </c>
      <c r="D8" s="139">
        <f>'Year 2 (2024)'!I96</f>
        <v>34669.979822003021</v>
      </c>
      <c r="E8" s="139">
        <f>'Year 2 (2024)'!J96</f>
        <v>69339.959644006041</v>
      </c>
      <c r="F8" s="139">
        <f t="shared" ref="F8:F9" si="0">SUM(C8:E8)</f>
        <v>797409.53590606945</v>
      </c>
      <c r="G8" s="140">
        <f>'Year 2 (2024)'!K96</f>
        <v>51348564.998432256</v>
      </c>
      <c r="I8" s="140">
        <f>'Year 2 (2024)'!K27+'Year 2 (2024)'!K31+'Year 2 (2024)'!K36+'Year 2 (2024)'!K40+'Year 2 (2024)'!K76+'Year 2 (2024)'!K77+'Year 2 (2024)'!K78+'Year 2 (2024)'!K80+'Year 2 (2024)'!K81+'Year 2 (2024)'!K82</f>
        <v>9518783.6334479246</v>
      </c>
      <c r="J8" s="141"/>
      <c r="K8" s="142" t="s">
        <v>136</v>
      </c>
      <c r="L8" s="139">
        <f>('Year 1 (2023)'!G15+'Year 2 (2024)'!G15+'Year 3 (2025)'!G15)/3</f>
        <v>16</v>
      </c>
      <c r="M8" s="139">
        <v>1</v>
      </c>
      <c r="N8" s="139">
        <f>L8*M8</f>
        <v>16</v>
      </c>
      <c r="O8" s="143"/>
    </row>
    <row r="9" spans="1:15" ht="15" customHeight="1" x14ac:dyDescent="0.2">
      <c r="A9" s="138" t="s">
        <v>137</v>
      </c>
      <c r="B9" s="139">
        <f>'Year 3 (2025)'!G12+'Year 3 (2025)'!G13</f>
        <v>2449.9065570409266</v>
      </c>
      <c r="C9" s="139">
        <f>'Year 3 (2025)'!H96</f>
        <v>884421.19429346046</v>
      </c>
      <c r="D9" s="139">
        <f>'Year 3 (2025)'!I96</f>
        <v>44221.059714673022</v>
      </c>
      <c r="E9" s="139">
        <f>'Year 3 (2025)'!J96</f>
        <v>88442.119429346043</v>
      </c>
      <c r="F9" s="139">
        <f t="shared" si="0"/>
        <v>1017084.3734374795</v>
      </c>
      <c r="G9" s="140">
        <f>'Year 3 (2025)'!K96</f>
        <v>63616006.250610195</v>
      </c>
      <c r="I9" s="140">
        <f>'Year 3 (2025)'!K27+'Year 3 (2025)'!K31+'Year 3 (2025)'!K36+'Year 3 (2025)'!K40+'Year 3 (2025)'!K76+'Year 3 (2025)'!K77+'Year 3 (2025)'!K78+'Year 3 (2025)'!K80+'Year 3 (2025)'!K81+'Year 3 (2025)'!K82</f>
        <v>10262722.831080897</v>
      </c>
      <c r="J9" s="141"/>
      <c r="K9" s="142" t="s">
        <v>138</v>
      </c>
      <c r="L9" s="139">
        <f>AVERAGE(B7-'Year 1 (2023)'!G58,B8-'Year 2 (2024)'!G58,B9-'Year 3 (2025)'!G58)-L11</f>
        <v>1810.1485303290119</v>
      </c>
      <c r="M9" s="139">
        <v>1</v>
      </c>
      <c r="N9" s="139">
        <f>L9*M9</f>
        <v>1810.1485303290119</v>
      </c>
      <c r="O9" s="143"/>
    </row>
    <row r="10" spans="1:15" ht="15" customHeight="1" x14ac:dyDescent="0.2">
      <c r="A10" s="138" t="s">
        <v>139</v>
      </c>
      <c r="B10" s="139">
        <f>SUM(B7:B9)</f>
        <v>5546.4455909870358</v>
      </c>
      <c r="C10" s="139">
        <f t="shared" ref="C10:G10" si="1">SUM(C7:C9)</f>
        <v>2305109.8271283382</v>
      </c>
      <c r="D10" s="139">
        <f t="shared" si="1"/>
        <v>115255.49135641693</v>
      </c>
      <c r="E10" s="139">
        <f t="shared" si="1"/>
        <v>230510.98271283385</v>
      </c>
      <c r="F10" s="139">
        <f t="shared" si="1"/>
        <v>2650876.3011975889</v>
      </c>
      <c r="G10" s="139">
        <f t="shared" si="1"/>
        <v>175605785.77007064</v>
      </c>
      <c r="I10" s="140">
        <f t="shared" ref="I10" si="2">SUM(I7:I9)</f>
        <v>36548537.127166003</v>
      </c>
      <c r="J10" s="141"/>
      <c r="K10" s="144" t="s">
        <v>140</v>
      </c>
      <c r="L10" s="139">
        <f>AVERAGE('Year 1 (2023)'!G58,'Year 2 (2024)'!G58,'Year 3 (2025)'!G58)</f>
        <v>34</v>
      </c>
      <c r="M10" s="139">
        <v>2</v>
      </c>
      <c r="N10" s="139">
        <f>L10*M10</f>
        <v>68</v>
      </c>
    </row>
    <row r="11" spans="1:15" ht="15" customHeight="1" x14ac:dyDescent="0.2">
      <c r="A11" s="17" t="s">
        <v>141</v>
      </c>
      <c r="B11" s="18">
        <f>AVERAGE(B7:B9)</f>
        <v>1848.8151969956787</v>
      </c>
      <c r="C11" s="18">
        <f t="shared" ref="C11:F11" si="3">AVERAGE(C7:C9)</f>
        <v>768369.94237611268</v>
      </c>
      <c r="D11" s="18">
        <f t="shared" si="3"/>
        <v>38418.497118805644</v>
      </c>
      <c r="E11" s="18">
        <f t="shared" si="3"/>
        <v>76836.994237611289</v>
      </c>
      <c r="F11" s="18">
        <f t="shared" si="3"/>
        <v>883625.43373252964</v>
      </c>
      <c r="G11" s="19">
        <f>AVERAGE(G7:G9)</f>
        <v>58535261.923356883</v>
      </c>
      <c r="I11" s="19">
        <f t="shared" ref="I11" si="4">AVERAGE(I7:I9)</f>
        <v>12182845.709055334</v>
      </c>
      <c r="J11" s="141"/>
      <c r="K11" s="121" t="s">
        <v>266</v>
      </c>
      <c r="L11" s="139">
        <f>('Year 1 (2023)'!G17+'Year 2 (2024)'!G17+'Year 3 (2025)'!G17)/3</f>
        <v>4.666666666666667</v>
      </c>
      <c r="M11" s="139">
        <v>1</v>
      </c>
      <c r="N11" s="139">
        <f t="shared" ref="N11:N12" si="5">L11*M11</f>
        <v>4.666666666666667</v>
      </c>
      <c r="O11" s="143"/>
    </row>
    <row r="12" spans="1:15" ht="12.6" customHeight="1" x14ac:dyDescent="0.2">
      <c r="A12" s="188"/>
      <c r="B12" s="189"/>
      <c r="C12" s="189"/>
      <c r="D12" s="189"/>
      <c r="E12" s="189"/>
      <c r="F12" s="189"/>
      <c r="G12" s="189"/>
      <c r="K12" s="121" t="s">
        <v>267</v>
      </c>
      <c r="L12" s="139">
        <f>('Year 1 (2023)'!G18+'Year 2 (2024)'!G18+'Year 3 (2025)'!G18)/3</f>
        <v>250</v>
      </c>
      <c r="M12" s="139">
        <v>1</v>
      </c>
      <c r="N12" s="139">
        <f t="shared" si="5"/>
        <v>250</v>
      </c>
      <c r="O12" s="143"/>
    </row>
    <row r="13" spans="1:15" x14ac:dyDescent="0.2">
      <c r="G13" s="145"/>
      <c r="M13" s="95" t="s">
        <v>142</v>
      </c>
      <c r="N13" s="30">
        <f>SUM(N7:N12)</f>
        <v>14841.481863662344</v>
      </c>
      <c r="O13" s="46" t="s">
        <v>143</v>
      </c>
    </row>
    <row r="15" spans="1:15" x14ac:dyDescent="0.2">
      <c r="B15" s="141"/>
      <c r="C15" s="141"/>
      <c r="D15" s="141"/>
      <c r="E15" s="141"/>
      <c r="F15" s="141"/>
      <c r="G15" s="143"/>
      <c r="M15" s="143"/>
      <c r="N15" s="146">
        <f>F11/N13</f>
        <v>59.537547655263765</v>
      </c>
    </row>
    <row r="16" spans="1:15" x14ac:dyDescent="0.2">
      <c r="L16" s="141"/>
    </row>
  </sheetData>
  <mergeCells count="8">
    <mergeCell ref="K4:N4"/>
    <mergeCell ref="K5:N5"/>
    <mergeCell ref="A12:G12"/>
    <mergeCell ref="A1:G1"/>
    <mergeCell ref="A2:G2"/>
    <mergeCell ref="A3:G3"/>
    <mergeCell ref="A4:G4"/>
    <mergeCell ref="A5:G5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D6497-3CA6-475B-8DCD-747836743313}">
  <sheetPr codeName="Sheet10"/>
  <dimension ref="A1:K37"/>
  <sheetViews>
    <sheetView topLeftCell="A9" zoomScale="75" zoomScaleNormal="75" workbookViewId="0">
      <selection activeCell="A19" sqref="A19"/>
    </sheetView>
  </sheetViews>
  <sheetFormatPr defaultColWidth="9.33203125" defaultRowHeight="12.75" x14ac:dyDescent="0.2"/>
  <cols>
    <col min="1" max="1" width="50.83203125" style="1" customWidth="1"/>
    <col min="2" max="8" width="12.83203125" style="1" customWidth="1"/>
    <col min="9" max="9" width="20.1640625" style="1" customWidth="1"/>
    <col min="10" max="16384" width="9.33203125" style="1"/>
  </cols>
  <sheetData>
    <row r="1" spans="1:11" ht="15.75" x14ac:dyDescent="0.2">
      <c r="A1" s="190" t="s">
        <v>260</v>
      </c>
      <c r="B1" s="190"/>
      <c r="C1" s="190"/>
      <c r="D1" s="190"/>
      <c r="E1" s="190"/>
      <c r="F1" s="190"/>
      <c r="G1" s="190"/>
      <c r="H1" s="190"/>
      <c r="I1" s="190"/>
    </row>
    <row r="2" spans="1:11" ht="15.75" x14ac:dyDescent="0.25">
      <c r="A2" s="198" t="s">
        <v>197</v>
      </c>
      <c r="B2" s="198"/>
      <c r="C2" s="198"/>
      <c r="D2" s="198"/>
      <c r="E2" s="198"/>
      <c r="F2" s="198"/>
      <c r="G2" s="198"/>
      <c r="H2" s="198"/>
      <c r="I2" s="198"/>
    </row>
    <row r="3" spans="1:11" customFormat="1" ht="15.75" x14ac:dyDescent="0.2">
      <c r="A3" s="190" t="s">
        <v>2</v>
      </c>
      <c r="B3" s="190"/>
      <c r="C3" s="190"/>
      <c r="D3" s="190"/>
      <c r="E3" s="190"/>
      <c r="F3" s="190"/>
      <c r="G3" s="190"/>
      <c r="H3" s="190"/>
      <c r="I3" s="190"/>
    </row>
    <row r="4" spans="1:11" ht="16.5" thickBot="1" x14ac:dyDescent="0.25">
      <c r="A4" s="206" t="s">
        <v>255</v>
      </c>
      <c r="B4" s="206"/>
      <c r="C4" s="206"/>
      <c r="D4" s="206"/>
      <c r="E4" s="206"/>
      <c r="F4" s="206"/>
      <c r="G4" s="206"/>
      <c r="H4" s="206"/>
      <c r="I4" s="206"/>
      <c r="J4" s="93"/>
      <c r="K4" s="93"/>
    </row>
    <row r="5" spans="1:11" ht="14.1" customHeight="1" x14ac:dyDescent="0.2">
      <c r="A5" s="147"/>
      <c r="B5" s="148" t="s">
        <v>8</v>
      </c>
      <c r="C5" s="149" t="s">
        <v>9</v>
      </c>
      <c r="D5" s="150" t="s">
        <v>198</v>
      </c>
      <c r="E5" s="149" t="s">
        <v>11</v>
      </c>
      <c r="F5" s="149" t="s">
        <v>12</v>
      </c>
      <c r="G5" s="149" t="s">
        <v>13</v>
      </c>
      <c r="H5" s="149" t="s">
        <v>14</v>
      </c>
      <c r="I5" s="151" t="s">
        <v>15</v>
      </c>
    </row>
    <row r="6" spans="1:11" ht="14.1" customHeight="1" x14ac:dyDescent="0.2">
      <c r="A6" s="152"/>
      <c r="B6" s="153" t="s">
        <v>199</v>
      </c>
      <c r="C6" s="154" t="s">
        <v>200</v>
      </c>
      <c r="D6" s="153" t="s">
        <v>199</v>
      </c>
      <c r="E6" s="153" t="s">
        <v>201</v>
      </c>
      <c r="F6" s="153" t="s">
        <v>3</v>
      </c>
      <c r="G6" s="153" t="s">
        <v>202</v>
      </c>
      <c r="H6" s="153" t="s">
        <v>16</v>
      </c>
      <c r="I6" s="155" t="s">
        <v>203</v>
      </c>
    </row>
    <row r="7" spans="1:11" ht="14.1" customHeight="1" x14ac:dyDescent="0.2">
      <c r="A7" s="152"/>
      <c r="B7" s="153" t="s">
        <v>204</v>
      </c>
      <c r="C7" s="154" t="s">
        <v>205</v>
      </c>
      <c r="D7" s="153" t="s">
        <v>204</v>
      </c>
      <c r="E7" s="153" t="s">
        <v>206</v>
      </c>
      <c r="F7" s="153" t="s">
        <v>207</v>
      </c>
      <c r="G7" s="153" t="s">
        <v>207</v>
      </c>
      <c r="H7" s="153" t="s">
        <v>208</v>
      </c>
      <c r="I7" s="155"/>
    </row>
    <row r="8" spans="1:11" ht="14.1" customHeight="1" x14ac:dyDescent="0.2">
      <c r="A8" s="152"/>
      <c r="B8" s="153" t="s">
        <v>209</v>
      </c>
      <c r="C8" s="154" t="s">
        <v>210</v>
      </c>
      <c r="D8" s="153" t="s">
        <v>211</v>
      </c>
      <c r="E8" s="153" t="s">
        <v>212</v>
      </c>
      <c r="F8" s="153" t="s">
        <v>213</v>
      </c>
      <c r="G8" s="153" t="s">
        <v>213</v>
      </c>
      <c r="H8" s="153" t="s">
        <v>204</v>
      </c>
      <c r="I8" s="155"/>
    </row>
    <row r="9" spans="1:11" ht="14.1" customHeight="1" x14ac:dyDescent="0.2">
      <c r="A9" s="152"/>
      <c r="B9" s="156"/>
      <c r="C9" s="154" t="s">
        <v>213</v>
      </c>
      <c r="D9" s="153" t="s">
        <v>214</v>
      </c>
      <c r="E9" s="153"/>
      <c r="F9" s="153" t="s">
        <v>215</v>
      </c>
      <c r="G9" s="153" t="s">
        <v>216</v>
      </c>
      <c r="H9" s="153" t="s">
        <v>214</v>
      </c>
      <c r="I9" s="155"/>
    </row>
    <row r="10" spans="1:11" ht="14.1" customHeight="1" x14ac:dyDescent="0.2">
      <c r="A10" s="157" t="s">
        <v>217</v>
      </c>
      <c r="B10" s="158"/>
      <c r="C10" s="159"/>
      <c r="D10" s="160" t="s">
        <v>218</v>
      </c>
      <c r="E10" s="160"/>
      <c r="F10" s="160"/>
      <c r="G10" s="160"/>
      <c r="H10" s="160" t="s">
        <v>219</v>
      </c>
      <c r="I10" s="161"/>
    </row>
    <row r="11" spans="1:11" ht="14.1" customHeight="1" x14ac:dyDescent="0.2">
      <c r="A11" s="152" t="s">
        <v>247</v>
      </c>
      <c r="B11" s="156"/>
      <c r="C11" s="154"/>
      <c r="D11" s="154"/>
      <c r="E11" s="153"/>
      <c r="F11" s="153"/>
      <c r="G11" s="153"/>
      <c r="H11" s="154"/>
      <c r="I11" s="155"/>
    </row>
    <row r="12" spans="1:11" ht="14.1" customHeight="1" x14ac:dyDescent="0.2">
      <c r="A12" s="162" t="s">
        <v>248</v>
      </c>
      <c r="B12" s="27">
        <v>320</v>
      </c>
      <c r="C12" s="27">
        <v>1</v>
      </c>
      <c r="D12" s="20">
        <f>B12*C12</f>
        <v>320</v>
      </c>
      <c r="E12" s="21">
        <v>1</v>
      </c>
      <c r="F12" s="21">
        <f>D12*E12</f>
        <v>320</v>
      </c>
      <c r="G12" s="21">
        <f>F12*0.05</f>
        <v>16</v>
      </c>
      <c r="H12" s="21">
        <f>F12*0.1</f>
        <v>32</v>
      </c>
      <c r="I12" s="22">
        <f>F12*$B$32+G12*$B$33+H12*$B$34</f>
        <v>18793.471999999998</v>
      </c>
    </row>
    <row r="13" spans="1:11" ht="14.1" customHeight="1" x14ac:dyDescent="0.2">
      <c r="A13" s="162" t="s">
        <v>246</v>
      </c>
      <c r="B13" s="27">
        <v>80</v>
      </c>
      <c r="C13" s="27">
        <v>1</v>
      </c>
      <c r="D13" s="20">
        <f>B13*C13</f>
        <v>80</v>
      </c>
      <c r="E13" s="21">
        <v>10</v>
      </c>
      <c r="F13" s="21">
        <f>D13*E13</f>
        <v>800</v>
      </c>
      <c r="G13" s="21">
        <f>F13*0.05</f>
        <v>40</v>
      </c>
      <c r="H13" s="21">
        <f>F13*0.1</f>
        <v>80</v>
      </c>
      <c r="I13" s="22">
        <f>F13*$B$32+G13*$B$33+H13*$B$34</f>
        <v>46983.679999999993</v>
      </c>
    </row>
    <row r="14" spans="1:11" ht="14.1" customHeight="1" x14ac:dyDescent="0.2">
      <c r="A14" s="162" t="s">
        <v>249</v>
      </c>
      <c r="B14" s="27">
        <v>8</v>
      </c>
      <c r="C14" s="27">
        <v>1</v>
      </c>
      <c r="D14" s="20">
        <f>B14*C14</f>
        <v>8</v>
      </c>
      <c r="E14" s="21">
        <v>20</v>
      </c>
      <c r="F14" s="21">
        <f>D14*E14</f>
        <v>160</v>
      </c>
      <c r="G14" s="21">
        <f>F14*0.05</f>
        <v>8</v>
      </c>
      <c r="H14" s="21">
        <f>F14*0.1</f>
        <v>16</v>
      </c>
      <c r="I14" s="22">
        <f>F14*$B$32+G14*$B$33+H14*$B$34</f>
        <v>9396.735999999999</v>
      </c>
    </row>
    <row r="15" spans="1:11" x14ac:dyDescent="0.2">
      <c r="A15" s="152" t="s">
        <v>220</v>
      </c>
      <c r="B15" s="2"/>
      <c r="C15" s="3"/>
      <c r="D15" s="4"/>
      <c r="E15" s="5"/>
      <c r="F15" s="5"/>
      <c r="G15" s="5"/>
      <c r="H15" s="4"/>
      <c r="I15" s="6"/>
    </row>
    <row r="16" spans="1:11" x14ac:dyDescent="0.2">
      <c r="A16" s="162" t="s">
        <v>221</v>
      </c>
      <c r="B16" s="27">
        <v>0.5</v>
      </c>
      <c r="C16" s="27">
        <v>1</v>
      </c>
      <c r="D16" s="20">
        <f t="shared" ref="D16:D21" si="0">B16*C16</f>
        <v>0.5</v>
      </c>
      <c r="E16" s="21">
        <f>'Year 1 (2023)'!G15</f>
        <v>24</v>
      </c>
      <c r="F16" s="21">
        <f t="shared" ref="F16:F21" si="1">D16*E16</f>
        <v>12</v>
      </c>
      <c r="G16" s="21">
        <f t="shared" ref="G16:G21" si="2">F16*0.05</f>
        <v>0.60000000000000009</v>
      </c>
      <c r="H16" s="21">
        <f t="shared" ref="H16:H21" si="3">F16*0.1</f>
        <v>1.2000000000000002</v>
      </c>
      <c r="I16" s="22">
        <f t="shared" ref="I16:I21" si="4">F16*$B$32+G16*$B$33+H16*$B$34</f>
        <v>704.75519999999995</v>
      </c>
    </row>
    <row r="17" spans="1:11" x14ac:dyDescent="0.2">
      <c r="A17" s="163" t="s">
        <v>36</v>
      </c>
      <c r="B17" s="80">
        <v>0.5</v>
      </c>
      <c r="C17" s="27">
        <v>1</v>
      </c>
      <c r="D17" s="20">
        <f t="shared" si="0"/>
        <v>0.5</v>
      </c>
      <c r="E17" s="21">
        <f>'Year 1 (2023)'!G16</f>
        <v>17459</v>
      </c>
      <c r="F17" s="21">
        <f t="shared" si="1"/>
        <v>8729.5</v>
      </c>
      <c r="G17" s="21">
        <f t="shared" si="2"/>
        <v>436.47500000000002</v>
      </c>
      <c r="H17" s="21">
        <f t="shared" si="3"/>
        <v>872.95</v>
      </c>
      <c r="I17" s="22">
        <f t="shared" si="4"/>
        <v>512680.04319999996</v>
      </c>
    </row>
    <row r="18" spans="1:11" x14ac:dyDescent="0.2">
      <c r="A18" s="164" t="s">
        <v>268</v>
      </c>
      <c r="B18" s="80">
        <v>0.5</v>
      </c>
      <c r="C18" s="27">
        <v>1</v>
      </c>
      <c r="D18" s="20">
        <f t="shared" si="0"/>
        <v>0.5</v>
      </c>
      <c r="E18" s="21">
        <v>0</v>
      </c>
      <c r="F18" s="21">
        <f t="shared" si="1"/>
        <v>0</v>
      </c>
      <c r="G18" s="21">
        <f t="shared" si="2"/>
        <v>0</v>
      </c>
      <c r="H18" s="21">
        <f t="shared" si="3"/>
        <v>0</v>
      </c>
      <c r="I18" s="22">
        <f t="shared" si="4"/>
        <v>0</v>
      </c>
    </row>
    <row r="19" spans="1:11" x14ac:dyDescent="0.2">
      <c r="A19" s="164" t="s">
        <v>269</v>
      </c>
      <c r="B19" s="80">
        <v>1.5</v>
      </c>
      <c r="C19" s="27">
        <v>1</v>
      </c>
      <c r="D19" s="20">
        <f t="shared" si="0"/>
        <v>1.5</v>
      </c>
      <c r="E19" s="21">
        <f>'Year 1 (2023)'!G18</f>
        <v>0</v>
      </c>
      <c r="F19" s="21">
        <f t="shared" si="1"/>
        <v>0</v>
      </c>
      <c r="G19" s="21">
        <f t="shared" si="2"/>
        <v>0</v>
      </c>
      <c r="H19" s="21">
        <f t="shared" si="3"/>
        <v>0</v>
      </c>
      <c r="I19" s="22">
        <f t="shared" si="4"/>
        <v>0</v>
      </c>
    </row>
    <row r="20" spans="1:11" x14ac:dyDescent="0.2">
      <c r="A20" s="165" t="s">
        <v>222</v>
      </c>
      <c r="B20" s="80">
        <v>3</v>
      </c>
      <c r="C20" s="27">
        <v>1</v>
      </c>
      <c r="D20" s="20">
        <f t="shared" si="0"/>
        <v>3</v>
      </c>
      <c r="E20" s="21">
        <f>'Year 1 (2023)'!G12-'Year 1 (2023)'!G58</f>
        <v>1205.4020247317048</v>
      </c>
      <c r="F20" s="21">
        <f t="shared" si="1"/>
        <v>3616.2060741951145</v>
      </c>
      <c r="G20" s="21">
        <f t="shared" si="2"/>
        <v>180.81030370975574</v>
      </c>
      <c r="H20" s="21">
        <f t="shared" si="3"/>
        <v>361.62060741951149</v>
      </c>
      <c r="I20" s="22">
        <f t="shared" si="4"/>
        <v>212378.33625504939</v>
      </c>
    </row>
    <row r="21" spans="1:11" x14ac:dyDescent="0.2">
      <c r="A21" s="165" t="s">
        <v>223</v>
      </c>
      <c r="B21" s="80">
        <v>3</v>
      </c>
      <c r="C21" s="27">
        <v>2</v>
      </c>
      <c r="D21" s="20">
        <f t="shared" si="0"/>
        <v>6</v>
      </c>
      <c r="E21" s="21">
        <f>'Year 1 (2023)'!G58</f>
        <v>23</v>
      </c>
      <c r="F21" s="21">
        <f t="shared" si="1"/>
        <v>138</v>
      </c>
      <c r="G21" s="21">
        <f t="shared" si="2"/>
        <v>6.9</v>
      </c>
      <c r="H21" s="21">
        <f t="shared" si="3"/>
        <v>13.8</v>
      </c>
      <c r="I21" s="22">
        <f t="shared" si="4"/>
        <v>8104.6847999999991</v>
      </c>
    </row>
    <row r="22" spans="1:11" x14ac:dyDescent="0.2">
      <c r="A22" s="199" t="s">
        <v>224</v>
      </c>
      <c r="B22" s="7"/>
      <c r="C22" s="8"/>
      <c r="D22" s="23"/>
      <c r="E22" s="24"/>
      <c r="F22" s="25">
        <f>SUM(F16:F21)</f>
        <v>12495.706074195114</v>
      </c>
      <c r="G22" s="25">
        <f>SUM(G16:G21)</f>
        <v>624.78530370975579</v>
      </c>
      <c r="H22" s="25">
        <f>SUM(H16:H21)</f>
        <v>1249.5706074195116</v>
      </c>
      <c r="I22" s="201">
        <f>SUM(I16:I21)</f>
        <v>733867.81945504935</v>
      </c>
      <c r="K22" s="166"/>
    </row>
    <row r="23" spans="1:11" ht="13.5" thickBot="1" x14ac:dyDescent="0.25">
      <c r="A23" s="200"/>
      <c r="B23" s="9"/>
      <c r="C23" s="10"/>
      <c r="D23" s="26"/>
      <c r="E23" s="167" t="s">
        <v>225</v>
      </c>
      <c r="F23" s="203">
        <f>SUM(F22:H22)</f>
        <v>14370.061985324381</v>
      </c>
      <c r="G23" s="204"/>
      <c r="H23" s="205"/>
      <c r="I23" s="202"/>
    </row>
    <row r="24" spans="1:11" ht="42" customHeight="1" x14ac:dyDescent="0.2">
      <c r="A24" s="195" t="s">
        <v>253</v>
      </c>
      <c r="B24" s="196"/>
      <c r="C24" s="196"/>
      <c r="D24" s="196"/>
      <c r="E24" s="196"/>
      <c r="F24" s="196"/>
      <c r="G24" s="196"/>
      <c r="H24" s="196"/>
      <c r="I24" s="196"/>
      <c r="J24" s="168"/>
      <c r="K24" s="168"/>
    </row>
    <row r="25" spans="1:11" ht="24.6" customHeight="1" x14ac:dyDescent="0.2">
      <c r="A25" s="197"/>
      <c r="B25" s="196"/>
      <c r="C25" s="196"/>
      <c r="D25" s="196"/>
      <c r="E25" s="196"/>
      <c r="F25" s="196"/>
      <c r="G25" s="196"/>
      <c r="H25" s="196"/>
      <c r="I25" s="196"/>
    </row>
    <row r="26" spans="1:11" ht="15" x14ac:dyDescent="0.2">
      <c r="A26" s="11"/>
      <c r="B26" s="11"/>
      <c r="C26" s="11"/>
      <c r="D26" s="11"/>
      <c r="E26" s="11"/>
      <c r="F26" s="11"/>
      <c r="G26" s="11"/>
      <c r="I26" s="166"/>
    </row>
    <row r="31" spans="1:11" ht="13.15" customHeight="1" x14ac:dyDescent="0.2">
      <c r="A31" s="43" t="s">
        <v>226</v>
      </c>
      <c r="B31" s="44" t="s">
        <v>227</v>
      </c>
      <c r="C31" s="43"/>
      <c r="D31" s="45" t="s">
        <v>228</v>
      </c>
      <c r="E31" s="46"/>
      <c r="F31" s="46"/>
    </row>
    <row r="32" spans="1:11" ht="13.15" customHeight="1" x14ac:dyDescent="0.2">
      <c r="A32" t="s">
        <v>229</v>
      </c>
      <c r="B32" s="47">
        <f>32.73*1.6</f>
        <v>52.367999999999995</v>
      </c>
      <c r="C32"/>
      <c r="D32" t="s">
        <v>230</v>
      </c>
      <c r="E32" s="46"/>
      <c r="F32" s="46"/>
    </row>
    <row r="33" spans="1:6" ht="13.15" customHeight="1" x14ac:dyDescent="0.2">
      <c r="A33" t="s">
        <v>231</v>
      </c>
      <c r="B33" s="47">
        <f>44.1*1.6</f>
        <v>70.56</v>
      </c>
      <c r="C33"/>
      <c r="D33" t="s">
        <v>232</v>
      </c>
      <c r="E33" s="46"/>
      <c r="F33" s="46"/>
    </row>
    <row r="34" spans="1:6" ht="13.15" customHeight="1" x14ac:dyDescent="0.2">
      <c r="A34" t="s">
        <v>233</v>
      </c>
      <c r="B34" s="47">
        <f>17.71*1.6</f>
        <v>28.336000000000002</v>
      </c>
      <c r="C34"/>
      <c r="D34" t="s">
        <v>234</v>
      </c>
      <c r="E34" s="46"/>
      <c r="F34" s="46"/>
    </row>
    <row r="35" spans="1:6" x14ac:dyDescent="0.2">
      <c r="A35"/>
      <c r="B35"/>
      <c r="C35"/>
      <c r="D35"/>
      <c r="E35" s="46"/>
      <c r="F35" s="46"/>
    </row>
    <row r="36" spans="1:6" ht="33" customHeight="1" x14ac:dyDescent="0.2">
      <c r="A36" s="194" t="s">
        <v>254</v>
      </c>
      <c r="B36" s="194"/>
      <c r="C36" s="194"/>
      <c r="D36" s="194"/>
      <c r="E36" s="194"/>
      <c r="F36" s="46"/>
    </row>
    <row r="37" spans="1:6" ht="4.3499999999999996" customHeight="1" x14ac:dyDescent="0.2">
      <c r="A37" s="194"/>
      <c r="B37" s="194"/>
      <c r="C37" s="194"/>
      <c r="D37" s="194"/>
      <c r="E37" s="194"/>
    </row>
  </sheetData>
  <mergeCells count="10">
    <mergeCell ref="A36:E37"/>
    <mergeCell ref="A24:I24"/>
    <mergeCell ref="A25:I25"/>
    <mergeCell ref="A1:I1"/>
    <mergeCell ref="A2:I2"/>
    <mergeCell ref="A3:I3"/>
    <mergeCell ref="A22:A23"/>
    <mergeCell ref="I22:I23"/>
    <mergeCell ref="F23:H23"/>
    <mergeCell ref="A4:I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12EFC-7988-4733-B1C3-7D1DEB744771}">
  <dimension ref="A1:K37"/>
  <sheetViews>
    <sheetView topLeftCell="A9" zoomScale="75" zoomScaleNormal="75" workbookViewId="0">
      <selection activeCell="A19" sqref="A19"/>
    </sheetView>
  </sheetViews>
  <sheetFormatPr defaultColWidth="9.33203125" defaultRowHeight="12.75" x14ac:dyDescent="0.2"/>
  <cols>
    <col min="1" max="1" width="52.83203125" style="1" customWidth="1"/>
    <col min="2" max="9" width="12.83203125" style="1" customWidth="1"/>
    <col min="10" max="16384" width="9.33203125" style="1"/>
  </cols>
  <sheetData>
    <row r="1" spans="1:11" ht="15.75" x14ac:dyDescent="0.2">
      <c r="A1" s="190" t="s">
        <v>260</v>
      </c>
      <c r="B1" s="190"/>
      <c r="C1" s="190"/>
      <c r="D1" s="190"/>
      <c r="E1" s="190"/>
      <c r="F1" s="190"/>
      <c r="G1" s="190"/>
      <c r="H1" s="190"/>
      <c r="I1" s="190"/>
    </row>
    <row r="2" spans="1:11" ht="15.75" x14ac:dyDescent="0.25">
      <c r="A2" s="198" t="s">
        <v>235</v>
      </c>
      <c r="B2" s="198"/>
      <c r="C2" s="198"/>
      <c r="D2" s="198"/>
      <c r="E2" s="198"/>
      <c r="F2" s="198"/>
      <c r="G2" s="198"/>
      <c r="H2" s="198"/>
      <c r="I2" s="198"/>
    </row>
    <row r="3" spans="1:11" customFormat="1" ht="15.75" x14ac:dyDescent="0.2">
      <c r="A3" s="190" t="s">
        <v>2</v>
      </c>
      <c r="B3" s="190"/>
      <c r="C3" s="190"/>
      <c r="D3" s="190"/>
      <c r="E3" s="190"/>
      <c r="F3" s="190"/>
      <c r="G3" s="190"/>
      <c r="H3" s="190"/>
      <c r="I3" s="190"/>
    </row>
    <row r="4" spans="1:11" ht="16.5" thickBot="1" x14ac:dyDescent="0.25">
      <c r="A4" s="206" t="s">
        <v>255</v>
      </c>
      <c r="B4" s="206"/>
      <c r="C4" s="206"/>
      <c r="D4" s="206"/>
      <c r="E4" s="206"/>
      <c r="F4" s="206"/>
      <c r="G4" s="206"/>
      <c r="H4" s="206"/>
      <c r="I4" s="206"/>
      <c r="J4" s="93"/>
      <c r="K4" s="93"/>
    </row>
    <row r="5" spans="1:11" ht="14.1" customHeight="1" x14ac:dyDescent="0.2">
      <c r="A5" s="147"/>
      <c r="B5" s="148" t="s">
        <v>8</v>
      </c>
      <c r="C5" s="149" t="s">
        <v>9</v>
      </c>
      <c r="D5" s="150" t="s">
        <v>198</v>
      </c>
      <c r="E5" s="149" t="s">
        <v>11</v>
      </c>
      <c r="F5" s="149" t="s">
        <v>12</v>
      </c>
      <c r="G5" s="149" t="s">
        <v>13</v>
      </c>
      <c r="H5" s="149" t="s">
        <v>14</v>
      </c>
      <c r="I5" s="151" t="s">
        <v>15</v>
      </c>
    </row>
    <row r="6" spans="1:11" ht="14.1" customHeight="1" x14ac:dyDescent="0.2">
      <c r="A6" s="152"/>
      <c r="B6" s="153" t="s">
        <v>199</v>
      </c>
      <c r="C6" s="154" t="s">
        <v>200</v>
      </c>
      <c r="D6" s="153" t="s">
        <v>199</v>
      </c>
      <c r="E6" s="153" t="s">
        <v>201</v>
      </c>
      <c r="F6" s="153" t="s">
        <v>3</v>
      </c>
      <c r="G6" s="153" t="s">
        <v>202</v>
      </c>
      <c r="H6" s="153" t="s">
        <v>16</v>
      </c>
      <c r="I6" s="155" t="s">
        <v>236</v>
      </c>
    </row>
    <row r="7" spans="1:11" ht="14.1" customHeight="1" x14ac:dyDescent="0.2">
      <c r="A7" s="152"/>
      <c r="B7" s="153" t="s">
        <v>204</v>
      </c>
      <c r="C7" s="154" t="s">
        <v>205</v>
      </c>
      <c r="D7" s="153" t="s">
        <v>204</v>
      </c>
      <c r="E7" s="153" t="s">
        <v>206</v>
      </c>
      <c r="F7" s="153" t="s">
        <v>207</v>
      </c>
      <c r="G7" s="153" t="s">
        <v>207</v>
      </c>
      <c r="H7" s="153" t="s">
        <v>208</v>
      </c>
      <c r="I7" s="155"/>
    </row>
    <row r="8" spans="1:11" ht="14.1" customHeight="1" x14ac:dyDescent="0.2">
      <c r="A8" s="152"/>
      <c r="B8" s="153" t="s">
        <v>209</v>
      </c>
      <c r="C8" s="154" t="s">
        <v>210</v>
      </c>
      <c r="D8" s="153" t="s">
        <v>211</v>
      </c>
      <c r="E8" s="153" t="s">
        <v>212</v>
      </c>
      <c r="F8" s="153" t="s">
        <v>213</v>
      </c>
      <c r="G8" s="153" t="s">
        <v>213</v>
      </c>
      <c r="H8" s="153" t="s">
        <v>204</v>
      </c>
      <c r="I8" s="155"/>
    </row>
    <row r="9" spans="1:11" ht="14.1" customHeight="1" x14ac:dyDescent="0.2">
      <c r="A9" s="152"/>
      <c r="B9" s="156"/>
      <c r="C9" s="154" t="s">
        <v>213</v>
      </c>
      <c r="D9" s="153" t="s">
        <v>214</v>
      </c>
      <c r="E9" s="153"/>
      <c r="F9" s="153" t="s">
        <v>215</v>
      </c>
      <c r="G9" s="153" t="s">
        <v>216</v>
      </c>
      <c r="H9" s="153" t="s">
        <v>214</v>
      </c>
      <c r="I9" s="155"/>
    </row>
    <row r="10" spans="1:11" ht="14.1" customHeight="1" x14ac:dyDescent="0.2">
      <c r="A10" s="157" t="s">
        <v>217</v>
      </c>
      <c r="B10" s="158"/>
      <c r="C10" s="159"/>
      <c r="D10" s="160" t="s">
        <v>218</v>
      </c>
      <c r="E10" s="160"/>
      <c r="F10" s="160"/>
      <c r="G10" s="160"/>
      <c r="H10" s="160" t="s">
        <v>219</v>
      </c>
      <c r="I10" s="161"/>
    </row>
    <row r="11" spans="1:11" ht="14.1" customHeight="1" x14ac:dyDescent="0.2">
      <c r="A11" s="152" t="s">
        <v>247</v>
      </c>
      <c r="B11" s="156"/>
      <c r="C11" s="154"/>
      <c r="D11" s="154"/>
      <c r="E11" s="153"/>
      <c r="F11" s="153"/>
      <c r="G11" s="153"/>
      <c r="H11" s="154"/>
      <c r="I11" s="155"/>
    </row>
    <row r="12" spans="1:11" ht="14.1" customHeight="1" x14ac:dyDescent="0.2">
      <c r="A12" s="162" t="s">
        <v>248</v>
      </c>
      <c r="B12" s="27">
        <v>320</v>
      </c>
      <c r="C12" s="27">
        <v>1</v>
      </c>
      <c r="D12" s="20">
        <f>B12*C12</f>
        <v>320</v>
      </c>
      <c r="E12" s="21">
        <v>0</v>
      </c>
      <c r="F12" s="21">
        <f>D12*E12</f>
        <v>0</v>
      </c>
      <c r="G12" s="21">
        <f>F12*0.05</f>
        <v>0</v>
      </c>
      <c r="H12" s="21">
        <f>F12*0.1</f>
        <v>0</v>
      </c>
      <c r="I12" s="22">
        <f>F12*$B$32+G12*$B$33+H12*$B$34</f>
        <v>0</v>
      </c>
    </row>
    <row r="13" spans="1:11" ht="14.1" customHeight="1" x14ac:dyDescent="0.2">
      <c r="A13" s="162" t="s">
        <v>246</v>
      </c>
      <c r="B13" s="27">
        <v>80</v>
      </c>
      <c r="C13" s="27">
        <v>1</v>
      </c>
      <c r="D13" s="20">
        <f>B13*C13</f>
        <v>80</v>
      </c>
      <c r="E13" s="21">
        <v>2</v>
      </c>
      <c r="F13" s="21">
        <f>D13*E13</f>
        <v>160</v>
      </c>
      <c r="G13" s="21">
        <f>F13*0.05</f>
        <v>8</v>
      </c>
      <c r="H13" s="21">
        <f>F13*0.1</f>
        <v>16</v>
      </c>
      <c r="I13" s="22">
        <f>F13*$B$32+G13*$B$33+H13*$B$34</f>
        <v>9396.735999999999</v>
      </c>
    </row>
    <row r="14" spans="1:11" ht="14.1" customHeight="1" x14ac:dyDescent="0.2">
      <c r="A14" s="162" t="s">
        <v>249</v>
      </c>
      <c r="B14" s="27">
        <v>20</v>
      </c>
      <c r="C14" s="27">
        <v>1</v>
      </c>
      <c r="D14" s="20">
        <f>B14*C14</f>
        <v>20</v>
      </c>
      <c r="E14" s="21">
        <v>6</v>
      </c>
      <c r="F14" s="21">
        <f>D14*E14</f>
        <v>120</v>
      </c>
      <c r="G14" s="21">
        <f>F14*0.05</f>
        <v>6</v>
      </c>
      <c r="H14" s="21">
        <f>F14*0.1</f>
        <v>12</v>
      </c>
      <c r="I14" s="22">
        <f>F14*$B$32+G14*$B$33+H14*$B$34</f>
        <v>7047.5519999999997</v>
      </c>
    </row>
    <row r="15" spans="1:11" x14ac:dyDescent="0.2">
      <c r="A15" s="152" t="s">
        <v>220</v>
      </c>
      <c r="B15" s="2"/>
      <c r="C15" s="3"/>
      <c r="D15" s="4"/>
      <c r="E15" s="5"/>
      <c r="F15" s="5"/>
      <c r="G15" s="5"/>
      <c r="H15" s="4"/>
      <c r="I15" s="6"/>
    </row>
    <row r="16" spans="1:11" x14ac:dyDescent="0.2">
      <c r="A16" s="162" t="s">
        <v>221</v>
      </c>
      <c r="B16" s="27">
        <v>0.5</v>
      </c>
      <c r="C16" s="27">
        <v>1</v>
      </c>
      <c r="D16" s="20">
        <f t="shared" ref="D16:D21" si="0">B16*C16</f>
        <v>0.5</v>
      </c>
      <c r="E16" s="21">
        <f>'Year 2 (2024)'!G15</f>
        <v>12</v>
      </c>
      <c r="F16" s="21">
        <f t="shared" ref="F16:F21" si="1">D16*E16</f>
        <v>6</v>
      </c>
      <c r="G16" s="21">
        <f t="shared" ref="G16:G21" si="2">F16*0.05</f>
        <v>0.30000000000000004</v>
      </c>
      <c r="H16" s="21">
        <f t="shared" ref="H16:H21" si="3">F16*0.1</f>
        <v>0.60000000000000009</v>
      </c>
      <c r="I16" s="22">
        <f t="shared" ref="I16:I21" si="4">F16*$B$32+G16*$B$33+H16*$B$34</f>
        <v>352.37759999999997</v>
      </c>
    </row>
    <row r="17" spans="1:11" x14ac:dyDescent="0.2">
      <c r="A17" s="163" t="s">
        <v>36</v>
      </c>
      <c r="B17" s="27">
        <v>0.5</v>
      </c>
      <c r="C17" s="27">
        <v>1</v>
      </c>
      <c r="D17" s="20">
        <f t="shared" si="0"/>
        <v>0.5</v>
      </c>
      <c r="E17" s="21">
        <f>'Year 2 (2024)'!G16</f>
        <v>9866</v>
      </c>
      <c r="F17" s="21">
        <f t="shared" si="1"/>
        <v>4933</v>
      </c>
      <c r="G17" s="21">
        <f t="shared" si="2"/>
        <v>246.65</v>
      </c>
      <c r="H17" s="21">
        <f t="shared" si="3"/>
        <v>493.3</v>
      </c>
      <c r="I17" s="22">
        <f t="shared" si="4"/>
        <v>289713.11680000002</v>
      </c>
    </row>
    <row r="18" spans="1:11" x14ac:dyDescent="0.2">
      <c r="A18" s="164" t="s">
        <v>268</v>
      </c>
      <c r="B18" s="80">
        <v>0.5</v>
      </c>
      <c r="C18" s="27">
        <v>1</v>
      </c>
      <c r="D18" s="20">
        <f t="shared" si="0"/>
        <v>0.5</v>
      </c>
      <c r="E18" s="169">
        <v>500</v>
      </c>
      <c r="F18" s="21">
        <f t="shared" si="1"/>
        <v>250</v>
      </c>
      <c r="G18" s="21">
        <f t="shared" si="2"/>
        <v>12.5</v>
      </c>
      <c r="H18" s="21">
        <f t="shared" si="3"/>
        <v>25</v>
      </c>
      <c r="I18" s="22">
        <f t="shared" si="4"/>
        <v>14682.399999999998</v>
      </c>
    </row>
    <row r="19" spans="1:11" x14ac:dyDescent="0.2">
      <c r="A19" s="164" t="s">
        <v>269</v>
      </c>
      <c r="B19" s="80">
        <v>1.5</v>
      </c>
      <c r="C19" s="27">
        <v>1</v>
      </c>
      <c r="D19" s="20">
        <f t="shared" si="0"/>
        <v>1.5</v>
      </c>
      <c r="E19" s="169">
        <v>500</v>
      </c>
      <c r="F19" s="21">
        <f t="shared" si="1"/>
        <v>750</v>
      </c>
      <c r="G19" s="21">
        <f t="shared" si="2"/>
        <v>37.5</v>
      </c>
      <c r="H19" s="21">
        <f t="shared" si="3"/>
        <v>75</v>
      </c>
      <c r="I19" s="22">
        <f t="shared" si="4"/>
        <v>44047.19999999999</v>
      </c>
    </row>
    <row r="20" spans="1:11" x14ac:dyDescent="0.2">
      <c r="A20" s="165" t="s">
        <v>222</v>
      </c>
      <c r="B20" s="80">
        <v>3</v>
      </c>
      <c r="C20" s="27">
        <v>1</v>
      </c>
      <c r="D20" s="20">
        <f t="shared" si="0"/>
        <v>3</v>
      </c>
      <c r="E20" s="21">
        <f>'Year 2 (2024)'!G12-'Year 2 (2024)'!G58</f>
        <v>1822.1370092144043</v>
      </c>
      <c r="F20" s="21">
        <f t="shared" si="1"/>
        <v>5466.4110276432129</v>
      </c>
      <c r="G20" s="21">
        <f t="shared" si="2"/>
        <v>273.32055138216066</v>
      </c>
      <c r="H20" s="21">
        <f t="shared" si="3"/>
        <v>546.64110276432132</v>
      </c>
      <c r="I20" s="22">
        <f t="shared" si="4"/>
        <v>321040.13308907481</v>
      </c>
    </row>
    <row r="21" spans="1:11" x14ac:dyDescent="0.2">
      <c r="A21" s="165" t="s">
        <v>223</v>
      </c>
      <c r="B21" s="80">
        <v>3</v>
      </c>
      <c r="C21" s="27">
        <v>2</v>
      </c>
      <c r="D21" s="20">
        <f t="shared" si="0"/>
        <v>6</v>
      </c>
      <c r="E21" s="21">
        <f>'Year 2 (2024)'!G58</f>
        <v>34</v>
      </c>
      <c r="F21" s="21">
        <f t="shared" si="1"/>
        <v>204</v>
      </c>
      <c r="G21" s="21">
        <f t="shared" si="2"/>
        <v>10.200000000000001</v>
      </c>
      <c r="H21" s="21">
        <f t="shared" si="3"/>
        <v>20.400000000000002</v>
      </c>
      <c r="I21" s="22">
        <f t="shared" si="4"/>
        <v>11980.838399999999</v>
      </c>
    </row>
    <row r="22" spans="1:11" x14ac:dyDescent="0.2">
      <c r="A22" s="199" t="s">
        <v>224</v>
      </c>
      <c r="B22" s="7"/>
      <c r="C22" s="8"/>
      <c r="D22" s="23"/>
      <c r="E22" s="24"/>
      <c r="F22" s="25">
        <f>SUM(F16:F21)</f>
        <v>11609.411027643213</v>
      </c>
      <c r="G22" s="25">
        <f>SUM(G16:G21)</f>
        <v>580.47055138216069</v>
      </c>
      <c r="H22" s="25">
        <f>SUM(H16:H21)</f>
        <v>1160.9411027643214</v>
      </c>
      <c r="I22" s="201">
        <f>SUM(I16:I21)</f>
        <v>681816.06588907493</v>
      </c>
      <c r="K22" s="166"/>
    </row>
    <row r="23" spans="1:11" ht="13.5" thickBot="1" x14ac:dyDescent="0.25">
      <c r="A23" s="200"/>
      <c r="B23" s="9"/>
      <c r="C23" s="10"/>
      <c r="D23" s="26"/>
      <c r="E23" s="167" t="s">
        <v>225</v>
      </c>
      <c r="F23" s="203">
        <f>SUM(F22:H22)</f>
        <v>13350.822681789696</v>
      </c>
      <c r="G23" s="204"/>
      <c r="H23" s="205"/>
      <c r="I23" s="202"/>
    </row>
    <row r="24" spans="1:11" ht="42" customHeight="1" x14ac:dyDescent="0.2">
      <c r="A24" s="195" t="s">
        <v>253</v>
      </c>
      <c r="B24" s="196"/>
      <c r="C24" s="196"/>
      <c r="D24" s="196"/>
      <c r="E24" s="196"/>
      <c r="F24" s="196"/>
      <c r="G24" s="196"/>
      <c r="H24" s="196"/>
      <c r="I24" s="196"/>
      <c r="J24" s="168"/>
      <c r="K24" s="168"/>
    </row>
    <row r="25" spans="1:11" ht="24.6" customHeight="1" x14ac:dyDescent="0.2">
      <c r="A25" s="197"/>
      <c r="B25" s="196"/>
      <c r="C25" s="196"/>
      <c r="D25" s="196"/>
      <c r="E25" s="196"/>
      <c r="F25" s="196"/>
      <c r="G25" s="196"/>
      <c r="H25" s="196"/>
      <c r="I25" s="196"/>
    </row>
    <row r="26" spans="1:11" ht="15" x14ac:dyDescent="0.2">
      <c r="A26" s="11"/>
      <c r="B26" s="11"/>
      <c r="C26" s="11"/>
      <c r="D26" s="11"/>
      <c r="E26" s="11"/>
      <c r="F26" s="11"/>
      <c r="G26" s="11"/>
      <c r="I26" s="166"/>
    </row>
    <row r="31" spans="1:11" x14ac:dyDescent="0.2">
      <c r="A31" s="43" t="s">
        <v>226</v>
      </c>
      <c r="B31" s="44" t="s">
        <v>227</v>
      </c>
      <c r="C31" s="43"/>
      <c r="D31" s="45" t="s">
        <v>228</v>
      </c>
      <c r="E31" s="46"/>
      <c r="F31" s="46"/>
    </row>
    <row r="32" spans="1:11" x14ac:dyDescent="0.2">
      <c r="A32" t="s">
        <v>229</v>
      </c>
      <c r="B32" s="47">
        <f>32.73*1.6</f>
        <v>52.367999999999995</v>
      </c>
      <c r="C32"/>
      <c r="D32" t="s">
        <v>230</v>
      </c>
      <c r="E32" s="46"/>
      <c r="F32" s="46"/>
    </row>
    <row r="33" spans="1:6" x14ac:dyDescent="0.2">
      <c r="A33" t="s">
        <v>231</v>
      </c>
      <c r="B33" s="47">
        <f>44.1*1.6</f>
        <v>70.56</v>
      </c>
      <c r="C33"/>
      <c r="D33" t="s">
        <v>232</v>
      </c>
      <c r="E33" s="46"/>
      <c r="F33" s="46"/>
    </row>
    <row r="34" spans="1:6" x14ac:dyDescent="0.2">
      <c r="A34" t="s">
        <v>233</v>
      </c>
      <c r="B34" s="47">
        <f>17.71*1.6</f>
        <v>28.336000000000002</v>
      </c>
      <c r="C34"/>
      <c r="D34" t="s">
        <v>234</v>
      </c>
      <c r="E34" s="46"/>
      <c r="F34" s="46"/>
    </row>
    <row r="35" spans="1:6" x14ac:dyDescent="0.2">
      <c r="A35"/>
      <c r="B35"/>
      <c r="C35"/>
      <c r="D35"/>
      <c r="E35" s="46"/>
      <c r="F35" s="46"/>
    </row>
    <row r="36" spans="1:6" ht="13.15" customHeight="1" x14ac:dyDescent="0.2">
      <c r="A36" s="194" t="s">
        <v>254</v>
      </c>
      <c r="B36" s="194"/>
      <c r="C36" s="194"/>
      <c r="D36" s="194"/>
      <c r="E36" s="194"/>
      <c r="F36" s="46"/>
    </row>
    <row r="37" spans="1:6" ht="20.85" customHeight="1" x14ac:dyDescent="0.2">
      <c r="A37" s="194"/>
      <c r="B37" s="194"/>
      <c r="C37" s="194"/>
      <c r="D37" s="194"/>
      <c r="E37" s="194"/>
    </row>
  </sheetData>
  <mergeCells count="10">
    <mergeCell ref="A36:E37"/>
    <mergeCell ref="A24:I24"/>
    <mergeCell ref="A25:I25"/>
    <mergeCell ref="A1:I1"/>
    <mergeCell ref="A2:I2"/>
    <mergeCell ref="A3:I3"/>
    <mergeCell ref="A22:A23"/>
    <mergeCell ref="I22:I23"/>
    <mergeCell ref="F23:H23"/>
    <mergeCell ref="A4:I4"/>
  </mergeCell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74C45-F13C-4018-B2A4-6B68955349E9}">
  <dimension ref="A1:K37"/>
  <sheetViews>
    <sheetView topLeftCell="A8" zoomScale="75" zoomScaleNormal="75" workbookViewId="0">
      <selection activeCell="A19" sqref="A19"/>
    </sheetView>
  </sheetViews>
  <sheetFormatPr defaultColWidth="9.33203125" defaultRowHeight="12.75" x14ac:dyDescent="0.2"/>
  <cols>
    <col min="1" max="1" width="51.83203125" style="1" customWidth="1"/>
    <col min="2" max="9" width="12.83203125" style="1" customWidth="1"/>
    <col min="10" max="16384" width="9.33203125" style="1"/>
  </cols>
  <sheetData>
    <row r="1" spans="1:11" ht="15.75" x14ac:dyDescent="0.2">
      <c r="A1" s="190" t="s">
        <v>260</v>
      </c>
      <c r="B1" s="190"/>
      <c r="C1" s="190"/>
      <c r="D1" s="190"/>
      <c r="E1" s="190"/>
      <c r="F1" s="190"/>
      <c r="G1" s="190"/>
      <c r="H1" s="190"/>
      <c r="I1" s="190"/>
    </row>
    <row r="2" spans="1:11" ht="15.75" x14ac:dyDescent="0.25">
      <c r="A2" s="198" t="s">
        <v>237</v>
      </c>
      <c r="B2" s="198"/>
      <c r="C2" s="198"/>
      <c r="D2" s="198"/>
      <c r="E2" s="198"/>
      <c r="F2" s="198"/>
      <c r="G2" s="198"/>
      <c r="H2" s="198"/>
      <c r="I2" s="198"/>
    </row>
    <row r="3" spans="1:11" customFormat="1" ht="15.75" x14ac:dyDescent="0.2">
      <c r="A3" s="190" t="s">
        <v>2</v>
      </c>
      <c r="B3" s="190"/>
      <c r="C3" s="190"/>
      <c r="D3" s="190"/>
      <c r="E3" s="190"/>
      <c r="F3" s="190"/>
      <c r="G3" s="190"/>
      <c r="H3" s="190"/>
      <c r="I3" s="190"/>
    </row>
    <row r="4" spans="1:11" ht="16.5" thickBot="1" x14ac:dyDescent="0.25">
      <c r="A4" s="206" t="s">
        <v>255</v>
      </c>
      <c r="B4" s="206"/>
      <c r="C4" s="206"/>
      <c r="D4" s="206"/>
      <c r="E4" s="206"/>
      <c r="F4" s="206"/>
      <c r="G4" s="206"/>
      <c r="H4" s="206"/>
      <c r="I4" s="206"/>
      <c r="J4" s="93"/>
      <c r="K4" s="93"/>
    </row>
    <row r="5" spans="1:11" ht="14.1" customHeight="1" x14ac:dyDescent="0.2">
      <c r="A5" s="147"/>
      <c r="B5" s="148" t="s">
        <v>8</v>
      </c>
      <c r="C5" s="149" t="s">
        <v>9</v>
      </c>
      <c r="D5" s="150" t="s">
        <v>198</v>
      </c>
      <c r="E5" s="149" t="s">
        <v>11</v>
      </c>
      <c r="F5" s="149" t="s">
        <v>12</v>
      </c>
      <c r="G5" s="149" t="s">
        <v>13</v>
      </c>
      <c r="H5" s="149" t="s">
        <v>14</v>
      </c>
      <c r="I5" s="151" t="s">
        <v>15</v>
      </c>
    </row>
    <row r="6" spans="1:11" ht="14.1" customHeight="1" x14ac:dyDescent="0.2">
      <c r="A6" s="152"/>
      <c r="B6" s="153" t="s">
        <v>199</v>
      </c>
      <c r="C6" s="154" t="s">
        <v>200</v>
      </c>
      <c r="D6" s="153" t="s">
        <v>199</v>
      </c>
      <c r="E6" s="153" t="s">
        <v>201</v>
      </c>
      <c r="F6" s="153" t="s">
        <v>3</v>
      </c>
      <c r="G6" s="153" t="s">
        <v>202</v>
      </c>
      <c r="H6" s="153" t="s">
        <v>16</v>
      </c>
      <c r="I6" s="155" t="s">
        <v>236</v>
      </c>
    </row>
    <row r="7" spans="1:11" ht="14.1" customHeight="1" x14ac:dyDescent="0.2">
      <c r="A7" s="152"/>
      <c r="B7" s="153" t="s">
        <v>204</v>
      </c>
      <c r="C7" s="154" t="s">
        <v>205</v>
      </c>
      <c r="D7" s="153" t="s">
        <v>204</v>
      </c>
      <c r="E7" s="153" t="s">
        <v>206</v>
      </c>
      <c r="F7" s="153" t="s">
        <v>207</v>
      </c>
      <c r="G7" s="153" t="s">
        <v>207</v>
      </c>
      <c r="H7" s="153" t="s">
        <v>208</v>
      </c>
      <c r="I7" s="155"/>
    </row>
    <row r="8" spans="1:11" ht="14.1" customHeight="1" x14ac:dyDescent="0.2">
      <c r="A8" s="152"/>
      <c r="B8" s="153" t="s">
        <v>209</v>
      </c>
      <c r="C8" s="154" t="s">
        <v>210</v>
      </c>
      <c r="D8" s="153" t="s">
        <v>211</v>
      </c>
      <c r="E8" s="153" t="s">
        <v>212</v>
      </c>
      <c r="F8" s="153" t="s">
        <v>213</v>
      </c>
      <c r="G8" s="153" t="s">
        <v>213</v>
      </c>
      <c r="H8" s="153" t="s">
        <v>204</v>
      </c>
      <c r="I8" s="155"/>
    </row>
    <row r="9" spans="1:11" ht="14.1" customHeight="1" x14ac:dyDescent="0.2">
      <c r="A9" s="152"/>
      <c r="B9" s="156"/>
      <c r="C9" s="154" t="s">
        <v>213</v>
      </c>
      <c r="D9" s="153" t="s">
        <v>214</v>
      </c>
      <c r="E9" s="153"/>
      <c r="F9" s="153" t="s">
        <v>215</v>
      </c>
      <c r="G9" s="153" t="s">
        <v>216</v>
      </c>
      <c r="H9" s="153" t="s">
        <v>214</v>
      </c>
      <c r="I9" s="155"/>
    </row>
    <row r="10" spans="1:11" ht="14.1" customHeight="1" x14ac:dyDescent="0.2">
      <c r="A10" s="157" t="s">
        <v>217</v>
      </c>
      <c r="B10" s="158"/>
      <c r="C10" s="159"/>
      <c r="D10" s="160" t="s">
        <v>218</v>
      </c>
      <c r="E10" s="160"/>
      <c r="F10" s="160"/>
      <c r="G10" s="160"/>
      <c r="H10" s="160" t="s">
        <v>219</v>
      </c>
      <c r="I10" s="161"/>
    </row>
    <row r="11" spans="1:11" ht="14.1" customHeight="1" x14ac:dyDescent="0.2">
      <c r="A11" s="152" t="s">
        <v>247</v>
      </c>
      <c r="B11" s="156"/>
      <c r="C11" s="154"/>
      <c r="D11" s="154"/>
      <c r="E11" s="153"/>
      <c r="F11" s="153"/>
      <c r="G11" s="153"/>
      <c r="H11" s="154"/>
      <c r="I11" s="155"/>
    </row>
    <row r="12" spans="1:11" ht="14.1" customHeight="1" x14ac:dyDescent="0.2">
      <c r="A12" s="162" t="s">
        <v>248</v>
      </c>
      <c r="B12" s="27">
        <v>320</v>
      </c>
      <c r="C12" s="27">
        <v>1</v>
      </c>
      <c r="D12" s="20">
        <f>B12*C12</f>
        <v>320</v>
      </c>
      <c r="E12" s="21">
        <v>0</v>
      </c>
      <c r="F12" s="21">
        <f>D12*E12</f>
        <v>0</v>
      </c>
      <c r="G12" s="21">
        <f>F12*0.05</f>
        <v>0</v>
      </c>
      <c r="H12" s="21">
        <f>F12*0.1</f>
        <v>0</v>
      </c>
      <c r="I12" s="22">
        <f>F12*$B$32+G12*$B$33+H12*$B$34</f>
        <v>0</v>
      </c>
    </row>
    <row r="13" spans="1:11" ht="14.1" customHeight="1" x14ac:dyDescent="0.2">
      <c r="A13" s="162" t="s">
        <v>246</v>
      </c>
      <c r="B13" s="27">
        <v>80</v>
      </c>
      <c r="C13" s="27">
        <v>1</v>
      </c>
      <c r="D13" s="20">
        <f>B13*C13</f>
        <v>80</v>
      </c>
      <c r="E13" s="21">
        <v>2</v>
      </c>
      <c r="F13" s="21">
        <f>D13*E13</f>
        <v>160</v>
      </c>
      <c r="G13" s="21">
        <f>F13*0.05</f>
        <v>8</v>
      </c>
      <c r="H13" s="21">
        <f>F13*0.1</f>
        <v>16</v>
      </c>
      <c r="I13" s="22">
        <f t="shared" ref="I13:I14" si="0">F13*$B$32+G13*$B$33+H13*$B$34</f>
        <v>9396.735999999999</v>
      </c>
    </row>
    <row r="14" spans="1:11" ht="14.1" customHeight="1" x14ac:dyDescent="0.2">
      <c r="A14" s="162" t="s">
        <v>249</v>
      </c>
      <c r="B14" s="27">
        <v>20</v>
      </c>
      <c r="C14" s="27">
        <v>1</v>
      </c>
      <c r="D14" s="20">
        <f>B14*C14</f>
        <v>20</v>
      </c>
      <c r="E14" s="21">
        <v>6</v>
      </c>
      <c r="F14" s="21">
        <f>D14*E14</f>
        <v>120</v>
      </c>
      <c r="G14" s="21">
        <f>F14*0.05</f>
        <v>6</v>
      </c>
      <c r="H14" s="21">
        <f>F14*0.1</f>
        <v>12</v>
      </c>
      <c r="I14" s="22">
        <f t="shared" si="0"/>
        <v>7047.5519999999997</v>
      </c>
    </row>
    <row r="15" spans="1:11" x14ac:dyDescent="0.2">
      <c r="A15" s="152" t="s">
        <v>220</v>
      </c>
      <c r="B15" s="2"/>
      <c r="C15" s="3"/>
      <c r="D15" s="4"/>
      <c r="E15" s="5"/>
      <c r="F15" s="5"/>
      <c r="G15" s="5"/>
      <c r="H15" s="4"/>
      <c r="I15" s="6"/>
    </row>
    <row r="16" spans="1:11" x14ac:dyDescent="0.2">
      <c r="A16" s="162" t="s">
        <v>221</v>
      </c>
      <c r="B16" s="27">
        <v>0.5</v>
      </c>
      <c r="C16" s="27">
        <v>1</v>
      </c>
      <c r="D16" s="20">
        <f t="shared" ref="D16:D21" si="1">B16*C16</f>
        <v>0.5</v>
      </c>
      <c r="E16" s="21">
        <f>'Year 3 (2025)'!G15</f>
        <v>12</v>
      </c>
      <c r="F16" s="21">
        <f t="shared" ref="F16:F21" si="2">D16*E16</f>
        <v>6</v>
      </c>
      <c r="G16" s="21">
        <f t="shared" ref="G16:G21" si="3">F16*0.05</f>
        <v>0.30000000000000004</v>
      </c>
      <c r="H16" s="21">
        <f t="shared" ref="H16:H21" si="4">F16*0.1</f>
        <v>0.60000000000000009</v>
      </c>
      <c r="I16" s="22">
        <f t="shared" ref="I16:I21" si="5">F16*$B$32+G16*$B$33+H16*$B$34</f>
        <v>352.37759999999997</v>
      </c>
    </row>
    <row r="17" spans="1:11" x14ac:dyDescent="0.2">
      <c r="A17" s="163" t="s">
        <v>36</v>
      </c>
      <c r="B17" s="27">
        <v>0.5</v>
      </c>
      <c r="C17" s="27">
        <v>1</v>
      </c>
      <c r="D17" s="20">
        <f t="shared" si="1"/>
        <v>0.5</v>
      </c>
      <c r="E17" s="21">
        <f>'Year 3 (2025)'!G16</f>
        <v>10753</v>
      </c>
      <c r="F17" s="21">
        <f t="shared" si="2"/>
        <v>5376.5</v>
      </c>
      <c r="G17" s="21">
        <f t="shared" si="3"/>
        <v>268.82499999999999</v>
      </c>
      <c r="H17" s="21">
        <f t="shared" si="4"/>
        <v>537.65</v>
      </c>
      <c r="I17" s="22">
        <f t="shared" si="5"/>
        <v>315759.69439999998</v>
      </c>
    </row>
    <row r="18" spans="1:11" x14ac:dyDescent="0.2">
      <c r="A18" s="164" t="s">
        <v>268</v>
      </c>
      <c r="B18" s="80">
        <v>0.5</v>
      </c>
      <c r="C18" s="27">
        <v>1</v>
      </c>
      <c r="D18" s="20">
        <f t="shared" si="1"/>
        <v>0.5</v>
      </c>
      <c r="E18" s="169">
        <v>250</v>
      </c>
      <c r="F18" s="21">
        <f t="shared" si="2"/>
        <v>125</v>
      </c>
      <c r="G18" s="21">
        <f t="shared" si="3"/>
        <v>6.25</v>
      </c>
      <c r="H18" s="21">
        <f t="shared" si="4"/>
        <v>12.5</v>
      </c>
      <c r="I18" s="22">
        <f t="shared" si="5"/>
        <v>7341.1999999999989</v>
      </c>
    </row>
    <row r="19" spans="1:11" x14ac:dyDescent="0.2">
      <c r="A19" s="164" t="s">
        <v>269</v>
      </c>
      <c r="B19" s="80">
        <v>1.5</v>
      </c>
      <c r="C19" s="27">
        <v>1</v>
      </c>
      <c r="D19" s="20">
        <f t="shared" si="1"/>
        <v>1.5</v>
      </c>
      <c r="E19" s="169">
        <v>250</v>
      </c>
      <c r="F19" s="21">
        <f t="shared" si="2"/>
        <v>375</v>
      </c>
      <c r="G19" s="21">
        <f t="shared" si="3"/>
        <v>18.75</v>
      </c>
      <c r="H19" s="21">
        <f t="shared" si="4"/>
        <v>37.5</v>
      </c>
      <c r="I19" s="22">
        <f t="shared" si="5"/>
        <v>22023.599999999995</v>
      </c>
    </row>
    <row r="20" spans="1:11" x14ac:dyDescent="0.2">
      <c r="A20" s="165" t="s">
        <v>222</v>
      </c>
      <c r="B20" s="80">
        <v>3</v>
      </c>
      <c r="C20" s="27">
        <v>1</v>
      </c>
      <c r="D20" s="20">
        <f t="shared" si="1"/>
        <v>3</v>
      </c>
      <c r="E20" s="21">
        <f>'Year 3 (2025)'!G12-'Year 3 (2025)'!G58</f>
        <v>2402.9065570409266</v>
      </c>
      <c r="F20" s="21">
        <f t="shared" si="2"/>
        <v>7208.7196711227798</v>
      </c>
      <c r="G20" s="21">
        <f t="shared" si="3"/>
        <v>360.43598355613904</v>
      </c>
      <c r="H20" s="21">
        <f t="shared" si="4"/>
        <v>720.87196711227807</v>
      </c>
      <c r="I20" s="22">
        <f t="shared" si="5"/>
        <v>423365.22279717238</v>
      </c>
    </row>
    <row r="21" spans="1:11" x14ac:dyDescent="0.2">
      <c r="A21" s="165" t="s">
        <v>223</v>
      </c>
      <c r="B21" s="80">
        <v>3</v>
      </c>
      <c r="C21" s="27">
        <v>2</v>
      </c>
      <c r="D21" s="20">
        <f t="shared" si="1"/>
        <v>6</v>
      </c>
      <c r="E21" s="21">
        <f>'Year 3 (2025)'!G58</f>
        <v>45</v>
      </c>
      <c r="F21" s="21">
        <f t="shared" si="2"/>
        <v>270</v>
      </c>
      <c r="G21" s="21">
        <f t="shared" si="3"/>
        <v>13.5</v>
      </c>
      <c r="H21" s="21">
        <f t="shared" si="4"/>
        <v>27</v>
      </c>
      <c r="I21" s="22">
        <f t="shared" si="5"/>
        <v>15856.991999999998</v>
      </c>
    </row>
    <row r="22" spans="1:11" x14ac:dyDescent="0.2">
      <c r="A22" s="199" t="s">
        <v>224</v>
      </c>
      <c r="B22" s="7"/>
      <c r="C22" s="8"/>
      <c r="D22" s="23"/>
      <c r="E22" s="24"/>
      <c r="F22" s="25">
        <f>SUM(F16:F21)</f>
        <v>13361.219671122781</v>
      </c>
      <c r="G22" s="25">
        <f>SUM(G16:G21)</f>
        <v>668.06098355613904</v>
      </c>
      <c r="H22" s="25">
        <f>SUM(H16:H21)</f>
        <v>1336.1219671122781</v>
      </c>
      <c r="I22" s="201">
        <f>SUM(I16:I21)</f>
        <v>784699.08679717232</v>
      </c>
      <c r="K22" s="166"/>
    </row>
    <row r="23" spans="1:11" ht="13.5" thickBot="1" x14ac:dyDescent="0.25">
      <c r="A23" s="200"/>
      <c r="B23" s="9"/>
      <c r="C23" s="10"/>
      <c r="D23" s="26"/>
      <c r="E23" s="167" t="s">
        <v>225</v>
      </c>
      <c r="F23" s="203">
        <f>SUM(F22:H22)</f>
        <v>15365.402621791198</v>
      </c>
      <c r="G23" s="204"/>
      <c r="H23" s="205"/>
      <c r="I23" s="202"/>
    </row>
    <row r="24" spans="1:11" ht="42" customHeight="1" x14ac:dyDescent="0.2">
      <c r="A24" s="195" t="s">
        <v>253</v>
      </c>
      <c r="B24" s="196"/>
      <c r="C24" s="196"/>
      <c r="D24" s="196"/>
      <c r="E24" s="196"/>
      <c r="F24" s="196"/>
      <c r="G24" s="196"/>
      <c r="H24" s="196"/>
      <c r="I24" s="196"/>
      <c r="J24" s="168"/>
      <c r="K24" s="168"/>
    </row>
    <row r="25" spans="1:11" ht="24.6" customHeight="1" x14ac:dyDescent="0.2">
      <c r="A25" s="197"/>
      <c r="B25" s="196"/>
      <c r="C25" s="196"/>
      <c r="D25" s="196"/>
      <c r="E25" s="196"/>
      <c r="F25" s="196"/>
      <c r="G25" s="196"/>
      <c r="H25" s="196"/>
      <c r="I25" s="196"/>
    </row>
    <row r="26" spans="1:11" ht="15" x14ac:dyDescent="0.2">
      <c r="A26" s="11"/>
      <c r="B26" s="11"/>
      <c r="C26" s="11"/>
      <c r="D26" s="11"/>
      <c r="E26" s="11"/>
      <c r="F26" s="11"/>
      <c r="G26" s="11"/>
      <c r="I26" s="166"/>
    </row>
    <row r="31" spans="1:11" x14ac:dyDescent="0.2">
      <c r="A31" s="43" t="s">
        <v>226</v>
      </c>
      <c r="B31" s="44" t="s">
        <v>227</v>
      </c>
      <c r="C31" s="43"/>
      <c r="D31" s="45" t="s">
        <v>228</v>
      </c>
      <c r="E31" s="46"/>
      <c r="F31" s="46"/>
    </row>
    <row r="32" spans="1:11" x14ac:dyDescent="0.2">
      <c r="A32" t="s">
        <v>229</v>
      </c>
      <c r="B32" s="47">
        <f>32.73*1.6</f>
        <v>52.367999999999995</v>
      </c>
      <c r="C32"/>
      <c r="D32" t="s">
        <v>230</v>
      </c>
      <c r="E32" s="46"/>
      <c r="F32" s="46"/>
    </row>
    <row r="33" spans="1:6" x14ac:dyDescent="0.2">
      <c r="A33" t="s">
        <v>231</v>
      </c>
      <c r="B33" s="47">
        <f>44.1*1.6</f>
        <v>70.56</v>
      </c>
      <c r="C33"/>
      <c r="D33" t="s">
        <v>232</v>
      </c>
      <c r="E33" s="46"/>
      <c r="F33" s="46"/>
    </row>
    <row r="34" spans="1:6" x14ac:dyDescent="0.2">
      <c r="A34" t="s">
        <v>233</v>
      </c>
      <c r="B34" s="47">
        <f>17.71*1.6</f>
        <v>28.336000000000002</v>
      </c>
      <c r="C34"/>
      <c r="D34" t="s">
        <v>234</v>
      </c>
      <c r="E34" s="46"/>
      <c r="F34" s="46"/>
    </row>
    <row r="35" spans="1:6" x14ac:dyDescent="0.2">
      <c r="A35"/>
      <c r="B35"/>
      <c r="C35"/>
      <c r="D35"/>
      <c r="E35" s="46"/>
      <c r="F35" s="46"/>
    </row>
    <row r="36" spans="1:6" ht="13.15" customHeight="1" x14ac:dyDescent="0.2">
      <c r="A36" s="194" t="s">
        <v>254</v>
      </c>
      <c r="B36" s="194"/>
      <c r="C36" s="194"/>
      <c r="D36" s="194"/>
      <c r="E36" s="194"/>
      <c r="F36" s="46"/>
    </row>
    <row r="37" spans="1:6" ht="19.149999999999999" customHeight="1" x14ac:dyDescent="0.2">
      <c r="A37" s="194"/>
      <c r="B37" s="194"/>
      <c r="C37" s="194"/>
      <c r="D37" s="194"/>
      <c r="E37" s="194"/>
    </row>
  </sheetData>
  <mergeCells count="10">
    <mergeCell ref="A36:E37"/>
    <mergeCell ref="A24:I24"/>
    <mergeCell ref="A25:I25"/>
    <mergeCell ref="A1:I1"/>
    <mergeCell ref="A2:I2"/>
    <mergeCell ref="A3:I3"/>
    <mergeCell ref="A22:A23"/>
    <mergeCell ref="I22:I23"/>
    <mergeCell ref="F23:H23"/>
    <mergeCell ref="A4:I4"/>
  </mergeCells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0678-2882-45B6-B200-D165799A94D4}">
  <dimension ref="A1:I16"/>
  <sheetViews>
    <sheetView zoomScale="75" zoomScaleNormal="75" workbookViewId="0">
      <selection sqref="A1:F11"/>
    </sheetView>
  </sheetViews>
  <sheetFormatPr defaultColWidth="9.33203125" defaultRowHeight="12.75" x14ac:dyDescent="0.2"/>
  <cols>
    <col min="1" max="5" width="20.83203125" style="1" customWidth="1"/>
    <col min="6" max="6" width="23.6640625" style="1" customWidth="1"/>
    <col min="7" max="16384" width="9.33203125" style="1"/>
  </cols>
  <sheetData>
    <row r="1" spans="1:9" customFormat="1" ht="15.75" x14ac:dyDescent="0.2">
      <c r="A1" s="190" t="s">
        <v>260</v>
      </c>
      <c r="B1" s="190"/>
      <c r="C1" s="190"/>
      <c r="D1" s="190"/>
      <c r="E1" s="190"/>
      <c r="F1" s="190"/>
      <c r="G1" s="12"/>
      <c r="H1" s="12"/>
      <c r="I1" s="12"/>
    </row>
    <row r="2" spans="1:9" customFormat="1" ht="15.75" x14ac:dyDescent="0.25">
      <c r="A2" s="191" t="s">
        <v>238</v>
      </c>
      <c r="B2" s="191"/>
      <c r="C2" s="191"/>
      <c r="D2" s="191"/>
      <c r="E2" s="191"/>
      <c r="F2" s="191"/>
    </row>
    <row r="3" spans="1:9" customFormat="1" ht="15.75" x14ac:dyDescent="0.2">
      <c r="A3" s="190" t="s">
        <v>118</v>
      </c>
      <c r="B3" s="192"/>
      <c r="C3" s="192"/>
      <c r="D3" s="192"/>
      <c r="E3" s="192"/>
      <c r="F3" s="192"/>
      <c r="G3" s="33"/>
    </row>
    <row r="4" spans="1:9" ht="15.75" x14ac:dyDescent="0.2">
      <c r="A4" s="190" t="s">
        <v>256</v>
      </c>
      <c r="B4" s="192"/>
      <c r="C4" s="192"/>
      <c r="D4" s="192"/>
      <c r="E4" s="192"/>
      <c r="F4" s="192"/>
      <c r="G4" s="33"/>
    </row>
    <row r="5" spans="1:9" ht="15.75" x14ac:dyDescent="0.25">
      <c r="A5" s="193" t="s">
        <v>239</v>
      </c>
      <c r="B5" s="193"/>
      <c r="C5" s="193"/>
      <c r="D5" s="193"/>
      <c r="E5" s="193"/>
      <c r="F5" s="193"/>
      <c r="G5" s="28"/>
    </row>
    <row r="6" spans="1:9" x14ac:dyDescent="0.2">
      <c r="A6" s="13" t="s">
        <v>121</v>
      </c>
      <c r="B6" s="13" t="s">
        <v>123</v>
      </c>
      <c r="C6" s="13" t="s">
        <v>124</v>
      </c>
      <c r="D6" s="13" t="s">
        <v>125</v>
      </c>
      <c r="E6" s="13" t="s">
        <v>126</v>
      </c>
      <c r="F6" s="13" t="s">
        <v>127</v>
      </c>
      <c r="G6" s="28"/>
    </row>
    <row r="7" spans="1:9" ht="15" customHeight="1" x14ac:dyDescent="0.2">
      <c r="A7" s="14" t="s">
        <v>133</v>
      </c>
      <c r="B7" s="15">
        <f>'Year 1 Agency (2023)'!F22</f>
        <v>12495.706074195114</v>
      </c>
      <c r="C7" s="15">
        <f>'Year 1 Agency (2023)'!H22</f>
        <v>1249.5706074195116</v>
      </c>
      <c r="D7" s="15">
        <f>'Year 1 Agency (2023)'!G22</f>
        <v>624.78530370975579</v>
      </c>
      <c r="E7" s="15">
        <f>SUM(B7:D7)</f>
        <v>14370.061985324381</v>
      </c>
      <c r="F7" s="16">
        <f>'Year 1 Agency (2023)'!I22</f>
        <v>733867.81945504935</v>
      </c>
      <c r="G7" s="28"/>
    </row>
    <row r="8" spans="1:9" ht="15" customHeight="1" x14ac:dyDescent="0.2">
      <c r="A8" s="14" t="s">
        <v>135</v>
      </c>
      <c r="B8" s="15">
        <f>'Year 2 Agency (2024)'!F22</f>
        <v>11609.411027643213</v>
      </c>
      <c r="C8" s="15">
        <f>'Year 2 Agency (2024)'!H22</f>
        <v>1160.9411027643214</v>
      </c>
      <c r="D8" s="15">
        <f>'Year 2 Agency (2024)'!G22</f>
        <v>580.47055138216069</v>
      </c>
      <c r="E8" s="15">
        <f>SUM(B8:D8)</f>
        <v>13350.822681789696</v>
      </c>
      <c r="F8" s="16">
        <f>'Year 2 Agency (2024)'!I22</f>
        <v>681816.06588907493</v>
      </c>
      <c r="G8" s="28"/>
    </row>
    <row r="9" spans="1:9" ht="15" customHeight="1" x14ac:dyDescent="0.2">
      <c r="A9" s="14" t="s">
        <v>137</v>
      </c>
      <c r="B9" s="15">
        <f>'Year 3 Agency (2025)'!F22</f>
        <v>13361.219671122781</v>
      </c>
      <c r="C9" s="15">
        <f>'Year 3 Agency (2025)'!H22</f>
        <v>1336.1219671122781</v>
      </c>
      <c r="D9" s="15">
        <f>'Year 3 Agency (2025)'!G22</f>
        <v>668.06098355613904</v>
      </c>
      <c r="E9" s="15">
        <f>SUM(B9:D9)</f>
        <v>15365.402621791198</v>
      </c>
      <c r="F9" s="16">
        <f>'Year 3 Agency (2025)'!I22</f>
        <v>784699.08679717232</v>
      </c>
      <c r="G9" s="28"/>
    </row>
    <row r="10" spans="1:9" ht="15" customHeight="1" x14ac:dyDescent="0.2">
      <c r="A10" s="14" t="s">
        <v>139</v>
      </c>
      <c r="B10" s="15">
        <f>SUM(B7:B9)</f>
        <v>37466.336772961105</v>
      </c>
      <c r="C10" s="15">
        <f>SUM(C7:C9)</f>
        <v>3746.6336772961113</v>
      </c>
      <c r="D10" s="15">
        <f>SUM(D7:D9)</f>
        <v>1873.3168386480556</v>
      </c>
      <c r="E10" s="15">
        <f>SUM(E7:E9)</f>
        <v>43086.287288905274</v>
      </c>
      <c r="F10" s="16">
        <f>SUM(F7:F9)</f>
        <v>2200382.9721412966</v>
      </c>
      <c r="G10" s="28"/>
    </row>
    <row r="11" spans="1:9" ht="15" customHeight="1" x14ac:dyDescent="0.2">
      <c r="A11" s="17" t="s">
        <v>141</v>
      </c>
      <c r="B11" s="18">
        <f>AVERAGE(B7:B9)</f>
        <v>12488.778924320368</v>
      </c>
      <c r="C11" s="18">
        <f>AVERAGE(C7:C9)</f>
        <v>1248.877892432037</v>
      </c>
      <c r="D11" s="18">
        <f>AVERAGE(D7:D9)</f>
        <v>624.43894621601851</v>
      </c>
      <c r="E11" s="18">
        <f>AVERAGE(E7:E9)</f>
        <v>14362.095762968425</v>
      </c>
      <c r="F11" s="19">
        <f>AVERAGE(F7:F9)</f>
        <v>733460.9907137655</v>
      </c>
      <c r="G11" s="28"/>
    </row>
    <row r="12" spans="1:9" x14ac:dyDescent="0.2">
      <c r="A12" s="28"/>
      <c r="B12" s="28"/>
      <c r="C12" s="28"/>
      <c r="D12" s="28"/>
      <c r="E12" s="28"/>
      <c r="F12" s="28"/>
      <c r="G12" s="28"/>
    </row>
    <row r="13" spans="1:9" x14ac:dyDescent="0.2">
      <c r="A13" s="28"/>
      <c r="B13" s="28"/>
      <c r="C13" s="28"/>
      <c r="D13" s="28"/>
      <c r="E13" s="28"/>
      <c r="F13" s="28"/>
      <c r="G13" s="28"/>
    </row>
    <row r="14" spans="1:9" x14ac:dyDescent="0.2">
      <c r="A14" s="28"/>
      <c r="B14" s="28"/>
      <c r="C14" s="28"/>
      <c r="D14" s="28"/>
      <c r="E14" s="28"/>
      <c r="F14" s="28"/>
      <c r="G14" s="28"/>
    </row>
    <row r="15" spans="1:9" x14ac:dyDescent="0.2">
      <c r="A15" s="28"/>
      <c r="B15" s="28"/>
      <c r="C15" s="28"/>
      <c r="D15" s="28"/>
      <c r="E15" s="28"/>
      <c r="F15" s="28"/>
      <c r="G15" s="28"/>
    </row>
    <row r="16" spans="1:9" x14ac:dyDescent="0.2">
      <c r="A16" s="28"/>
      <c r="B16" s="28"/>
      <c r="C16" s="28"/>
      <c r="D16" s="28"/>
      <c r="E16" s="28"/>
      <c r="F16" s="28"/>
      <c r="G16" s="28"/>
    </row>
  </sheetData>
  <mergeCells count="5">
    <mergeCell ref="A1:F1"/>
    <mergeCell ref="A2:F2"/>
    <mergeCell ref="A3:F3"/>
    <mergeCell ref="A4:F4"/>
    <mergeCell ref="A5:F5"/>
  </mergeCell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63758-D9C4-4A01-A755-879BAF3601C0}">
  <sheetPr codeName="Sheet7">
    <pageSetUpPr fitToPage="1"/>
  </sheetPr>
  <dimension ref="B1:P34"/>
  <sheetViews>
    <sheetView topLeftCell="A22" zoomScaleNormal="100" workbookViewId="0">
      <selection activeCell="J33" sqref="J33"/>
    </sheetView>
  </sheetViews>
  <sheetFormatPr defaultColWidth="8.6640625" defaultRowHeight="12.75" x14ac:dyDescent="0.2"/>
  <cols>
    <col min="2" max="2" width="56.33203125" customWidth="1"/>
    <col min="3" max="3" width="8.6640625" style="33" hidden="1" customWidth="1"/>
    <col min="4" max="4" width="8.6640625" style="33" customWidth="1"/>
    <col min="5" max="6" width="8.6640625" style="33"/>
  </cols>
  <sheetData>
    <row r="1" spans="2:16" x14ac:dyDescent="0.2">
      <c r="B1" t="s">
        <v>144</v>
      </c>
    </row>
    <row r="2" spans="2:16" ht="13.5" thickBot="1" x14ac:dyDescent="0.25">
      <c r="L2" s="207" t="s">
        <v>145</v>
      </c>
      <c r="M2" s="207"/>
      <c r="N2" s="207"/>
    </row>
    <row r="3" spans="2:16" x14ac:dyDescent="0.2">
      <c r="B3" s="81" t="s">
        <v>146</v>
      </c>
      <c r="C3" s="82">
        <v>2022</v>
      </c>
      <c r="D3" s="82">
        <v>2023</v>
      </c>
      <c r="E3" s="82">
        <v>2024</v>
      </c>
      <c r="F3" s="83">
        <v>2025</v>
      </c>
      <c r="L3" s="48"/>
      <c r="M3" s="48">
        <v>2023</v>
      </c>
      <c r="N3" s="48">
        <v>2024</v>
      </c>
      <c r="O3" s="48">
        <v>2025</v>
      </c>
    </row>
    <row r="4" spans="2:16" x14ac:dyDescent="0.2">
      <c r="B4" s="84" t="s">
        <v>147</v>
      </c>
      <c r="C4" s="71">
        <f>C8+C12</f>
        <v>10635</v>
      </c>
      <c r="D4" s="71">
        <f>SUM('Activity Counts'!G11:G22)</f>
        <v>17458.891041240873</v>
      </c>
      <c r="E4" s="71">
        <f>SUM('Activity Counts'!G23:G34)-D4</f>
        <v>9866.3357643339405</v>
      </c>
      <c r="F4" s="85">
        <f>SUM('Activity Counts'!G35:G46)-E4-D4</f>
        <v>10753.381872183694</v>
      </c>
      <c r="L4" s="50"/>
      <c r="M4" s="34">
        <f>D4/22</f>
        <v>793.58595642003968</v>
      </c>
      <c r="N4" s="34">
        <f>SUM(D4:E4)/22</f>
        <v>1242.0557638897642</v>
      </c>
      <c r="O4" s="34">
        <f>SUM(D4:F4)/22</f>
        <v>1730.8458489890231</v>
      </c>
      <c r="P4" s="49" t="s">
        <v>148</v>
      </c>
    </row>
    <row r="5" spans="2:16" x14ac:dyDescent="0.2">
      <c r="B5" s="86" t="s">
        <v>41</v>
      </c>
      <c r="C5" s="71"/>
      <c r="D5" s="72">
        <f>SUM('Activity Counts'!G11:G16)</f>
        <v>9679.8018989027823</v>
      </c>
      <c r="E5" s="72">
        <f>SUM('Activity Counts'!G23:G28)-D5</f>
        <v>5470.231496445851</v>
      </c>
      <c r="F5" s="87">
        <f>SUM('Activity Counts'!G35:G40)-D5-E5</f>
        <v>5962.0399726483374</v>
      </c>
      <c r="L5" s="50"/>
      <c r="M5" s="34"/>
      <c r="N5" s="34"/>
      <c r="O5" s="34"/>
      <c r="P5" s="49"/>
    </row>
    <row r="6" spans="2:16" x14ac:dyDescent="0.2">
      <c r="B6" s="86" t="s">
        <v>88</v>
      </c>
      <c r="C6" s="71"/>
      <c r="D6" s="72">
        <f>'Activity Counts'!G17</f>
        <v>257.05333608773498</v>
      </c>
      <c r="E6" s="72">
        <f>'Activity Counts'!G29-D6</f>
        <v>145.26549923433902</v>
      </c>
      <c r="F6" s="87">
        <f>'Activity Counts'!G41-D6-E6</f>
        <v>158.32578815806306</v>
      </c>
      <c r="L6" s="50"/>
      <c r="M6" s="34"/>
      <c r="N6" s="34"/>
      <c r="O6" s="34"/>
      <c r="P6" s="49"/>
    </row>
    <row r="7" spans="2:16" ht="15" customHeight="1" x14ac:dyDescent="0.2">
      <c r="B7" s="86" t="s">
        <v>47</v>
      </c>
      <c r="C7" s="71"/>
      <c r="D7" s="72">
        <f>SUM('Activity Counts'!G18:G22)</f>
        <v>7522.0358062503583</v>
      </c>
      <c r="E7" s="72">
        <f>SUM('Activity Counts'!G30:G34)-D7</f>
        <v>4250.838768653748</v>
      </c>
      <c r="F7" s="87">
        <f>SUM('Activity Counts'!G42:G46)-E7-D7</f>
        <v>4633.0161113772938</v>
      </c>
      <c r="H7" s="68"/>
      <c r="L7" s="50"/>
      <c r="M7" s="34"/>
      <c r="N7" s="34"/>
      <c r="O7" s="34"/>
      <c r="P7" s="49"/>
    </row>
    <row r="8" spans="2:16" x14ac:dyDescent="0.2">
      <c r="B8" s="76" t="s">
        <v>149</v>
      </c>
      <c r="C8" s="73">
        <v>8767</v>
      </c>
      <c r="D8" s="73">
        <f>($C8/$C4)*D4</f>
        <v>14392.298801933121</v>
      </c>
      <c r="E8" s="73">
        <f>($C$8/$C$4)*E4</f>
        <v>8133.3489088778233</v>
      </c>
      <c r="F8" s="77">
        <f>($C$8/$C$4)*F4</f>
        <v>8864.5885165429663</v>
      </c>
      <c r="L8" s="32"/>
      <c r="M8" s="32"/>
      <c r="N8" s="32"/>
    </row>
    <row r="9" spans="2:16" x14ac:dyDescent="0.2">
      <c r="B9" s="75" t="s">
        <v>150</v>
      </c>
      <c r="C9" s="74">
        <v>1319</v>
      </c>
      <c r="D9" s="74">
        <f>($C9/$C8)*D8</f>
        <v>2165.3293167274765</v>
      </c>
      <c r="E9" s="74">
        <f t="shared" ref="E9:F11" si="0">($C9/$C8)*E8</f>
        <v>1223.6668427979753</v>
      </c>
      <c r="F9" s="79">
        <f t="shared" si="0"/>
        <v>1333.6822463009207</v>
      </c>
      <c r="L9" s="32"/>
      <c r="M9" s="32"/>
      <c r="N9" s="32"/>
    </row>
    <row r="10" spans="2:16" x14ac:dyDescent="0.2">
      <c r="B10" s="75" t="s">
        <v>151</v>
      </c>
      <c r="C10" s="74">
        <v>5978</v>
      </c>
      <c r="D10" s="74">
        <f t="shared" ref="D10:D11" si="1">($C10/$C9)*D9</f>
        <v>9813.751823651899</v>
      </c>
      <c r="E10" s="74">
        <f t="shared" si="0"/>
        <v>5545.929026721984</v>
      </c>
      <c r="F10" s="79">
        <f t="shared" si="0"/>
        <v>6044.5431905890109</v>
      </c>
      <c r="L10" s="32"/>
      <c r="M10" s="32"/>
      <c r="N10" s="32"/>
    </row>
    <row r="11" spans="2:16" x14ac:dyDescent="0.2">
      <c r="B11" s="75" t="s">
        <v>152</v>
      </c>
      <c r="C11" s="74">
        <v>1470</v>
      </c>
      <c r="D11" s="74">
        <f t="shared" si="1"/>
        <v>2413.2176615537455</v>
      </c>
      <c r="E11" s="74">
        <f t="shared" si="0"/>
        <v>1363.753039357865</v>
      </c>
      <c r="F11" s="79">
        <f t="shared" si="0"/>
        <v>1486.3630796530354</v>
      </c>
      <c r="L11" s="32"/>
      <c r="M11" s="32"/>
      <c r="N11" s="32"/>
    </row>
    <row r="12" spans="2:16" x14ac:dyDescent="0.2">
      <c r="B12" s="76" t="s">
        <v>153</v>
      </c>
      <c r="C12" s="73">
        <v>1868</v>
      </c>
      <c r="D12" s="73">
        <f>($C$12/$C$4)*D4</f>
        <v>3066.5922393077526</v>
      </c>
      <c r="E12" s="73">
        <f t="shared" ref="E12:F12" si="2">($C$12/$C$4)*E4</f>
        <v>1732.9868554561165</v>
      </c>
      <c r="F12" s="77">
        <f t="shared" si="2"/>
        <v>1888.7933556407277</v>
      </c>
      <c r="G12" s="68"/>
      <c r="L12" s="32"/>
      <c r="M12" s="32"/>
      <c r="N12" s="32"/>
    </row>
    <row r="13" spans="2:16" x14ac:dyDescent="0.2">
      <c r="B13" s="75" t="s">
        <v>150</v>
      </c>
      <c r="C13" s="74">
        <v>203</v>
      </c>
      <c r="D13" s="74">
        <f t="shared" ref="D13:D15" si="3">($C13/$C12)*D12</f>
        <v>333.25386754789815</v>
      </c>
      <c r="E13" s="74">
        <f t="shared" ref="E13:E15" si="4">($C13/$C12)*E12</f>
        <v>188.32780067322892</v>
      </c>
      <c r="F13" s="79">
        <f t="shared" ref="F13:F15" si="5">($C13/$C12)*F12</f>
        <v>205.25966338065723</v>
      </c>
      <c r="L13" s="32"/>
      <c r="M13" s="32"/>
      <c r="N13" s="32"/>
    </row>
    <row r="14" spans="2:16" x14ac:dyDescent="0.2">
      <c r="B14" s="75" t="s">
        <v>151</v>
      </c>
      <c r="C14" s="74">
        <v>597</v>
      </c>
      <c r="D14" s="74">
        <f t="shared" si="3"/>
        <v>980.06186663101084</v>
      </c>
      <c r="E14" s="74">
        <f t="shared" si="4"/>
        <v>553.85072414737772</v>
      </c>
      <c r="F14" s="79">
        <f t="shared" si="5"/>
        <v>603.64541398153881</v>
      </c>
      <c r="L14" s="32"/>
      <c r="M14" s="32"/>
      <c r="N14" s="32"/>
    </row>
    <row r="15" spans="2:16" x14ac:dyDescent="0.2">
      <c r="B15" s="75" t="s">
        <v>152</v>
      </c>
      <c r="C15" s="74">
        <v>1068</v>
      </c>
      <c r="D15" s="74">
        <f t="shared" si="3"/>
        <v>1753.2765051288434</v>
      </c>
      <c r="E15" s="74">
        <f t="shared" si="4"/>
        <v>990.80833063550983</v>
      </c>
      <c r="F15" s="79">
        <f t="shared" si="5"/>
        <v>1079.8882782785317</v>
      </c>
      <c r="L15" s="32"/>
      <c r="M15" s="32"/>
      <c r="N15" s="32"/>
    </row>
    <row r="16" spans="2:16" x14ac:dyDescent="0.2">
      <c r="B16" s="76" t="s">
        <v>154</v>
      </c>
      <c r="C16" s="73">
        <f t="shared" ref="C16:F16" si="6">C11+C15</f>
        <v>2538</v>
      </c>
      <c r="D16" s="73">
        <f t="shared" si="6"/>
        <v>4166.4941666825889</v>
      </c>
      <c r="E16" s="73">
        <f t="shared" si="6"/>
        <v>2354.5613699933747</v>
      </c>
      <c r="F16" s="77">
        <f t="shared" si="6"/>
        <v>2566.2513579315673</v>
      </c>
      <c r="L16" s="32"/>
      <c r="M16" s="32"/>
      <c r="N16" s="32"/>
    </row>
    <row r="17" spans="2:16" x14ac:dyDescent="0.2">
      <c r="B17" s="76" t="s">
        <v>155</v>
      </c>
      <c r="C17" s="73">
        <f t="shared" ref="C17:F17" si="7">C9+C10+C13+C14</f>
        <v>8097</v>
      </c>
      <c r="D17" s="73">
        <f t="shared" si="7"/>
        <v>13292.396874558286</v>
      </c>
      <c r="E17" s="73">
        <f t="shared" si="7"/>
        <v>7511.7743943405658</v>
      </c>
      <c r="F17" s="77">
        <f t="shared" si="7"/>
        <v>8187.1305142521278</v>
      </c>
      <c r="L17" s="32"/>
      <c r="M17" s="32"/>
      <c r="N17" s="32"/>
    </row>
    <row r="18" spans="2:16" x14ac:dyDescent="0.2">
      <c r="B18" s="78" t="s">
        <v>156</v>
      </c>
      <c r="C18" s="73"/>
      <c r="D18" s="74">
        <f>'Activity Counts'!G59</f>
        <v>8007.3458634509598</v>
      </c>
      <c r="E18" s="74">
        <f>'Activity Counts'!G60-D18</f>
        <v>4525.0962780705404</v>
      </c>
      <c r="F18" s="79">
        <f>'Activity Counts'!G61-D18-E18</f>
        <v>4931.9311088510995</v>
      </c>
      <c r="L18" s="32"/>
      <c r="M18" s="32"/>
      <c r="N18" s="32"/>
    </row>
    <row r="19" spans="2:16" x14ac:dyDescent="0.2">
      <c r="B19" s="35" t="s">
        <v>257</v>
      </c>
      <c r="C19" s="36">
        <v>1542</v>
      </c>
      <c r="D19" s="36">
        <f>'Activity Counts'!G62+'Activity Counts'!G65+'Activity Counts'!G68+'Activity Counts'!G71</f>
        <v>18546.782575698999</v>
      </c>
      <c r="E19" s="36">
        <f>('Activity Counts'!G63+'Activity Counts'!G66+'Activity Counts'!G69+'Activity Counts'!G72)-D19</f>
        <v>10410.281531562952</v>
      </c>
      <c r="F19" s="37">
        <f>(SUM('Activity Counts'!G64+'Activity Counts'!G67+'Activity Counts'!G70+'Activity Counts'!G73))-D19-E19</f>
        <v>11297.327639412757</v>
      </c>
      <c r="L19" s="32"/>
      <c r="M19" s="32"/>
      <c r="N19" s="32"/>
    </row>
    <row r="20" spans="2:16" x14ac:dyDescent="0.2">
      <c r="B20" s="35" t="s">
        <v>258</v>
      </c>
      <c r="C20" s="38">
        <v>663</v>
      </c>
      <c r="D20" s="36">
        <f>'Activity Counts'!G74+'Activity Counts'!G77+'Activity Counts'!G80</f>
        <v>3896.4210119340632</v>
      </c>
      <c r="E20" s="36">
        <f>(SUM('Activity Counts'!G75+'Activity Counts'!G78+'Activity Counts'!G81))-D20</f>
        <v>2144.7044234253572</v>
      </c>
      <c r="F20" s="37">
        <f>SUM('Activity Counts'!G76+'Activity Counts'!G79+'Activity Counts'!G85)-D20-E20</f>
        <v>2298.0166412593599</v>
      </c>
      <c r="L20" s="32"/>
      <c r="M20" s="32"/>
      <c r="N20" s="32"/>
    </row>
    <row r="21" spans="2:16" x14ac:dyDescent="0.2">
      <c r="B21" s="35" t="s">
        <v>157</v>
      </c>
      <c r="C21" s="38">
        <v>180</v>
      </c>
      <c r="D21" s="36">
        <f>'Activity Counts'!G86+'Activity Counts'!G89+'Activity Counts'!G92+'Activity Counts'!G95</f>
        <v>2693.5719883660058</v>
      </c>
      <c r="E21" s="36">
        <f>(SUM('Activity Counts'!G87+'Activity Counts'!G90+'Activity Counts'!G93+'Activity Counts'!G96))-D21</f>
        <v>1346.7859941830038</v>
      </c>
      <c r="F21" s="37">
        <f>(SUM('Activity Counts'!G88+'Activity Counts'!G91+'Activity Counts'!G94+'Activity Counts'!G97))-E21-D21</f>
        <v>1346.7859941830047</v>
      </c>
      <c r="L21" s="32"/>
      <c r="M21" s="32"/>
      <c r="N21" s="32"/>
    </row>
    <row r="22" spans="2:16" x14ac:dyDescent="0.2">
      <c r="B22" s="35" t="s">
        <v>158</v>
      </c>
      <c r="C22" s="38">
        <v>0</v>
      </c>
      <c r="D22" s="69">
        <f>'Activity Counts'!G2+'Activity Counts'!G5+'Activity Counts'!G8+'Activity Counts'!G101</f>
        <v>323.30467533470738</v>
      </c>
      <c r="E22" s="69">
        <f>(SUM('Activity Counts'!G3+'Activity Counts'!G6+'Activity Counts'!G9+'Activity Counts'!G102))-D22</f>
        <v>161.65233766735417</v>
      </c>
      <c r="F22" s="70">
        <f>(SUM('Activity Counts'!G4+'Activity Counts'!G7+'Activity Counts'!G10+'Activity Counts'!G103))-D22-E22</f>
        <v>161.65233766735423</v>
      </c>
      <c r="L22" s="32"/>
      <c r="M22" s="32"/>
      <c r="N22" s="32"/>
    </row>
    <row r="23" spans="2:16" x14ac:dyDescent="0.2">
      <c r="B23" s="35" t="s">
        <v>111</v>
      </c>
      <c r="C23" s="36"/>
      <c r="D23" s="36">
        <f>'Activity Counts'!G98</f>
        <v>7998.0352038816</v>
      </c>
      <c r="E23" s="36">
        <f>'Activity Counts'!G99-D23</f>
        <v>3994.8222866270007</v>
      </c>
      <c r="F23" s="37">
        <f>'Activity Counts'!G100-D23-E23</f>
        <v>4126.0245904207986</v>
      </c>
      <c r="L23" s="32"/>
      <c r="M23" s="32"/>
      <c r="N23" s="32"/>
    </row>
    <row r="24" spans="2:16" x14ac:dyDescent="0.2">
      <c r="B24" s="35" t="s">
        <v>159</v>
      </c>
      <c r="C24" s="38">
        <v>212</v>
      </c>
      <c r="D24" s="69">
        <f>'Activity Counts'!G47</f>
        <v>878.92137717084302</v>
      </c>
      <c r="E24" s="69">
        <f>'Activity Counts'!G48-D24</f>
        <v>439.46068858541707</v>
      </c>
      <c r="F24" s="70">
        <f>'Activity Counts'!G49-D24-E24</f>
        <v>439.46068858542981</v>
      </c>
      <c r="L24" s="50"/>
      <c r="M24" s="34">
        <f>SUM(C24:D24)/7</f>
        <v>155.84591102440615</v>
      </c>
      <c r="N24" s="34">
        <f>SUM(C24:E24)/7</f>
        <v>218.62600939375145</v>
      </c>
      <c r="O24" s="34">
        <f>SUM(D24:F24)/7</f>
        <v>251.12039347738428</v>
      </c>
      <c r="P24" s="90" t="s">
        <v>240</v>
      </c>
    </row>
    <row r="25" spans="2:16" x14ac:dyDescent="0.2">
      <c r="B25" s="35" t="s">
        <v>160</v>
      </c>
      <c r="C25" s="38">
        <v>36</v>
      </c>
      <c r="D25" s="69">
        <f>'Activity Counts'!G53</f>
        <v>204.04631078628799</v>
      </c>
      <c r="E25" s="69">
        <f>'Activity Counts'!G54-D25</f>
        <v>102.02315539314404</v>
      </c>
      <c r="F25" s="70">
        <f>'Activity Counts'!G55-E25-D25</f>
        <v>102.023155393145</v>
      </c>
      <c r="L25" s="50"/>
      <c r="M25" s="34">
        <f>SUM(C25:D25)</f>
        <v>240.04631078628799</v>
      </c>
      <c r="N25" s="34">
        <f>SUM(C25:E25)</f>
        <v>342.06946617943203</v>
      </c>
      <c r="O25" s="34">
        <f>SUM(D25:F25)</f>
        <v>408.09262157257706</v>
      </c>
    </row>
    <row r="26" spans="2:16" x14ac:dyDescent="0.2">
      <c r="B26" s="35" t="s">
        <v>161</v>
      </c>
      <c r="C26" s="38">
        <v>2</v>
      </c>
      <c r="D26" s="69">
        <f>'Activity Counts'!G56</f>
        <v>4.9238465009710799</v>
      </c>
      <c r="E26" s="69">
        <f>'Activity Counts'!G57-D26</f>
        <v>2.4619232504855404</v>
      </c>
      <c r="F26" s="70">
        <f>'Activity Counts'!G58-E26-D26</f>
        <v>2.4619232504855395</v>
      </c>
      <c r="L26" s="50"/>
      <c r="M26" s="34">
        <f t="shared" ref="M26:M28" si="8">SUM(C26:D26)</f>
        <v>6.9238465009710799</v>
      </c>
      <c r="N26" s="34">
        <f t="shared" ref="N26:O28" si="9">SUM(C26:E26)</f>
        <v>9.3857697514566212</v>
      </c>
      <c r="O26" s="34">
        <f t="shared" si="9"/>
        <v>9.8476930019421598</v>
      </c>
    </row>
    <row r="27" spans="2:16" x14ac:dyDescent="0.2">
      <c r="B27" s="35" t="s">
        <v>162</v>
      </c>
      <c r="C27" s="38">
        <v>7</v>
      </c>
      <c r="D27" s="38">
        <v>23</v>
      </c>
      <c r="E27" s="38">
        <f>34-D27</f>
        <v>11</v>
      </c>
      <c r="F27" s="39">
        <f>45-D27-E27</f>
        <v>11</v>
      </c>
      <c r="L27" s="50"/>
      <c r="M27" s="34">
        <f t="shared" si="8"/>
        <v>30</v>
      </c>
      <c r="N27" s="34">
        <f t="shared" si="9"/>
        <v>41</v>
      </c>
      <c r="O27" s="34">
        <f t="shared" si="9"/>
        <v>45</v>
      </c>
    </row>
    <row r="28" spans="2:16" ht="13.5" thickBot="1" x14ac:dyDescent="0.25">
      <c r="B28" s="40" t="s">
        <v>94</v>
      </c>
      <c r="C28" s="41">
        <v>1</v>
      </c>
      <c r="D28" s="41">
        <v>1</v>
      </c>
      <c r="E28" s="41">
        <v>1</v>
      </c>
      <c r="F28" s="42">
        <v>1</v>
      </c>
      <c r="L28" s="50"/>
      <c r="M28" s="34">
        <f t="shared" si="8"/>
        <v>2</v>
      </c>
      <c r="N28" s="34">
        <f t="shared" si="9"/>
        <v>3</v>
      </c>
      <c r="O28" s="34">
        <f t="shared" si="9"/>
        <v>3</v>
      </c>
    </row>
    <row r="29" spans="2:16" ht="13.5" thickBot="1" x14ac:dyDescent="0.25">
      <c r="B29" s="54" t="s">
        <v>163</v>
      </c>
      <c r="L29" s="51"/>
      <c r="M29" s="51"/>
      <c r="N29" s="51"/>
    </row>
    <row r="30" spans="2:16" ht="13.5" thickBot="1" x14ac:dyDescent="0.25">
      <c r="B30" t="s">
        <v>259</v>
      </c>
      <c r="D30" s="88"/>
      <c r="L30" s="91"/>
      <c r="M30" s="52">
        <f>SUM(M4:M28)</f>
        <v>1228.4020247317048</v>
      </c>
      <c r="N30" s="53">
        <f>SUM(N4:N28)</f>
        <v>1856.1370092144043</v>
      </c>
      <c r="O30" s="53">
        <f>SUM(O4:O28)</f>
        <v>2447.9065570409266</v>
      </c>
      <c r="P30" s="49" t="s">
        <v>164</v>
      </c>
    </row>
    <row r="31" spans="2:16" x14ac:dyDescent="0.2">
      <c r="B31" t="s">
        <v>241</v>
      </c>
    </row>
    <row r="32" spans="2:16" x14ac:dyDescent="0.2">
      <c r="B32" t="s">
        <v>242</v>
      </c>
    </row>
    <row r="34" spans="12:12" x14ac:dyDescent="0.2">
      <c r="L34" s="89"/>
    </row>
  </sheetData>
  <mergeCells count="1">
    <mergeCell ref="L2:N2"/>
  </mergeCells>
  <pageMargins left="0.7" right="0.7" top="0.75" bottom="0.75" header="0.3" footer="0.3"/>
  <pageSetup scale="99" fitToHeight="0" orientation="landscape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ource xmlns="http://schemas.microsoft.com/sharepoint/v3/fields" xsi:nil="true"/>
    <Language xmlns="http://schemas.microsoft.com/sharepoint/v3">English</Language>
    <_ip_UnifiedCompliancePolicyUIAction xmlns="http://schemas.microsoft.com/sharepoint/v3" xsi:nil="true"/>
    <j747ac98061d40f0aa7bd47e1db5675d xmlns="4ffa91fb-a0ff-4ac5-b2db-65c790d184a4">
      <Terms xmlns="http://schemas.microsoft.com/office/infopath/2007/PartnerControls"/>
    </j747ac98061d40f0aa7bd47e1db5675d>
    <e3f09c3df709400db2417a7161762d62 xmlns="4ffa91fb-a0ff-4ac5-b2db-65c790d184a4">
      <Terms xmlns="http://schemas.microsoft.com/office/infopath/2007/PartnerControls"/>
    </e3f09c3df709400db2417a7161762d62>
    <External_x0020_Contributor xmlns="4ffa91fb-a0ff-4ac5-b2db-65c790d184a4" xsi:nil="true"/>
    <TaxKeywordTaxHTField xmlns="4ffa91fb-a0ff-4ac5-b2db-65c790d184a4">
      <Terms xmlns="http://schemas.microsoft.com/office/infopath/2007/PartnerControls"/>
    </TaxKeywordTaxHTField>
    <lcf76f155ced4ddcb4097134ff3c332f xmlns="fca17280-b247-4e95-99cc-67d76af6c1ea">
      <Terms xmlns="http://schemas.microsoft.com/office/infopath/2007/PartnerControls"/>
    </lcf76f155ced4ddcb4097134ff3c332f>
    <Record xmlns="4ffa91fb-a0ff-4ac5-b2db-65c790d184a4">Shared</Record>
    <_ip_UnifiedCompliancePolicyProperties xmlns="http://schemas.microsoft.com/sharepoint/v3" xsi:nil="true"/>
    <Rights xmlns="4ffa91fb-a0ff-4ac5-b2db-65c790d184a4" xsi:nil="true"/>
    <Document_x0020_Creation_x0020_Date xmlns="4ffa91fb-a0ff-4ac5-b2db-65c790d184a4">2023-11-28T14:49:35+00:00</Document_x0020_Creation_x0020_Date>
    <EPA_x0020_Office xmlns="4ffa91fb-a0ff-4ac5-b2db-65c790d184a4" xsi:nil="true"/>
    <CategoryDescription xmlns="http://schemas.microsoft.com/sharepoint.v3" xsi:nil="true"/>
    <Identifier xmlns="4ffa91fb-a0ff-4ac5-b2db-65c790d184a4" xsi:nil="true"/>
    <_Coverage xmlns="http://schemas.microsoft.com/sharepoint/v3/fields" xsi:nil="true"/>
    <Creator xmlns="4ffa91fb-a0ff-4ac5-b2db-65c790d184a4">
      <UserInfo>
        <DisplayName/>
        <AccountId xsi:nil="true"/>
        <AccountType/>
      </UserInfo>
    </Creator>
    <EPA_x0020_Related_x0020_Documents xmlns="4ffa91fb-a0ff-4ac5-b2db-65c790d184a4" xsi:nil="true"/>
    <EPA_x0020_Contributor xmlns="4ffa91fb-a0ff-4ac5-b2db-65c790d184a4">
      <UserInfo>
        <DisplayName/>
        <AccountId xsi:nil="true"/>
        <AccountType/>
      </UserInfo>
    </EPA_x0020_Contributor>
    <TaxCatchAll xmlns="4ffa91fb-a0ff-4ac5-b2db-65c790d184a4" xsi:nil="true"/>
  </documentManagement>
</p:properties>
</file>

<file path=customXml/item2.xml><?xml version="1.0" encoding="utf-8"?>
<?mso-contentType ?>
<SharedContentType xmlns="Microsoft.SharePoint.Taxonomy.ContentTypeSync" SourceId="29f62856-1543-49d4-a736-4569d363f533" ContentTypeId="0x0101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FF6CD48380BC42995341910D16904E" ma:contentTypeVersion="38" ma:contentTypeDescription="Create a new document." ma:contentTypeScope="" ma:versionID="5e44ef71e9c1316ea13b630927c46c4d">
  <xsd:schema xmlns:xsd="http://www.w3.org/2001/XMLSchema" xmlns:xs="http://www.w3.org/2001/XMLSchema" xmlns:p="http://schemas.microsoft.com/office/2006/metadata/properties" xmlns:ns1="http://schemas.microsoft.com/sharepoint/v3" xmlns:ns2="4ffa91fb-a0ff-4ac5-b2db-65c790d184a4" xmlns:ns3="http://schemas.microsoft.com/sharepoint.v3" xmlns:ns4="http://schemas.microsoft.com/sharepoint/v3/fields" xmlns:ns5="af0aaecb-2d7c-43f0-9f94-ea8013dc6a3e" xmlns:ns6="fca17280-b247-4e95-99cc-67d76af6c1ea" targetNamespace="http://schemas.microsoft.com/office/2006/metadata/properties" ma:root="true" ma:fieldsID="03963be9d87741053a0a5b77781e868a" ns1:_="" ns2:_="" ns3:_="" ns4:_="" ns5:_="" ns6:_="">
    <xsd:import namespace="http://schemas.microsoft.com/sharepoint/v3"/>
    <xsd:import namespace="4ffa91fb-a0ff-4ac5-b2db-65c790d184a4"/>
    <xsd:import namespace="http://schemas.microsoft.com/sharepoint.v3"/>
    <xsd:import namespace="http://schemas.microsoft.com/sharepoint/v3/fields"/>
    <xsd:import namespace="af0aaecb-2d7c-43f0-9f94-ea8013dc6a3e"/>
    <xsd:import namespace="fca17280-b247-4e95-99cc-67d76af6c1ea"/>
    <xsd:element name="properties">
      <xsd:complexType>
        <xsd:sequence>
          <xsd:element name="documentManagement">
            <xsd:complexType>
              <xsd:all>
                <xsd:element ref="ns2:Document_x0020_Creation_x0020_Date" minOccurs="0"/>
                <xsd:element ref="ns2:Creator" minOccurs="0"/>
                <xsd:element ref="ns2:EPA_x0020_Office" minOccurs="0"/>
                <xsd:element ref="ns2:Record" minOccurs="0"/>
                <xsd:element ref="ns3:CategoryDescription" minOccurs="0"/>
                <xsd:element ref="ns2:Identifier" minOccurs="0"/>
                <xsd:element ref="ns2:EPA_x0020_Contributor" minOccurs="0"/>
                <xsd:element ref="ns2:External_x0020_Contributor" minOccurs="0"/>
                <xsd:element ref="ns4:_Coverage" minOccurs="0"/>
                <xsd:element ref="ns2:EPA_x0020_Related_x0020_Documents" minOccurs="0"/>
                <xsd:element ref="ns4:_Source" minOccurs="0"/>
                <xsd:element ref="ns2:Rights" minOccurs="0"/>
                <xsd:element ref="ns1:Language" minOccurs="0"/>
                <xsd:element ref="ns2:j747ac98061d40f0aa7bd47e1db5675d" minOccurs="0"/>
                <xsd:element ref="ns2:TaxKeywordTaxHTField" minOccurs="0"/>
                <xsd:element ref="ns2:TaxCatchAllLabel" minOccurs="0"/>
                <xsd:element ref="ns2:TaxCatchAll" minOccurs="0"/>
                <xsd:element ref="ns2:e3f09c3df709400db2417a7161762d62" minOccurs="0"/>
                <xsd:element ref="ns5:SharedWithUsers" minOccurs="0"/>
                <xsd:element ref="ns5:SharedWithDetails" minOccurs="0"/>
                <xsd:element ref="ns5:LastSharedByUser" minOccurs="0"/>
                <xsd:element ref="ns5:LastSharedByTime" minOccurs="0"/>
                <xsd:element ref="ns6:MediaServiceMetadata" minOccurs="0"/>
                <xsd:element ref="ns6:MediaServiceFastMetadata" minOccurs="0"/>
                <xsd:element ref="ns6:MediaServiceEventHashCode" minOccurs="0"/>
                <xsd:element ref="ns6:MediaServiceGenerationTime" minOccurs="0"/>
                <xsd:element ref="ns6:MediaServiceAutoKeyPoints" minOccurs="0"/>
                <xsd:element ref="ns6:MediaServiceKeyPoints" minOccurs="0"/>
                <xsd:element ref="ns1:_ip_UnifiedCompliancePolicyProperties" minOccurs="0"/>
                <xsd:element ref="ns1:_ip_UnifiedCompliancePolicyUIAction" minOccurs="0"/>
                <xsd:element ref="ns6:MediaServiceDateTaken" minOccurs="0"/>
                <xsd:element ref="ns6:MediaLengthInSeconds" minOccurs="0"/>
                <xsd:element ref="ns6:lcf76f155ced4ddcb4097134ff3c332f" minOccurs="0"/>
                <xsd:element ref="ns6:MediaServiceObjectDetectorVersions" minOccurs="0"/>
                <xsd:element ref="ns6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7" nillable="true" ma:displayName="Language" ma:default="English" ma:description="Select the document language from the drop down." ma:format="Dropdown" ma:internalName="Language" ma:readOnly="false">
      <xsd:simpleType>
        <xsd:restriction base="dms:Choice">
          <xsd:enumeration value="Arabic (Saudi Arabia)"/>
          <xsd:enumeration value="Bulgarian (Bulgaria)"/>
          <xsd:enumeration value="Chinese (Hong Kong S.A.R.)"/>
          <xsd:enumeration value="Chinese (People's Republic of China)"/>
          <xsd:enumeration value="Chinese (Taiwan)"/>
          <xsd:enumeration value="Croatian (Croatia)"/>
          <xsd:enumeration value="Czech (Czech Republic)"/>
          <xsd:enumeration value="Danish (Denmark)"/>
          <xsd:enumeration value="Dutch (Netherlands)"/>
          <xsd:enumeration value="English"/>
          <xsd:enumeration value="Estonian (Estonia)"/>
          <xsd:enumeration value="Finnish (Finland)"/>
          <xsd:enumeration value="French (France)"/>
          <xsd:enumeration value="German (Germany)"/>
          <xsd:enumeration value="Greek (Greece)"/>
          <xsd:enumeration value="Hebrew (Israel)"/>
          <xsd:enumeration value="Hindi (India)"/>
          <xsd:enumeration value="Hungarian (Hungary)"/>
          <xsd:enumeration value="Indonesian (Indonesia)"/>
          <xsd:enumeration value="Italian (Italy)"/>
          <xsd:enumeration value="Japanese (Japan)"/>
          <xsd:enumeration value="Korean (Korea)"/>
          <xsd:enumeration value="Latvian (Latvia)"/>
          <xsd:enumeration value="Lithuanian (Lithuania)"/>
          <xsd:enumeration value="Malay (Malaysia)"/>
          <xsd:enumeration value="Norwegian (Bokmal) (Norway)"/>
          <xsd:enumeration value="Polish (Poland)"/>
          <xsd:enumeration value="Portuguese (Brazil)"/>
          <xsd:enumeration value="Portuguese (Portugal)"/>
          <xsd:enumeration value="Romanian (Romania)"/>
          <xsd:enumeration value="Russian (Russia)"/>
          <xsd:enumeration value="Serbian (Latin) (Serbia)"/>
          <xsd:enumeration value="Slovak (Slovakia)"/>
          <xsd:enumeration value="Slovenian (Slovenia)"/>
          <xsd:enumeration value="Spanish (Spain)"/>
          <xsd:enumeration value="Swedish (Sweden)"/>
          <xsd:enumeration value="Thai (Thailand)"/>
          <xsd:enumeration value="Turkish (Turkey)"/>
          <xsd:enumeration value="Ukrainian (Ukraine)"/>
          <xsd:enumeration value="Urdu (Islamic Republic of Pakistan)"/>
          <xsd:enumeration value="Vietnamese (Vietnam)"/>
        </xsd:restriction>
      </xsd:simpleType>
    </xsd:element>
    <xsd:element name="_ip_UnifiedCompliancePolicyProperties" ma:index="3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4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a91fb-a0ff-4ac5-b2db-65c790d184a4" elementFormDefault="qualified">
    <xsd:import namespace="http://schemas.microsoft.com/office/2006/documentManagement/types"/>
    <xsd:import namespace="http://schemas.microsoft.com/office/infopath/2007/PartnerControls"/>
    <xsd:element name="Document_x0020_Creation_x0020_Date" ma:index="2" nillable="true" ma:displayName="Document Date" ma:default="[today]" ma:description="Enter the date this document was last modified. The upload date has been entered by default." ma:format="DateOnly" ma:internalName="Document_x0020_Creation_x0020_Date">
      <xsd:simpleType>
        <xsd:restriction base="dms:DateTime"/>
      </xsd:simpleType>
    </xsd:element>
    <xsd:element name="Creator" ma:index="3" nillable="true" ma:displayName="Creator" ma:description="Enter the person primarily responsible for the document. The name of the person uploading the document has been entered by default." ma:list="UserInfo" ma:SharePointGroup="0" ma:internalName="Creato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PA_x0020_Office" ma:index="4" nillable="true" ma:displayName="EPA Office" ma:description="Enter the EPA organization primarily responsible for the document. The office of the person uploading the document has been entered by default." ma:internalName="EPA_x0020_Office">
      <xsd:simpleType>
        <xsd:restriction base="dms:Text">
          <xsd:maxLength value="255"/>
        </xsd:restriction>
      </xsd:simpleType>
    </xsd:element>
    <xsd:element name="Record" ma:index="5" nillable="true" ma:displayName="Record" ma:default="Shared" ma:description="For documents that provide evidence of EPA decisions and actions, select &quot;Shared&quot; (open access) or &quot;Private&quot; (restricted access)." ma:format="Dropdown" ma:internalName="Record">
      <xsd:simpleType>
        <xsd:restriction base="dms:Choice">
          <xsd:enumeration value="None"/>
          <xsd:enumeration value="Shared"/>
          <xsd:enumeration value="Private"/>
        </xsd:restriction>
      </xsd:simpleType>
    </xsd:element>
    <xsd:element name="Identifier" ma:index="9" nillable="true" ma:displayName="Identifier" ma:description="Enter all EPA identification numbers applicable to this document, one on each line." ma:internalName="Identifier" ma:readOnly="false">
      <xsd:simpleType>
        <xsd:restriction base="dms:Note">
          <xsd:maxLength value="255"/>
        </xsd:restriction>
      </xsd:simpleType>
    </xsd:element>
    <xsd:element name="EPA_x0020_Contributor" ma:index="11" nillable="true" ma:displayName="EPA Contributor" ma:description="Enter an EPA person who contributed to the creation of the document but is not the primary author." ma:list="UserInfo" ma:SharePointGroup="0" ma:internalName="EPA_x0020_Contribu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xternal_x0020_Contributor" ma:index="12" nillable="true" ma:displayName="External Contributor" ma:description="Enter a non-EPA person who contributed to the creation of the document but is not the primary author." ma:internalName="External_x0020_Contributor" ma:readOnly="false">
      <xsd:simpleType>
        <xsd:restriction base="dms:Note">
          <xsd:maxLength value="255"/>
        </xsd:restriction>
      </xsd:simpleType>
    </xsd:element>
    <xsd:element name="EPA_x0020_Related_x0020_Documents" ma:index="14" nillable="true" ma:displayName="Other Related Documents" ma:description="Enter any related document." ma:internalName="EPA_x0020_Related_x0020_Documents">
      <xsd:simpleType>
        <xsd:restriction base="dms:Note">
          <xsd:maxLength value="255"/>
        </xsd:restriction>
      </xsd:simpleType>
    </xsd:element>
    <xsd:element name="Rights" ma:index="16" nillable="true" ma:displayName="Rights" ma:description="Enter information about intellectual property rights held over the document (e.g. copyright, patent, trademark)." ma:internalName="Rights" ma:readOnly="false">
      <xsd:simpleType>
        <xsd:restriction base="dms:Note">
          <xsd:maxLength value="255"/>
        </xsd:restriction>
      </xsd:simpleType>
    </xsd:element>
    <xsd:element name="j747ac98061d40f0aa7bd47e1db5675d" ma:index="19" nillable="true" ma:taxonomy="true" ma:internalName="j747ac98061d40f0aa7bd47e1db5675d" ma:taxonomyFieldName="Document_x0020_Type" ma:displayName="Document Type" ma:readOnly="false" ma:default="" ma:fieldId="{3747ac98-061d-40f0-aa7b-d47e1db5675d}" ma:sspId="29f62856-1543-49d4-a736-4569d363f533" ma:termSetId="e06cd6a9-a175-4da0-81cb-8dba7aa394a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21" nillable="true" ma:taxonomy="true" ma:internalName="TaxKeywordTaxHTField" ma:taxonomyFieldName="TaxKeyword" ma:displayName="Enterprise Keywords" ma:readOnly="false" ma:fieldId="{23f27201-bee3-471e-b2e7-b64fd8b7ca38}" ma:taxonomyMulti="true" ma:sspId="29f62856-1543-49d4-a736-4569d363f53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Label" ma:index="23" nillable="true" ma:displayName="Taxonomy Catch All Column1" ma:description="" ma:hidden="true" ma:list="{aec54597-794d-48fd-aaaa-4eaa50f4ff1d}" ma:internalName="TaxCatchAllLabel" ma:readOnly="true" ma:showField="CatchAllDataLabel" ma:web="7d8dd676-26ca-4e08-b90f-b4e0026a58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4" nillable="true" ma:displayName="Taxonomy Catch All Column" ma:description="" ma:hidden="true" ma:list="{aec54597-794d-48fd-aaaa-4eaa50f4ff1d}" ma:internalName="TaxCatchAll" ma:showField="CatchAllData" ma:web="7d8dd676-26ca-4e08-b90f-b4e0026a58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3f09c3df709400db2417a7161762d62" ma:index="28" nillable="true" ma:taxonomy="true" ma:internalName="e3f09c3df709400db2417a7161762d62" ma:taxonomyFieldName="EPA_x0020_Subject" ma:displayName="EPA Subject" ma:readOnly="false" ma:default="" ma:fieldId="{e3f09c3d-f709-400d-b241-7a7161762d62}" ma:taxonomyMulti="true" ma:sspId="29f62856-1543-49d4-a736-4569d363f533" ma:termSetId="7a3d4ae0-7e62-45a2-a406-c6a8a6a8eee3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6" nillable="true" ma:displayName="Description" ma:description="Enter a brief description." ma:internalName="CategoryDescription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Coverage" ma:index="13" nillable="true" ma:displayName="Coverage" ma:description="Enter the geographic location, jurisdiction, or time period for which the document is relevant." ma:internalName="_Coverage" ma:readOnly="false">
      <xsd:simpleType>
        <xsd:restriction base="dms:Text">
          <xsd:maxLength value="255"/>
        </xsd:restriction>
      </xsd:simpleType>
    </xsd:element>
    <xsd:element name="_Source" ma:index="15" nillable="true" ma:displayName="Source" ma:description="Enter a source from which the document is derived." ma:internalName="_Source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0aaecb-2d7c-43f0-9f94-ea8013dc6a3e" elementFormDefault="qualified">
    <xsd:import namespace="http://schemas.microsoft.com/office/2006/documentManagement/types"/>
    <xsd:import namespace="http://schemas.microsoft.com/office/infopath/2007/PartnerControls"/>
    <xsd:element name="SharedWithUsers" ma:index="29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3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3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a17280-b247-4e95-99cc-67d76af6c1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3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3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3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3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4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4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44" nillable="true" ma:taxonomy="true" ma:internalName="lcf76f155ced4ddcb4097134ff3c332f" ma:taxonomyFieldName="MediaServiceImageTags" ma:displayName="Image Tags" ma:readOnly="false" ma:fieldId="{5cf76f15-5ced-4ddc-b409-7134ff3c332f}" ma:taxonomyMulti="true" ma:sspId="29f62856-1543-49d4-a736-4569d363f5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4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96394A-8779-4630-B81E-CE86540CCDE5}">
  <ds:schemaRefs>
    <ds:schemaRef ds:uri="http://www.w3.org/XML/1998/namespace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fca17280-b247-4e95-99cc-67d76af6c1ea"/>
    <ds:schemaRef ds:uri="4ffa91fb-a0ff-4ac5-b2db-65c790d184a4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af0aaecb-2d7c-43f0-9f94-ea8013dc6a3e"/>
    <ds:schemaRef ds:uri="http://purl.org/dc/dcmitype/"/>
    <ds:schemaRef ds:uri="http://schemas.microsoft.com/sharepoint/v3/fields"/>
    <ds:schemaRef ds:uri="http://schemas.microsoft.com/sharepoint.v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488D587-D1E3-4CE1-99FA-8F3EDF62B89D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3167E69F-F7CD-4CF5-A62F-4958E299A4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fa91fb-a0ff-4ac5-b2db-65c790d184a4"/>
    <ds:schemaRef ds:uri="http://schemas.microsoft.com/sharepoint.v3"/>
    <ds:schemaRef ds:uri="http://schemas.microsoft.com/sharepoint/v3/fields"/>
    <ds:schemaRef ds:uri="af0aaecb-2d7c-43f0-9f94-ea8013dc6a3e"/>
    <ds:schemaRef ds:uri="fca17280-b247-4e95-99cc-67d76af6c1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D4FC01A-C90B-40BB-91A9-5EBD1E27F4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Year 1 (2023)</vt:lpstr>
      <vt:lpstr>Year 2 (2024)</vt:lpstr>
      <vt:lpstr>Year 3 (2025)</vt:lpstr>
      <vt:lpstr>3-yr Average Resp (2023-2025)</vt:lpstr>
      <vt:lpstr>Year 1 Agency (2023)</vt:lpstr>
      <vt:lpstr>Year 2 Agency (2024)</vt:lpstr>
      <vt:lpstr>Year 3 Agency (2025)</vt:lpstr>
      <vt:lpstr>3-yr Average Agency (2023-2025)</vt:lpstr>
      <vt:lpstr>New Sources</vt:lpstr>
      <vt:lpstr>Activity Counts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2022-10-05T14:41:02Z</dcterms:created>
  <dcterms:modified xsi:type="dcterms:W3CDTF">2024-02-27T19:02:48Z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0x01010063FF6CD48380BC42995341910D16904E</vt:lpwstr>
  </property>
  <property fmtid="{D5CDD505-2E9C-101B-9397-08002B2CF9AE}" pid="3" name="MediaServiceImageTags">
    <vt:lpwstr/>
  </property>
  <property fmtid="{D5CDD505-2E9C-101B-9397-08002B2CF9AE}" pid="4" name="TaxKeyword">
    <vt:lpwstr/>
  </property>
  <property fmtid="{D5CDD505-2E9C-101B-9397-08002B2CF9AE}" pid="5" name="Document_x0020_Type">
    <vt:lpwstr/>
  </property>
  <property fmtid="{D5CDD505-2E9C-101B-9397-08002B2CF9AE}" pid="6" name="EPA_x0020_Subject">
    <vt:lpwstr/>
  </property>
  <property fmtid="{D5CDD505-2E9C-101B-9397-08002B2CF9AE}" pid="7" name="EPA Subject">
    <vt:lpwstr/>
  </property>
  <property fmtid="{D5CDD505-2E9C-101B-9397-08002B2CF9AE}" pid="8" name="Document Type">
    <vt:lpwstr/>
  </property>
</Properties>
</file>