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usepa-my.sharepoint.com/personal/wrigley_william_epa_gov/Documents/Desktop/"/>
    </mc:Choice>
  </mc:AlternateContent>
  <xr:revisionPtr revIDLastSave="0" documentId="8_{2391298F-8591-4DCA-A09E-A934B70CAA39}" xr6:coauthVersionLast="47" xr6:coauthVersionMax="47" xr10:uidLastSave="{00000000-0000-0000-0000-000000000000}"/>
  <bookViews>
    <workbookView xWindow="-110" yWindow="-110" windowWidth="19420" windowHeight="10300" xr2:uid="{D855CF00-F869-48B3-9963-4AD001D31E8A}"/>
  </bookViews>
  <sheets>
    <sheet name="Summary" sheetId="6" r:id="rId1"/>
    <sheet name="Table 1" sheetId="1" r:id="rId2"/>
    <sheet name="Table 2" sheetId="2" r:id="rId3"/>
    <sheet name="Capital O&amp;M" sheetId="3" r:id="rId4"/>
    <sheet name="Responses" sheetId="5" r:id="rId5"/>
    <sheet name="Respondents" sheetId="4" r:id="rId6"/>
    <sheet name="Stack testing" sheetId="7" r:id="rId7"/>
  </sheets>
  <definedNames>
    <definedName name="_Hlk48135012" localSheetId="3">'Capital O&amp;M'!$A$12</definedName>
    <definedName name="_xlnm.Print_Area" localSheetId="6">'Stack testing'!$A$1:$F$32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54" i="1" l="1"/>
  <c r="F55" i="1" l="1"/>
  <c r="F33" i="1"/>
  <c r="I33" i="1"/>
  <c r="B6" i="6"/>
  <c r="F18" i="2"/>
  <c r="I18" i="2"/>
  <c r="I55" i="1" l="1"/>
  <c r="I57" i="1" s="1"/>
  <c r="I54" i="1"/>
  <c r="I8" i="1"/>
  <c r="F54" i="1"/>
  <c r="H8" i="1"/>
  <c r="G8" i="1"/>
  <c r="F8" i="1"/>
  <c r="E41" i="1"/>
  <c r="E12" i="1"/>
  <c r="I8" i="3"/>
  <c r="G8" i="3"/>
  <c r="F5" i="3"/>
  <c r="F6" i="3"/>
  <c r="E13" i="5"/>
  <c r="B12" i="5"/>
  <c r="B11" i="5"/>
  <c r="B10" i="5"/>
  <c r="B9" i="5"/>
  <c r="I20" i="7"/>
  <c r="F22" i="7"/>
  <c r="F20" i="7"/>
  <c r="F12" i="7"/>
  <c r="E5" i="3"/>
  <c r="D5" i="3"/>
  <c r="B5" i="3"/>
  <c r="D14" i="2" l="1"/>
  <c r="C14" i="2"/>
  <c r="H7" i="2"/>
  <c r="G7" i="2"/>
  <c r="F7" i="2"/>
  <c r="F12" i="2"/>
  <c r="F11" i="2"/>
  <c r="H11" i="2" s="1"/>
  <c r="G11" i="2"/>
  <c r="E12" i="2"/>
  <c r="E11" i="2"/>
  <c r="D16" i="2"/>
  <c r="D15" i="2"/>
  <c r="D13" i="2"/>
  <c r="D12" i="2"/>
  <c r="D11" i="2"/>
  <c r="D7" i="2"/>
  <c r="D6" i="2"/>
  <c r="D41" i="1"/>
  <c r="D40" i="1"/>
  <c r="D32" i="1"/>
  <c r="D31" i="1"/>
  <c r="D30" i="1"/>
  <c r="D29" i="1"/>
  <c r="D28" i="1"/>
  <c r="D27" i="1"/>
  <c r="D25" i="1"/>
  <c r="D26" i="1"/>
  <c r="D24" i="1"/>
  <c r="D20" i="1"/>
  <c r="D18" i="1"/>
  <c r="E8" i="1"/>
  <c r="E19" i="1" s="1"/>
  <c r="I11" i="2" l="1"/>
  <c r="F40" i="1"/>
  <c r="H40" i="1" s="1"/>
  <c r="E24" i="1"/>
  <c r="E25" i="1"/>
  <c r="E14" i="1"/>
  <c r="E28" i="1"/>
  <c r="F28" i="1" s="1"/>
  <c r="G28" i="1" s="1"/>
  <c r="E11" i="1"/>
  <c r="F25" i="1"/>
  <c r="H25" i="1" s="1"/>
  <c r="E15" i="1"/>
  <c r="E26" i="1"/>
  <c r="F26" i="1" s="1"/>
  <c r="E27" i="1"/>
  <c r="F27" i="1" s="1"/>
  <c r="G27" i="1" s="1"/>
  <c r="H28" i="1"/>
  <c r="I28" i="1" s="1"/>
  <c r="G25" i="1"/>
  <c r="I25" i="1" s="1"/>
  <c r="F24" i="1"/>
  <c r="G24" i="1" s="1"/>
  <c r="H24" i="1"/>
  <c r="G40" i="1" l="1"/>
  <c r="I40" i="1" s="1"/>
  <c r="G26" i="1"/>
  <c r="H26" i="1"/>
  <c r="I26" i="1" s="1"/>
  <c r="H27" i="1"/>
  <c r="I27" i="1" s="1"/>
  <c r="I24" i="1"/>
  <c r="F21" i="7" l="1"/>
  <c r="D7" i="3"/>
  <c r="C6" i="4"/>
  <c r="C7" i="4" s="1"/>
  <c r="C8" i="4" s="1"/>
  <c r="E5" i="5"/>
  <c r="E6" i="5"/>
  <c r="E7" i="5"/>
  <c r="E8" i="5"/>
  <c r="E4" i="5"/>
  <c r="E13" i="2" l="1"/>
  <c r="F13" i="2" s="1"/>
  <c r="E6" i="2"/>
  <c r="F6" i="2" s="1"/>
  <c r="E9" i="1"/>
  <c r="E16" i="2"/>
  <c r="F16" i="2" s="1"/>
  <c r="F6" i="4"/>
  <c r="F7" i="4"/>
  <c r="F8" i="4"/>
  <c r="G5" i="3" l="1"/>
  <c r="H16" i="2"/>
  <c r="G16" i="2"/>
  <c r="I16" i="2" s="1"/>
  <c r="E32" i="1"/>
  <c r="E45" i="1"/>
  <c r="E44" i="1"/>
  <c r="F44" i="1" s="1"/>
  <c r="E46" i="1"/>
  <c r="E43" i="1"/>
  <c r="E48" i="1"/>
  <c r="E42" i="1"/>
  <c r="E49" i="1"/>
  <c r="E47" i="1"/>
  <c r="E20" i="1"/>
  <c r="F20" i="1" s="1"/>
  <c r="E29" i="1"/>
  <c r="F29" i="1" s="1"/>
  <c r="E31" i="1"/>
  <c r="F31" i="1" s="1"/>
  <c r="E16" i="1"/>
  <c r="E30" i="1"/>
  <c r="F30" i="1" s="1"/>
  <c r="E18" i="1"/>
  <c r="F18" i="1" s="1"/>
  <c r="H6" i="2"/>
  <c r="G6" i="2"/>
  <c r="I6" i="2" s="1"/>
  <c r="G13" i="2"/>
  <c r="I13" i="2" s="1"/>
  <c r="H13" i="2"/>
  <c r="D19" i="7"/>
  <c r="E19" i="7" s="1"/>
  <c r="F19" i="7" s="1"/>
  <c r="D18" i="7"/>
  <c r="E18" i="7" s="1"/>
  <c r="F18" i="7" s="1"/>
  <c r="D17" i="7"/>
  <c r="E17" i="7" s="1"/>
  <c r="F17" i="7" s="1"/>
  <c r="D16" i="7"/>
  <c r="E16" i="7" s="1"/>
  <c r="F16" i="7" s="1"/>
  <c r="D15" i="7"/>
  <c r="E15" i="7" s="1"/>
  <c r="F15" i="7" s="1"/>
  <c r="D14" i="7"/>
  <c r="E14" i="7" s="1"/>
  <c r="F14" i="7" s="1"/>
  <c r="D13" i="7"/>
  <c r="E13" i="7" s="1"/>
  <c r="F13" i="7" s="1"/>
  <c r="D12" i="7"/>
  <c r="I21" i="7" s="1"/>
  <c r="B3" i="6"/>
  <c r="D12" i="1"/>
  <c r="D16" i="1"/>
  <c r="G29" i="1" l="1"/>
  <c r="I29" i="1" s="1"/>
  <c r="H29" i="1"/>
  <c r="G20" i="1"/>
  <c r="H20" i="1"/>
  <c r="I20" i="1" s="1"/>
  <c r="E15" i="2"/>
  <c r="F15" i="2" s="1"/>
  <c r="F41" i="1"/>
  <c r="E14" i="2"/>
  <c r="F14" i="2" s="1"/>
  <c r="F32" i="1"/>
  <c r="G31" i="1"/>
  <c r="H31" i="1"/>
  <c r="G44" i="1"/>
  <c r="H44" i="1"/>
  <c r="I44" i="1"/>
  <c r="G18" i="1"/>
  <c r="I18" i="1" s="1"/>
  <c r="H18" i="1"/>
  <c r="G30" i="1"/>
  <c r="H30" i="1"/>
  <c r="I30" i="1" s="1"/>
  <c r="E9" i="5"/>
  <c r="E12" i="5"/>
  <c r="E11" i="5"/>
  <c r="E10" i="5"/>
  <c r="D20" i="7"/>
  <c r="E12" i="7"/>
  <c r="B6" i="3" s="1"/>
  <c r="F16" i="1"/>
  <c r="H16" i="1" s="1"/>
  <c r="G41" i="1" l="1"/>
  <c r="I41" i="1" s="1"/>
  <c r="H41" i="1"/>
  <c r="H14" i="2"/>
  <c r="G14" i="2"/>
  <c r="I14" i="2"/>
  <c r="H15" i="2"/>
  <c r="G15" i="2"/>
  <c r="I15" i="2"/>
  <c r="I31" i="1"/>
  <c r="H32" i="1"/>
  <c r="G32" i="1"/>
  <c r="I32" i="1"/>
  <c r="E6" i="3"/>
  <c r="G6" i="3" s="1"/>
  <c r="D6" i="3"/>
  <c r="D8" i="3" s="1"/>
  <c r="E20" i="7"/>
  <c r="E22" i="7" s="1"/>
  <c r="G16" i="1"/>
  <c r="I16" i="1" s="1"/>
  <c r="D47" i="1" l="1"/>
  <c r="D15" i="1"/>
  <c r="F15" i="1" s="1"/>
  <c r="D14" i="1"/>
  <c r="F14" i="1" s="1"/>
  <c r="H15" i="1" l="1"/>
  <c r="G15" i="1"/>
  <c r="H14" i="1"/>
  <c r="G14" i="1"/>
  <c r="I15" i="1" l="1"/>
  <c r="I14" i="1"/>
  <c r="I56" i="1" l="1"/>
  <c r="F12" i="1" l="1"/>
  <c r="G12" i="1" s="1"/>
  <c r="H12" i="1" l="1"/>
  <c r="I12" i="1" s="1"/>
  <c r="B7" i="6"/>
  <c r="F47" i="1"/>
  <c r="D49" i="1"/>
  <c r="F49" i="1" s="1"/>
  <c r="D46" i="1"/>
  <c r="D45" i="1"/>
  <c r="D43" i="1"/>
  <c r="F43" i="1" s="1"/>
  <c r="D42" i="1"/>
  <c r="D19" i="1"/>
  <c r="D11" i="1"/>
  <c r="F11" i="1" s="1"/>
  <c r="D9" i="1"/>
  <c r="F9" i="1" s="1"/>
  <c r="D8" i="1"/>
  <c r="F19" i="1" l="1"/>
  <c r="G19" i="1" s="1"/>
  <c r="H47" i="1"/>
  <c r="G47" i="1"/>
  <c r="F42" i="1"/>
  <c r="G42" i="1" s="1"/>
  <c r="F45" i="1"/>
  <c r="H45" i="1" s="1"/>
  <c r="H11" i="1"/>
  <c r="G9" i="1"/>
  <c r="H49" i="1"/>
  <c r="G43" i="1"/>
  <c r="H43" i="1"/>
  <c r="G49" i="1"/>
  <c r="G11" i="1"/>
  <c r="H9" i="1"/>
  <c r="F46" i="1"/>
  <c r="H19" i="1" l="1"/>
  <c r="I19" i="1" s="1"/>
  <c r="H42" i="1"/>
  <c r="I42" i="1" s="1"/>
  <c r="I47" i="1"/>
  <c r="H12" i="2"/>
  <c r="G12" i="2"/>
  <c r="G45" i="1"/>
  <c r="I45" i="1" s="1"/>
  <c r="I7" i="2"/>
  <c r="I49" i="1"/>
  <c r="I11" i="1"/>
  <c r="I9" i="1"/>
  <c r="I43" i="1"/>
  <c r="G46" i="1"/>
  <c r="H46" i="1"/>
  <c r="I12" i="2" l="1"/>
  <c r="I46" i="1"/>
  <c r="B5" i="6" l="1"/>
  <c r="B4" i="6"/>
  <c r="B2" i="6"/>
</calcChain>
</file>

<file path=xl/sharedStrings.xml><?xml version="1.0" encoding="utf-8"?>
<sst xmlns="http://schemas.openxmlformats.org/spreadsheetml/2006/main" count="245" uniqueCount="215">
  <si>
    <t>ICR Summary Information</t>
  </si>
  <si>
    <t>Hours per Response</t>
  </si>
  <si>
    <t>Number of Respondents</t>
  </si>
  <si>
    <t>Total Estimated Burden Hours</t>
  </si>
  <si>
    <t>Total Estimated Costs</t>
  </si>
  <si>
    <t>Annualized Capital O&amp;M</t>
  </si>
  <si>
    <t>Total Annual Responses</t>
  </si>
  <si>
    <t>Burden Item</t>
  </si>
  <si>
    <t>(A)
Person hours per occurrence</t>
  </si>
  <si>
    <t>(B)
No. of occurrences per respondent per year</t>
  </si>
  <si>
    <t>(C) 
Person hours per respondent per year 
(C=AxB)</t>
  </si>
  <si>
    <t>(E) 
Technical person- hours per year (E=CxD)</t>
  </si>
  <si>
    <t>(F)
Management person hours per year (Ex0.05)</t>
  </si>
  <si>
    <t>(G)
Clerical person hours per year (Ex0.1)</t>
  </si>
  <si>
    <t>Labor Rates</t>
  </si>
  <si>
    <t>hr/response</t>
  </si>
  <si>
    <t>Management</t>
  </si>
  <si>
    <t>Technical</t>
  </si>
  <si>
    <t>Clerical</t>
  </si>
  <si>
    <t>Subtotal for Reporting Requirements</t>
  </si>
  <si>
    <t xml:space="preserve">Subtotal for Recordkeeping Requirements  </t>
  </si>
  <si>
    <r>
      <t xml:space="preserve">Total Labor Burden and Costs (rounded) </t>
    </r>
    <r>
      <rPr>
        <b/>
        <vertAlign val="superscript"/>
        <sz val="10"/>
        <rFont val="Times New Roman"/>
        <family val="1"/>
      </rPr>
      <t>i</t>
    </r>
  </si>
  <si>
    <r>
      <t>Total Capital and O&amp;M Cost (rounded)</t>
    </r>
    <r>
      <rPr>
        <b/>
        <vertAlign val="superscript"/>
        <sz val="10"/>
        <rFont val="Times New Roman"/>
        <family val="1"/>
      </rPr>
      <t xml:space="preserve"> i</t>
    </r>
  </si>
  <si>
    <r>
      <t xml:space="preserve">GRAND TOTAL (rounded) </t>
    </r>
    <r>
      <rPr>
        <b/>
        <vertAlign val="superscript"/>
        <sz val="10"/>
        <rFont val="Times New Roman"/>
        <family val="1"/>
      </rPr>
      <t>i</t>
    </r>
  </si>
  <si>
    <t>Assumptions:</t>
  </si>
  <si>
    <t>Burden item</t>
  </si>
  <si>
    <t>(A)
 Person hours per occurrence</t>
  </si>
  <si>
    <t>(B) 
No. of occurrences per respondent per year</t>
  </si>
  <si>
    <t xml:space="preserve">Technical </t>
  </si>
  <si>
    <r>
      <t xml:space="preserve">TOTAL (rounded) </t>
    </r>
    <r>
      <rPr>
        <b/>
        <vertAlign val="superscript"/>
        <sz val="10"/>
        <rFont val="Times New Roman"/>
        <family val="1"/>
      </rPr>
      <t>h</t>
    </r>
  </si>
  <si>
    <r>
      <t>g</t>
    </r>
    <r>
      <rPr>
        <sz val="10"/>
        <rFont val="Times New Roman"/>
        <family val="1"/>
      </rPr>
      <t xml:space="preserve">  We assume that it will take the agency 15 hours to review the semiannual reports and that the agency will review summary reports twice per year.</t>
    </r>
  </si>
  <si>
    <r>
      <t>h</t>
    </r>
    <r>
      <rPr>
        <sz val="10"/>
        <rFont val="Times New Roman"/>
        <family val="1"/>
      </rPr>
      <t xml:space="preserve">  Totals have been rounded to 3 significant figures. Figures may not add exactly due to rounding.</t>
    </r>
  </si>
  <si>
    <r>
      <t>Capital/Startup vs. Operation and Maintenance (O&amp;M) Costs</t>
    </r>
    <r>
      <rPr>
        <sz val="10"/>
        <color theme="1"/>
        <rFont val="Times New Roman"/>
        <family val="1"/>
      </rPr>
      <t> </t>
    </r>
  </si>
  <si>
    <t>(A)</t>
  </si>
  <si>
    <t>(B)</t>
  </si>
  <si>
    <t>(C)</t>
  </si>
  <si>
    <t>(D)</t>
  </si>
  <si>
    <t>(E)</t>
  </si>
  <si>
    <t>(F)</t>
  </si>
  <si>
    <t>(G)</t>
  </si>
  <si>
    <t>Continuous Monitoring Device</t>
  </si>
  <si>
    <t>Capital/Startup Cost for One Respondent</t>
  </si>
  <si>
    <r>
      <t xml:space="preserve">Number of New  Respondents </t>
    </r>
    <r>
      <rPr>
        <b/>
        <vertAlign val="superscript"/>
        <sz val="10"/>
        <color theme="1"/>
        <rFont val="Times New Roman"/>
        <family val="1"/>
      </rPr>
      <t>a</t>
    </r>
  </si>
  <si>
    <t>Total Capital/Startup Cost,  (B X C)</t>
  </si>
  <si>
    <t>Annual O&amp;M Costs for One Respondent</t>
  </si>
  <si>
    <r>
      <t>Number of Respondents with O&amp;M</t>
    </r>
    <r>
      <rPr>
        <b/>
        <vertAlign val="superscript"/>
        <sz val="10"/>
        <color theme="1"/>
        <rFont val="Times New Roman"/>
        <family val="1"/>
      </rPr>
      <t xml:space="preserve"> b</t>
    </r>
  </si>
  <si>
    <t>Total O&amp;M, 
(E X F)</t>
  </si>
  <si>
    <r>
      <t>Totals</t>
    </r>
    <r>
      <rPr>
        <sz val="10"/>
        <color theme="1"/>
        <rFont val="Times New Roman"/>
        <family val="1"/>
      </rPr>
      <t xml:space="preserve"> (rounded)</t>
    </r>
    <r>
      <rPr>
        <b/>
        <sz val="10"/>
        <color theme="1"/>
        <rFont val="Times New Roman"/>
        <family val="1"/>
      </rPr>
      <t xml:space="preserve"> </t>
    </r>
    <r>
      <rPr>
        <b/>
        <vertAlign val="superscript"/>
        <sz val="10"/>
        <color theme="1"/>
        <rFont val="Times New Roman"/>
        <family val="1"/>
      </rPr>
      <t>c</t>
    </r>
  </si>
  <si>
    <t>Information Collection Activity</t>
  </si>
  <si>
    <r>
      <t xml:space="preserve">Number of Respondents </t>
    </r>
    <r>
      <rPr>
        <vertAlign val="superscript"/>
        <sz val="10"/>
        <color rgb="FF000000"/>
        <rFont val="Times New Roman"/>
        <family val="1"/>
      </rPr>
      <t>a</t>
    </r>
  </si>
  <si>
    <t>Number of Responses</t>
  </si>
  <si>
    <t>Number of Existing Respondents That Keep Records But Do Not Submit Reports</t>
  </si>
  <si>
    <t>Total Annual Responses E=(BxC)+D</t>
  </si>
  <si>
    <t>Respondents That Submit Reports</t>
  </si>
  <si>
    <t>Respondents That Do Not Submit Any Reports</t>
  </si>
  <si>
    <t>Year</t>
  </si>
  <si>
    <r>
      <t xml:space="preserve">Number of New Respondents </t>
    </r>
    <r>
      <rPr>
        <b/>
        <vertAlign val="superscript"/>
        <sz val="10"/>
        <color rgb="FF000000"/>
        <rFont val="Times New Roman"/>
        <family val="1"/>
      </rPr>
      <t>a</t>
    </r>
  </si>
  <si>
    <t>Number of Existing Respondents</t>
  </si>
  <si>
    <t>Number of Existing Respondents that keep records but do not submit reports</t>
  </si>
  <si>
    <t>Number of Existing Respondents That Are Also New Respondents</t>
  </si>
  <si>
    <t>Number of Respondents (E=A+B+C-D)</t>
  </si>
  <si>
    <t>Average</t>
  </si>
  <si>
    <t>Form Number</t>
  </si>
  <si>
    <t>Stack Testing Costs</t>
  </si>
  <si>
    <t>Parameters/Costs</t>
  </si>
  <si>
    <t>Equation</t>
  </si>
  <si>
    <t>Values</t>
  </si>
  <si>
    <t>A. Parameters</t>
  </si>
  <si>
    <t>1. Cost index</t>
  </si>
  <si>
    <t xml:space="preserve">    b. 2008</t>
  </si>
  <si>
    <t xml:space="preserve">    c. 1992</t>
  </si>
  <si>
    <t>Adjusted testing cost</t>
  </si>
  <si>
    <t>B. Testing Costs, $</t>
  </si>
  <si>
    <t>Adjusted per Footnote 3</t>
  </si>
  <si>
    <t>1. Method 5 (PM)</t>
  </si>
  <si>
    <t>= $8,000 x (575.4/358.2)</t>
  </si>
  <si>
    <t>2. Method 9 (opacity)</t>
  </si>
  <si>
    <t>= $1,000 x (575.4/358.2) + $1,500</t>
  </si>
  <si>
    <t>3. Method 10 (CO)</t>
  </si>
  <si>
    <t>= $4,000 x (575.4/358.2) + $1,000</t>
  </si>
  <si>
    <t>4. Method 26 (HCl)</t>
  </si>
  <si>
    <t xml:space="preserve">= $5,000 x (575.4/358.2) </t>
  </si>
  <si>
    <t>5. Method 29 (metals)</t>
  </si>
  <si>
    <t>= $8,000 x (575.4/358.2) + $2,000</t>
  </si>
  <si>
    <t>6. Method 23 (CDD/CDF)</t>
  </si>
  <si>
    <t>= $21,000 x (575.4/358.2) - $5,000</t>
  </si>
  <si>
    <r>
      <t>7. Method 7E (NO</t>
    </r>
    <r>
      <rPr>
        <vertAlign val="subscript"/>
        <sz val="10"/>
        <rFont val="Arial"/>
        <family val="2"/>
      </rPr>
      <t>X</t>
    </r>
    <r>
      <rPr>
        <sz val="10"/>
        <rFont val="Arial"/>
        <family val="2"/>
      </rPr>
      <t>)</t>
    </r>
  </si>
  <si>
    <r>
      <t>8. Method 6C (SO</t>
    </r>
    <r>
      <rPr>
        <vertAlign val="subscript"/>
        <sz val="10"/>
        <rFont val="Arial"/>
        <family val="2"/>
      </rPr>
      <t>2</t>
    </r>
    <r>
      <rPr>
        <sz val="10"/>
        <rFont val="Arial"/>
        <family val="2"/>
      </rPr>
      <t>)</t>
    </r>
  </si>
  <si>
    <t>1. Initial testing costs to be annualized over 15 years at 7% interest.</t>
  </si>
  <si>
    <t>Everything</t>
  </si>
  <si>
    <t>Annual</t>
  </si>
  <si>
    <t>Sources:</t>
  </si>
  <si>
    <r>
      <t>b</t>
    </r>
    <r>
      <rPr>
        <sz val="10"/>
        <color theme="1"/>
        <rFont val="Times New Roman"/>
        <family val="1"/>
      </rPr>
      <t xml:space="preserve">  Estimates of the number of existing sources are based on the previous ICR (2369.05) and EPA's 2016 SSI Inventory.</t>
    </r>
  </si>
  <si>
    <r>
      <rPr>
        <vertAlign val="superscript"/>
        <sz val="10"/>
        <color theme="1"/>
        <rFont val="Times New Roman"/>
        <family val="1"/>
      </rPr>
      <t>a</t>
    </r>
    <r>
      <rPr>
        <sz val="10"/>
        <color theme="1"/>
        <rFont val="Times New Roman"/>
        <family val="1"/>
      </rPr>
      <t xml:space="preserve">  New respondents include sources with constructed, reconstructed and modified affected facilities. We assume there will be 2 new sources and 1 modified source over the next three years, averaging to an estimated growth rate of 1 new respondent per year. This industry growth estimate is based on EPA's 2016 SSI Inventory for the Federal Plan (see Appendix A at https://regulations.gov/document/EPA-HQ-OAR-2012-0319-0020) and adjusted to reflect the estimated growth rate.</t>
    </r>
  </si>
  <si>
    <t>Notification of Construction</t>
  </si>
  <si>
    <t>Notification of Start-up</t>
  </si>
  <si>
    <t>Notification of Initial Performance Test</t>
  </si>
  <si>
    <t>Notification of Initial CMS Demonstration</t>
  </si>
  <si>
    <t>Initial Compliance Report</t>
  </si>
  <si>
    <r>
      <t xml:space="preserve">Annual Compliance Report </t>
    </r>
    <r>
      <rPr>
        <vertAlign val="superscript"/>
        <sz val="9"/>
        <color theme="1"/>
        <rFont val="Times New Roman"/>
        <family val="1"/>
      </rPr>
      <t>a</t>
    </r>
  </si>
  <si>
    <r>
      <t xml:space="preserve">Status report for operators that are off-site for more than 2 weeks </t>
    </r>
    <r>
      <rPr>
        <vertAlign val="superscript"/>
        <sz val="9"/>
        <color theme="1"/>
        <rFont val="Times New Roman"/>
        <family val="1"/>
      </rPr>
      <t>b</t>
    </r>
  </si>
  <si>
    <r>
      <t xml:space="preserve">Corrective action summary for operators that are off-site for more than 2 weeks </t>
    </r>
    <r>
      <rPr>
        <vertAlign val="superscript"/>
        <sz val="9"/>
        <color theme="1"/>
        <rFont val="Times New Roman"/>
        <family val="1"/>
      </rPr>
      <t>b</t>
    </r>
  </si>
  <si>
    <r>
      <t xml:space="preserve">Semiannual Deviation Report </t>
    </r>
    <r>
      <rPr>
        <vertAlign val="superscript"/>
        <sz val="9"/>
        <color theme="1"/>
        <rFont val="Times New Roman"/>
        <family val="1"/>
      </rPr>
      <t>c</t>
    </r>
    <r>
      <rPr>
        <sz val="9"/>
        <color theme="1"/>
        <rFont val="Times New Roman"/>
        <family val="1"/>
      </rPr>
      <t xml:space="preserve"> </t>
    </r>
  </si>
  <si>
    <t>Total (rounded)</t>
  </si>
  <si>
    <r>
      <t>a</t>
    </r>
    <r>
      <rPr>
        <sz val="10"/>
        <color theme="1"/>
        <rFont val="Times New Roman"/>
        <family val="1"/>
      </rPr>
      <t xml:space="preserve"> Facilities may test every three years if certain requirements are met, and it is assumed most facilities would meet the requirements. However, all facilities must submit annual compliance reports. </t>
    </r>
  </si>
  <si>
    <r>
      <t xml:space="preserve">CEMS/CPMS </t>
    </r>
    <r>
      <rPr>
        <vertAlign val="superscript"/>
        <sz val="10"/>
        <color theme="1"/>
        <rFont val="Times New Roman"/>
        <family val="1"/>
      </rPr>
      <t>b</t>
    </r>
  </si>
  <si>
    <r>
      <t xml:space="preserve">Stack testing </t>
    </r>
    <r>
      <rPr>
        <vertAlign val="superscript"/>
        <sz val="10"/>
        <color theme="1"/>
        <rFont val="Times New Roman"/>
        <family val="1"/>
      </rPr>
      <t>c</t>
    </r>
  </si>
  <si>
    <r>
      <t xml:space="preserve">Filing cabinet </t>
    </r>
    <r>
      <rPr>
        <vertAlign val="superscript"/>
        <sz val="10"/>
        <color theme="1"/>
        <rFont val="Times New Roman"/>
        <family val="1"/>
      </rPr>
      <t>d</t>
    </r>
  </si>
  <si>
    <r>
      <t>d</t>
    </r>
    <r>
      <rPr>
        <sz val="10"/>
        <color theme="1"/>
        <rFont val="Times New Roman"/>
        <family val="1"/>
      </rPr>
      <t xml:space="preserve">  Assumed $100 for purchase of filing cabinet to store copy of rule, records, and report copies. </t>
    </r>
  </si>
  <si>
    <r>
      <t>e</t>
    </r>
    <r>
      <rPr>
        <sz val="10"/>
        <color theme="1"/>
        <rFont val="Times New Roman"/>
        <family val="1"/>
      </rPr>
      <t xml:space="preserve">  Totals have been rounded to 3 significant figures. Figures may not add exactly due to rounding.</t>
    </r>
  </si>
  <si>
    <r>
      <t>c</t>
    </r>
    <r>
      <rPr>
        <sz val="10"/>
        <color theme="1"/>
        <rFont val="Times New Roman"/>
        <family val="1"/>
      </rPr>
      <t xml:space="preserve"> We assume that 10 percent of the existing facilities (10 * 0.1 = 0.9) have excess emissions and submit semiannual deviation reports.</t>
    </r>
  </si>
  <si>
    <r>
      <rPr>
        <vertAlign val="superscript"/>
        <sz val="10"/>
        <color theme="1"/>
        <rFont val="Times New Roman"/>
        <family val="1"/>
      </rPr>
      <t xml:space="preserve">a  </t>
    </r>
    <r>
      <rPr>
        <sz val="10"/>
        <color theme="1"/>
        <rFont val="Times New Roman"/>
        <family val="1"/>
      </rPr>
      <t xml:space="preserve">We assume that there are 7 existing SSI facilities with an average of 6 incinerator units. Burden estimates are based on a "per respondent" basis, not a "per unit" basis. We assume that there will be a total of 2 new sources and 1 modified source over the next three-year period, averaging in an estimated growth rate of  1 new respondent per year. The estimate for the number of facilities subject to NSPS Subpart LLLL is based on EPA's 2016 SSI Inventory for the Federal Plan (See Appendix A at https://www.regulations.gov/document/EPA-HQ-OAR-2012-0319-0020)  and adjusted to reflect the estimated growth rate. </t>
    </r>
  </si>
  <si>
    <t>2.  Testing costs have been rounded to the nearest $1,000 (except for opacity) to be consistent with level of rounding in original costs; costs also adjusted based on additional information from EPA.</t>
  </si>
  <si>
    <t>3.  Multiple test costs adjusted by 2/3 in nationwide cost estimates to account for travel, accommodations, methods/sampling trains, etc. common to the tests.</t>
  </si>
  <si>
    <t>1.  Memorandum from R. Segall, EPA/EMB, to R. Copland, EPA/SDB.  October 14, 1992. Medical Waste Incinerator Study:  Emission Measurement and Continuous Monitoring. (II-B-89)</t>
  </si>
  <si>
    <t>2.  E-mail from Jason Dewees, EPA, to Peter Westlin, EPA.  August 20, 2008. Monitoring Options for SNCR &amp; Test Cost Questions.</t>
  </si>
  <si>
    <t>3.  E-mail from Jason Dewees, EPA, to Mary Johnson, EPA.  August 20, 2008. Re: Monitoring Options for SNCR &amp; Test Cost Questions. Re: Monitoring Options for SNCR &amp; Test Cost Questions.</t>
  </si>
  <si>
    <t>Notes:</t>
  </si>
  <si>
    <t xml:space="preserve">Source: “Burden Estimate Tables - Standards of Performance for New Stationary Sources Sewage Sludge Incineration (SSI) Units (Subpart LLLL)” spreadsheet at https://www.regulations.gov/document/EPA-HQ-OAR-2009-0559-0168  [see the hidden stack testing tab] </t>
  </si>
  <si>
    <t xml:space="preserve">Updated to 2022 CEPCI </t>
  </si>
  <si>
    <t>(E) 
Technical person  hours per year
(E = C x D)</t>
  </si>
  <si>
    <t>(F) 
Management person hours per year
(E x 0.05)</t>
  </si>
  <si>
    <t>(G) 
Clerical person hours per year
(E x 0.1)</t>
  </si>
  <si>
    <t>(C) 
Person hours per respondent per year
(C = A x B)</t>
  </si>
  <si>
    <t xml:space="preserve">    a. 2022</t>
  </si>
  <si>
    <t>2008 Value</t>
  </si>
  <si>
    <t>Subtotal:</t>
  </si>
  <si>
    <t>plus visible emissions testing:</t>
  </si>
  <si>
    <t>Total:</t>
  </si>
  <si>
    <t>1. Applications</t>
  </si>
  <si>
    <t>2. Survey and Studies</t>
  </si>
  <si>
    <t>3. Reporting Requirements</t>
  </si>
  <si>
    <t>A. Familiarize with regulation requirements</t>
  </si>
  <si>
    <r>
      <t xml:space="preserve">1) New sources </t>
    </r>
    <r>
      <rPr>
        <vertAlign val="superscript"/>
        <sz val="10"/>
        <color theme="1"/>
        <rFont val="Times New Roman"/>
        <family val="1"/>
      </rPr>
      <t>c</t>
    </r>
  </si>
  <si>
    <r>
      <t xml:space="preserve">2) Existing sources </t>
    </r>
    <r>
      <rPr>
        <vertAlign val="superscript"/>
        <sz val="10"/>
        <color theme="1"/>
        <rFont val="Times New Roman"/>
        <family val="1"/>
      </rPr>
      <t>d</t>
    </r>
  </si>
  <si>
    <t>B. Required activities</t>
  </si>
  <si>
    <r>
      <t xml:space="preserve">1) Initial stack test and report (new sources) </t>
    </r>
    <r>
      <rPr>
        <vertAlign val="superscript"/>
        <sz val="10"/>
        <color theme="1"/>
        <rFont val="Times New Roman"/>
        <family val="1"/>
      </rPr>
      <t>c</t>
    </r>
  </si>
  <si>
    <r>
      <t xml:space="preserve">2) Annual stack test and test report (existing sources) </t>
    </r>
    <r>
      <rPr>
        <vertAlign val="superscript"/>
        <sz val="10"/>
        <color theme="1"/>
        <rFont val="Times New Roman"/>
        <family val="1"/>
      </rPr>
      <t>d, e</t>
    </r>
  </si>
  <si>
    <t xml:space="preserve">3) Operator  training and qualification      </t>
  </si>
  <si>
    <r>
      <t xml:space="preserve">a) Establish and teach operator qualification course </t>
    </r>
    <r>
      <rPr>
        <vertAlign val="superscript"/>
        <sz val="10"/>
        <color theme="1"/>
        <rFont val="Times New Roman"/>
        <family val="1"/>
      </rPr>
      <t>c, f</t>
    </r>
  </si>
  <si>
    <r>
      <t xml:space="preserve">b) Obtain operator qualification </t>
    </r>
    <r>
      <rPr>
        <vertAlign val="superscript"/>
        <sz val="10"/>
        <color theme="1"/>
        <rFont val="Times New Roman"/>
        <family val="1"/>
      </rPr>
      <t>c, f</t>
    </r>
  </si>
  <si>
    <r>
      <t xml:space="preserve">c) Annual refresher course </t>
    </r>
    <r>
      <rPr>
        <vertAlign val="superscript"/>
        <sz val="10"/>
        <color theme="1"/>
        <rFont val="Times New Roman"/>
        <family val="1"/>
      </rPr>
      <t>d</t>
    </r>
  </si>
  <si>
    <t>d) Initial review of site-specific information</t>
  </si>
  <si>
    <r>
      <t xml:space="preserve">e) Annual review of site-specific information (existing sources) </t>
    </r>
    <r>
      <rPr>
        <vertAlign val="superscript"/>
        <sz val="10"/>
        <color theme="1"/>
        <rFont val="Times New Roman"/>
        <family val="1"/>
      </rPr>
      <t>d</t>
    </r>
  </si>
  <si>
    <r>
      <t xml:space="preserve">4) Establish maximum and minimum operating parameters (new sources) </t>
    </r>
    <r>
      <rPr>
        <vertAlign val="superscript"/>
        <sz val="10"/>
        <color theme="1"/>
        <rFont val="Times New Roman"/>
        <family val="1"/>
      </rPr>
      <t>c</t>
    </r>
  </si>
  <si>
    <r>
      <t xml:space="preserve">5) Continuous parameter monitoring (including CEMS) </t>
    </r>
    <r>
      <rPr>
        <vertAlign val="superscript"/>
        <sz val="10"/>
        <color theme="1"/>
        <rFont val="Times New Roman"/>
        <family val="1"/>
      </rPr>
      <t>d</t>
    </r>
  </si>
  <si>
    <t xml:space="preserve">C. Create Information </t>
  </si>
  <si>
    <t>D. Gather Existing Information</t>
  </si>
  <si>
    <t>E. Write report</t>
  </si>
  <si>
    <r>
      <t xml:space="preserve">1) Notification of construction (includes siting analysis) </t>
    </r>
    <r>
      <rPr>
        <vertAlign val="superscript"/>
        <sz val="10"/>
        <color theme="1"/>
        <rFont val="Times New Roman"/>
        <family val="1"/>
      </rPr>
      <t>c</t>
    </r>
  </si>
  <si>
    <r>
      <t xml:space="preserve">2) Notification of start-up (includes monitoring plan) </t>
    </r>
    <r>
      <rPr>
        <vertAlign val="superscript"/>
        <sz val="10"/>
        <color theme="1"/>
        <rFont val="Times New Roman"/>
        <family val="1"/>
      </rPr>
      <t>c</t>
    </r>
  </si>
  <si>
    <r>
      <t xml:space="preserve">3) Notification of initial performance test </t>
    </r>
    <r>
      <rPr>
        <vertAlign val="superscript"/>
        <sz val="10"/>
        <color theme="1"/>
        <rFont val="Times New Roman"/>
        <family val="1"/>
      </rPr>
      <t>c</t>
    </r>
  </si>
  <si>
    <r>
      <t xml:space="preserve">4) Notification of initial CMS Demonstration </t>
    </r>
    <r>
      <rPr>
        <vertAlign val="superscript"/>
        <sz val="10"/>
        <color theme="1"/>
        <rFont val="Times New Roman"/>
        <family val="1"/>
      </rPr>
      <t>c</t>
    </r>
  </si>
  <si>
    <t>5) Initial Compliance Report</t>
  </si>
  <si>
    <t>6) Annual Compliance Report</t>
  </si>
  <si>
    <r>
      <t xml:space="preserve">7) Status report for operators that are off-site for more than 2 weeks </t>
    </r>
    <r>
      <rPr>
        <vertAlign val="superscript"/>
        <sz val="10"/>
        <color theme="1"/>
        <rFont val="Times New Roman"/>
        <family val="1"/>
      </rPr>
      <t>g</t>
    </r>
  </si>
  <si>
    <r>
      <t xml:space="preserve">8) Corrective action summary for operators that are off-site for more than 2 weeks </t>
    </r>
    <r>
      <rPr>
        <vertAlign val="superscript"/>
        <sz val="10"/>
        <color theme="1"/>
        <rFont val="Times New Roman"/>
        <family val="1"/>
      </rPr>
      <t>g</t>
    </r>
  </si>
  <si>
    <r>
      <t xml:space="preserve">9) Semiannual Deviation Report </t>
    </r>
    <r>
      <rPr>
        <vertAlign val="superscript"/>
        <sz val="10"/>
        <color theme="1"/>
        <rFont val="Times New Roman"/>
        <family val="1"/>
      </rPr>
      <t>h</t>
    </r>
  </si>
  <si>
    <t>N/A</t>
  </si>
  <si>
    <r>
      <rPr>
        <vertAlign val="superscript"/>
        <sz val="10"/>
        <rFont val="Times New Roman"/>
        <family val="1"/>
      </rPr>
      <t>c</t>
    </r>
    <r>
      <rPr>
        <sz val="10"/>
        <rFont val="Times New Roman"/>
        <family val="1"/>
      </rPr>
      <t xml:space="preserve">  One-time only costs for new sources.</t>
    </r>
  </si>
  <si>
    <r>
      <rPr>
        <vertAlign val="superscript"/>
        <sz val="10"/>
        <rFont val="Times New Roman"/>
        <family val="1"/>
      </rPr>
      <t>d</t>
    </r>
    <r>
      <rPr>
        <sz val="10"/>
        <rFont val="Times New Roman"/>
        <family val="1"/>
      </rPr>
      <t xml:space="preserve">  Annual Costs for existing sources. Annual costs are not incurred until the second year of operation. </t>
    </r>
  </si>
  <si>
    <r>
      <rPr>
        <vertAlign val="superscript"/>
        <sz val="10"/>
        <rFont val="Times New Roman"/>
        <family val="1"/>
      </rPr>
      <t>f</t>
    </r>
    <r>
      <rPr>
        <sz val="10"/>
        <rFont val="Times New Roman"/>
        <family val="1"/>
      </rPr>
      <t xml:space="preserve">  Costs incurred by a facility regardless of the number of affected units at the plant.</t>
    </r>
  </si>
  <si>
    <r>
      <rPr>
        <vertAlign val="superscript"/>
        <sz val="10"/>
        <rFont val="Times New Roman"/>
        <family val="1"/>
      </rPr>
      <t>g</t>
    </r>
    <r>
      <rPr>
        <sz val="10"/>
        <rFont val="Times New Roman"/>
        <family val="1"/>
      </rPr>
      <t xml:space="preserve">  We assume that 10 percent of the facilities would not have a qualified operator available for more than two weeks at least once a year. We further assume that this would require only two corrective action summaries.</t>
    </r>
  </si>
  <si>
    <r>
      <rPr>
        <vertAlign val="superscript"/>
        <sz val="10"/>
        <rFont val="Times New Roman"/>
        <family val="1"/>
      </rPr>
      <t>h</t>
    </r>
    <r>
      <rPr>
        <sz val="10"/>
        <rFont val="Times New Roman"/>
        <family val="1"/>
      </rPr>
      <t xml:space="preserve">  We assume that 10 percent of the facilities would have an exceedance during the year.  </t>
    </r>
  </si>
  <si>
    <r>
      <rPr>
        <vertAlign val="superscript"/>
        <sz val="10"/>
        <rFont val="Times New Roman"/>
        <family val="1"/>
      </rPr>
      <t>i</t>
    </r>
    <r>
      <rPr>
        <sz val="10"/>
        <rFont val="Times New Roman"/>
        <family val="1"/>
      </rPr>
      <t xml:space="preserve">  Totals are rounded to 3 significant figures. Figures may not add exactly due to rounding. </t>
    </r>
  </si>
  <si>
    <t>See 3A</t>
  </si>
  <si>
    <t>See 3B</t>
  </si>
  <si>
    <t>See 3E</t>
  </si>
  <si>
    <t xml:space="preserve">4.  Recordkeeping Requirements </t>
  </si>
  <si>
    <t>A.  Familiarize with regulation requirements</t>
  </si>
  <si>
    <t>B.  Plan activities</t>
  </si>
  <si>
    <t xml:space="preserve">C.  Implement activities: </t>
  </si>
  <si>
    <t>D.  Develop record system</t>
  </si>
  <si>
    <t>E.  Record Information</t>
  </si>
  <si>
    <t>1) Records of operating parameters</t>
  </si>
  <si>
    <r>
      <t xml:space="preserve">2) Records of exceedances of the operating parameters </t>
    </r>
    <r>
      <rPr>
        <vertAlign val="superscript"/>
        <sz val="10"/>
        <color theme="1"/>
        <rFont val="Times New Roman"/>
        <family val="1"/>
      </rPr>
      <t>h</t>
    </r>
  </si>
  <si>
    <t>3) Records of stack tests</t>
  </si>
  <si>
    <t>4) Records of siting analysis</t>
  </si>
  <si>
    <t>5) Records of persons who have reviewed operating procedures</t>
  </si>
  <si>
    <t>6) Records of persons who have completed operator training</t>
  </si>
  <si>
    <t>7) Records of persons who meet operator qualification criteria</t>
  </si>
  <si>
    <t>8) Records of monitoring device calibration</t>
  </si>
  <si>
    <t>9) Records of site-specific documentation</t>
  </si>
  <si>
    <t>F.  Time to train personnel</t>
  </si>
  <si>
    <t>G.  Time for audits</t>
  </si>
  <si>
    <r>
      <rPr>
        <vertAlign val="superscript"/>
        <sz val="10"/>
        <rFont val="Times New Roman"/>
        <family val="1"/>
      </rPr>
      <t>d</t>
    </r>
    <r>
      <rPr>
        <sz val="10"/>
        <rFont val="Times New Roman"/>
        <family val="1"/>
      </rPr>
      <t xml:space="preserve">  Includes notification of construction, notification of start-up for new units, notification of initial performance test, and notification of initial CMS demonstration.</t>
    </r>
  </si>
  <si>
    <r>
      <rPr>
        <vertAlign val="superscript"/>
        <sz val="10"/>
        <rFont val="Times New Roman"/>
        <family val="1"/>
      </rPr>
      <t>e</t>
    </r>
    <r>
      <rPr>
        <sz val="10"/>
        <rFont val="Times New Roman"/>
        <family val="1"/>
      </rPr>
      <t xml:space="preserve">  We assume four hours per state to write annual summary report.</t>
    </r>
  </si>
  <si>
    <r>
      <rPr>
        <vertAlign val="superscript"/>
        <sz val="10"/>
        <rFont val="Times New Roman"/>
        <family val="1"/>
      </rPr>
      <t>f</t>
    </r>
    <r>
      <rPr>
        <sz val="10"/>
        <rFont val="Times New Roman"/>
        <family val="1"/>
      </rPr>
      <t xml:space="preserve">  Totals rounded to 3 significant figures. Figures may not add exactly due to rounding. </t>
    </r>
  </si>
  <si>
    <r>
      <t xml:space="preserve">(D) 
Respondents per year  </t>
    </r>
    <r>
      <rPr>
        <b/>
        <vertAlign val="superscript"/>
        <sz val="10"/>
        <rFont val="Times New Roman"/>
        <family val="1"/>
      </rPr>
      <t>a</t>
    </r>
  </si>
  <si>
    <r>
      <t xml:space="preserve">(H) 
Cost, $ </t>
    </r>
    <r>
      <rPr>
        <b/>
        <vertAlign val="superscript"/>
        <sz val="10"/>
        <rFont val="Times New Roman"/>
        <family val="1"/>
      </rPr>
      <t>b</t>
    </r>
  </si>
  <si>
    <t>Table 2: Average Annual EPA Burden and Cost – NSPS for Sewage Sludge Incineration Units (40 CFR Part 60, Subpart LLLL) (Renewal)</t>
  </si>
  <si>
    <t>Table 1: Annual Respondent Burden and Cost – NSPS for Sewage Sludge Incineration Units (40 CFR Part 60, Subpart LLLL) (Renewal)</t>
  </si>
  <si>
    <t>1.  Applications</t>
  </si>
  <si>
    <t>2. Required Activities</t>
  </si>
  <si>
    <r>
      <t xml:space="preserve">A. Observe stack tests </t>
    </r>
    <r>
      <rPr>
        <vertAlign val="superscript"/>
        <sz val="10"/>
        <color theme="1"/>
        <rFont val="Times New Roman"/>
        <family val="1"/>
      </rPr>
      <t>c</t>
    </r>
  </si>
  <si>
    <t>B. Excess emissions - Enforcement activities</t>
  </si>
  <si>
    <t>C. Create Information</t>
  </si>
  <si>
    <t>D. Gather Information</t>
  </si>
  <si>
    <t>E. Report Reviews</t>
  </si>
  <si>
    <r>
      <t xml:space="preserve">1) Review initial notifications </t>
    </r>
    <r>
      <rPr>
        <vertAlign val="superscript"/>
        <sz val="10"/>
        <color theme="1"/>
        <rFont val="Times New Roman"/>
        <family val="1"/>
      </rPr>
      <t>d</t>
    </r>
  </si>
  <si>
    <t>2) Review initial compliance report</t>
  </si>
  <si>
    <t>3) Review annual compliance report</t>
  </si>
  <si>
    <t>4) Review semi-annual excess emission and parameter exceedance report</t>
  </si>
  <si>
    <r>
      <t xml:space="preserve">F. Prepare annual summary report </t>
    </r>
    <r>
      <rPr>
        <vertAlign val="superscript"/>
        <sz val="10"/>
        <color theme="1"/>
        <rFont val="Times New Roman"/>
        <family val="1"/>
      </rPr>
      <t>e</t>
    </r>
  </si>
  <si>
    <t>5) Review status reports and corrective action summary for operators off-site</t>
  </si>
  <si>
    <r>
      <t xml:space="preserve">(D)
Respondents per year </t>
    </r>
    <r>
      <rPr>
        <b/>
        <vertAlign val="superscript"/>
        <sz val="10"/>
        <color theme="1"/>
        <rFont val="Times New Roman"/>
        <family val="1"/>
      </rPr>
      <t>a</t>
    </r>
  </si>
  <si>
    <r>
      <t xml:space="preserve">(H)
Cost, $ </t>
    </r>
    <r>
      <rPr>
        <b/>
        <vertAlign val="superscript"/>
        <sz val="10"/>
        <color theme="1"/>
        <rFont val="Times New Roman"/>
        <family val="1"/>
      </rPr>
      <t>b</t>
    </r>
  </si>
  <si>
    <t>Not Applicable</t>
  </si>
  <si>
    <r>
      <t>b</t>
    </r>
    <r>
      <rPr>
        <sz val="10"/>
        <color theme="1"/>
        <rFont val="Times New Roman"/>
        <family val="1"/>
      </rPr>
      <t xml:space="preserve">  Based on estimated monitoring costs provided in Table 1 from the Supporting Statement for the Standards of Performance for New Stationary Sources: Sewage Sludge Incineration (SSI) Units (Subpart LLLL) from the March 21, 2011 final rule (see https://www.regulations.gov/document/EPA-HQ-OAR-2009-0559-0168). Monitoring costs have been updated from 2008 to 2022 values using the CEPCI CE Index. </t>
    </r>
  </si>
  <si>
    <r>
      <t>b</t>
    </r>
    <r>
      <rPr>
        <sz val="10"/>
        <color theme="1"/>
        <rFont val="Times New Roman"/>
        <family val="1"/>
      </rPr>
      <t xml:space="preserve"> We assume that 10 percent of the existing facilities would not have a qualified operator available for more than two weeks at least once a year. We further assume this would require only two corrective action summaries. </t>
    </r>
  </si>
  <si>
    <r>
      <t>c</t>
    </r>
    <r>
      <rPr>
        <sz val="10"/>
        <color theme="1"/>
        <rFont val="Times New Roman"/>
        <family val="1"/>
      </rPr>
      <t xml:space="preserve">  Total estimated cost for initial stack test, including Method 5 (PM), Method 9 (opacity), Method 10 (CO), Method 26 (HCl), Method 29 (metals), Method 23 (CDD/CDF), Method 7E (NOx), Method 6C (SO2), and visible emissions testing are from “Burden Estimate Tables - Standards of Performance for New Stationary Sources Sewage Sludge Incineration (SSI) Units (Subpart LLLL)” spreadsheet at https://www.regulations.gov/document/EPA-HQ-OAR-2009-0559-0168. Testing costs have been updated to 2022 dollars using the CEPCI CE Index. Existing facilities may test every three years if certain requirements are met, and it is assumed that all facilities would meet the requirements. </t>
    </r>
    <r>
      <rPr>
        <sz val="10"/>
        <color rgb="FF000000"/>
        <rFont val="Times New Roman"/>
        <family val="1"/>
      </rPr>
      <t>Thus, on average 3.3 existing sources per year (10 x 0.33 = 3.3) perform annual testing following the initial performance test.</t>
    </r>
  </si>
  <si>
    <r>
      <t>b</t>
    </r>
    <r>
      <rPr>
        <sz val="10"/>
        <rFont val="Times New Roman"/>
        <family val="1"/>
      </rPr>
      <t xml:space="preserve">  These rates are based on the average hourly labor rate as follows: Managerial $73.46 (GS-13, Step 5, $45.91 + 60%); Technical $54.51 (GS-12, Step 1, $34.07 + 60%); and Clerical $29.50 (GS-6, Step 3, $18.44 + 60%). This ICR assumes that Managerial hours are 5 percent of Technical hours, and Clerical hours are 10 percent of Technical hours. These rates are from the Office of Personnel Management (OPM), 2023 General Schedule, which excludes locality, rates of pay. The rates have been increased by 60 percent to account for the benefit packages available to government employees.
</t>
    </r>
  </si>
  <si>
    <r>
      <rPr>
        <vertAlign val="superscript"/>
        <sz val="10"/>
        <rFont val="Times New Roman"/>
        <family val="1"/>
      </rPr>
      <t>a</t>
    </r>
    <r>
      <rPr>
        <sz val="10"/>
        <rFont val="Times New Roman"/>
        <family val="1"/>
      </rPr>
      <t xml:space="preserve">  We assume there are 10 existing facilities with 6 incineration units each. Burden estimates are based on a "per respondent" basis, not a "per unit" basis. We assume that there will be a total of 2 new sources and 1 modified source over the next three-year period, averaging to 1 new respondent per year. Estimates are based on EPA's 2016 SSI Inventory. </t>
    </r>
  </si>
  <si>
    <r>
      <rPr>
        <vertAlign val="superscript"/>
        <sz val="10"/>
        <rFont val="Times New Roman"/>
        <family val="1"/>
      </rPr>
      <t>e</t>
    </r>
    <r>
      <rPr>
        <sz val="10"/>
        <rFont val="Times New Roman"/>
        <family val="1"/>
      </rPr>
      <t xml:space="preserve">  Existing facilities may test every three years if certain requirements are met, and it is assumed that all facilities would meet the requirements. Thus, on average 3.3 existing sources per year (10 x 0.33 = 3.3) perform annual testing following the initial performance test.</t>
    </r>
  </si>
  <si>
    <r>
      <rPr>
        <vertAlign val="superscript"/>
        <sz val="10"/>
        <rFont val="Times New Roman"/>
        <family val="1"/>
      </rPr>
      <t>c</t>
    </r>
    <r>
      <rPr>
        <sz val="10"/>
        <rFont val="Times New Roman"/>
        <family val="1"/>
      </rPr>
      <t xml:space="preserve">  Assumes EPA personnel attend 15 percent of the stack tests. New facilities do stack testing. Existing facilities may test every three years if certain requirements are met, and it is assumed that all facilities would meet the requirements. (((1 new facility + (10 existing facilities x 0.33)) x 0.15) = 0.65 tests observed per year)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</si>
</sst>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8" formatCode="&quot;$&quot;#,##0.00_);[Red]\(&quot;$&quot;#,##0.00\)"/>
    <numFmt numFmtId="41" formatCode="_(* #,##0_);_(* \(#,##0\);_(* &quot;-&quot;_);_(@_)"/>
    <numFmt numFmtId="44" formatCode="_(&quot;$&quot;* #,##0.00_);_(&quot;$&quot;* \(#,##0.00\);_(&quot;$&quot;* &quot;-&quot;??_);_(@_)"/>
    <numFmt numFmtId="164" formatCode="General_)"/>
    <numFmt numFmtId="165" formatCode="&quot;$&quot;#,##0.00"/>
    <numFmt numFmtId="166" formatCode="&quot;$&quot;#,##0"/>
    <numFmt numFmtId="167" formatCode="0.0"/>
    <numFmt numFmtId="168" formatCode="_(&quot;$&quot;* #,##0_);_(&quot;$&quot;* \(#,##0\);_(&quot;$&quot;* &quot;-&quot;??_);_(@_)"/>
  </numFmts>
  <fonts count="39" x14ac:knownFonts="1">
    <font>
      <sz val="11"/>
      <color theme="1"/>
      <name val="Calibri"/>
      <family val="2"/>
      <scheme val="minor"/>
    </font>
    <font>
      <b/>
      <sz val="12"/>
      <color theme="1"/>
      <name val="Times New Roman"/>
      <family val="1"/>
    </font>
    <font>
      <sz val="10"/>
      <color theme="1"/>
      <name val="Times New Roman"/>
      <family val="1"/>
    </font>
    <font>
      <b/>
      <sz val="10"/>
      <color theme="1"/>
      <name val="Times New Roman"/>
      <family val="1"/>
    </font>
    <font>
      <b/>
      <vertAlign val="superscript"/>
      <sz val="10"/>
      <color theme="1"/>
      <name val="Times New Roman"/>
      <family val="1"/>
    </font>
    <font>
      <vertAlign val="superscript"/>
      <sz val="10"/>
      <color theme="1"/>
      <name val="Times New Roman"/>
      <family val="1"/>
    </font>
    <font>
      <b/>
      <i/>
      <sz val="10"/>
      <color rgb="FF000000"/>
      <name val="Times New Roman"/>
      <family val="1"/>
    </font>
    <font>
      <b/>
      <i/>
      <sz val="10"/>
      <color theme="1"/>
      <name val="Times New Roman"/>
      <family val="1"/>
    </font>
    <font>
      <i/>
      <sz val="10"/>
      <color theme="1"/>
      <name val="Times New Roman"/>
      <family val="1"/>
    </font>
    <font>
      <sz val="10"/>
      <color rgb="FFFF0000"/>
      <name val="Times New Roman"/>
      <family val="1"/>
    </font>
    <font>
      <sz val="10"/>
      <name val="Times New Roman"/>
      <family val="1"/>
    </font>
    <font>
      <sz val="8"/>
      <name val="Helv"/>
    </font>
    <font>
      <b/>
      <sz val="10"/>
      <name val="Times New Roman"/>
      <family val="1"/>
    </font>
    <font>
      <b/>
      <u/>
      <sz val="10"/>
      <name val="Times New Roman"/>
      <family val="1"/>
    </font>
    <font>
      <b/>
      <sz val="12"/>
      <color rgb="FF000000"/>
      <name val="Times New Roman"/>
      <family val="1"/>
    </font>
    <font>
      <sz val="10"/>
      <color rgb="FF000000"/>
      <name val="Times New Roman"/>
      <family val="1"/>
    </font>
    <font>
      <b/>
      <sz val="10"/>
      <color rgb="FF000000"/>
      <name val="Times New Roman"/>
      <family val="1"/>
    </font>
    <font>
      <b/>
      <vertAlign val="superscript"/>
      <sz val="10"/>
      <color rgb="FF000000"/>
      <name val="Times New Roman"/>
      <family val="1"/>
    </font>
    <font>
      <b/>
      <sz val="10"/>
      <color rgb="FFFF0000"/>
      <name val="Times New Roman"/>
      <family val="1"/>
    </font>
    <font>
      <vertAlign val="superscript"/>
      <sz val="10"/>
      <name val="Times New Roman"/>
      <family val="1"/>
    </font>
    <font>
      <b/>
      <vertAlign val="superscript"/>
      <sz val="10"/>
      <name val="Times New Roman"/>
      <family val="1"/>
    </font>
    <font>
      <b/>
      <i/>
      <sz val="10"/>
      <name val="Times New Roman"/>
      <family val="1"/>
    </font>
    <font>
      <b/>
      <sz val="16"/>
      <color theme="1"/>
      <name val="Times New Roman"/>
      <family val="1"/>
    </font>
    <font>
      <vertAlign val="superscript"/>
      <sz val="10"/>
      <color rgb="FF000000"/>
      <name val="Times New Roman"/>
      <family val="1"/>
    </font>
    <font>
      <sz val="10"/>
      <color theme="1"/>
      <name val="Calibri"/>
      <family val="2"/>
      <scheme val="minor"/>
    </font>
    <font>
      <sz val="8"/>
      <name val="Calibri"/>
      <family val="2"/>
      <scheme val="minor"/>
    </font>
    <font>
      <sz val="12"/>
      <color theme="1"/>
      <name val="Times New Roman"/>
      <family val="1"/>
    </font>
    <font>
      <sz val="12"/>
      <color rgb="FF000000"/>
      <name val="Times New Roman"/>
      <family val="1"/>
    </font>
    <font>
      <sz val="10"/>
      <name val="Arial"/>
      <family val="2"/>
    </font>
    <font>
      <b/>
      <sz val="14"/>
      <name val="Arial"/>
      <family val="2"/>
    </font>
    <font>
      <b/>
      <sz val="10"/>
      <name val="Arial"/>
      <family val="2"/>
    </font>
    <font>
      <sz val="10"/>
      <color rgb="FF000000"/>
      <name val="Arial"/>
      <family val="2"/>
    </font>
    <font>
      <vertAlign val="subscript"/>
      <sz val="10"/>
      <name val="Arial"/>
      <family val="2"/>
    </font>
    <font>
      <u/>
      <sz val="10"/>
      <name val="Arial"/>
      <family val="2"/>
    </font>
    <font>
      <sz val="9"/>
      <color theme="1"/>
      <name val="Times New Roman"/>
      <family val="1"/>
    </font>
    <font>
      <vertAlign val="superscript"/>
      <sz val="9"/>
      <color theme="1"/>
      <name val="Times New Roman"/>
      <family val="1"/>
    </font>
    <font>
      <b/>
      <sz val="9"/>
      <color theme="1"/>
      <name val="Times New Roman"/>
      <family val="1"/>
    </font>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rgb="FFC0C0C0"/>
        <bgColor rgb="FF000000"/>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bottom style="thin">
        <color indexed="64"/>
      </bottom>
      <diagonal/>
    </border>
  </borders>
  <cellStyleXfs count="4">
    <xf numFmtId="0" fontId="0" fillId="0" borderId="0"/>
    <xf numFmtId="164" fontId="11" fillId="0" borderId="0"/>
    <xf numFmtId="0" fontId="28" fillId="0" borderId="0"/>
    <xf numFmtId="44" fontId="37" fillId="0" borderId="0" applyFont="0" applyFill="0" applyBorder="0" applyAlignment="0" applyProtection="0"/>
  </cellStyleXfs>
  <cellXfs count="196">
    <xf numFmtId="0" fontId="0" fillId="0" borderId="0" xfId="0"/>
    <xf numFmtId="0" fontId="2" fillId="0" borderId="0" xfId="0" applyFont="1"/>
    <xf numFmtId="0" fontId="2" fillId="0" borderId="1" xfId="0" applyFont="1" applyBorder="1" applyAlignment="1">
      <alignment horizontal="center" wrapText="1"/>
    </xf>
    <xf numFmtId="0" fontId="9" fillId="0" borderId="0" xfId="0" applyFont="1"/>
    <xf numFmtId="164" fontId="13" fillId="0" borderId="0" xfId="1" applyFont="1" applyAlignment="1">
      <alignment horizontal="center" vertical="center" wrapText="1"/>
    </xf>
    <xf numFmtId="164" fontId="10" fillId="0" borderId="0" xfId="1" applyFont="1" applyAlignment="1">
      <alignment horizontal="center" vertical="center" wrapText="1"/>
    </xf>
    <xf numFmtId="165" fontId="10" fillId="0" borderId="0" xfId="1" applyNumberFormat="1" applyFont="1" applyAlignment="1">
      <alignment horizontal="right" wrapText="1"/>
    </xf>
    <xf numFmtId="0" fontId="10" fillId="0" borderId="0" xfId="0" applyFont="1"/>
    <xf numFmtId="0" fontId="2" fillId="0" borderId="0" xfId="0" applyFont="1" applyAlignment="1">
      <alignment horizontal="right"/>
    </xf>
    <xf numFmtId="0" fontId="9" fillId="0" borderId="0" xfId="0" applyFont="1" applyAlignment="1">
      <alignment wrapText="1"/>
    </xf>
    <xf numFmtId="0" fontId="10" fillId="0" borderId="1" xfId="0" applyFont="1" applyBorder="1" applyAlignment="1">
      <alignment horizontal="center" wrapText="1"/>
    </xf>
    <xf numFmtId="8" fontId="10" fillId="0" borderId="1" xfId="0" applyNumberFormat="1" applyFont="1" applyBorder="1" applyAlignment="1">
      <alignment horizontal="right" wrapText="1"/>
    </xf>
    <xf numFmtId="6" fontId="21" fillId="0" borderId="2" xfId="0" applyNumberFormat="1" applyFont="1" applyBorder="1" applyAlignment="1">
      <alignment horizontal="right" wrapText="1"/>
    </xf>
    <xf numFmtId="0" fontId="18" fillId="0" borderId="0" xfId="0" applyFont="1"/>
    <xf numFmtId="0" fontId="18" fillId="0" borderId="5" xfId="0" applyFont="1" applyBorder="1"/>
    <xf numFmtId="0" fontId="15" fillId="0" borderId="1" xfId="0" applyFont="1" applyBorder="1"/>
    <xf numFmtId="41" fontId="18" fillId="0" borderId="0" xfId="0" applyNumberFormat="1" applyFont="1"/>
    <xf numFmtId="0" fontId="18" fillId="0" borderId="5" xfId="0" applyFont="1" applyBorder="1" applyAlignment="1">
      <alignment horizontal="center"/>
    </xf>
    <xf numFmtId="41" fontId="18" fillId="0" borderId="5" xfId="0" applyNumberFormat="1" applyFont="1" applyBorder="1"/>
    <xf numFmtId="164" fontId="13" fillId="0" borderId="0" xfId="1" applyFont="1" applyAlignment="1">
      <alignment wrapText="1"/>
    </xf>
    <xf numFmtId="0" fontId="24" fillId="0" borderId="0" xfId="0" applyFont="1"/>
    <xf numFmtId="0" fontId="15"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3" fillId="0" borderId="1" xfId="0" applyFont="1" applyBorder="1" applyAlignment="1">
      <alignment horizontal="center" vertical="center" wrapText="1"/>
    </xf>
    <xf numFmtId="6" fontId="2" fillId="0" borderId="1" xfId="0" applyNumberFormat="1" applyFont="1" applyBorder="1" applyAlignment="1">
      <alignment horizontal="center" vertical="center" wrapText="1"/>
    </xf>
    <xf numFmtId="0" fontId="3" fillId="0" borderId="1" xfId="0" applyFont="1" applyBorder="1" applyAlignment="1">
      <alignment vertical="center" wrapText="1"/>
    </xf>
    <xf numFmtId="6" fontId="3" fillId="0" borderId="1" xfId="0" applyNumberFormat="1" applyFont="1" applyBorder="1" applyAlignment="1">
      <alignment horizontal="center" vertical="center" wrapText="1"/>
    </xf>
    <xf numFmtId="0" fontId="3" fillId="0" borderId="0" xfId="0" applyFont="1" applyAlignment="1">
      <alignment horizontal="center" vertical="center" wrapText="1"/>
    </xf>
    <xf numFmtId="6" fontId="2" fillId="0" borderId="0" xfId="0" applyNumberFormat="1" applyFont="1" applyAlignment="1">
      <alignment horizontal="center" vertical="center" wrapText="1"/>
    </xf>
    <xf numFmtId="6" fontId="3" fillId="0" borderId="0" xfId="0" applyNumberFormat="1" applyFont="1" applyAlignment="1">
      <alignment horizontal="center" vertical="center" wrapText="1"/>
    </xf>
    <xf numFmtId="0" fontId="16" fillId="0" borderId="1" xfId="0" applyFont="1" applyBorder="1" applyAlignment="1">
      <alignment vertical="center" wrapText="1"/>
    </xf>
    <xf numFmtId="0" fontId="16" fillId="0" borderId="1" xfId="0" applyFont="1" applyBorder="1" applyAlignment="1">
      <alignment horizontal="center" vertical="center" wrapText="1"/>
    </xf>
    <xf numFmtId="0" fontId="15" fillId="0" borderId="0" xfId="0" applyFont="1" applyAlignment="1">
      <alignment vertical="top" wrapText="1"/>
    </xf>
    <xf numFmtId="165" fontId="10" fillId="0" borderId="1" xfId="0" applyNumberFormat="1" applyFont="1" applyBorder="1"/>
    <xf numFmtId="0" fontId="2" fillId="0" borderId="1" xfId="0" applyFont="1" applyBorder="1" applyAlignment="1">
      <alignment horizontal="left" vertical="center" wrapText="1"/>
    </xf>
    <xf numFmtId="0" fontId="2" fillId="0" borderId="1" xfId="0" applyFont="1" applyBorder="1" applyAlignment="1">
      <alignment horizontal="left" vertical="center" wrapText="1" indent="2"/>
    </xf>
    <xf numFmtId="1" fontId="2" fillId="0" borderId="1" xfId="0" applyNumberFormat="1" applyFont="1" applyBorder="1" applyAlignment="1">
      <alignment horizontal="center" wrapText="1"/>
    </xf>
    <xf numFmtId="0" fontId="2" fillId="0" borderId="1" xfId="0" applyFont="1" applyBorder="1" applyAlignment="1">
      <alignment horizontal="right" wrapText="1"/>
    </xf>
    <xf numFmtId="0" fontId="2" fillId="0" borderId="1" xfId="0" applyFont="1" applyBorder="1" applyAlignment="1">
      <alignment horizontal="left" vertical="center" wrapText="1" indent="1"/>
    </xf>
    <xf numFmtId="8" fontId="2" fillId="0" borderId="1" xfId="0" applyNumberFormat="1" applyFont="1" applyBorder="1" applyAlignment="1">
      <alignment horizontal="right" vertical="center" wrapText="1"/>
    </xf>
    <xf numFmtId="0" fontId="2" fillId="0" borderId="1" xfId="0" applyFont="1" applyBorder="1" applyAlignment="1">
      <alignment horizontal="right" vertical="center" wrapText="1"/>
    </xf>
    <xf numFmtId="167" fontId="2"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wrapText="1"/>
    </xf>
    <xf numFmtId="6" fontId="7" fillId="0" borderId="1" xfId="0" applyNumberFormat="1" applyFont="1" applyBorder="1" applyAlignment="1">
      <alignment horizontal="right" wrapText="1"/>
    </xf>
    <xf numFmtId="8" fontId="2" fillId="0" borderId="1" xfId="0" applyNumberFormat="1" applyFont="1" applyBorder="1" applyAlignment="1">
      <alignment horizontal="right" wrapText="1"/>
    </xf>
    <xf numFmtId="0" fontId="10" fillId="0" borderId="1" xfId="0" applyFont="1" applyBorder="1" applyAlignment="1">
      <alignment horizontal="left" vertical="top" wrapText="1" indent="1"/>
    </xf>
    <xf numFmtId="0" fontId="10" fillId="0" borderId="1" xfId="0" applyFont="1" applyBorder="1" applyAlignment="1">
      <alignment horizontal="right" wrapText="1"/>
    </xf>
    <xf numFmtId="0" fontId="10" fillId="0" borderId="1" xfId="0" applyFont="1" applyBorder="1" applyAlignment="1">
      <alignment horizontal="left" vertical="top" wrapText="1" indent="2"/>
    </xf>
    <xf numFmtId="8" fontId="10" fillId="0" borderId="2" xfId="0" applyNumberFormat="1" applyFont="1" applyBorder="1" applyAlignment="1">
      <alignment horizontal="right" wrapText="1"/>
    </xf>
    <xf numFmtId="3" fontId="2" fillId="0" borderId="0" xfId="0" applyNumberFormat="1" applyFont="1"/>
    <xf numFmtId="0" fontId="3" fillId="0" borderId="0" xfId="0" applyFont="1"/>
    <xf numFmtId="0" fontId="2" fillId="0" borderId="0" xfId="0" applyFont="1" applyAlignment="1">
      <alignment vertical="top" wrapText="1"/>
    </xf>
    <xf numFmtId="41" fontId="10" fillId="0" borderId="0" xfId="0" applyNumberFormat="1" applyFont="1"/>
    <xf numFmtId="0" fontId="12" fillId="0" borderId="1" xfId="0" applyFont="1" applyBorder="1" applyAlignment="1">
      <alignment wrapText="1"/>
    </xf>
    <xf numFmtId="0" fontId="22" fillId="0" borderId="0" xfId="0" applyFont="1"/>
    <xf numFmtId="0" fontId="3" fillId="0" borderId="0" xfId="0" applyFont="1" applyAlignment="1">
      <alignment horizontal="center" wrapText="1"/>
    </xf>
    <xf numFmtId="0" fontId="2" fillId="0" borderId="0" xfId="0" applyFont="1" applyAlignment="1">
      <alignment horizontal="left" vertical="top" wrapText="1" indent="1"/>
    </xf>
    <xf numFmtId="0" fontId="2" fillId="0" borderId="0" xfId="0" applyFont="1" applyAlignment="1">
      <alignment horizontal="center" wrapText="1"/>
    </xf>
    <xf numFmtId="0" fontId="2" fillId="0" borderId="0" xfId="0" applyFont="1" applyAlignment="1">
      <alignment horizontal="right" wrapText="1"/>
    </xf>
    <xf numFmtId="3" fontId="2" fillId="0" borderId="0" xfId="0" applyNumberFormat="1" applyFont="1" applyAlignment="1">
      <alignment horizontal="center" wrapText="1"/>
    </xf>
    <xf numFmtId="166" fontId="2" fillId="0" borderId="0" xfId="0" applyNumberFormat="1" applyFont="1" applyAlignment="1">
      <alignment horizontal="right" wrapText="1"/>
    </xf>
    <xf numFmtId="1" fontId="2" fillId="0" borderId="0" xfId="0" applyNumberFormat="1" applyFont="1" applyAlignment="1">
      <alignment horizontal="center" wrapText="1"/>
    </xf>
    <xf numFmtId="167" fontId="2" fillId="0" borderId="0" xfId="0" applyNumberFormat="1" applyFont="1" applyAlignment="1">
      <alignment horizontal="center" wrapText="1"/>
    </xf>
    <xf numFmtId="0" fontId="8" fillId="0" borderId="0" xfId="0" applyFont="1" applyAlignment="1">
      <alignment vertical="top" wrapText="1"/>
    </xf>
    <xf numFmtId="3" fontId="7" fillId="0" borderId="0" xfId="0" applyNumberFormat="1" applyFont="1" applyAlignment="1">
      <alignment wrapText="1"/>
    </xf>
    <xf numFmtId="6" fontId="7" fillId="0" borderId="0" xfId="0" applyNumberFormat="1" applyFont="1" applyAlignment="1">
      <alignment horizontal="right" wrapText="1"/>
    </xf>
    <xf numFmtId="0" fontId="3" fillId="0" borderId="0" xfId="0" applyFont="1" applyAlignment="1">
      <alignment wrapText="1"/>
    </xf>
    <xf numFmtId="0" fontId="15" fillId="0" borderId="0" xfId="0" applyFont="1" applyAlignment="1">
      <alignment vertical="top"/>
    </xf>
    <xf numFmtId="0" fontId="21" fillId="0" borderId="1" xfId="0" applyFont="1" applyBorder="1" applyAlignment="1">
      <alignment vertical="top" wrapText="1"/>
    </xf>
    <xf numFmtId="167" fontId="10" fillId="0" borderId="1" xfId="0" applyNumberFormat="1" applyFont="1" applyBorder="1" applyAlignment="1">
      <alignment horizontal="center" wrapText="1"/>
    </xf>
    <xf numFmtId="3" fontId="2" fillId="0" borderId="1" xfId="0" applyNumberFormat="1" applyFont="1" applyBorder="1" applyAlignment="1">
      <alignment horizontal="center" vertical="center" wrapText="1"/>
    </xf>
    <xf numFmtId="3" fontId="10" fillId="0" borderId="1" xfId="0" applyNumberFormat="1" applyFont="1" applyBorder="1" applyAlignment="1">
      <alignment horizontal="center" wrapText="1"/>
    </xf>
    <xf numFmtId="1" fontId="10" fillId="0" borderId="1" xfId="0" applyNumberFormat="1" applyFont="1" applyBorder="1" applyAlignment="1">
      <alignment horizontal="center" wrapText="1"/>
    </xf>
    <xf numFmtId="164" fontId="9" fillId="0" borderId="0" xfId="1" applyFont="1" applyAlignment="1">
      <alignment vertical="center"/>
    </xf>
    <xf numFmtId="164" fontId="9" fillId="0" borderId="0" xfId="1" applyFont="1"/>
    <xf numFmtId="0" fontId="26" fillId="0" borderId="0" xfId="0" applyFont="1" applyAlignment="1">
      <alignment vertical="center" wrapText="1"/>
    </xf>
    <xf numFmtId="0" fontId="27" fillId="0" borderId="0" xfId="0" applyFont="1" applyAlignment="1">
      <alignment vertical="center" wrapText="1"/>
    </xf>
    <xf numFmtId="0" fontId="3" fillId="0" borderId="0" xfId="0" applyFont="1" applyAlignment="1">
      <alignment vertical="center" wrapText="1"/>
    </xf>
    <xf numFmtId="0" fontId="2" fillId="0" borderId="0" xfId="0" applyFont="1" applyAlignment="1">
      <alignment horizontal="center" vertical="center" wrapText="1"/>
    </xf>
    <xf numFmtId="6" fontId="24" fillId="0" borderId="0" xfId="0" applyNumberFormat="1" applyFont="1"/>
    <xf numFmtId="164" fontId="9" fillId="0" borderId="0" xfId="1" applyFont="1" applyAlignment="1">
      <alignment horizontal="left" vertical="center"/>
    </xf>
    <xf numFmtId="6" fontId="21" fillId="0" borderId="1" xfId="0" applyNumberFormat="1" applyFont="1" applyBorder="1" applyAlignment="1">
      <alignment horizontal="right" wrapText="1"/>
    </xf>
    <xf numFmtId="6" fontId="12" fillId="0" borderId="1" xfId="0" applyNumberFormat="1" applyFont="1" applyBorder="1" applyAlignment="1">
      <alignment horizontal="right" wrapText="1"/>
    </xf>
    <xf numFmtId="41" fontId="0" fillId="0" borderId="0" xfId="0" applyNumberFormat="1"/>
    <xf numFmtId="8" fontId="2" fillId="0" borderId="0" xfId="0" applyNumberFormat="1" applyFont="1"/>
    <xf numFmtId="0" fontId="29" fillId="0" borderId="0" xfId="2" applyFont="1"/>
    <xf numFmtId="0" fontId="28" fillId="0" borderId="0" xfId="2"/>
    <xf numFmtId="0" fontId="28" fillId="0" borderId="7" xfId="2" applyBorder="1"/>
    <xf numFmtId="0" fontId="30" fillId="0" borderId="4" xfId="2" applyFont="1" applyBorder="1"/>
    <xf numFmtId="0" fontId="30" fillId="0" borderId="8" xfId="2" applyFont="1" applyBorder="1" applyAlignment="1">
      <alignment horizontal="center"/>
    </xf>
    <xf numFmtId="0" fontId="28" fillId="0" borderId="4" xfId="2" applyBorder="1"/>
    <xf numFmtId="0" fontId="30" fillId="0" borderId="1" xfId="2" applyFont="1" applyBorder="1"/>
    <xf numFmtId="0" fontId="30" fillId="0" borderId="7" xfId="2" applyFont="1" applyBorder="1"/>
    <xf numFmtId="166" fontId="28" fillId="0" borderId="1" xfId="2" quotePrefix="1" applyNumberFormat="1" applyBorder="1"/>
    <xf numFmtId="166" fontId="28" fillId="0" borderId="8" xfId="2" applyNumberFormat="1" applyBorder="1"/>
    <xf numFmtId="0" fontId="28" fillId="0" borderId="11" xfId="2" applyBorder="1"/>
    <xf numFmtId="0" fontId="28" fillId="0" borderId="12" xfId="2" applyBorder="1"/>
    <xf numFmtId="166" fontId="28" fillId="0" borderId="13" xfId="2" quotePrefix="1" applyNumberFormat="1" applyBorder="1"/>
    <xf numFmtId="0" fontId="28" fillId="0" borderId="0" xfId="2" applyAlignment="1">
      <alignment horizontal="right"/>
    </xf>
    <xf numFmtId="166" fontId="28" fillId="0" borderId="0" xfId="2" applyNumberFormat="1"/>
    <xf numFmtId="164" fontId="30" fillId="0" borderId="0" xfId="0" applyNumberFormat="1" applyFont="1"/>
    <xf numFmtId="166" fontId="30" fillId="0" borderId="0" xfId="0" applyNumberFormat="1" applyFont="1"/>
    <xf numFmtId="166" fontId="30" fillId="0" borderId="0" xfId="2" applyNumberFormat="1" applyFont="1"/>
    <xf numFmtId="0" fontId="2" fillId="0" borderId="14" xfId="0" applyFont="1" applyBorder="1" applyAlignment="1">
      <alignment vertical="center" wrapText="1"/>
    </xf>
    <xf numFmtId="0" fontId="2" fillId="0" borderId="14" xfId="0" applyFont="1" applyBorder="1" applyAlignment="1">
      <alignment horizontal="center" vertical="center" wrapText="1"/>
    </xf>
    <xf numFmtId="0" fontId="34" fillId="0" borderId="1" xfId="0" applyFont="1" applyBorder="1" applyAlignment="1">
      <alignment vertical="center" wrapText="1"/>
    </xf>
    <xf numFmtId="0" fontId="34" fillId="0" borderId="1" xfId="0" applyFont="1" applyBorder="1" applyAlignment="1">
      <alignment horizontal="center" vertical="center" wrapText="1"/>
    </xf>
    <xf numFmtId="0" fontId="36" fillId="0" borderId="1" xfId="0" applyFont="1" applyBorder="1" applyAlignment="1">
      <alignment horizontal="center"/>
    </xf>
    <xf numFmtId="0" fontId="26" fillId="0" borderId="0" xfId="0" applyFont="1" applyAlignment="1">
      <alignment vertical="center"/>
    </xf>
    <xf numFmtId="0" fontId="26" fillId="0" borderId="1" xfId="0" applyFont="1" applyBorder="1" applyAlignment="1">
      <alignment horizontal="center" vertical="center" wrapText="1"/>
    </xf>
    <xf numFmtId="0" fontId="26" fillId="0" borderId="0" xfId="0" applyFont="1" applyAlignment="1">
      <alignment horizontal="left" vertical="center" indent="5"/>
    </xf>
    <xf numFmtId="0" fontId="31" fillId="0" borderId="1" xfId="2" applyFont="1" applyBorder="1" applyAlignment="1">
      <alignment vertical="top" wrapText="1"/>
    </xf>
    <xf numFmtId="167" fontId="28" fillId="0" borderId="8" xfId="2" applyNumberFormat="1" applyBorder="1" applyAlignment="1">
      <alignment horizontal="right"/>
    </xf>
    <xf numFmtId="0" fontId="31" fillId="0" borderId="8" xfId="2" applyFont="1" applyBorder="1" applyAlignment="1">
      <alignment vertical="top" wrapText="1"/>
    </xf>
    <xf numFmtId="0" fontId="30" fillId="0" borderId="0" xfId="2" applyFont="1"/>
    <xf numFmtId="0" fontId="30" fillId="0" borderId="0" xfId="2" applyFont="1" applyAlignment="1">
      <alignment horizontal="center"/>
    </xf>
    <xf numFmtId="0" fontId="28" fillId="0" borderId="15" xfId="2" applyBorder="1"/>
    <xf numFmtId="0" fontId="30" fillId="2" borderId="9" xfId="2" applyFont="1" applyFill="1" applyBorder="1"/>
    <xf numFmtId="0" fontId="30" fillId="2" borderId="16" xfId="2" applyFont="1" applyFill="1" applyBorder="1"/>
    <xf numFmtId="0" fontId="30" fillId="2" borderId="16" xfId="2" applyFont="1" applyFill="1" applyBorder="1" applyAlignment="1">
      <alignment horizontal="center"/>
    </xf>
    <xf numFmtId="0" fontId="30" fillId="2" borderId="17" xfId="2" applyFont="1" applyFill="1" applyBorder="1" applyAlignment="1">
      <alignment horizontal="center"/>
    </xf>
    <xf numFmtId="0" fontId="28" fillId="0" borderId="10" xfId="2" applyBorder="1"/>
    <xf numFmtId="0" fontId="31" fillId="0" borderId="13" xfId="2" applyFont="1" applyBorder="1" applyAlignment="1">
      <alignment vertical="top" wrapText="1"/>
    </xf>
    <xf numFmtId="0" fontId="31" fillId="0" borderId="18" xfId="2" applyFont="1" applyBorder="1" applyAlignment="1">
      <alignment vertical="top" wrapText="1"/>
    </xf>
    <xf numFmtId="166" fontId="28" fillId="0" borderId="1" xfId="2" applyNumberFormat="1" applyBorder="1"/>
    <xf numFmtId="0" fontId="28" fillId="0" borderId="16" xfId="2" applyBorder="1"/>
    <xf numFmtId="0" fontId="28" fillId="0" borderId="16" xfId="2" quotePrefix="1" applyBorder="1" applyAlignment="1">
      <alignment horizontal="center"/>
    </xf>
    <xf numFmtId="0" fontId="28" fillId="0" borderId="17" xfId="2" applyBorder="1"/>
    <xf numFmtId="166" fontId="28" fillId="0" borderId="13" xfId="2" applyNumberFormat="1" applyBorder="1"/>
    <xf numFmtId="166" fontId="28" fillId="0" borderId="18" xfId="2" applyNumberFormat="1" applyBorder="1"/>
    <xf numFmtId="0" fontId="28" fillId="0" borderId="19" xfId="2" applyBorder="1"/>
    <xf numFmtId="0" fontId="30" fillId="0" borderId="11" xfId="2" applyFont="1" applyBorder="1"/>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3" fontId="2" fillId="0" borderId="2" xfId="0" applyNumberFormat="1" applyFont="1" applyBorder="1" applyAlignment="1">
      <alignment horizontal="center" vertical="center" wrapText="1"/>
    </xf>
    <xf numFmtId="0" fontId="2" fillId="0" borderId="1" xfId="0" applyFont="1" applyBorder="1" applyAlignment="1">
      <alignment horizontal="left" vertical="center" wrapText="1" indent="3"/>
    </xf>
    <xf numFmtId="0" fontId="2" fillId="0" borderId="1" xfId="0" applyFont="1" applyBorder="1" applyAlignment="1">
      <alignment horizontal="center" vertical="center"/>
    </xf>
    <xf numFmtId="1" fontId="2" fillId="0" borderId="1" xfId="0" applyNumberFormat="1" applyFont="1" applyBorder="1" applyAlignment="1">
      <alignment horizontal="center" vertical="center"/>
    </xf>
    <xf numFmtId="167" fontId="2" fillId="0" borderId="1" xfId="0" applyNumberFormat="1" applyFont="1" applyBorder="1" applyAlignment="1">
      <alignment horizontal="center" vertical="center"/>
    </xf>
    <xf numFmtId="6" fontId="2" fillId="0" borderId="0" xfId="0" applyNumberFormat="1" applyFont="1" applyAlignment="1">
      <alignment horizontal="left" vertical="top" wrapText="1" indent="1"/>
    </xf>
    <xf numFmtId="6" fontId="8" fillId="0" borderId="0" xfId="0" applyNumberFormat="1" applyFont="1" applyAlignment="1">
      <alignment vertical="top" wrapText="1"/>
    </xf>
    <xf numFmtId="0" fontId="12" fillId="0" borderId="1" xfId="0" applyFont="1" applyBorder="1" applyAlignment="1">
      <alignment horizontal="center" vertical="center" wrapText="1"/>
    </xf>
    <xf numFmtId="0" fontId="12" fillId="0" borderId="1" xfId="0" applyFont="1" applyBorder="1" applyAlignment="1">
      <alignment horizontal="center" vertical="top" wrapText="1"/>
    </xf>
    <xf numFmtId="2" fontId="10" fillId="0" borderId="1" xfId="0" quotePrefix="1" applyNumberFormat="1" applyFont="1" applyBorder="1" applyAlignment="1">
      <alignment horizontal="center" wrapText="1"/>
    </xf>
    <xf numFmtId="165" fontId="2" fillId="0" borderId="1" xfId="0" applyNumberFormat="1" applyFont="1" applyBorder="1" applyAlignment="1">
      <alignment horizontal="right" vertical="center"/>
    </xf>
    <xf numFmtId="2" fontId="2" fillId="0" borderId="1" xfId="0" applyNumberFormat="1" applyFont="1" applyBorder="1" applyAlignment="1">
      <alignment horizontal="center" vertical="center" wrapText="1"/>
    </xf>
    <xf numFmtId="2" fontId="2" fillId="0" borderId="1" xfId="0" applyNumberFormat="1" applyFont="1" applyBorder="1" applyAlignment="1">
      <alignment horizontal="center" vertical="center"/>
    </xf>
    <xf numFmtId="165" fontId="0" fillId="0" borderId="0" xfId="0" applyNumberFormat="1"/>
    <xf numFmtId="0" fontId="27" fillId="0" borderId="0" xfId="0" applyFont="1" applyAlignment="1">
      <alignment vertical="center"/>
    </xf>
    <xf numFmtId="0" fontId="3" fillId="0" borderId="1" xfId="0" applyFont="1" applyBorder="1" applyAlignment="1">
      <alignment horizontal="center" vertical="top" wrapText="1"/>
    </xf>
    <xf numFmtId="168" fontId="0" fillId="0" borderId="0" xfId="3" applyNumberFormat="1" applyFont="1"/>
    <xf numFmtId="1" fontId="3" fillId="0" borderId="14" xfId="0" applyNumberFormat="1" applyFont="1" applyBorder="1" applyAlignment="1">
      <alignment horizontal="center" vertical="center" wrapText="1"/>
    </xf>
    <xf numFmtId="6" fontId="10" fillId="0" borderId="1" xfId="0" applyNumberFormat="1" applyFont="1" applyBorder="1" applyAlignment="1">
      <alignment horizontal="right" wrapText="1"/>
    </xf>
    <xf numFmtId="0" fontId="38" fillId="0" borderId="0" xfId="0" applyFont="1" applyAlignment="1">
      <alignment horizontal="center"/>
    </xf>
    <xf numFmtId="0" fontId="1" fillId="0" borderId="0" xfId="0" applyFont="1" applyAlignment="1">
      <alignment horizontal="left" vertical="top" wrapText="1"/>
    </xf>
    <xf numFmtId="164" fontId="10" fillId="0" borderId="0" xfId="0" applyNumberFormat="1" applyFont="1" applyAlignment="1">
      <alignment horizontal="left" vertical="top" wrapText="1"/>
    </xf>
    <xf numFmtId="0" fontId="15" fillId="0" borderId="1" xfId="0" applyFont="1" applyBorder="1" applyAlignment="1">
      <alignment horizontal="center"/>
    </xf>
    <xf numFmtId="0" fontId="19" fillId="0" borderId="0" xfId="0" applyFont="1" applyAlignment="1">
      <alignment vertical="top"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3" fontId="6" fillId="0" borderId="2" xfId="0" applyNumberFormat="1" applyFont="1" applyBorder="1" applyAlignment="1">
      <alignment horizontal="center" wrapText="1"/>
    </xf>
    <xf numFmtId="3" fontId="6" fillId="0" borderId="3" xfId="0" applyNumberFormat="1" applyFont="1" applyBorder="1" applyAlignment="1">
      <alignment horizontal="center" wrapText="1"/>
    </xf>
    <xf numFmtId="3" fontId="6" fillId="0" borderId="4" xfId="0" applyNumberFormat="1" applyFont="1" applyBorder="1" applyAlignment="1">
      <alignment horizontal="center" wrapText="1"/>
    </xf>
    <xf numFmtId="0" fontId="21" fillId="0" borderId="2" xfId="0" applyFont="1" applyBorder="1" applyAlignment="1">
      <alignment horizontal="center" vertical="top" wrapText="1"/>
    </xf>
    <xf numFmtId="0" fontId="21" fillId="0" borderId="3" xfId="0" applyFont="1" applyBorder="1" applyAlignment="1">
      <alignment horizontal="center" vertical="top" wrapText="1"/>
    </xf>
    <xf numFmtId="0" fontId="21" fillId="0" borderId="4" xfId="0" applyFont="1" applyBorder="1" applyAlignment="1">
      <alignment horizontal="center" vertical="top" wrapText="1"/>
    </xf>
    <xf numFmtId="0" fontId="12" fillId="0" borderId="2" xfId="0" applyFont="1" applyBorder="1" applyAlignment="1">
      <alignment horizontal="center" wrapText="1"/>
    </xf>
    <xf numFmtId="0" fontId="12" fillId="0" borderId="3" xfId="0" applyFont="1" applyBorder="1" applyAlignment="1">
      <alignment horizontal="center" wrapText="1"/>
    </xf>
    <xf numFmtId="0" fontId="12" fillId="0" borderId="4" xfId="0" applyFont="1" applyBorder="1" applyAlignment="1">
      <alignment horizontal="center" wrapText="1"/>
    </xf>
    <xf numFmtId="3" fontId="21" fillId="0" borderId="2" xfId="0" applyNumberFormat="1" applyFont="1" applyBorder="1" applyAlignment="1">
      <alignment horizontal="center" wrapText="1"/>
    </xf>
    <xf numFmtId="3" fontId="21" fillId="0" borderId="3" xfId="0" applyNumberFormat="1" applyFont="1" applyBorder="1" applyAlignment="1">
      <alignment horizontal="center" wrapText="1"/>
    </xf>
    <xf numFmtId="3" fontId="21" fillId="0" borderId="4" xfId="0" applyNumberFormat="1" applyFont="1" applyBorder="1" applyAlignment="1">
      <alignment horizontal="center" wrapText="1"/>
    </xf>
    <xf numFmtId="0" fontId="1" fillId="0" borderId="20" xfId="0" applyFont="1" applyBorder="1" applyAlignment="1">
      <alignment horizontal="left" vertical="top" wrapText="1"/>
    </xf>
    <xf numFmtId="0" fontId="19" fillId="0" borderId="0" xfId="0" applyFont="1" applyAlignment="1">
      <alignment vertical="center" wrapText="1"/>
    </xf>
    <xf numFmtId="0" fontId="10" fillId="0" borderId="0" xfId="0" applyFont="1" applyAlignment="1">
      <alignment wrapText="1"/>
    </xf>
    <xf numFmtId="0" fontId="12" fillId="0" borderId="1" xfId="0" applyFont="1" applyBorder="1" applyAlignment="1">
      <alignment horizontal="center" wrapText="1"/>
    </xf>
    <xf numFmtId="164" fontId="10" fillId="0" borderId="0" xfId="0" applyNumberFormat="1" applyFont="1" applyAlignment="1">
      <alignment wrapText="1"/>
    </xf>
    <xf numFmtId="3" fontId="12" fillId="0" borderId="1" xfId="0" applyNumberFormat="1" applyFont="1" applyBorder="1" applyAlignment="1">
      <alignment horizontal="center" wrapText="1"/>
    </xf>
    <xf numFmtId="164" fontId="10" fillId="0" borderId="0" xfId="0" applyNumberFormat="1" applyFont="1" applyAlignment="1">
      <alignment horizontal="left" vertical="center" wrapText="1"/>
    </xf>
    <xf numFmtId="0" fontId="12" fillId="0" borderId="0" xfId="0" applyFont="1" applyAlignment="1">
      <alignment horizontal="left"/>
    </xf>
    <xf numFmtId="0" fontId="10" fillId="0" borderId="6" xfId="0" applyFont="1" applyBorder="1" applyAlignment="1">
      <alignment horizontal="left" vertical="top"/>
    </xf>
    <xf numFmtId="0" fontId="5" fillId="0" borderId="0" xfId="0" applyFont="1" applyAlignment="1">
      <alignment horizontal="left" vertical="center" wrapText="1"/>
    </xf>
    <xf numFmtId="0" fontId="2" fillId="0" borderId="0" xfId="0" applyFont="1" applyAlignment="1">
      <alignment vertical="center" wrapText="1"/>
    </xf>
    <xf numFmtId="0" fontId="24" fillId="0" borderId="0" xfId="0" applyFont="1" applyAlignment="1">
      <alignment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5" fillId="0" borderId="0" xfId="0" applyFont="1" applyAlignment="1">
      <alignment horizontal="left" vertical="center"/>
    </xf>
    <xf numFmtId="0" fontId="14" fillId="0" borderId="1" xfId="0" applyFont="1" applyBorder="1" applyAlignment="1">
      <alignment horizontal="center" vertical="center" wrapText="1"/>
    </xf>
    <xf numFmtId="0" fontId="16" fillId="0" borderId="1" xfId="0" applyFont="1" applyBorder="1" applyAlignment="1">
      <alignment vertical="center" wrapText="1"/>
    </xf>
    <xf numFmtId="0" fontId="2" fillId="0" borderId="6" xfId="0" applyFont="1" applyBorder="1" applyAlignment="1">
      <alignment horizontal="left" vertical="center" wrapText="1"/>
    </xf>
    <xf numFmtId="0" fontId="28" fillId="0" borderId="0" xfId="2" applyAlignment="1">
      <alignment horizontal="left" wrapText="1"/>
    </xf>
    <xf numFmtId="0" fontId="33" fillId="0" borderId="0" xfId="2" applyFont="1" applyAlignment="1">
      <alignment horizontal="left"/>
    </xf>
    <xf numFmtId="0" fontId="28" fillId="0" borderId="0" xfId="2" applyAlignment="1">
      <alignment horizontal="center" wrapText="1"/>
    </xf>
    <xf numFmtId="0" fontId="30" fillId="0" borderId="0" xfId="2" applyFont="1" applyAlignment="1">
      <alignment horizontal="center"/>
    </xf>
  </cellXfs>
  <cellStyles count="4">
    <cellStyle name="Currency" xfId="3" builtinId="4"/>
    <cellStyle name="Normal" xfId="0" builtinId="0"/>
    <cellStyle name="Normal_ICR Cost Inputs" xfId="2" xr:uid="{6EF16782-FD87-4825-B043-9370EC8059E4}"/>
    <cellStyle name="Normal_SSI Burden Estimate BML 060710" xfId="1" xr:uid="{A07D4530-980E-478C-AD05-99F0F1CD2970}"/>
  </cellStyles>
  <dxfs count="0"/>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11E90-6FAB-477D-9C4D-FB71EFB87D93}">
  <dimension ref="A1:B8"/>
  <sheetViews>
    <sheetView tabSelected="1" workbookViewId="0">
      <selection activeCell="A14" sqref="A14"/>
    </sheetView>
  </sheetViews>
  <sheetFormatPr defaultRowHeight="14.5" x14ac:dyDescent="0.35"/>
  <cols>
    <col min="1" max="1" width="27.7265625" bestFit="1" customWidth="1"/>
    <col min="2" max="2" width="15.7265625" bestFit="1" customWidth="1"/>
  </cols>
  <sheetData>
    <row r="1" spans="1:2" x14ac:dyDescent="0.35">
      <c r="A1" s="154" t="s">
        <v>0</v>
      </c>
      <c r="B1" s="154"/>
    </row>
    <row r="2" spans="1:2" x14ac:dyDescent="0.35">
      <c r="A2" t="s">
        <v>1</v>
      </c>
      <c r="B2" s="84">
        <f>'Table 1'!K54</f>
        <v>90.0197</v>
      </c>
    </row>
    <row r="3" spans="1:2" x14ac:dyDescent="0.35">
      <c r="A3" t="s">
        <v>2</v>
      </c>
      <c r="B3" s="84">
        <f>Respondents!F8</f>
        <v>11</v>
      </c>
    </row>
    <row r="4" spans="1:2" x14ac:dyDescent="0.35">
      <c r="A4" t="s">
        <v>3</v>
      </c>
      <c r="B4" s="84">
        <f>'Table 1'!F55</f>
        <v>1800.394</v>
      </c>
    </row>
    <row r="5" spans="1:2" x14ac:dyDescent="0.35">
      <c r="A5" t="s">
        <v>4</v>
      </c>
      <c r="B5" s="151">
        <f>'Table 1'!I57</f>
        <v>1950000</v>
      </c>
    </row>
    <row r="6" spans="1:2" x14ac:dyDescent="0.35">
      <c r="A6" t="s">
        <v>5</v>
      </c>
      <c r="B6" s="151">
        <f>ROUND('Capital O&amp;M'!D8+'Capital O&amp;M'!G8,-4)</f>
        <v>1850000</v>
      </c>
    </row>
    <row r="7" spans="1:2" x14ac:dyDescent="0.35">
      <c r="A7" t="s">
        <v>6</v>
      </c>
      <c r="B7" s="84">
        <f>Responses!E13</f>
        <v>20</v>
      </c>
    </row>
    <row r="8" spans="1:2" x14ac:dyDescent="0.35">
      <c r="A8" t="s">
        <v>62</v>
      </c>
      <c r="B8" s="84" t="s">
        <v>207</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54DA1-2EC2-470A-B0BB-BC64BD0BE2BC}">
  <dimension ref="A1:U89"/>
  <sheetViews>
    <sheetView zoomScale="80" zoomScaleNormal="80" workbookViewId="0">
      <selection activeCell="A2" sqref="A2"/>
    </sheetView>
  </sheetViews>
  <sheetFormatPr defaultRowHeight="14.5" x14ac:dyDescent="0.35"/>
  <cols>
    <col min="1" max="1" width="66.7265625" customWidth="1"/>
    <col min="2" max="8" width="11" customWidth="1"/>
    <col min="9" max="9" width="12.7265625" customWidth="1"/>
    <col min="10" max="10" width="6.7265625" customWidth="1"/>
    <col min="11" max="11" width="11.453125" customWidth="1"/>
    <col min="12" max="12" width="7.7265625" customWidth="1"/>
    <col min="13" max="13" width="18.81640625" customWidth="1"/>
    <col min="14" max="14" width="12.1796875" customWidth="1"/>
    <col min="21" max="21" width="11.7265625" customWidth="1"/>
  </cols>
  <sheetData>
    <row r="1" spans="1:21" ht="20" x14ac:dyDescent="0.4">
      <c r="A1" s="155" t="s">
        <v>191</v>
      </c>
      <c r="B1" s="155"/>
      <c r="C1" s="155"/>
      <c r="D1" s="155"/>
      <c r="E1" s="155"/>
      <c r="F1" s="155"/>
      <c r="G1" s="155"/>
      <c r="H1" s="155"/>
      <c r="I1" s="155"/>
      <c r="J1" s="1"/>
      <c r="K1" s="1"/>
      <c r="L1" s="1"/>
      <c r="M1" s="55"/>
      <c r="N1" s="13"/>
    </row>
    <row r="2" spans="1:21" s="1" customFormat="1" ht="13" x14ac:dyDescent="0.3">
      <c r="F2" s="7"/>
      <c r="G2" s="7"/>
      <c r="H2" s="7"/>
      <c r="I2" s="8"/>
      <c r="J2" s="3"/>
    </row>
    <row r="3" spans="1:21" s="1" customFormat="1" ht="78" x14ac:dyDescent="0.3">
      <c r="A3" s="24" t="s">
        <v>7</v>
      </c>
      <c r="B3" s="150" t="s">
        <v>8</v>
      </c>
      <c r="C3" s="150" t="s">
        <v>9</v>
      </c>
      <c r="D3" s="150" t="s">
        <v>10</v>
      </c>
      <c r="E3" s="150" t="s">
        <v>205</v>
      </c>
      <c r="F3" s="150" t="s">
        <v>11</v>
      </c>
      <c r="G3" s="150" t="s">
        <v>12</v>
      </c>
      <c r="H3" s="150" t="s">
        <v>13</v>
      </c>
      <c r="I3" s="150" t="s">
        <v>206</v>
      </c>
      <c r="J3" s="3"/>
      <c r="M3" s="56"/>
      <c r="N3" s="56"/>
      <c r="O3" s="56"/>
      <c r="P3" s="56"/>
      <c r="Q3" s="56"/>
      <c r="R3" s="56"/>
      <c r="S3" s="56"/>
      <c r="T3" s="56"/>
      <c r="U3" s="56"/>
    </row>
    <row r="4" spans="1:21" s="1" customFormat="1" ht="13" x14ac:dyDescent="0.3">
      <c r="A4" s="35" t="s">
        <v>129</v>
      </c>
      <c r="B4" s="137" t="s">
        <v>158</v>
      </c>
      <c r="C4" s="2"/>
      <c r="D4" s="2"/>
      <c r="E4" s="2"/>
      <c r="F4" s="2"/>
      <c r="G4" s="2"/>
      <c r="H4" s="2"/>
      <c r="I4" s="38"/>
      <c r="J4" s="3"/>
      <c r="K4" s="157" t="s">
        <v>14</v>
      </c>
      <c r="L4" s="157"/>
      <c r="O4" s="58"/>
      <c r="P4" s="58"/>
      <c r="Q4" s="58"/>
      <c r="R4" s="58"/>
      <c r="S4" s="58"/>
      <c r="T4" s="58"/>
      <c r="U4" s="59"/>
    </row>
    <row r="5" spans="1:21" s="1" customFormat="1" ht="13" x14ac:dyDescent="0.3">
      <c r="A5" s="35" t="s">
        <v>130</v>
      </c>
      <c r="B5" s="137" t="s">
        <v>158</v>
      </c>
      <c r="C5" s="22"/>
      <c r="D5" s="22"/>
      <c r="E5" s="22"/>
      <c r="F5" s="71"/>
      <c r="G5" s="43"/>
      <c r="H5" s="43"/>
      <c r="I5" s="40"/>
      <c r="J5" s="9"/>
      <c r="K5" s="15" t="s">
        <v>16</v>
      </c>
      <c r="L5" s="34">
        <v>73.459999999999994</v>
      </c>
      <c r="M5" s="57"/>
      <c r="N5" s="58"/>
      <c r="O5" s="58"/>
      <c r="P5" s="58"/>
      <c r="Q5" s="58"/>
      <c r="R5" s="60"/>
      <c r="S5" s="58"/>
      <c r="T5" s="58"/>
      <c r="U5" s="61"/>
    </row>
    <row r="6" spans="1:21" s="1" customFormat="1" ht="13" x14ac:dyDescent="0.3">
      <c r="A6" s="35" t="s">
        <v>131</v>
      </c>
      <c r="B6" s="22"/>
      <c r="C6" s="22"/>
      <c r="D6" s="22"/>
      <c r="E6" s="22"/>
      <c r="F6" s="22"/>
      <c r="G6" s="22"/>
      <c r="H6" s="22"/>
      <c r="I6" s="40"/>
      <c r="J6" s="3"/>
      <c r="K6" s="15" t="s">
        <v>17</v>
      </c>
      <c r="L6" s="34">
        <v>54.512</v>
      </c>
      <c r="M6" s="57"/>
      <c r="N6" s="58"/>
      <c r="O6" s="58"/>
      <c r="P6" s="58"/>
      <c r="Q6" s="58"/>
      <c r="R6" s="58"/>
      <c r="S6" s="58"/>
      <c r="T6" s="58"/>
      <c r="U6" s="61"/>
    </row>
    <row r="7" spans="1:21" s="1" customFormat="1" ht="13" x14ac:dyDescent="0.3">
      <c r="A7" s="39" t="s">
        <v>132</v>
      </c>
      <c r="B7" s="22"/>
      <c r="C7" s="22"/>
      <c r="D7" s="22"/>
      <c r="E7" s="22"/>
      <c r="F7" s="22"/>
      <c r="G7" s="22"/>
      <c r="H7" s="22"/>
      <c r="I7" s="41"/>
      <c r="J7" s="3"/>
      <c r="K7" s="15" t="s">
        <v>18</v>
      </c>
      <c r="L7" s="34">
        <v>29.504000000000001</v>
      </c>
      <c r="M7" s="57"/>
      <c r="N7" s="58"/>
      <c r="O7" s="58"/>
      <c r="P7" s="58"/>
      <c r="Q7" s="58"/>
      <c r="R7" s="58"/>
      <c r="S7" s="58"/>
      <c r="T7" s="58"/>
      <c r="U7" s="61"/>
    </row>
    <row r="8" spans="1:21" s="1" customFormat="1" ht="15.5" x14ac:dyDescent="0.3">
      <c r="A8" s="36" t="s">
        <v>133</v>
      </c>
      <c r="B8" s="22">
        <v>40</v>
      </c>
      <c r="C8" s="22">
        <v>1</v>
      </c>
      <c r="D8" s="22">
        <f>B8*C8</f>
        <v>40</v>
      </c>
      <c r="E8" s="22">
        <f>Respondents!$B$8</f>
        <v>1</v>
      </c>
      <c r="F8" s="22">
        <f>D8*E8</f>
        <v>40</v>
      </c>
      <c r="G8" s="22">
        <f>F8*0.05</f>
        <v>2</v>
      </c>
      <c r="H8" s="22">
        <f>F8*0.1</f>
        <v>4</v>
      </c>
      <c r="I8" s="40">
        <f>F8*$L$6+G8*$L$5+H8*$L$7</f>
        <v>2445.4160000000002</v>
      </c>
      <c r="J8" s="3"/>
      <c r="K8" s="75"/>
      <c r="L8" s="19"/>
      <c r="M8" s="111"/>
      <c r="N8" s="111"/>
      <c r="O8" s="58"/>
      <c r="P8" s="58"/>
      <c r="Q8" s="62"/>
      <c r="R8" s="62"/>
      <c r="S8" s="62"/>
      <c r="T8" s="62"/>
      <c r="U8" s="61"/>
    </row>
    <row r="9" spans="1:21" s="1" customFormat="1" ht="15.5" x14ac:dyDescent="0.3">
      <c r="A9" s="36" t="s">
        <v>134</v>
      </c>
      <c r="B9" s="22">
        <v>4</v>
      </c>
      <c r="C9" s="22">
        <v>1</v>
      </c>
      <c r="D9" s="22">
        <f>B9*C9</f>
        <v>4</v>
      </c>
      <c r="E9" s="22">
        <f>Respondents!$C$8</f>
        <v>10</v>
      </c>
      <c r="F9" s="22">
        <f>D9*E9</f>
        <v>40</v>
      </c>
      <c r="G9" s="22">
        <f>F9*0.05</f>
        <v>2</v>
      </c>
      <c r="H9" s="22">
        <f>F9*0.1</f>
        <v>4</v>
      </c>
      <c r="I9" s="40">
        <f>F9*$L$6+G9*$L$5+H9*$L$7</f>
        <v>2445.4160000000002</v>
      </c>
      <c r="J9" s="3"/>
      <c r="K9" s="81"/>
      <c r="L9" s="4"/>
      <c r="M9" s="111"/>
      <c r="N9" s="111"/>
      <c r="O9" s="58"/>
      <c r="P9" s="58"/>
      <c r="Q9" s="62"/>
      <c r="R9" s="62"/>
      <c r="S9" s="62"/>
      <c r="T9" s="62"/>
      <c r="U9" s="61"/>
    </row>
    <row r="10" spans="1:21" s="1" customFormat="1" ht="15.5" x14ac:dyDescent="0.3">
      <c r="A10" s="39" t="s">
        <v>135</v>
      </c>
      <c r="B10" s="22"/>
      <c r="C10" s="22"/>
      <c r="D10" s="22"/>
      <c r="E10" s="22"/>
      <c r="F10" s="22"/>
      <c r="G10" s="22"/>
      <c r="H10" s="22"/>
      <c r="I10" s="40"/>
      <c r="J10" s="3"/>
      <c r="K10" s="4"/>
      <c r="L10" s="4"/>
      <c r="M10" s="111"/>
      <c r="N10" s="111"/>
      <c r="O10" s="58"/>
      <c r="P10" s="58"/>
      <c r="Q10" s="62"/>
      <c r="R10" s="62"/>
      <c r="S10" s="62"/>
      <c r="T10" s="62"/>
      <c r="U10" s="61"/>
    </row>
    <row r="11" spans="1:21" s="1" customFormat="1" ht="15.5" x14ac:dyDescent="0.35">
      <c r="A11" s="36" t="s">
        <v>136</v>
      </c>
      <c r="B11" s="22">
        <v>40</v>
      </c>
      <c r="C11" s="22">
        <v>1</v>
      </c>
      <c r="D11" s="22">
        <f>B11*C11</f>
        <v>40</v>
      </c>
      <c r="E11" s="22">
        <f>E8</f>
        <v>1</v>
      </c>
      <c r="F11" s="22">
        <f>D11*E11</f>
        <v>40</v>
      </c>
      <c r="G11" s="22">
        <f>F11*0.05</f>
        <v>2</v>
      </c>
      <c r="H11" s="22">
        <f>F11*0.1</f>
        <v>4</v>
      </c>
      <c r="I11" s="40">
        <f>F11*$L$6+G11*$L$5+H11*$L$7</f>
        <v>2445.4160000000002</v>
      </c>
      <c r="J11" s="3"/>
      <c r="K11" s="5"/>
      <c r="L11" s="6"/>
      <c r="M11" s="149"/>
      <c r="N11"/>
      <c r="O11" s="58"/>
      <c r="P11" s="58"/>
      <c r="Q11" s="62"/>
      <c r="R11" s="62"/>
      <c r="S11" s="63"/>
      <c r="T11" s="63"/>
      <c r="U11" s="61"/>
    </row>
    <row r="12" spans="1:21" s="1" customFormat="1" ht="15.5" x14ac:dyDescent="0.3">
      <c r="A12" s="36" t="s">
        <v>137</v>
      </c>
      <c r="B12" s="22">
        <v>40</v>
      </c>
      <c r="C12" s="22">
        <v>0.33</v>
      </c>
      <c r="D12" s="22">
        <f>B12*C12</f>
        <v>13.200000000000001</v>
      </c>
      <c r="E12" s="22">
        <f>+E9*0.33</f>
        <v>3.3000000000000003</v>
      </c>
      <c r="F12" s="146">
        <f>D12*E12</f>
        <v>43.560000000000009</v>
      </c>
      <c r="G12" s="146">
        <f>F12*0.05</f>
        <v>2.1780000000000004</v>
      </c>
      <c r="H12" s="146">
        <f>F12*0.1</f>
        <v>4.3560000000000008</v>
      </c>
      <c r="I12" s="40">
        <f>F12*$L$6+G12*$L$5+H12*$L$7</f>
        <v>2663.0580240000004</v>
      </c>
      <c r="J12" s="3"/>
      <c r="K12" s="5"/>
      <c r="L12" s="6"/>
      <c r="M12" s="57"/>
      <c r="N12" s="58"/>
      <c r="O12" s="58"/>
      <c r="P12" s="58"/>
      <c r="Q12" s="62"/>
      <c r="R12" s="62"/>
      <c r="S12" s="63"/>
      <c r="T12" s="63"/>
      <c r="U12" s="61"/>
    </row>
    <row r="13" spans="1:21" s="1" customFormat="1" ht="13" x14ac:dyDescent="0.3">
      <c r="A13" s="36" t="s">
        <v>138</v>
      </c>
      <c r="B13" s="22"/>
      <c r="C13" s="22"/>
      <c r="D13" s="22"/>
      <c r="E13" s="22"/>
      <c r="F13" s="22"/>
      <c r="G13" s="22"/>
      <c r="H13" s="22"/>
      <c r="I13" s="40"/>
      <c r="J13" s="3"/>
      <c r="K13" s="5"/>
      <c r="L13" s="6"/>
      <c r="M13" s="57"/>
      <c r="N13" s="58"/>
      <c r="O13" s="58"/>
      <c r="P13" s="58"/>
      <c r="Q13" s="58"/>
      <c r="R13" s="58"/>
      <c r="S13" s="58"/>
      <c r="T13" s="58"/>
      <c r="U13" s="61"/>
    </row>
    <row r="14" spans="1:21" s="1" customFormat="1" ht="18" customHeight="1" x14ac:dyDescent="0.3">
      <c r="A14" s="136" t="s">
        <v>139</v>
      </c>
      <c r="B14" s="22">
        <v>64</v>
      </c>
      <c r="C14" s="22">
        <v>1</v>
      </c>
      <c r="D14" s="22">
        <f t="shared" ref="D14:D15" si="0">B14*C14</f>
        <v>64</v>
      </c>
      <c r="E14" s="43">
        <f>E8</f>
        <v>1</v>
      </c>
      <c r="F14" s="43">
        <f t="shared" ref="F14:F16" si="1">D14*E14</f>
        <v>64</v>
      </c>
      <c r="G14" s="43">
        <f t="shared" ref="G14:G16" si="2">F14*0.05</f>
        <v>3.2</v>
      </c>
      <c r="H14" s="43">
        <f t="shared" ref="H14:H16" si="3">F14*0.1</f>
        <v>6.4</v>
      </c>
      <c r="I14" s="40">
        <f t="shared" ref="I14:I16" si="4">F14*$L$6+G14*$L$5+H14*$L$7</f>
        <v>3912.6656000000003</v>
      </c>
      <c r="J14" s="3"/>
      <c r="K14" s="74"/>
      <c r="L14" s="6"/>
      <c r="M14" s="57"/>
      <c r="N14" s="58"/>
      <c r="O14" s="58"/>
      <c r="P14" s="58"/>
      <c r="Q14" s="58"/>
      <c r="R14" s="58"/>
      <c r="S14" s="58"/>
      <c r="T14" s="58"/>
      <c r="U14" s="61"/>
    </row>
    <row r="15" spans="1:21" s="1" customFormat="1" ht="15.5" x14ac:dyDescent="0.3">
      <c r="A15" s="136" t="s">
        <v>140</v>
      </c>
      <c r="B15" s="22">
        <v>10</v>
      </c>
      <c r="C15" s="22">
        <v>1</v>
      </c>
      <c r="D15" s="22">
        <f t="shared" si="0"/>
        <v>10</v>
      </c>
      <c r="E15" s="43">
        <f>E8</f>
        <v>1</v>
      </c>
      <c r="F15" s="22">
        <f t="shared" si="1"/>
        <v>10</v>
      </c>
      <c r="G15" s="22">
        <f t="shared" si="2"/>
        <v>0.5</v>
      </c>
      <c r="H15" s="22">
        <f t="shared" si="3"/>
        <v>1</v>
      </c>
      <c r="I15" s="40">
        <f t="shared" si="4"/>
        <v>611.35400000000004</v>
      </c>
      <c r="J15" s="3"/>
      <c r="K15" s="74"/>
      <c r="M15" s="57"/>
      <c r="N15" s="58"/>
      <c r="O15" s="58"/>
      <c r="P15" s="58"/>
      <c r="Q15" s="58"/>
      <c r="R15" s="58"/>
      <c r="S15" s="58"/>
      <c r="T15" s="58"/>
      <c r="U15" s="61"/>
    </row>
    <row r="16" spans="1:21" s="1" customFormat="1" ht="27.75" customHeight="1" x14ac:dyDescent="0.3">
      <c r="A16" s="136" t="s">
        <v>141</v>
      </c>
      <c r="B16" s="22">
        <v>2</v>
      </c>
      <c r="C16" s="22">
        <v>1</v>
      </c>
      <c r="D16" s="22">
        <f t="shared" ref="D16" si="5">B16*C16</f>
        <v>2</v>
      </c>
      <c r="E16" s="43">
        <f>E9</f>
        <v>10</v>
      </c>
      <c r="F16" s="43">
        <f t="shared" si="1"/>
        <v>20</v>
      </c>
      <c r="G16" s="22">
        <f t="shared" si="2"/>
        <v>1</v>
      </c>
      <c r="H16" s="42">
        <f t="shared" si="3"/>
        <v>2</v>
      </c>
      <c r="I16" s="40">
        <f t="shared" si="4"/>
        <v>1222.7080000000001</v>
      </c>
      <c r="J16" s="3"/>
      <c r="K16" s="74"/>
      <c r="M16" s="57"/>
      <c r="N16" s="58"/>
      <c r="O16" s="58"/>
      <c r="P16" s="58"/>
      <c r="Q16" s="58"/>
      <c r="R16" s="58"/>
      <c r="S16" s="58"/>
      <c r="T16" s="58"/>
      <c r="U16" s="61"/>
    </row>
    <row r="17" spans="1:21" s="1" customFormat="1" ht="13" x14ac:dyDescent="0.3">
      <c r="A17" s="136" t="s">
        <v>142</v>
      </c>
      <c r="B17" s="137" t="s">
        <v>165</v>
      </c>
      <c r="C17" s="22"/>
      <c r="D17" s="22"/>
      <c r="E17" s="43"/>
      <c r="F17" s="22"/>
      <c r="G17" s="22"/>
      <c r="H17" s="22"/>
      <c r="I17" s="40"/>
      <c r="J17" s="3"/>
      <c r="K17" s="74"/>
      <c r="M17" s="57"/>
      <c r="N17" s="58"/>
      <c r="O17" s="58"/>
      <c r="P17" s="58"/>
      <c r="Q17" s="58"/>
      <c r="R17" s="58"/>
      <c r="S17" s="58"/>
      <c r="T17" s="58"/>
      <c r="U17" s="61"/>
    </row>
    <row r="18" spans="1:21" s="1" customFormat="1" ht="19.5" customHeight="1" x14ac:dyDescent="0.3">
      <c r="A18" s="136" t="s">
        <v>143</v>
      </c>
      <c r="B18" s="137">
        <v>8</v>
      </c>
      <c r="C18" s="137">
        <v>1</v>
      </c>
      <c r="D18" s="137">
        <f t="shared" ref="D18" si="6">B18*C18</f>
        <v>8</v>
      </c>
      <c r="E18" s="137">
        <f>E9</f>
        <v>10</v>
      </c>
      <c r="F18" s="137">
        <f t="shared" ref="F18" si="7">D18*E18</f>
        <v>80</v>
      </c>
      <c r="G18" s="138">
        <f t="shared" ref="G18" si="8">F18*0.05</f>
        <v>4</v>
      </c>
      <c r="H18" s="138">
        <f t="shared" ref="H18" si="9">F18*0.1</f>
        <v>8</v>
      </c>
      <c r="I18" s="40">
        <f>F18*$L$6+G18*$L$5+H18*$L$7</f>
        <v>4890.8320000000003</v>
      </c>
      <c r="J18" s="3"/>
      <c r="K18" s="74"/>
      <c r="M18" s="57"/>
      <c r="N18" s="58"/>
      <c r="O18" s="58"/>
      <c r="P18" s="58"/>
      <c r="Q18" s="58"/>
      <c r="R18" s="58"/>
      <c r="S18" s="58"/>
      <c r="T18" s="58"/>
      <c r="U18" s="61"/>
    </row>
    <row r="19" spans="1:21" s="1" customFormat="1" ht="16.5" customHeight="1" x14ac:dyDescent="0.3">
      <c r="A19" s="36" t="s">
        <v>144</v>
      </c>
      <c r="B19" s="22">
        <v>40</v>
      </c>
      <c r="C19" s="22">
        <v>1</v>
      </c>
      <c r="D19" s="22">
        <f t="shared" ref="D19:D20" si="10">B19*C19</f>
        <v>40</v>
      </c>
      <c r="E19" s="22">
        <f>E8</f>
        <v>1</v>
      </c>
      <c r="F19" s="71">
        <f t="shared" ref="F19" si="11">D19*E19</f>
        <v>40</v>
      </c>
      <c r="G19" s="22">
        <f t="shared" ref="G19" si="12">F19*0.05</f>
        <v>2</v>
      </c>
      <c r="H19" s="22">
        <f t="shared" ref="H19" si="13">F19*0.1</f>
        <v>4</v>
      </c>
      <c r="I19" s="40">
        <f>F19*$L$6+G19*$L$5+H19*$L$7</f>
        <v>2445.4160000000002</v>
      </c>
      <c r="J19" s="3"/>
      <c r="K19" s="3"/>
      <c r="M19" s="57"/>
      <c r="N19" s="58"/>
      <c r="O19" s="58"/>
      <c r="P19" s="58"/>
      <c r="Q19" s="58"/>
      <c r="R19" s="58"/>
      <c r="S19" s="58"/>
      <c r="T19" s="58"/>
      <c r="U19" s="61"/>
    </row>
    <row r="20" spans="1:21" s="1" customFormat="1" ht="16.5" customHeight="1" x14ac:dyDescent="0.3">
      <c r="A20" s="36" t="s">
        <v>145</v>
      </c>
      <c r="B20" s="133">
        <v>11</v>
      </c>
      <c r="C20" s="133">
        <v>1</v>
      </c>
      <c r="D20" s="133">
        <f t="shared" si="10"/>
        <v>11</v>
      </c>
      <c r="E20" s="134">
        <f>E9</f>
        <v>10</v>
      </c>
      <c r="F20" s="71">
        <f t="shared" ref="F20" si="14">D20*E20</f>
        <v>110</v>
      </c>
      <c r="G20" s="22">
        <f t="shared" ref="G20" si="15">F20*0.05</f>
        <v>5.5</v>
      </c>
      <c r="H20" s="22">
        <f t="shared" ref="H20" si="16">F20*0.1</f>
        <v>11</v>
      </c>
      <c r="I20" s="40">
        <f>F20*$L$6+G20*$L$5+H20*$L$7</f>
        <v>6724.8939999999993</v>
      </c>
      <c r="J20" s="3"/>
      <c r="K20" s="3"/>
      <c r="M20" s="57"/>
      <c r="N20" s="58"/>
      <c r="O20" s="58"/>
      <c r="P20" s="58"/>
      <c r="Q20" s="58"/>
      <c r="R20" s="58"/>
      <c r="S20" s="58"/>
      <c r="T20" s="58"/>
      <c r="U20" s="61"/>
    </row>
    <row r="21" spans="1:21" s="1" customFormat="1" ht="16.5" customHeight="1" x14ac:dyDescent="0.3">
      <c r="A21" s="39" t="s">
        <v>146</v>
      </c>
      <c r="B21" s="137" t="s">
        <v>166</v>
      </c>
      <c r="C21" s="133"/>
      <c r="D21" s="133"/>
      <c r="E21" s="134"/>
      <c r="F21" s="135"/>
      <c r="G21" s="133"/>
      <c r="H21" s="134"/>
      <c r="I21" s="40"/>
      <c r="J21" s="3"/>
      <c r="K21" s="3"/>
      <c r="M21" s="57"/>
      <c r="N21" s="58"/>
      <c r="O21" s="58"/>
      <c r="P21" s="58"/>
      <c r="Q21" s="58"/>
      <c r="R21" s="58"/>
      <c r="S21" s="58"/>
      <c r="T21" s="58"/>
      <c r="U21" s="61"/>
    </row>
    <row r="22" spans="1:21" s="1" customFormat="1" ht="16.5" customHeight="1" x14ac:dyDescent="0.3">
      <c r="A22" s="39" t="s">
        <v>147</v>
      </c>
      <c r="B22" s="137" t="s">
        <v>167</v>
      </c>
      <c r="C22" s="133"/>
      <c r="D22" s="133"/>
      <c r="E22" s="134"/>
      <c r="F22" s="135"/>
      <c r="G22" s="133"/>
      <c r="H22" s="134"/>
      <c r="I22" s="40"/>
      <c r="J22" s="3"/>
      <c r="K22" s="3"/>
      <c r="M22" s="57"/>
      <c r="N22" s="58"/>
      <c r="O22" s="58"/>
      <c r="P22" s="58"/>
      <c r="Q22" s="58"/>
      <c r="R22" s="58"/>
      <c r="S22" s="58"/>
      <c r="T22" s="58"/>
      <c r="U22" s="61"/>
    </row>
    <row r="23" spans="1:21" s="1" customFormat="1" ht="16.5" customHeight="1" x14ac:dyDescent="0.3">
      <c r="A23" s="39" t="s">
        <v>148</v>
      </c>
      <c r="B23" s="137"/>
      <c r="C23" s="133"/>
      <c r="D23" s="133"/>
      <c r="E23" s="134"/>
      <c r="F23" s="135"/>
      <c r="G23" s="133"/>
      <c r="H23" s="134"/>
      <c r="I23" s="40"/>
      <c r="J23" s="3"/>
      <c r="K23" s="3"/>
      <c r="M23" s="57"/>
      <c r="N23" s="58"/>
      <c r="O23" s="58"/>
      <c r="P23" s="58"/>
      <c r="Q23" s="58"/>
      <c r="R23" s="58"/>
      <c r="S23" s="58"/>
      <c r="T23" s="58"/>
      <c r="U23" s="61"/>
    </row>
    <row r="24" spans="1:21" s="1" customFormat="1" ht="16.5" customHeight="1" x14ac:dyDescent="0.3">
      <c r="A24" s="36" t="s">
        <v>149</v>
      </c>
      <c r="B24" s="133">
        <v>160</v>
      </c>
      <c r="C24" s="133">
        <v>1</v>
      </c>
      <c r="D24" s="133">
        <f t="shared" ref="D24:D32" si="17">B24*C24</f>
        <v>160</v>
      </c>
      <c r="E24" s="134">
        <f>E8</f>
        <v>1</v>
      </c>
      <c r="F24" s="71">
        <f t="shared" ref="F24" si="18">D24*E24</f>
        <v>160</v>
      </c>
      <c r="G24" s="22">
        <f t="shared" ref="G24" si="19">F24*0.05</f>
        <v>8</v>
      </c>
      <c r="H24" s="22">
        <f t="shared" ref="H24" si="20">F24*0.1</f>
        <v>16</v>
      </c>
      <c r="I24" s="40">
        <f t="shared" ref="I24:I32" si="21">F24*$L$6+G24*$L$5+H24*$L$7</f>
        <v>9781.6640000000007</v>
      </c>
      <c r="J24" s="3"/>
      <c r="K24" s="3"/>
      <c r="M24" s="57"/>
      <c r="N24" s="58"/>
      <c r="O24" s="58"/>
      <c r="P24" s="58"/>
      <c r="Q24" s="58"/>
      <c r="R24" s="58"/>
      <c r="S24" s="58"/>
      <c r="T24" s="58"/>
      <c r="U24" s="61"/>
    </row>
    <row r="25" spans="1:21" s="1" customFormat="1" ht="16.5" customHeight="1" x14ac:dyDescent="0.3">
      <c r="A25" s="36" t="s">
        <v>150</v>
      </c>
      <c r="B25" s="133">
        <v>40</v>
      </c>
      <c r="C25" s="133">
        <v>1</v>
      </c>
      <c r="D25" s="133">
        <f t="shared" si="17"/>
        <v>40</v>
      </c>
      <c r="E25" s="134">
        <f>E8</f>
        <v>1</v>
      </c>
      <c r="F25" s="71">
        <f t="shared" ref="F25" si="22">D25*E25</f>
        <v>40</v>
      </c>
      <c r="G25" s="22">
        <f t="shared" ref="G25" si="23">F25*0.05</f>
        <v>2</v>
      </c>
      <c r="H25" s="22">
        <f t="shared" ref="H25" si="24">F25*0.1</f>
        <v>4</v>
      </c>
      <c r="I25" s="40">
        <f t="shared" si="21"/>
        <v>2445.4160000000002</v>
      </c>
      <c r="J25" s="3"/>
      <c r="K25" s="3"/>
      <c r="M25" s="57"/>
      <c r="N25" s="58"/>
      <c r="O25" s="58"/>
      <c r="P25" s="58"/>
      <c r="Q25" s="58"/>
      <c r="R25" s="58"/>
      <c r="S25" s="58"/>
      <c r="T25" s="58"/>
      <c r="U25" s="61"/>
    </row>
    <row r="26" spans="1:21" s="1" customFormat="1" ht="16.5" customHeight="1" x14ac:dyDescent="0.3">
      <c r="A26" s="36" t="s">
        <v>151</v>
      </c>
      <c r="B26" s="133">
        <v>2</v>
      </c>
      <c r="C26" s="133">
        <v>1</v>
      </c>
      <c r="D26" s="133">
        <f t="shared" si="17"/>
        <v>2</v>
      </c>
      <c r="E26" s="134">
        <f>E8</f>
        <v>1</v>
      </c>
      <c r="F26" s="71">
        <f t="shared" ref="F26" si="25">D26*E26</f>
        <v>2</v>
      </c>
      <c r="G26" s="22">
        <f t="shared" ref="G26" si="26">F26*0.05</f>
        <v>0.1</v>
      </c>
      <c r="H26" s="22">
        <f t="shared" ref="H26" si="27">F26*0.1</f>
        <v>0.2</v>
      </c>
      <c r="I26" s="40">
        <f t="shared" si="21"/>
        <v>122.27080000000001</v>
      </c>
      <c r="J26" s="3"/>
      <c r="K26" s="3"/>
      <c r="M26" s="57"/>
      <c r="N26" s="58"/>
      <c r="O26" s="58"/>
      <c r="P26" s="58"/>
      <c r="Q26" s="58"/>
      <c r="R26" s="58"/>
      <c r="S26" s="58"/>
      <c r="T26" s="58"/>
      <c r="U26" s="61"/>
    </row>
    <row r="27" spans="1:21" s="1" customFormat="1" ht="16.5" customHeight="1" x14ac:dyDescent="0.3">
      <c r="A27" s="36" t="s">
        <v>152</v>
      </c>
      <c r="B27" s="137">
        <v>2</v>
      </c>
      <c r="C27" s="137">
        <v>1</v>
      </c>
      <c r="D27" s="137">
        <f t="shared" si="17"/>
        <v>2</v>
      </c>
      <c r="E27" s="137">
        <f>E8</f>
        <v>1</v>
      </c>
      <c r="F27" s="71">
        <f t="shared" ref="F27" si="28">D27*E27</f>
        <v>2</v>
      </c>
      <c r="G27" s="22">
        <f t="shared" ref="G27" si="29">F27*0.05</f>
        <v>0.1</v>
      </c>
      <c r="H27" s="22">
        <f t="shared" ref="H27" si="30">F27*0.1</f>
        <v>0.2</v>
      </c>
      <c r="I27" s="40">
        <f t="shared" si="21"/>
        <v>122.27080000000001</v>
      </c>
      <c r="J27" s="3"/>
      <c r="K27" s="3"/>
      <c r="M27" s="57"/>
      <c r="N27" s="58"/>
      <c r="O27" s="58"/>
      <c r="P27" s="58"/>
      <c r="Q27" s="58"/>
      <c r="R27" s="58"/>
      <c r="S27" s="58"/>
      <c r="T27" s="58"/>
      <c r="U27" s="61"/>
    </row>
    <row r="28" spans="1:21" s="1" customFormat="1" ht="16.5" customHeight="1" x14ac:dyDescent="0.3">
      <c r="A28" s="36" t="s">
        <v>153</v>
      </c>
      <c r="B28" s="137">
        <v>40</v>
      </c>
      <c r="C28" s="137">
        <v>1</v>
      </c>
      <c r="D28" s="137">
        <f t="shared" si="17"/>
        <v>40</v>
      </c>
      <c r="E28" s="137">
        <f>E8</f>
        <v>1</v>
      </c>
      <c r="F28" s="71">
        <f t="shared" ref="F28" si="31">D28*E28</f>
        <v>40</v>
      </c>
      <c r="G28" s="22">
        <f t="shared" ref="G28" si="32">F28*0.05</f>
        <v>2</v>
      </c>
      <c r="H28" s="22">
        <f t="shared" ref="H28" si="33">F28*0.1</f>
        <v>4</v>
      </c>
      <c r="I28" s="40">
        <f t="shared" si="21"/>
        <v>2445.4160000000002</v>
      </c>
      <c r="J28" s="3"/>
      <c r="K28" s="3"/>
      <c r="M28" s="57"/>
      <c r="N28" s="58"/>
      <c r="O28" s="58"/>
      <c r="P28" s="58"/>
      <c r="Q28" s="58"/>
      <c r="R28" s="58"/>
      <c r="S28" s="58"/>
      <c r="T28" s="58"/>
      <c r="U28" s="61"/>
    </row>
    <row r="29" spans="1:21" s="1" customFormat="1" ht="16.5" customHeight="1" x14ac:dyDescent="0.3">
      <c r="A29" s="36" t="s">
        <v>154</v>
      </c>
      <c r="B29" s="137">
        <v>40</v>
      </c>
      <c r="C29" s="137">
        <v>1</v>
      </c>
      <c r="D29" s="137">
        <f t="shared" si="17"/>
        <v>40</v>
      </c>
      <c r="E29" s="137">
        <f>E9</f>
        <v>10</v>
      </c>
      <c r="F29" s="71">
        <f t="shared" ref="F29:F32" si="34">D29*E29</f>
        <v>400</v>
      </c>
      <c r="G29" s="22">
        <f t="shared" ref="G29:G32" si="35">F29*0.05</f>
        <v>20</v>
      </c>
      <c r="H29" s="22">
        <f t="shared" ref="H29:H32" si="36">F29*0.1</f>
        <v>40</v>
      </c>
      <c r="I29" s="40">
        <f t="shared" si="21"/>
        <v>24454.16</v>
      </c>
      <c r="J29" s="3"/>
      <c r="K29" s="3"/>
      <c r="M29" s="57"/>
      <c r="N29" s="58"/>
      <c r="O29" s="58"/>
      <c r="P29" s="58"/>
      <c r="Q29" s="58"/>
      <c r="R29" s="58"/>
      <c r="S29" s="58"/>
      <c r="T29" s="58"/>
      <c r="U29" s="61"/>
    </row>
    <row r="30" spans="1:21" s="1" customFormat="1" ht="16.5" customHeight="1" x14ac:dyDescent="0.3">
      <c r="A30" s="36" t="s">
        <v>155</v>
      </c>
      <c r="B30" s="137">
        <v>8</v>
      </c>
      <c r="C30" s="137">
        <v>1</v>
      </c>
      <c r="D30" s="137">
        <f t="shared" si="17"/>
        <v>8</v>
      </c>
      <c r="E30" s="137">
        <f>(E9)*0.1</f>
        <v>1</v>
      </c>
      <c r="F30" s="137">
        <f t="shared" si="34"/>
        <v>8</v>
      </c>
      <c r="G30" s="139">
        <f t="shared" si="35"/>
        <v>0.4</v>
      </c>
      <c r="H30" s="139">
        <f t="shared" si="36"/>
        <v>0.8</v>
      </c>
      <c r="I30" s="40">
        <f t="shared" si="21"/>
        <v>489.08320000000003</v>
      </c>
      <c r="J30" s="3"/>
      <c r="K30" s="3"/>
      <c r="M30" s="57"/>
      <c r="N30" s="58"/>
      <c r="O30" s="58"/>
      <c r="P30" s="58"/>
      <c r="Q30" s="58"/>
      <c r="R30" s="58"/>
      <c r="S30" s="58"/>
      <c r="T30" s="58"/>
      <c r="U30" s="61"/>
    </row>
    <row r="31" spans="1:21" s="1" customFormat="1" ht="22.9" customHeight="1" x14ac:dyDescent="0.3">
      <c r="A31" s="36" t="s">
        <v>156</v>
      </c>
      <c r="B31" s="137">
        <v>8</v>
      </c>
      <c r="C31" s="137">
        <v>2</v>
      </c>
      <c r="D31" s="137">
        <f t="shared" si="17"/>
        <v>16</v>
      </c>
      <c r="E31" s="137">
        <f>(E9)*0.1</f>
        <v>1</v>
      </c>
      <c r="F31" s="137">
        <f t="shared" si="34"/>
        <v>16</v>
      </c>
      <c r="G31" s="139">
        <f t="shared" si="35"/>
        <v>0.8</v>
      </c>
      <c r="H31" s="139">
        <f t="shared" si="36"/>
        <v>1.6</v>
      </c>
      <c r="I31" s="40">
        <f t="shared" si="21"/>
        <v>978.16640000000007</v>
      </c>
      <c r="J31" s="3"/>
      <c r="K31" s="3"/>
      <c r="M31" s="57"/>
      <c r="N31" s="58"/>
      <c r="O31" s="58"/>
      <c r="P31" s="58"/>
      <c r="Q31" s="58"/>
      <c r="R31" s="58"/>
      <c r="S31" s="58"/>
      <c r="T31" s="58"/>
      <c r="U31" s="61"/>
    </row>
    <row r="32" spans="1:21" s="1" customFormat="1" ht="16.5" customHeight="1" x14ac:dyDescent="0.3">
      <c r="A32" s="36" t="s">
        <v>157</v>
      </c>
      <c r="B32" s="137">
        <v>24</v>
      </c>
      <c r="C32" s="137">
        <v>2</v>
      </c>
      <c r="D32" s="137">
        <f t="shared" si="17"/>
        <v>48</v>
      </c>
      <c r="E32" s="137">
        <f>(E9)*0.1</f>
        <v>1</v>
      </c>
      <c r="F32" s="138">
        <f t="shared" si="34"/>
        <v>48</v>
      </c>
      <c r="G32" s="139">
        <f t="shared" si="35"/>
        <v>2.4000000000000004</v>
      </c>
      <c r="H32" s="139">
        <f t="shared" si="36"/>
        <v>4.8000000000000007</v>
      </c>
      <c r="I32" s="40">
        <f t="shared" si="21"/>
        <v>2934.4992000000002</v>
      </c>
      <c r="J32" s="3"/>
      <c r="K32" s="3"/>
      <c r="M32" s="57"/>
      <c r="N32" s="58"/>
      <c r="O32" s="58"/>
      <c r="P32" s="58"/>
      <c r="Q32" s="58"/>
      <c r="R32" s="58"/>
      <c r="S32" s="58"/>
      <c r="T32" s="58"/>
      <c r="U32" s="61"/>
    </row>
    <row r="33" spans="1:21" s="1" customFormat="1" ht="13.5" x14ac:dyDescent="0.35">
      <c r="A33" s="159" t="s">
        <v>19</v>
      </c>
      <c r="B33" s="160"/>
      <c r="C33" s="160"/>
      <c r="D33" s="160"/>
      <c r="E33" s="161"/>
      <c r="F33" s="162">
        <f>SUM(F5:H32)</f>
        <v>1384.0940000000001</v>
      </c>
      <c r="G33" s="163"/>
      <c r="H33" s="164"/>
      <c r="I33" s="44">
        <f>SUM(I5:I32)</f>
        <v>73580.122023999997</v>
      </c>
      <c r="J33" s="3"/>
      <c r="M33" s="57"/>
      <c r="N33" s="58"/>
      <c r="O33" s="58"/>
      <c r="P33" s="58"/>
      <c r="Q33" s="58"/>
      <c r="R33" s="58"/>
      <c r="S33" s="58"/>
      <c r="T33" s="58"/>
      <c r="U33" s="61"/>
    </row>
    <row r="34" spans="1:21" s="1" customFormat="1" ht="13" x14ac:dyDescent="0.3">
      <c r="A34" s="35" t="s">
        <v>168</v>
      </c>
      <c r="B34" s="2"/>
      <c r="C34" s="2"/>
      <c r="D34" s="2"/>
      <c r="E34" s="2"/>
      <c r="F34" s="2"/>
      <c r="G34" s="2"/>
      <c r="H34" s="2"/>
      <c r="I34" s="38"/>
      <c r="J34" s="3"/>
      <c r="M34" s="57"/>
      <c r="N34" s="58"/>
      <c r="O34" s="58"/>
      <c r="P34" s="58"/>
      <c r="Q34" s="58"/>
      <c r="R34" s="60"/>
      <c r="S34" s="58"/>
      <c r="T34" s="58"/>
      <c r="U34" s="61"/>
    </row>
    <row r="35" spans="1:21" s="1" customFormat="1" ht="13.5" x14ac:dyDescent="0.35">
      <c r="A35" s="39" t="s">
        <v>169</v>
      </c>
      <c r="B35" s="137"/>
      <c r="C35" s="2"/>
      <c r="D35" s="2"/>
      <c r="E35" s="2"/>
      <c r="F35" s="2"/>
      <c r="G35" s="2"/>
      <c r="H35" s="2"/>
      <c r="I35" s="45"/>
      <c r="J35" s="3"/>
      <c r="K35" s="3"/>
      <c r="M35" s="64"/>
      <c r="N35" s="64"/>
      <c r="O35" s="64"/>
      <c r="P35" s="64"/>
      <c r="Q35" s="64"/>
      <c r="R35" s="65"/>
      <c r="S35" s="65"/>
      <c r="T35" s="65"/>
      <c r="U35" s="66"/>
    </row>
    <row r="36" spans="1:21" s="1" customFormat="1" ht="13" x14ac:dyDescent="0.3">
      <c r="A36" s="39" t="s">
        <v>170</v>
      </c>
      <c r="B36" s="137" t="s">
        <v>165</v>
      </c>
      <c r="C36" s="10"/>
      <c r="D36" s="10"/>
      <c r="E36" s="10"/>
      <c r="F36" s="10"/>
      <c r="G36" s="10"/>
      <c r="H36" s="10"/>
      <c r="I36" s="11"/>
      <c r="J36" s="3"/>
      <c r="K36" s="3"/>
      <c r="M36" s="57"/>
      <c r="N36" s="58"/>
      <c r="O36" s="58"/>
      <c r="P36" s="58"/>
      <c r="Q36" s="58"/>
      <c r="R36" s="58"/>
      <c r="S36" s="58"/>
      <c r="T36" s="58"/>
      <c r="U36" s="59"/>
    </row>
    <row r="37" spans="1:21" s="1" customFormat="1" ht="13" x14ac:dyDescent="0.3">
      <c r="A37" s="39" t="s">
        <v>171</v>
      </c>
      <c r="B37" s="137" t="s">
        <v>158</v>
      </c>
      <c r="C37" s="10"/>
      <c r="D37" s="10"/>
      <c r="E37" s="10"/>
      <c r="F37" s="72"/>
      <c r="G37" s="10"/>
      <c r="H37" s="10"/>
      <c r="I37" s="11"/>
      <c r="J37" s="3"/>
      <c r="K37" s="3"/>
      <c r="M37" s="57"/>
      <c r="N37" s="58"/>
      <c r="O37" s="58"/>
      <c r="P37" s="58"/>
      <c r="Q37" s="58"/>
      <c r="R37" s="58"/>
      <c r="S37" s="58"/>
      <c r="T37" s="58"/>
      <c r="U37" s="61"/>
    </row>
    <row r="38" spans="1:21" s="1" customFormat="1" ht="13" x14ac:dyDescent="0.3">
      <c r="A38" s="39" t="s">
        <v>172</v>
      </c>
      <c r="B38" s="137" t="s">
        <v>158</v>
      </c>
      <c r="C38" s="10"/>
      <c r="D38" s="10"/>
      <c r="E38" s="10"/>
      <c r="F38" s="10"/>
      <c r="G38" s="10"/>
      <c r="H38" s="10"/>
      <c r="I38" s="47"/>
      <c r="J38" s="3"/>
      <c r="M38" s="57"/>
      <c r="N38" s="58"/>
      <c r="O38" s="58"/>
      <c r="P38" s="58"/>
      <c r="Q38" s="58"/>
      <c r="R38" s="58"/>
      <c r="S38" s="58"/>
      <c r="T38" s="58"/>
      <c r="U38" s="61"/>
    </row>
    <row r="39" spans="1:21" s="1" customFormat="1" ht="13" x14ac:dyDescent="0.3">
      <c r="A39" s="39" t="s">
        <v>173</v>
      </c>
      <c r="B39" s="137" t="s">
        <v>158</v>
      </c>
      <c r="C39" s="10"/>
      <c r="D39" s="10"/>
      <c r="E39" s="10"/>
      <c r="F39" s="10"/>
      <c r="G39" s="10"/>
      <c r="H39" s="10"/>
      <c r="I39" s="11"/>
      <c r="J39" s="3"/>
      <c r="K39" s="3"/>
      <c r="M39" s="57"/>
      <c r="N39" s="58"/>
      <c r="O39" s="58"/>
      <c r="P39" s="58"/>
      <c r="Q39" s="58"/>
      <c r="R39" s="60"/>
      <c r="S39" s="58"/>
      <c r="T39" s="58"/>
      <c r="U39" s="61"/>
    </row>
    <row r="40" spans="1:21" s="1" customFormat="1" ht="18" customHeight="1" x14ac:dyDescent="0.3">
      <c r="A40" s="36" t="s">
        <v>174</v>
      </c>
      <c r="B40" s="137">
        <v>2</v>
      </c>
      <c r="C40" s="137">
        <v>52</v>
      </c>
      <c r="D40" s="10">
        <f t="shared" ref="D40:D41" si="37">B40*C40</f>
        <v>104</v>
      </c>
      <c r="E40" s="10">
        <v>0</v>
      </c>
      <c r="F40" s="10">
        <f t="shared" ref="F40:F41" si="38">D40*E40</f>
        <v>0</v>
      </c>
      <c r="G40" s="10">
        <f t="shared" ref="G40:G41" si="39">F40*0.05</f>
        <v>0</v>
      </c>
      <c r="H40" s="10">
        <f t="shared" ref="H40:H41" si="40">F40*0.1</f>
        <v>0</v>
      </c>
      <c r="I40" s="153">
        <f t="shared" ref="I40:I47" si="41">F40*$L$6+G40*$L$5+H40*$L$7</f>
        <v>0</v>
      </c>
      <c r="J40" s="3"/>
      <c r="K40" s="3"/>
      <c r="M40" s="57"/>
      <c r="N40" s="58"/>
      <c r="O40" s="58"/>
      <c r="P40" s="58"/>
      <c r="Q40" s="58"/>
      <c r="R40" s="58"/>
      <c r="S40" s="58"/>
      <c r="T40" s="58"/>
      <c r="U40" s="61"/>
    </row>
    <row r="41" spans="1:21" s="1" customFormat="1" ht="15.5" x14ac:dyDescent="0.3">
      <c r="A41" s="36" t="s">
        <v>175</v>
      </c>
      <c r="B41" s="137">
        <v>2</v>
      </c>
      <c r="C41" s="137">
        <v>1</v>
      </c>
      <c r="D41" s="10">
        <f t="shared" si="37"/>
        <v>2</v>
      </c>
      <c r="E41" s="10">
        <f>E32</f>
        <v>1</v>
      </c>
      <c r="F41" s="10">
        <f t="shared" si="38"/>
        <v>2</v>
      </c>
      <c r="G41" s="10">
        <f t="shared" si="39"/>
        <v>0.1</v>
      </c>
      <c r="H41" s="10">
        <f t="shared" si="40"/>
        <v>0.2</v>
      </c>
      <c r="I41" s="11">
        <f t="shared" si="41"/>
        <v>122.27080000000001</v>
      </c>
      <c r="J41" s="3"/>
      <c r="K41" s="3"/>
      <c r="M41" s="57"/>
      <c r="N41" s="58"/>
      <c r="O41" s="58"/>
      <c r="P41" s="58"/>
      <c r="Q41" s="58"/>
      <c r="R41" s="58"/>
      <c r="S41" s="58"/>
      <c r="T41" s="58"/>
      <c r="U41" s="61"/>
    </row>
    <row r="42" spans="1:21" s="1" customFormat="1" ht="13" x14ac:dyDescent="0.3">
      <c r="A42" s="36" t="s">
        <v>176</v>
      </c>
      <c r="B42" s="137">
        <v>2</v>
      </c>
      <c r="C42" s="137">
        <v>1</v>
      </c>
      <c r="D42" s="10">
        <f t="shared" ref="D42:D43" si="42">B42*C42</f>
        <v>2</v>
      </c>
      <c r="E42" s="10">
        <f>E9</f>
        <v>10</v>
      </c>
      <c r="F42" s="10">
        <f t="shared" ref="F42:F43" si="43">D42*E42</f>
        <v>20</v>
      </c>
      <c r="G42" s="10">
        <f t="shared" ref="G42:G43" si="44">F42*0.05</f>
        <v>1</v>
      </c>
      <c r="H42" s="10">
        <f t="shared" ref="H42:H43" si="45">F42*0.1</f>
        <v>2</v>
      </c>
      <c r="I42" s="11">
        <f t="shared" si="41"/>
        <v>1222.7080000000001</v>
      </c>
      <c r="J42" s="3"/>
      <c r="K42" s="3"/>
      <c r="M42" s="57"/>
      <c r="N42" s="58"/>
      <c r="O42" s="58"/>
      <c r="P42" s="58"/>
      <c r="Q42" s="58"/>
      <c r="R42" s="58"/>
      <c r="S42" s="58"/>
      <c r="T42" s="58"/>
      <c r="U42" s="61"/>
    </row>
    <row r="43" spans="1:21" s="1" customFormat="1" ht="13" x14ac:dyDescent="0.3">
      <c r="A43" s="36" t="s">
        <v>177</v>
      </c>
      <c r="B43" s="137">
        <v>2</v>
      </c>
      <c r="C43" s="137">
        <v>1</v>
      </c>
      <c r="D43" s="10">
        <f t="shared" si="42"/>
        <v>2</v>
      </c>
      <c r="E43" s="10">
        <f>E9</f>
        <v>10</v>
      </c>
      <c r="F43" s="10">
        <f t="shared" si="43"/>
        <v>20</v>
      </c>
      <c r="G43" s="10">
        <f t="shared" si="44"/>
        <v>1</v>
      </c>
      <c r="H43" s="10">
        <f t="shared" si="45"/>
        <v>2</v>
      </c>
      <c r="I43" s="11">
        <f t="shared" si="41"/>
        <v>1222.7080000000001</v>
      </c>
      <c r="J43" s="3"/>
      <c r="K43" s="3"/>
      <c r="M43" s="140"/>
      <c r="N43" s="58"/>
      <c r="O43" s="58"/>
      <c r="P43" s="58"/>
      <c r="Q43" s="58"/>
      <c r="R43" s="58"/>
      <c r="S43" s="58"/>
      <c r="T43" s="58"/>
      <c r="U43" s="61"/>
    </row>
    <row r="44" spans="1:21" s="1" customFormat="1" ht="13" x14ac:dyDescent="0.3">
      <c r="A44" s="36" t="s">
        <v>178</v>
      </c>
      <c r="B44" s="137">
        <v>2</v>
      </c>
      <c r="C44" s="137">
        <v>1</v>
      </c>
      <c r="D44" s="10">
        <v>2</v>
      </c>
      <c r="E44" s="10">
        <f>E9</f>
        <v>10</v>
      </c>
      <c r="F44" s="10">
        <f t="shared" ref="F44" si="46">D44*E44</f>
        <v>20</v>
      </c>
      <c r="G44" s="10">
        <f t="shared" ref="G44" si="47">F44*0.05</f>
        <v>1</v>
      </c>
      <c r="H44" s="10">
        <f t="shared" ref="H44" si="48">F44*0.1</f>
        <v>2</v>
      </c>
      <c r="I44" s="11">
        <f t="shared" si="41"/>
        <v>1222.7080000000001</v>
      </c>
      <c r="J44" s="3"/>
      <c r="K44" s="3"/>
      <c r="M44" s="57"/>
      <c r="N44" s="58"/>
      <c r="O44" s="58"/>
      <c r="P44" s="58"/>
      <c r="Q44" s="58"/>
      <c r="R44" s="58"/>
      <c r="S44" s="58"/>
      <c r="T44" s="58"/>
      <c r="U44" s="61"/>
    </row>
    <row r="45" spans="1:21" s="1" customFormat="1" ht="13" x14ac:dyDescent="0.3">
      <c r="A45" s="36" t="s">
        <v>179</v>
      </c>
      <c r="B45" s="137">
        <v>2</v>
      </c>
      <c r="C45" s="137">
        <v>1</v>
      </c>
      <c r="D45" s="10">
        <f t="shared" ref="D45:D47" si="49">B45*C45</f>
        <v>2</v>
      </c>
      <c r="E45" s="10">
        <f>E9</f>
        <v>10</v>
      </c>
      <c r="F45" s="72">
        <f t="shared" ref="F45:F46" si="50">D45*E45</f>
        <v>20</v>
      </c>
      <c r="G45" s="10">
        <f t="shared" ref="G45:G46" si="51">F45*0.05</f>
        <v>1</v>
      </c>
      <c r="H45" s="10">
        <f t="shared" ref="H45:H46" si="52">F45*0.1</f>
        <v>2</v>
      </c>
      <c r="I45" s="11">
        <f t="shared" si="41"/>
        <v>1222.7080000000001</v>
      </c>
      <c r="J45" s="3"/>
      <c r="K45" s="3"/>
      <c r="M45" s="57"/>
      <c r="N45" s="58"/>
      <c r="O45" s="58"/>
      <c r="P45" s="58"/>
      <c r="Q45" s="58"/>
      <c r="R45" s="58"/>
      <c r="S45" s="58"/>
      <c r="T45" s="58"/>
      <c r="U45" s="61"/>
    </row>
    <row r="46" spans="1:21" s="1" customFormat="1" ht="19.5" customHeight="1" x14ac:dyDescent="0.3">
      <c r="A46" s="36" t="s">
        <v>180</v>
      </c>
      <c r="B46" s="137">
        <v>2</v>
      </c>
      <c r="C46" s="137">
        <v>1</v>
      </c>
      <c r="D46" s="10">
        <f t="shared" si="49"/>
        <v>2</v>
      </c>
      <c r="E46" s="10">
        <f>E9</f>
        <v>10</v>
      </c>
      <c r="F46" s="10">
        <f t="shared" si="50"/>
        <v>20</v>
      </c>
      <c r="G46" s="10">
        <f t="shared" si="51"/>
        <v>1</v>
      </c>
      <c r="H46" s="10">
        <f t="shared" si="52"/>
        <v>2</v>
      </c>
      <c r="I46" s="11">
        <f t="shared" si="41"/>
        <v>1222.7080000000001</v>
      </c>
      <c r="J46" s="3"/>
      <c r="K46" s="3"/>
      <c r="M46" s="57"/>
      <c r="N46" s="58"/>
      <c r="O46" s="58"/>
      <c r="P46" s="58"/>
      <c r="Q46" s="58"/>
      <c r="R46" s="58"/>
      <c r="S46" s="58"/>
      <c r="T46" s="58"/>
      <c r="U46" s="61"/>
    </row>
    <row r="47" spans="1:21" s="1" customFormat="1" ht="31.5" customHeight="1" x14ac:dyDescent="0.3">
      <c r="A47" s="36" t="s">
        <v>181</v>
      </c>
      <c r="B47" s="137">
        <v>2</v>
      </c>
      <c r="C47" s="137">
        <v>1</v>
      </c>
      <c r="D47" s="2">
        <f t="shared" si="49"/>
        <v>2</v>
      </c>
      <c r="E47" s="37">
        <f>E9</f>
        <v>10</v>
      </c>
      <c r="F47" s="10">
        <f t="shared" ref="F47" si="53">D47*E47</f>
        <v>20</v>
      </c>
      <c r="G47" s="10">
        <f t="shared" ref="G47" si="54">F47*0.05</f>
        <v>1</v>
      </c>
      <c r="H47" s="10">
        <f t="shared" ref="H47" si="55">F47*0.1</f>
        <v>2</v>
      </c>
      <c r="I47" s="11">
        <f t="shared" si="41"/>
        <v>1222.7080000000001</v>
      </c>
      <c r="J47" s="3"/>
      <c r="K47" s="3"/>
      <c r="M47" s="57"/>
      <c r="N47" s="58"/>
      <c r="O47" s="58"/>
      <c r="P47" s="58"/>
      <c r="Q47" s="58"/>
      <c r="R47" s="60"/>
      <c r="S47" s="58"/>
      <c r="T47" s="58"/>
      <c r="U47" s="61"/>
    </row>
    <row r="48" spans="1:21" s="1" customFormat="1" ht="13" x14ac:dyDescent="0.3">
      <c r="A48" s="36" t="s">
        <v>182</v>
      </c>
      <c r="B48" s="137">
        <v>24</v>
      </c>
      <c r="C48" s="137">
        <v>1</v>
      </c>
      <c r="D48" s="10"/>
      <c r="E48" s="10">
        <f>E9</f>
        <v>10</v>
      </c>
      <c r="F48" s="10"/>
      <c r="G48" s="10"/>
      <c r="H48" s="10"/>
      <c r="I48" s="47"/>
      <c r="J48" s="3"/>
      <c r="K48" s="3"/>
      <c r="M48" s="57"/>
      <c r="N48" s="58"/>
      <c r="O48" s="58"/>
      <c r="P48" s="58"/>
      <c r="Q48" s="58"/>
      <c r="R48" s="58"/>
      <c r="S48" s="58"/>
      <c r="T48" s="58"/>
      <c r="U48" s="61"/>
    </row>
    <row r="49" spans="1:21" s="1" customFormat="1" ht="18.75" customHeight="1" x14ac:dyDescent="0.3">
      <c r="A49" s="39" t="s">
        <v>183</v>
      </c>
      <c r="B49" s="137">
        <v>24</v>
      </c>
      <c r="C49" s="137">
        <v>1</v>
      </c>
      <c r="D49" s="10">
        <f t="shared" ref="D49" si="56">B49*C49</f>
        <v>24</v>
      </c>
      <c r="E49" s="10">
        <f>E9</f>
        <v>10</v>
      </c>
      <c r="F49" s="10">
        <f t="shared" ref="F49" si="57">D49*E49</f>
        <v>240</v>
      </c>
      <c r="G49" s="10">
        <f t="shared" ref="G49" si="58">F49*0.05</f>
        <v>12</v>
      </c>
      <c r="H49" s="10">
        <f t="shared" ref="H49" si="59">F49*0.1</f>
        <v>24</v>
      </c>
      <c r="I49" s="11">
        <f>F49*$L$6+G49*$L$5+H49*$L$7</f>
        <v>14672.496000000001</v>
      </c>
      <c r="J49" s="3"/>
      <c r="K49" s="3"/>
      <c r="M49" s="57"/>
      <c r="N49" s="58"/>
      <c r="O49" s="58"/>
      <c r="P49" s="58"/>
      <c r="Q49" s="58"/>
      <c r="R49" s="58"/>
      <c r="S49" s="58"/>
      <c r="T49" s="58"/>
      <c r="U49" s="61"/>
    </row>
    <row r="50" spans="1:21" s="1" customFormat="1" ht="13" x14ac:dyDescent="0.3">
      <c r="A50" s="39" t="s">
        <v>184</v>
      </c>
      <c r="B50" s="137" t="s">
        <v>166</v>
      </c>
      <c r="C50" s="137"/>
      <c r="D50" s="10"/>
      <c r="E50" s="10"/>
      <c r="F50" s="10"/>
      <c r="G50" s="10"/>
      <c r="H50" s="10"/>
      <c r="I50" s="11"/>
      <c r="J50" s="3"/>
      <c r="K50" s="3"/>
      <c r="M50" s="57"/>
      <c r="N50" s="58"/>
      <c r="O50" s="58"/>
      <c r="P50" s="58"/>
      <c r="Q50" s="58"/>
      <c r="R50" s="58"/>
      <c r="S50" s="58"/>
      <c r="T50" s="58"/>
      <c r="U50" s="61"/>
    </row>
    <row r="51" spans="1:21" s="1" customFormat="1" ht="13" x14ac:dyDescent="0.3">
      <c r="A51" s="48"/>
      <c r="B51" s="137" t="s">
        <v>158</v>
      </c>
      <c r="C51" s="137"/>
      <c r="D51" s="10"/>
      <c r="E51" s="10"/>
      <c r="F51" s="72"/>
      <c r="G51" s="10"/>
      <c r="H51" s="10"/>
      <c r="I51" s="11"/>
      <c r="J51" s="17"/>
      <c r="K51" s="3"/>
      <c r="M51" s="57"/>
      <c r="N51" s="58"/>
      <c r="O51" s="58"/>
      <c r="P51" s="58"/>
      <c r="Q51" s="58"/>
      <c r="R51" s="58"/>
      <c r="S51" s="58"/>
      <c r="T51" s="58"/>
      <c r="U51" s="61"/>
    </row>
    <row r="52" spans="1:21" s="1" customFormat="1" ht="13" x14ac:dyDescent="0.3">
      <c r="A52" s="46"/>
      <c r="B52" s="10"/>
      <c r="C52" s="10"/>
      <c r="D52" s="10"/>
      <c r="E52" s="10"/>
      <c r="F52" s="10"/>
      <c r="G52" s="70"/>
      <c r="H52" s="10"/>
      <c r="I52" s="11"/>
      <c r="J52" s="14"/>
      <c r="K52" s="13"/>
      <c r="L52" s="3"/>
      <c r="M52" s="57"/>
      <c r="N52" s="58"/>
      <c r="O52" s="58"/>
      <c r="P52" s="58"/>
      <c r="Q52" s="58"/>
      <c r="R52" s="58"/>
      <c r="S52" s="58"/>
      <c r="T52" s="58"/>
      <c r="U52" s="61"/>
    </row>
    <row r="53" spans="1:21" s="1" customFormat="1" ht="13" x14ac:dyDescent="0.3">
      <c r="A53" s="46"/>
      <c r="B53" s="10"/>
      <c r="C53" s="10"/>
      <c r="D53" s="10"/>
      <c r="E53" s="10"/>
      <c r="F53" s="10"/>
      <c r="G53" s="70"/>
      <c r="H53" s="10"/>
      <c r="I53" s="49"/>
      <c r="J53" s="18"/>
      <c r="L53" s="3"/>
      <c r="M53" s="57"/>
      <c r="N53" s="58"/>
      <c r="O53" s="58"/>
      <c r="P53" s="58"/>
      <c r="Q53" s="58"/>
      <c r="R53" s="60"/>
      <c r="S53" s="58"/>
      <c r="T53" s="58"/>
      <c r="U53" s="61"/>
    </row>
    <row r="54" spans="1:21" s="1" customFormat="1" ht="13.5" x14ac:dyDescent="0.35">
      <c r="A54" s="69" t="s">
        <v>20</v>
      </c>
      <c r="B54" s="165"/>
      <c r="C54" s="166"/>
      <c r="D54" s="166"/>
      <c r="E54" s="167"/>
      <c r="F54" s="171">
        <f>SUM(F35:H53)</f>
        <v>416.3</v>
      </c>
      <c r="G54" s="172"/>
      <c r="H54" s="173"/>
      <c r="I54" s="12">
        <f>SUM(I35:I53)</f>
        <v>22131.014800000004</v>
      </c>
      <c r="J54" s="18"/>
      <c r="K54" s="53">
        <f>F55/Responses!E13</f>
        <v>90.0197</v>
      </c>
      <c r="L54" s="53" t="s">
        <v>15</v>
      </c>
      <c r="M54" s="57"/>
      <c r="N54" s="58"/>
      <c r="O54" s="58"/>
      <c r="P54" s="58"/>
      <c r="Q54" s="58"/>
      <c r="R54" s="58"/>
      <c r="S54" s="58"/>
      <c r="T54" s="58"/>
      <c r="U54" s="61"/>
    </row>
    <row r="55" spans="1:21" s="1" customFormat="1" ht="13.5" customHeight="1" x14ac:dyDescent="0.35">
      <c r="A55" s="54" t="s">
        <v>21</v>
      </c>
      <c r="B55" s="168"/>
      <c r="C55" s="169"/>
      <c r="D55" s="169"/>
      <c r="E55" s="170"/>
      <c r="F55" s="171">
        <f>F33+F54</f>
        <v>1800.394</v>
      </c>
      <c r="G55" s="172"/>
      <c r="H55" s="173"/>
      <c r="I55" s="12">
        <f>ROUND(SUM(I54,I33), -2)</f>
        <v>95700</v>
      </c>
      <c r="J55" s="18"/>
      <c r="K55" s="16"/>
      <c r="L55" s="3"/>
      <c r="M55" s="57"/>
      <c r="N55" s="58"/>
      <c r="O55" s="58"/>
      <c r="P55" s="58"/>
      <c r="Q55" s="58"/>
      <c r="R55" s="58"/>
      <c r="S55" s="58"/>
      <c r="T55" s="58"/>
      <c r="U55" s="61"/>
    </row>
    <row r="56" spans="1:21" s="1" customFormat="1" ht="13.5" customHeight="1" x14ac:dyDescent="0.35">
      <c r="A56" s="54" t="s">
        <v>22</v>
      </c>
      <c r="B56" s="168"/>
      <c r="C56" s="169"/>
      <c r="D56" s="169"/>
      <c r="E56" s="169"/>
      <c r="F56" s="169"/>
      <c r="G56" s="169"/>
      <c r="H56" s="170"/>
      <c r="I56" s="82">
        <f>ROUND('Capital O&amp;M'!G8+'Capital O&amp;M'!D8,-4)</f>
        <v>1850000</v>
      </c>
      <c r="J56" s="3"/>
      <c r="M56" s="141"/>
      <c r="N56" s="64"/>
      <c r="O56" s="64"/>
      <c r="P56" s="64"/>
      <c r="Q56" s="64"/>
      <c r="R56" s="65"/>
      <c r="S56" s="65"/>
      <c r="T56" s="65"/>
      <c r="U56" s="66"/>
    </row>
    <row r="57" spans="1:21" s="1" customFormat="1" ht="13.5" customHeight="1" x14ac:dyDescent="0.35">
      <c r="A57" s="54" t="s">
        <v>23</v>
      </c>
      <c r="B57" s="168"/>
      <c r="C57" s="169"/>
      <c r="D57" s="169"/>
      <c r="E57" s="169"/>
      <c r="F57" s="169"/>
      <c r="G57" s="169"/>
      <c r="H57" s="170"/>
      <c r="I57" s="82">
        <f>ROUND(SUM(I55:I56), -4)</f>
        <v>1950000</v>
      </c>
      <c r="J57" s="3"/>
      <c r="M57" s="67"/>
      <c r="N57" s="67"/>
      <c r="O57" s="67"/>
      <c r="P57" s="67"/>
      <c r="Q57" s="67"/>
      <c r="R57" s="65"/>
      <c r="S57" s="65"/>
      <c r="T57" s="65"/>
      <c r="U57" s="66"/>
    </row>
    <row r="58" spans="1:21" s="1" customFormat="1" ht="13.5" x14ac:dyDescent="0.35">
      <c r="G58" s="50"/>
      <c r="I58" s="8"/>
      <c r="J58" s="3"/>
      <c r="M58" s="67"/>
      <c r="N58" s="67"/>
      <c r="O58" s="67"/>
      <c r="P58" s="67"/>
      <c r="Q58" s="67"/>
      <c r="R58" s="67"/>
      <c r="S58" s="67"/>
      <c r="T58" s="67"/>
      <c r="U58" s="66"/>
    </row>
    <row r="59" spans="1:21" s="1" customFormat="1" ht="13.5" x14ac:dyDescent="0.35">
      <c r="A59" s="51" t="s">
        <v>24</v>
      </c>
      <c r="I59" s="8"/>
      <c r="J59" s="3"/>
      <c r="M59" s="67"/>
      <c r="N59" s="67"/>
      <c r="O59" s="67"/>
      <c r="P59" s="67"/>
      <c r="Q59" s="67"/>
      <c r="R59" s="67"/>
      <c r="S59" s="67"/>
      <c r="T59" s="67"/>
      <c r="U59" s="66"/>
    </row>
    <row r="60" spans="1:21" s="1" customFormat="1" ht="36" customHeight="1" x14ac:dyDescent="0.3">
      <c r="A60" s="156" t="s">
        <v>212</v>
      </c>
      <c r="B60" s="156"/>
      <c r="C60" s="156"/>
      <c r="D60" s="156"/>
      <c r="E60" s="156"/>
      <c r="F60" s="156"/>
      <c r="G60" s="156"/>
      <c r="H60" s="156"/>
      <c r="I60" s="156"/>
      <c r="J60" s="3"/>
      <c r="M60" s="33"/>
      <c r="N60" s="33"/>
      <c r="O60" s="33"/>
      <c r="P60" s="33"/>
      <c r="Q60" s="33"/>
      <c r="R60" s="33"/>
      <c r="S60" s="33"/>
      <c r="T60" s="33"/>
      <c r="U60" s="33"/>
    </row>
    <row r="61" spans="1:21" s="1" customFormat="1" ht="60" customHeight="1" x14ac:dyDescent="0.3">
      <c r="A61" s="158" t="s">
        <v>211</v>
      </c>
      <c r="B61" s="158"/>
      <c r="C61" s="158"/>
      <c r="D61" s="158"/>
      <c r="E61" s="158"/>
      <c r="F61" s="158"/>
      <c r="G61" s="158"/>
      <c r="H61" s="158"/>
      <c r="I61" s="158"/>
      <c r="J61" s="3"/>
      <c r="M61" s="33"/>
      <c r="N61" s="33"/>
      <c r="O61" s="33"/>
      <c r="P61" s="33"/>
      <c r="Q61" s="33"/>
      <c r="R61" s="33"/>
      <c r="S61" s="33"/>
      <c r="T61" s="33"/>
      <c r="U61" s="33"/>
    </row>
    <row r="62" spans="1:21" s="1" customFormat="1" ht="19.899999999999999" customHeight="1" x14ac:dyDescent="0.3">
      <c r="A62" s="156" t="s">
        <v>159</v>
      </c>
      <c r="B62" s="156"/>
      <c r="C62" s="156"/>
      <c r="D62" s="156"/>
      <c r="E62" s="156"/>
      <c r="F62" s="156"/>
      <c r="G62" s="156"/>
      <c r="H62" s="156"/>
      <c r="I62" s="156"/>
      <c r="J62" s="9"/>
      <c r="M62" s="33"/>
      <c r="N62" s="33"/>
      <c r="O62" s="33"/>
      <c r="P62" s="33"/>
      <c r="Q62" s="33"/>
      <c r="R62" s="33"/>
      <c r="S62" s="33"/>
      <c r="T62" s="33"/>
      <c r="U62" s="33"/>
    </row>
    <row r="63" spans="1:21" s="1" customFormat="1" ht="23.5" customHeight="1" x14ac:dyDescent="0.3">
      <c r="A63" s="156" t="s">
        <v>160</v>
      </c>
      <c r="B63" s="156"/>
      <c r="C63" s="156"/>
      <c r="D63" s="156"/>
      <c r="E63" s="156"/>
      <c r="F63" s="156"/>
      <c r="G63" s="156"/>
      <c r="H63" s="156"/>
      <c r="I63" s="156"/>
      <c r="J63" s="3"/>
      <c r="M63" s="33"/>
      <c r="N63" s="33"/>
      <c r="O63" s="33"/>
      <c r="P63" s="33"/>
      <c r="Q63" s="33"/>
      <c r="R63" s="33"/>
      <c r="S63" s="33"/>
      <c r="T63" s="33"/>
      <c r="U63" s="33"/>
    </row>
    <row r="64" spans="1:21" s="1" customFormat="1" ht="33" customHeight="1" x14ac:dyDescent="0.3">
      <c r="A64" s="156" t="s">
        <v>213</v>
      </c>
      <c r="B64" s="156"/>
      <c r="C64" s="156"/>
      <c r="D64" s="156"/>
      <c r="E64" s="156"/>
      <c r="F64" s="156"/>
      <c r="G64" s="156"/>
      <c r="H64" s="156"/>
      <c r="I64" s="156"/>
      <c r="M64" s="33"/>
      <c r="N64" s="33"/>
      <c r="O64" s="33"/>
      <c r="P64" s="33"/>
      <c r="Q64" s="33"/>
      <c r="R64" s="33"/>
      <c r="S64" s="33"/>
      <c r="T64" s="33"/>
      <c r="U64" s="33"/>
    </row>
    <row r="65" spans="1:21" s="1" customFormat="1" ht="22.15" customHeight="1" x14ac:dyDescent="0.3">
      <c r="A65" s="156" t="s">
        <v>161</v>
      </c>
      <c r="B65" s="156"/>
      <c r="C65" s="156"/>
      <c r="D65" s="156"/>
      <c r="E65" s="156"/>
      <c r="F65" s="156"/>
      <c r="G65" s="156"/>
      <c r="H65" s="156"/>
      <c r="I65" s="156"/>
      <c r="M65" s="33"/>
      <c r="N65" s="33"/>
      <c r="O65" s="33"/>
      <c r="P65" s="33"/>
      <c r="Q65" s="33"/>
      <c r="R65" s="33"/>
      <c r="S65" s="33"/>
      <c r="T65" s="33"/>
      <c r="U65" s="33"/>
    </row>
    <row r="66" spans="1:21" s="1" customFormat="1" ht="29.25" customHeight="1" x14ac:dyDescent="0.3">
      <c r="A66" s="156" t="s">
        <v>162</v>
      </c>
      <c r="B66" s="156"/>
      <c r="C66" s="156"/>
      <c r="D66" s="156"/>
      <c r="E66" s="156"/>
      <c r="F66" s="156"/>
      <c r="G66" s="156"/>
      <c r="H66" s="156"/>
      <c r="I66" s="156"/>
      <c r="M66" s="68"/>
      <c r="N66" s="68"/>
      <c r="O66" s="68"/>
      <c r="P66" s="68"/>
      <c r="Q66" s="68"/>
      <c r="R66" s="68"/>
      <c r="S66" s="68"/>
      <c r="T66" s="68"/>
      <c r="U66" s="68"/>
    </row>
    <row r="67" spans="1:21" s="1" customFormat="1" ht="21" customHeight="1" x14ac:dyDescent="0.3">
      <c r="A67" s="156" t="s">
        <v>163</v>
      </c>
      <c r="B67" s="156"/>
      <c r="C67" s="156"/>
      <c r="D67" s="156"/>
      <c r="E67" s="156"/>
      <c r="F67" s="156"/>
      <c r="G67" s="156"/>
      <c r="H67" s="156"/>
      <c r="I67" s="156"/>
      <c r="M67" s="33"/>
      <c r="N67" s="33"/>
      <c r="O67" s="33"/>
      <c r="P67" s="33"/>
      <c r="Q67" s="33"/>
      <c r="R67" s="33"/>
      <c r="S67" s="33"/>
      <c r="T67" s="33"/>
      <c r="U67" s="33"/>
    </row>
    <row r="68" spans="1:21" s="1" customFormat="1" ht="17.25" customHeight="1" x14ac:dyDescent="0.3">
      <c r="A68" s="156" t="s">
        <v>164</v>
      </c>
      <c r="B68" s="156"/>
      <c r="C68" s="156"/>
      <c r="D68" s="156"/>
      <c r="E68" s="156"/>
      <c r="F68" s="156"/>
      <c r="G68" s="156"/>
      <c r="H68" s="156"/>
      <c r="I68" s="156"/>
      <c r="M68" s="33"/>
      <c r="N68" s="33"/>
      <c r="O68" s="33"/>
      <c r="P68" s="33"/>
      <c r="Q68" s="33"/>
      <c r="R68" s="33"/>
      <c r="S68" s="33"/>
      <c r="T68" s="33"/>
      <c r="U68" s="33"/>
    </row>
    <row r="69" spans="1:21" s="1" customFormat="1" ht="30" customHeight="1" x14ac:dyDescent="0.3">
      <c r="A69" s="52"/>
      <c r="B69" s="52"/>
      <c r="C69" s="52"/>
      <c r="D69" s="52"/>
      <c r="E69" s="52"/>
      <c r="F69" s="52"/>
      <c r="G69" s="52"/>
      <c r="H69" s="52"/>
      <c r="I69" s="52"/>
      <c r="M69" s="33"/>
      <c r="N69" s="33"/>
      <c r="O69" s="33"/>
      <c r="P69" s="33"/>
      <c r="Q69" s="33"/>
      <c r="R69" s="33"/>
      <c r="S69" s="33"/>
      <c r="T69" s="33"/>
      <c r="U69" s="33"/>
    </row>
    <row r="75" spans="1:21" ht="15.5" x14ac:dyDescent="0.35">
      <c r="A75" s="76"/>
      <c r="B75" s="76"/>
      <c r="C75" s="76"/>
    </row>
    <row r="76" spans="1:21" ht="15.5" x14ac:dyDescent="0.35">
      <c r="A76" s="76"/>
      <c r="B76" s="76"/>
      <c r="C76" s="76"/>
    </row>
    <row r="77" spans="1:21" ht="15.5" x14ac:dyDescent="0.35">
      <c r="A77" s="76"/>
      <c r="B77" s="76"/>
      <c r="C77" s="76"/>
    </row>
    <row r="78" spans="1:21" ht="15.5" x14ac:dyDescent="0.35">
      <c r="A78" s="77"/>
      <c r="B78" s="77"/>
      <c r="C78" s="77"/>
    </row>
    <row r="79" spans="1:21" ht="15.5" x14ac:dyDescent="0.35">
      <c r="A79" s="76"/>
      <c r="B79" s="76"/>
      <c r="C79" s="76"/>
    </row>
    <row r="80" spans="1:21" ht="15.5" x14ac:dyDescent="0.35">
      <c r="A80" s="76"/>
      <c r="B80" s="76"/>
      <c r="C80" s="76"/>
    </row>
    <row r="81" spans="1:3" ht="15.5" x14ac:dyDescent="0.35">
      <c r="A81" s="77"/>
      <c r="B81" s="77"/>
      <c r="C81" s="77"/>
    </row>
    <row r="82" spans="1:3" ht="15.5" x14ac:dyDescent="0.35">
      <c r="A82" s="77"/>
      <c r="B82" s="77"/>
      <c r="C82" s="77"/>
    </row>
    <row r="83" spans="1:3" ht="15.75" customHeight="1" x14ac:dyDescent="0.35">
      <c r="A83" s="76"/>
      <c r="B83" s="76"/>
      <c r="C83" s="76"/>
    </row>
    <row r="84" spans="1:3" ht="15" customHeight="1" x14ac:dyDescent="0.35">
      <c r="A84" s="76"/>
      <c r="B84" s="76"/>
      <c r="C84" s="76"/>
    </row>
    <row r="85" spans="1:3" ht="15.5" x14ac:dyDescent="0.35">
      <c r="A85" s="76"/>
      <c r="B85" s="76"/>
      <c r="C85" s="76"/>
    </row>
    <row r="86" spans="1:3" ht="15.5" x14ac:dyDescent="0.35">
      <c r="A86" s="77"/>
      <c r="B86" s="77"/>
      <c r="C86" s="77"/>
    </row>
    <row r="87" spans="1:3" ht="15.5" x14ac:dyDescent="0.35">
      <c r="A87" s="77"/>
      <c r="B87" s="76"/>
      <c r="C87" s="76"/>
    </row>
    <row r="88" spans="1:3" ht="15.5" x14ac:dyDescent="0.35">
      <c r="A88" s="76"/>
      <c r="B88" s="76"/>
      <c r="C88" s="76"/>
    </row>
    <row r="89" spans="1:3" ht="15.5" x14ac:dyDescent="0.35">
      <c r="A89" s="77"/>
      <c r="B89" s="76"/>
      <c r="C89" s="76"/>
    </row>
  </sheetData>
  <sortState xmlns:xlrd2="http://schemas.microsoft.com/office/spreadsheetml/2017/richdata2" ref="A74:C89">
    <sortCondition ref="C74:C89"/>
  </sortState>
  <mergeCells count="19">
    <mergeCell ref="A68:I68"/>
    <mergeCell ref="A67:I67"/>
    <mergeCell ref="A62:I62"/>
    <mergeCell ref="A63:I63"/>
    <mergeCell ref="A64:I64"/>
    <mergeCell ref="A65:I65"/>
    <mergeCell ref="A66:I66"/>
    <mergeCell ref="A1:I1"/>
    <mergeCell ref="A60:I60"/>
    <mergeCell ref="K4:L4"/>
    <mergeCell ref="A61:I61"/>
    <mergeCell ref="A33:E33"/>
    <mergeCell ref="F33:H33"/>
    <mergeCell ref="B54:E54"/>
    <mergeCell ref="B55:E55"/>
    <mergeCell ref="B56:H56"/>
    <mergeCell ref="B57:H57"/>
    <mergeCell ref="F54:H54"/>
    <mergeCell ref="F55:H55"/>
  </mergeCells>
  <phoneticPr fontId="25" type="noConversion"/>
  <pageMargins left="0.7" right="0.7" top="0.75" bottom="0.75" header="0.3" footer="0.3"/>
  <pageSetup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8443F-7CF2-4AB9-A4F5-AA1F42586018}">
  <dimension ref="A1:S38"/>
  <sheetViews>
    <sheetView zoomScaleNormal="100" workbookViewId="0">
      <selection activeCell="A2" sqref="A2"/>
    </sheetView>
  </sheetViews>
  <sheetFormatPr defaultRowHeight="14.5" x14ac:dyDescent="0.35"/>
  <cols>
    <col min="1" max="1" width="36.7265625" customWidth="1"/>
    <col min="2" max="2" width="10.81640625" customWidth="1"/>
    <col min="3" max="3" width="13" customWidth="1"/>
    <col min="4" max="4" width="11" customWidth="1"/>
    <col min="5" max="5" width="11.26953125" customWidth="1"/>
    <col min="6" max="6" width="10.7265625" customWidth="1"/>
    <col min="7" max="7" width="12.81640625" customWidth="1"/>
    <col min="8" max="8" width="10.26953125" customWidth="1"/>
    <col min="9" max="9" width="11.7265625" customWidth="1"/>
    <col min="10" max="10" width="8.1796875" customWidth="1"/>
    <col min="11" max="11" width="11.81640625" customWidth="1"/>
    <col min="13" max="13" width="11" bestFit="1" customWidth="1"/>
    <col min="16" max="16" width="16.453125" bestFit="1" customWidth="1"/>
  </cols>
  <sheetData>
    <row r="1" spans="1:19" ht="31.15" customHeight="1" x14ac:dyDescent="0.35">
      <c r="A1" s="174" t="s">
        <v>190</v>
      </c>
      <c r="B1" s="174"/>
      <c r="C1" s="174"/>
      <c r="D1" s="174"/>
      <c r="E1" s="174"/>
      <c r="F1" s="174"/>
      <c r="G1" s="174"/>
      <c r="H1" s="174"/>
      <c r="I1" s="174"/>
    </row>
    <row r="2" spans="1:19" x14ac:dyDescent="0.35">
      <c r="A2" s="1"/>
      <c r="B2" s="1"/>
      <c r="C2" s="1"/>
      <c r="D2" s="1"/>
      <c r="E2" s="1"/>
      <c r="F2" s="7"/>
      <c r="G2" s="7"/>
      <c r="H2" s="7"/>
      <c r="I2" s="7"/>
    </row>
    <row r="3" spans="1:19" ht="82.9" customHeight="1" x14ac:dyDescent="0.35">
      <c r="A3" s="142" t="s">
        <v>25</v>
      </c>
      <c r="B3" s="143" t="s">
        <v>26</v>
      </c>
      <c r="C3" s="143" t="s">
        <v>27</v>
      </c>
      <c r="D3" s="143" t="s">
        <v>123</v>
      </c>
      <c r="E3" s="143" t="s">
        <v>188</v>
      </c>
      <c r="F3" s="143" t="s">
        <v>120</v>
      </c>
      <c r="G3" s="143" t="s">
        <v>121</v>
      </c>
      <c r="H3" s="143" t="s">
        <v>122</v>
      </c>
      <c r="I3" s="143" t="s">
        <v>189</v>
      </c>
      <c r="J3" s="1"/>
      <c r="K3" s="1"/>
      <c r="L3" s="1"/>
    </row>
    <row r="4" spans="1:19" x14ac:dyDescent="0.35">
      <c r="A4" s="35" t="s">
        <v>192</v>
      </c>
      <c r="B4" s="137" t="s">
        <v>158</v>
      </c>
      <c r="C4" s="10"/>
      <c r="D4" s="10"/>
      <c r="E4" s="10"/>
      <c r="F4" s="10"/>
      <c r="G4" s="10"/>
      <c r="H4" s="10"/>
      <c r="I4" s="11"/>
      <c r="J4" s="1"/>
      <c r="K4" s="157" t="s">
        <v>14</v>
      </c>
      <c r="L4" s="157"/>
    </row>
    <row r="5" spans="1:19" x14ac:dyDescent="0.35">
      <c r="A5" s="35" t="s">
        <v>193</v>
      </c>
      <c r="B5" s="137"/>
      <c r="C5" s="137"/>
      <c r="D5" s="137"/>
      <c r="E5" s="10"/>
      <c r="F5" s="10"/>
      <c r="G5" s="10"/>
      <c r="H5" s="10"/>
      <c r="I5" s="11"/>
      <c r="J5" s="1"/>
      <c r="K5" s="15" t="s">
        <v>16</v>
      </c>
      <c r="L5" s="34">
        <v>73.459999999999994</v>
      </c>
    </row>
    <row r="6" spans="1:19" ht="15.5" x14ac:dyDescent="0.35">
      <c r="A6" s="39" t="s">
        <v>194</v>
      </c>
      <c r="B6" s="137">
        <v>48</v>
      </c>
      <c r="C6" s="137">
        <v>1</v>
      </c>
      <c r="D6" s="137">
        <f t="shared" ref="D6:D16" si="0">B6*C6</f>
        <v>48</v>
      </c>
      <c r="E6" s="144">
        <f>(Respondents!B8+(Respondents!C8*0.33))*0.15</f>
        <v>0.64500000000000013</v>
      </c>
      <c r="F6" s="147">
        <f t="shared" ref="F6:F7" si="1">D6*E6</f>
        <v>30.960000000000008</v>
      </c>
      <c r="G6" s="147">
        <f t="shared" ref="G6:G7" si="2">F6*0.05</f>
        <v>1.5480000000000005</v>
      </c>
      <c r="H6" s="147">
        <f>F6*0.1</f>
        <v>3.096000000000001</v>
      </c>
      <c r="I6" s="145">
        <f>F6*$L$5+G6*$L$6+H6*$L$7</f>
        <v>2450.0505600000001</v>
      </c>
      <c r="J6" s="1"/>
      <c r="K6" s="15" t="s">
        <v>28</v>
      </c>
      <c r="L6" s="34">
        <v>54.512</v>
      </c>
    </row>
    <row r="7" spans="1:19" ht="16.899999999999999" customHeight="1" x14ac:dyDescent="0.35">
      <c r="A7" s="39" t="s">
        <v>195</v>
      </c>
      <c r="B7" s="137">
        <v>24</v>
      </c>
      <c r="C7" s="137">
        <v>1</v>
      </c>
      <c r="D7" s="137">
        <f t="shared" si="0"/>
        <v>24</v>
      </c>
      <c r="E7" s="137">
        <v>1</v>
      </c>
      <c r="F7" s="138">
        <f t="shared" si="1"/>
        <v>24</v>
      </c>
      <c r="G7" s="147">
        <f t="shared" si="2"/>
        <v>1.2000000000000002</v>
      </c>
      <c r="H7" s="147">
        <f>F7*0.1</f>
        <v>2.4000000000000004</v>
      </c>
      <c r="I7" s="11">
        <f>F7*$L$6+G7*$L$5+H7*$L$7</f>
        <v>1467.2496000000001</v>
      </c>
      <c r="J7" s="1"/>
      <c r="K7" s="15" t="s">
        <v>18</v>
      </c>
      <c r="L7" s="34">
        <v>29.504000000000001</v>
      </c>
    </row>
    <row r="8" spans="1:19" ht="15.5" x14ac:dyDescent="0.35">
      <c r="A8" s="39" t="s">
        <v>196</v>
      </c>
      <c r="B8" s="137" t="s">
        <v>158</v>
      </c>
      <c r="C8" s="137"/>
      <c r="D8" s="137"/>
      <c r="E8" s="10"/>
      <c r="F8" s="10"/>
      <c r="G8" s="10"/>
      <c r="H8" s="10"/>
      <c r="I8" s="11"/>
      <c r="J8" s="13"/>
      <c r="K8" s="13"/>
      <c r="L8" s="1"/>
      <c r="P8" s="109"/>
      <c r="Q8" s="109"/>
    </row>
    <row r="9" spans="1:19" ht="19.5" customHeight="1" x14ac:dyDescent="0.35">
      <c r="A9" s="39" t="s">
        <v>197</v>
      </c>
      <c r="B9" s="137" t="s">
        <v>158</v>
      </c>
      <c r="C9" s="137"/>
      <c r="D9" s="137"/>
      <c r="E9" s="10"/>
      <c r="F9" s="10"/>
      <c r="G9" s="10"/>
      <c r="H9" s="10"/>
      <c r="I9" s="11"/>
      <c r="J9" s="13"/>
      <c r="K9" s="13"/>
      <c r="L9" s="3"/>
      <c r="P9" s="111"/>
      <c r="Q9" s="111"/>
    </row>
    <row r="10" spans="1:19" ht="15.5" x14ac:dyDescent="0.35">
      <c r="A10" s="39" t="s">
        <v>198</v>
      </c>
      <c r="B10" s="137"/>
      <c r="C10" s="137"/>
      <c r="D10" s="137"/>
      <c r="E10" s="10"/>
      <c r="F10" s="73"/>
      <c r="G10" s="70"/>
      <c r="H10" s="73"/>
      <c r="I10" s="11"/>
      <c r="J10" s="16"/>
      <c r="K10" s="13"/>
      <c r="L10" s="3"/>
      <c r="R10" s="109"/>
      <c r="S10" s="109"/>
    </row>
    <row r="11" spans="1:19" ht="15.5" x14ac:dyDescent="0.35">
      <c r="A11" s="36" t="s">
        <v>199</v>
      </c>
      <c r="B11" s="137">
        <v>40</v>
      </c>
      <c r="C11" s="137">
        <v>2</v>
      </c>
      <c r="D11" s="137">
        <f t="shared" si="0"/>
        <v>80</v>
      </c>
      <c r="E11" s="10">
        <f>Respondents!B8</f>
        <v>1</v>
      </c>
      <c r="F11" s="72">
        <f t="shared" ref="F11:F16" si="3">D11*E11</f>
        <v>80</v>
      </c>
      <c r="G11" s="73">
        <f t="shared" ref="G11" si="4">F11*0.05</f>
        <v>4</v>
      </c>
      <c r="H11" s="10">
        <f t="shared" ref="H11" si="5">F11*0.1</f>
        <v>8</v>
      </c>
      <c r="I11" s="11">
        <f t="shared" ref="I11:I16" si="6">F11*$L$6+G11*$L$5+H11*$L$7</f>
        <v>4890.8320000000003</v>
      </c>
      <c r="J11" s="1"/>
      <c r="K11" s="13"/>
      <c r="L11" s="3"/>
    </row>
    <row r="12" spans="1:19" x14ac:dyDescent="0.35">
      <c r="A12" s="36" t="s">
        <v>200</v>
      </c>
      <c r="B12" s="137">
        <v>40</v>
      </c>
      <c r="C12" s="137">
        <v>1</v>
      </c>
      <c r="D12" s="137">
        <f t="shared" si="0"/>
        <v>40</v>
      </c>
      <c r="E12" s="10">
        <f>Respondents!B8</f>
        <v>1</v>
      </c>
      <c r="F12" s="72">
        <f t="shared" si="3"/>
        <v>40</v>
      </c>
      <c r="G12" s="73">
        <f t="shared" ref="G12" si="7">F12*0.05</f>
        <v>2</v>
      </c>
      <c r="H12" s="10">
        <f t="shared" ref="H12" si="8">F12*0.1</f>
        <v>4</v>
      </c>
      <c r="I12" s="11">
        <f t="shared" si="6"/>
        <v>2445.4160000000002</v>
      </c>
      <c r="J12" s="1"/>
      <c r="K12" s="1"/>
      <c r="L12" s="1"/>
    </row>
    <row r="13" spans="1:19" x14ac:dyDescent="0.35">
      <c r="A13" s="36" t="s">
        <v>201</v>
      </c>
      <c r="B13" s="137">
        <v>8</v>
      </c>
      <c r="C13" s="137">
        <v>1</v>
      </c>
      <c r="D13" s="137">
        <f t="shared" si="0"/>
        <v>8</v>
      </c>
      <c r="E13" s="10">
        <f>Respondents!C8</f>
        <v>10</v>
      </c>
      <c r="F13" s="72">
        <f t="shared" si="3"/>
        <v>80</v>
      </c>
      <c r="G13" s="73">
        <f t="shared" ref="G13" si="9">F13*0.05</f>
        <v>4</v>
      </c>
      <c r="H13" s="10">
        <f t="shared" ref="H13" si="10">F13*0.1</f>
        <v>8</v>
      </c>
      <c r="I13" s="11">
        <f t="shared" si="6"/>
        <v>4890.8320000000003</v>
      </c>
      <c r="J13" s="1"/>
      <c r="K13" s="1"/>
      <c r="L13" s="1"/>
    </row>
    <row r="14" spans="1:19" ht="26" x14ac:dyDescent="0.35">
      <c r="A14" s="36" t="s">
        <v>202</v>
      </c>
      <c r="B14" s="137">
        <v>16</v>
      </c>
      <c r="C14" s="137">
        <f>'Table 1'!C32</f>
        <v>2</v>
      </c>
      <c r="D14" s="137">
        <f t="shared" si="0"/>
        <v>32</v>
      </c>
      <c r="E14" s="10">
        <f>'Table 1'!E32</f>
        <v>1</v>
      </c>
      <c r="F14" s="72">
        <f t="shared" si="3"/>
        <v>32</v>
      </c>
      <c r="G14" s="73">
        <f t="shared" ref="G14:G16" si="11">F14*0.05</f>
        <v>1.6</v>
      </c>
      <c r="H14" s="10">
        <f t="shared" ref="H14:H16" si="12">F14*0.1</f>
        <v>3.2</v>
      </c>
      <c r="I14" s="11">
        <f t="shared" si="6"/>
        <v>1956.3328000000001</v>
      </c>
      <c r="J14" s="1"/>
      <c r="K14" s="1"/>
      <c r="L14" s="1"/>
    </row>
    <row r="15" spans="1:19" ht="26" x14ac:dyDescent="0.35">
      <c r="A15" s="36" t="s">
        <v>204</v>
      </c>
      <c r="B15" s="137">
        <v>4</v>
      </c>
      <c r="C15" s="137">
        <v>1</v>
      </c>
      <c r="D15" s="137">
        <f t="shared" si="0"/>
        <v>4</v>
      </c>
      <c r="E15" s="10">
        <f>'Table 1'!E32</f>
        <v>1</v>
      </c>
      <c r="F15" s="72">
        <f t="shared" si="3"/>
        <v>4</v>
      </c>
      <c r="G15" s="70">
        <f t="shared" si="11"/>
        <v>0.2</v>
      </c>
      <c r="H15" s="10">
        <f t="shared" si="12"/>
        <v>0.4</v>
      </c>
      <c r="I15" s="11">
        <f t="shared" si="6"/>
        <v>244.54160000000002</v>
      </c>
      <c r="J15" s="1"/>
      <c r="K15" s="1"/>
      <c r="L15" s="1"/>
    </row>
    <row r="16" spans="1:19" ht="15.5" x14ac:dyDescent="0.35">
      <c r="A16" s="39" t="s">
        <v>203</v>
      </c>
      <c r="B16" s="137">
        <v>4</v>
      </c>
      <c r="C16" s="137">
        <v>1</v>
      </c>
      <c r="D16" s="137">
        <f t="shared" si="0"/>
        <v>4</v>
      </c>
      <c r="E16" s="10">
        <f>Respondents!C8</f>
        <v>10</v>
      </c>
      <c r="F16" s="72">
        <f t="shared" si="3"/>
        <v>40</v>
      </c>
      <c r="G16" s="70">
        <f t="shared" si="11"/>
        <v>2</v>
      </c>
      <c r="H16" s="10">
        <f t="shared" si="12"/>
        <v>4</v>
      </c>
      <c r="I16" s="11">
        <f t="shared" si="6"/>
        <v>2445.4160000000002</v>
      </c>
      <c r="J16" s="1"/>
      <c r="K16" s="1"/>
      <c r="L16" s="1"/>
    </row>
    <row r="17" spans="1:13" x14ac:dyDescent="0.35">
      <c r="A17" s="35"/>
      <c r="E17" s="10"/>
      <c r="F17" s="72"/>
      <c r="G17" s="73"/>
      <c r="H17" s="10"/>
      <c r="I17" s="11"/>
      <c r="J17" s="1"/>
      <c r="K17" s="1"/>
      <c r="L17" s="1"/>
    </row>
    <row r="18" spans="1:13" ht="15" customHeight="1" x14ac:dyDescent="0.35">
      <c r="A18" s="54" t="s">
        <v>29</v>
      </c>
      <c r="B18" s="177"/>
      <c r="C18" s="177"/>
      <c r="D18" s="177"/>
      <c r="E18" s="177"/>
      <c r="F18" s="179">
        <f>ROUND(SUM(F4:H16), 0)</f>
        <v>381</v>
      </c>
      <c r="G18" s="179"/>
      <c r="H18" s="179"/>
      <c r="I18" s="83">
        <f>ROUND(SUM(I4:I16), -2)</f>
        <v>20800</v>
      </c>
      <c r="J18" s="1"/>
      <c r="K18" s="1"/>
      <c r="L18" s="1"/>
      <c r="M18" s="148"/>
    </row>
    <row r="19" spans="1:13" ht="9.75" customHeight="1" x14ac:dyDescent="0.35">
      <c r="A19" s="182"/>
      <c r="B19" s="182"/>
      <c r="C19" s="182"/>
      <c r="D19" s="182"/>
      <c r="E19" s="182"/>
      <c r="F19" s="182"/>
      <c r="G19" s="182"/>
      <c r="H19" s="182"/>
      <c r="I19" s="182"/>
      <c r="J19" s="1"/>
      <c r="K19" s="1"/>
      <c r="L19" s="1"/>
    </row>
    <row r="20" spans="1:13" ht="18.75" customHeight="1" x14ac:dyDescent="0.35">
      <c r="A20" s="181" t="s">
        <v>24</v>
      </c>
      <c r="B20" s="181"/>
      <c r="C20" s="181"/>
      <c r="D20" s="181"/>
      <c r="E20" s="181"/>
      <c r="F20" s="181"/>
      <c r="G20" s="181"/>
      <c r="H20" s="181"/>
      <c r="I20" s="181"/>
      <c r="J20" s="1"/>
      <c r="K20" s="1"/>
      <c r="L20" s="1"/>
    </row>
    <row r="21" spans="1:13" ht="50.5" customHeight="1" x14ac:dyDescent="0.35">
      <c r="A21" s="180" t="s">
        <v>212</v>
      </c>
      <c r="B21" s="180"/>
      <c r="C21" s="180"/>
      <c r="D21" s="180"/>
      <c r="E21" s="180"/>
      <c r="F21" s="180"/>
      <c r="G21" s="180"/>
      <c r="H21" s="180"/>
      <c r="I21" s="180"/>
      <c r="J21" s="1"/>
      <c r="K21" s="1"/>
      <c r="L21" s="1"/>
    </row>
    <row r="22" spans="1:13" ht="60" customHeight="1" x14ac:dyDescent="0.35">
      <c r="A22" s="158" t="s">
        <v>211</v>
      </c>
      <c r="B22" s="158"/>
      <c r="C22" s="158"/>
      <c r="D22" s="158"/>
      <c r="E22" s="158"/>
      <c r="F22" s="158"/>
      <c r="G22" s="158"/>
      <c r="H22" s="158"/>
      <c r="I22" s="158"/>
      <c r="J22" s="1"/>
      <c r="K22" s="1"/>
      <c r="L22" s="1"/>
    </row>
    <row r="23" spans="1:13" ht="30" customHeight="1" x14ac:dyDescent="0.35">
      <c r="A23" s="178" t="s">
        <v>214</v>
      </c>
      <c r="B23" s="178"/>
      <c r="C23" s="178"/>
      <c r="D23" s="178"/>
      <c r="E23" s="178"/>
      <c r="F23" s="178"/>
      <c r="G23" s="178"/>
      <c r="H23" s="178"/>
      <c r="I23" s="178"/>
      <c r="J23" s="1"/>
      <c r="K23" s="1"/>
      <c r="L23" s="1"/>
    </row>
    <row r="24" spans="1:13" ht="14.5" customHeight="1" x14ac:dyDescent="0.35">
      <c r="A24" s="178" t="s">
        <v>185</v>
      </c>
      <c r="B24" s="178"/>
      <c r="C24" s="178"/>
      <c r="D24" s="178"/>
      <c r="E24" s="178"/>
      <c r="F24" s="178"/>
      <c r="G24" s="178"/>
      <c r="H24" s="178"/>
      <c r="I24" s="178"/>
      <c r="J24" s="1"/>
      <c r="K24" s="1"/>
      <c r="L24" s="1"/>
    </row>
    <row r="25" spans="1:13" ht="15.65" customHeight="1" x14ac:dyDescent="0.35">
      <c r="A25" s="178" t="s">
        <v>186</v>
      </c>
      <c r="B25" s="178"/>
      <c r="C25" s="178"/>
      <c r="D25" s="178"/>
      <c r="E25" s="178"/>
      <c r="F25" s="178"/>
      <c r="G25" s="178"/>
      <c r="H25" s="178"/>
      <c r="I25" s="178"/>
      <c r="J25" s="1"/>
      <c r="K25" s="1"/>
      <c r="L25" s="1"/>
    </row>
    <row r="26" spans="1:13" ht="14.5" customHeight="1" x14ac:dyDescent="0.35">
      <c r="A26" s="178" t="s">
        <v>187</v>
      </c>
      <c r="B26" s="178"/>
      <c r="C26" s="178"/>
      <c r="D26" s="178"/>
      <c r="E26" s="178"/>
      <c r="F26" s="178"/>
      <c r="G26" s="178"/>
      <c r="H26" s="178"/>
      <c r="I26" s="178"/>
      <c r="J26" s="1"/>
      <c r="K26" s="1"/>
      <c r="L26" s="1"/>
    </row>
    <row r="27" spans="1:13" ht="17.5" customHeight="1" x14ac:dyDescent="0.35">
      <c r="A27" s="175" t="s">
        <v>30</v>
      </c>
      <c r="B27" s="176"/>
      <c r="C27" s="176"/>
      <c r="D27" s="176"/>
      <c r="E27" s="176"/>
      <c r="F27" s="176"/>
      <c r="G27" s="176"/>
      <c r="H27" s="176"/>
      <c r="I27" s="176"/>
      <c r="J27" s="1"/>
      <c r="K27" s="1"/>
      <c r="L27" s="1"/>
    </row>
    <row r="28" spans="1:13" x14ac:dyDescent="0.35">
      <c r="A28" s="175" t="s">
        <v>31</v>
      </c>
      <c r="B28" s="176"/>
      <c r="C28" s="176"/>
      <c r="D28" s="176"/>
      <c r="E28" s="176"/>
      <c r="F28" s="176"/>
      <c r="G28" s="176"/>
      <c r="H28" s="176"/>
      <c r="I28" s="176"/>
      <c r="J28" s="1"/>
      <c r="K28" s="1"/>
      <c r="L28" s="1"/>
    </row>
    <row r="29" spans="1:13" x14ac:dyDescent="0.35">
      <c r="A29" s="1"/>
      <c r="B29" s="1"/>
      <c r="C29" s="1"/>
      <c r="D29" s="1"/>
      <c r="E29" s="1"/>
      <c r="F29" s="1"/>
      <c r="G29" s="1"/>
      <c r="H29" s="1"/>
      <c r="I29" s="1"/>
      <c r="J29" s="1"/>
      <c r="K29" s="1"/>
      <c r="L29" s="1"/>
    </row>
    <row r="30" spans="1:13" x14ac:dyDescent="0.35">
      <c r="A30" s="1"/>
      <c r="B30" s="1"/>
      <c r="C30" s="1"/>
      <c r="D30" s="1"/>
      <c r="E30" s="1"/>
      <c r="F30" s="1"/>
      <c r="G30" s="1"/>
      <c r="H30" s="1"/>
      <c r="I30" s="1"/>
      <c r="J30" s="1"/>
      <c r="K30" s="1"/>
      <c r="L30" s="1"/>
    </row>
    <row r="31" spans="1:13" x14ac:dyDescent="0.35">
      <c r="A31" s="1"/>
      <c r="B31" s="1"/>
      <c r="C31" s="1"/>
      <c r="D31" s="1"/>
      <c r="E31" s="1"/>
      <c r="F31" s="1"/>
      <c r="G31" s="1"/>
      <c r="H31" s="1"/>
      <c r="I31" s="1"/>
      <c r="J31" s="1"/>
      <c r="K31" s="1"/>
      <c r="L31" s="1"/>
    </row>
    <row r="32" spans="1:13" x14ac:dyDescent="0.35">
      <c r="A32" s="1"/>
      <c r="B32" s="85"/>
      <c r="C32" s="85"/>
      <c r="D32" s="1"/>
      <c r="E32" s="1"/>
      <c r="F32" s="1"/>
      <c r="G32" s="1"/>
      <c r="H32" s="1"/>
      <c r="I32" s="1"/>
      <c r="J32" s="1"/>
      <c r="K32" s="1"/>
      <c r="L32" s="1"/>
    </row>
    <row r="33" spans="1:12" x14ac:dyDescent="0.35">
      <c r="A33" s="1"/>
      <c r="B33" s="85"/>
      <c r="C33" s="85"/>
      <c r="D33" s="1"/>
      <c r="E33" s="1"/>
      <c r="F33" s="1"/>
      <c r="G33" s="1"/>
      <c r="H33" s="1"/>
      <c r="I33" s="1"/>
      <c r="J33" s="1"/>
      <c r="K33" s="1"/>
      <c r="L33" s="1"/>
    </row>
    <row r="34" spans="1:12" x14ac:dyDescent="0.35">
      <c r="A34" s="1"/>
      <c r="B34" s="85"/>
      <c r="C34" s="85"/>
      <c r="D34" s="1"/>
      <c r="E34" s="1"/>
      <c r="F34" s="1"/>
      <c r="G34" s="1"/>
      <c r="H34" s="1"/>
      <c r="I34" s="1"/>
      <c r="J34" s="1"/>
      <c r="K34" s="1"/>
      <c r="L34" s="1"/>
    </row>
    <row r="35" spans="1:12" x14ac:dyDescent="0.35">
      <c r="A35" s="1"/>
      <c r="B35" s="1"/>
      <c r="C35" s="1"/>
      <c r="D35" s="1"/>
      <c r="E35" s="1"/>
      <c r="F35" s="1"/>
      <c r="G35" s="1"/>
      <c r="H35" s="1"/>
      <c r="I35" s="1"/>
      <c r="J35" s="1"/>
      <c r="K35" s="1"/>
      <c r="L35" s="1"/>
    </row>
    <row r="36" spans="1:12" x14ac:dyDescent="0.35">
      <c r="A36" s="1"/>
      <c r="B36" s="1"/>
      <c r="C36" s="1"/>
      <c r="D36" s="1"/>
      <c r="E36" s="1"/>
      <c r="F36" s="1"/>
      <c r="G36" s="1"/>
      <c r="H36" s="1"/>
      <c r="I36" s="1"/>
      <c r="J36" s="1"/>
      <c r="K36" s="1"/>
      <c r="L36" s="1"/>
    </row>
    <row r="37" spans="1:12" x14ac:dyDescent="0.35">
      <c r="A37" s="1"/>
      <c r="B37" s="1"/>
      <c r="C37" s="1"/>
      <c r="D37" s="1"/>
      <c r="E37" s="1"/>
      <c r="F37" s="1"/>
      <c r="G37" s="1"/>
      <c r="H37" s="1"/>
      <c r="I37" s="1"/>
      <c r="J37" s="1"/>
      <c r="K37" s="1"/>
      <c r="L37" s="1"/>
    </row>
    <row r="38" spans="1:12" x14ac:dyDescent="0.35">
      <c r="A38" s="1"/>
      <c r="B38" s="1"/>
      <c r="C38" s="1"/>
      <c r="D38" s="1"/>
      <c r="E38" s="1"/>
      <c r="F38" s="1"/>
      <c r="G38" s="1"/>
      <c r="H38" s="1"/>
      <c r="I38" s="1"/>
      <c r="J38" s="1"/>
      <c r="K38" s="1"/>
      <c r="L38" s="1"/>
    </row>
  </sheetData>
  <mergeCells count="14">
    <mergeCell ref="A1:I1"/>
    <mergeCell ref="K4:L4"/>
    <mergeCell ref="A28:I28"/>
    <mergeCell ref="B18:E18"/>
    <mergeCell ref="A25:I25"/>
    <mergeCell ref="A26:I26"/>
    <mergeCell ref="A27:I27"/>
    <mergeCell ref="F18:H18"/>
    <mergeCell ref="A21:I21"/>
    <mergeCell ref="A22:I22"/>
    <mergeCell ref="A24:I24"/>
    <mergeCell ref="A23:I23"/>
    <mergeCell ref="A20:I20"/>
    <mergeCell ref="A19:I19"/>
  </mergeCells>
  <pageMargins left="0.7" right="0.7" top="0.75" bottom="0.75" header="0.3" footer="0.3"/>
  <pageSetup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3E3CA-182B-4F98-B2D0-1BA8517B03CE}">
  <dimension ref="A1:I15"/>
  <sheetViews>
    <sheetView zoomScaleNormal="100" workbookViewId="0"/>
  </sheetViews>
  <sheetFormatPr defaultColWidth="22" defaultRowHeight="13" x14ac:dyDescent="0.3"/>
  <cols>
    <col min="1" max="1" width="22" style="20"/>
    <col min="2" max="2" width="17.54296875" style="20" customWidth="1"/>
    <col min="3" max="3" width="17.26953125" style="20" customWidth="1"/>
    <col min="4" max="4" width="22" style="20"/>
    <col min="5" max="5" width="19.81640625" style="20" customWidth="1"/>
    <col min="6" max="6" width="16.81640625" style="20" customWidth="1"/>
    <col min="7" max="7" width="17" style="20" customWidth="1"/>
    <col min="8" max="8" width="6" style="20" customWidth="1"/>
    <col min="9" max="16384" width="22" style="20"/>
  </cols>
  <sheetData>
    <row r="1" spans="1:9" x14ac:dyDescent="0.3">
      <c r="A1" s="5"/>
      <c r="B1" s="6"/>
      <c r="C1" s="6"/>
    </row>
    <row r="2" spans="1:9" x14ac:dyDescent="0.3">
      <c r="A2" s="186" t="s">
        <v>32</v>
      </c>
      <c r="B2" s="186"/>
      <c r="C2" s="186"/>
      <c r="D2" s="186"/>
      <c r="E2" s="186"/>
      <c r="F2" s="186"/>
      <c r="G2" s="187"/>
      <c r="H2" s="28"/>
    </row>
    <row r="3" spans="1:9" x14ac:dyDescent="0.3">
      <c r="A3" s="24" t="s">
        <v>33</v>
      </c>
      <c r="B3" s="24" t="s">
        <v>34</v>
      </c>
      <c r="C3" s="24" t="s">
        <v>35</v>
      </c>
      <c r="D3" s="24" t="s">
        <v>36</v>
      </c>
      <c r="E3" s="24" t="s">
        <v>37</v>
      </c>
      <c r="F3" s="24" t="s">
        <v>38</v>
      </c>
      <c r="G3" s="24" t="s">
        <v>39</v>
      </c>
      <c r="H3" s="28"/>
    </row>
    <row r="4" spans="1:9" ht="46.5" customHeight="1" x14ac:dyDescent="0.3">
      <c r="A4" s="24" t="s">
        <v>40</v>
      </c>
      <c r="B4" s="24" t="s">
        <v>41</v>
      </c>
      <c r="C4" s="24" t="s">
        <v>42</v>
      </c>
      <c r="D4" s="24" t="s">
        <v>43</v>
      </c>
      <c r="E4" s="24" t="s">
        <v>44</v>
      </c>
      <c r="F4" s="24" t="s">
        <v>45</v>
      </c>
      <c r="G4" s="24" t="s">
        <v>46</v>
      </c>
      <c r="H4" s="28"/>
    </row>
    <row r="5" spans="1:9" ht="36.75" customHeight="1" x14ac:dyDescent="0.3">
      <c r="A5" s="23" t="s">
        <v>105</v>
      </c>
      <c r="B5" s="25">
        <f>226946*'Stack testing'!D7/'Stack testing'!D8</f>
        <v>321842.08550573513</v>
      </c>
      <c r="C5" s="22">
        <v>1</v>
      </c>
      <c r="D5" s="25">
        <f>+B5*C5</f>
        <v>321842.08550573513</v>
      </c>
      <c r="E5" s="25">
        <f>81160*'Stack testing'!D7/'Stack testing'!D8</f>
        <v>115096.55891553703</v>
      </c>
      <c r="F5" s="22">
        <f>Respondents!C8</f>
        <v>10</v>
      </c>
      <c r="G5" s="25">
        <f>E5*F5</f>
        <v>1150965.5891553704</v>
      </c>
      <c r="H5" s="29"/>
    </row>
    <row r="6" spans="1:9" ht="36.75" customHeight="1" x14ac:dyDescent="0.3">
      <c r="A6" s="23" t="s">
        <v>106</v>
      </c>
      <c r="B6" s="25">
        <f>'Stack testing'!F22</f>
        <v>87000</v>
      </c>
      <c r="C6" s="22">
        <v>1</v>
      </c>
      <c r="D6" s="25">
        <f>+B6*C6</f>
        <v>87000</v>
      </c>
      <c r="E6" s="25">
        <f>B6</f>
        <v>87000</v>
      </c>
      <c r="F6" s="22">
        <f>Respondents!C8*0.33</f>
        <v>3.3000000000000003</v>
      </c>
      <c r="G6" s="25">
        <f>E6*F6</f>
        <v>287100</v>
      </c>
      <c r="H6" s="29"/>
    </row>
    <row r="7" spans="1:9" ht="36.75" customHeight="1" x14ac:dyDescent="0.3">
      <c r="A7" s="23" t="s">
        <v>107</v>
      </c>
      <c r="B7" s="25">
        <v>100</v>
      </c>
      <c r="C7" s="22">
        <v>1</v>
      </c>
      <c r="D7" s="25">
        <f>+B7*C7</f>
        <v>100</v>
      </c>
      <c r="E7" s="22"/>
      <c r="F7" s="22"/>
      <c r="G7" s="110"/>
      <c r="H7" s="30"/>
    </row>
    <row r="8" spans="1:9" ht="46.5" customHeight="1" x14ac:dyDescent="0.3">
      <c r="A8" s="26" t="s">
        <v>47</v>
      </c>
      <c r="B8" s="22"/>
      <c r="C8" s="22"/>
      <c r="D8" s="27">
        <f>ROUND(SUM(D5:D7), -3)</f>
        <v>409000</v>
      </c>
      <c r="E8" s="22"/>
      <c r="F8" s="22"/>
      <c r="G8" s="27">
        <f>ROUND(SUM(G5:G7), -4)</f>
        <v>1440000</v>
      </c>
      <c r="I8" s="80">
        <f>ROUND(D8+G8,-4)</f>
        <v>1850000</v>
      </c>
    </row>
    <row r="9" spans="1:9" ht="11.25" customHeight="1" x14ac:dyDescent="0.3">
      <c r="A9" s="78"/>
      <c r="B9" s="79"/>
      <c r="C9" s="79"/>
      <c r="D9" s="30"/>
      <c r="E9" s="79"/>
      <c r="F9" s="79"/>
      <c r="G9" s="30"/>
    </row>
    <row r="10" spans="1:9" ht="66.75" customHeight="1" x14ac:dyDescent="0.3">
      <c r="A10" s="184" t="s">
        <v>111</v>
      </c>
      <c r="B10" s="185"/>
      <c r="C10" s="185"/>
      <c r="D10" s="185"/>
      <c r="E10" s="185"/>
      <c r="F10" s="185"/>
      <c r="G10" s="185"/>
    </row>
    <row r="11" spans="1:9" ht="55.9" customHeight="1" x14ac:dyDescent="0.3">
      <c r="A11" s="183" t="s">
        <v>208</v>
      </c>
      <c r="B11" s="183"/>
      <c r="C11" s="183"/>
      <c r="D11" s="183"/>
      <c r="E11" s="183"/>
      <c r="F11" s="183"/>
      <c r="G11" s="183"/>
    </row>
    <row r="12" spans="1:9" ht="87" customHeight="1" x14ac:dyDescent="0.3">
      <c r="A12" s="183" t="s">
        <v>210</v>
      </c>
      <c r="B12" s="183"/>
      <c r="C12" s="183"/>
      <c r="D12" s="183"/>
      <c r="E12" s="183"/>
      <c r="F12" s="183"/>
      <c r="G12" s="183"/>
    </row>
    <row r="13" spans="1:9" ht="15.5" x14ac:dyDescent="0.3">
      <c r="A13" s="183" t="s">
        <v>108</v>
      </c>
      <c r="B13" s="183"/>
      <c r="C13" s="183"/>
      <c r="D13" s="183"/>
      <c r="E13" s="183"/>
      <c r="F13" s="183"/>
      <c r="G13" s="183"/>
    </row>
    <row r="14" spans="1:9" ht="15.5" x14ac:dyDescent="0.3">
      <c r="A14" s="183" t="s">
        <v>109</v>
      </c>
      <c r="B14" s="183"/>
      <c r="C14" s="183"/>
      <c r="D14" s="183"/>
      <c r="E14" s="183"/>
      <c r="F14" s="183"/>
      <c r="G14" s="183"/>
    </row>
    <row r="15" spans="1:9" ht="15.5" x14ac:dyDescent="0.3">
      <c r="A15" s="109"/>
    </row>
  </sheetData>
  <mergeCells count="6">
    <mergeCell ref="A14:G14"/>
    <mergeCell ref="A12:G12"/>
    <mergeCell ref="A10:G10"/>
    <mergeCell ref="A2:G2"/>
    <mergeCell ref="A11:G11"/>
    <mergeCell ref="A13:G13"/>
  </mergeCells>
  <pageMargins left="0.7" right="0.7" top="0.75" bottom="0.75" header="0.3" footer="0.3"/>
  <pageSetup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A8CA8-D06D-48F9-AB41-065F033F135F}">
  <dimension ref="A1:F17"/>
  <sheetViews>
    <sheetView zoomScale="80" zoomScaleNormal="80" workbookViewId="0">
      <selection sqref="A1:E1"/>
    </sheetView>
  </sheetViews>
  <sheetFormatPr defaultRowHeight="14.5" x14ac:dyDescent="0.35"/>
  <cols>
    <col min="1" max="1" width="58.81640625" customWidth="1"/>
    <col min="2" max="2" width="11.81640625" customWidth="1"/>
    <col min="3" max="3" width="12.7265625" customWidth="1"/>
    <col min="4" max="4" width="15.453125" customWidth="1"/>
    <col min="5" max="5" width="14.7265625" customWidth="1"/>
  </cols>
  <sheetData>
    <row r="1" spans="1:6" s="20" customFormat="1" ht="15" x14ac:dyDescent="0.3">
      <c r="A1" s="189" t="s">
        <v>6</v>
      </c>
      <c r="B1" s="189"/>
      <c r="C1" s="189"/>
      <c r="D1" s="189"/>
      <c r="E1" s="189"/>
    </row>
    <row r="2" spans="1:6" s="20" customFormat="1" ht="13" x14ac:dyDescent="0.3">
      <c r="A2" s="21" t="s">
        <v>33</v>
      </c>
      <c r="B2" s="21" t="s">
        <v>34</v>
      </c>
      <c r="C2" s="21" t="s">
        <v>35</v>
      </c>
      <c r="D2" s="21" t="s">
        <v>36</v>
      </c>
      <c r="E2" s="21" t="s">
        <v>37</v>
      </c>
    </row>
    <row r="3" spans="1:6" s="20" customFormat="1" ht="65" x14ac:dyDescent="0.3">
      <c r="A3" s="21" t="s">
        <v>48</v>
      </c>
      <c r="B3" s="21" t="s">
        <v>49</v>
      </c>
      <c r="C3" s="21" t="s">
        <v>50</v>
      </c>
      <c r="D3" s="21" t="s">
        <v>51</v>
      </c>
      <c r="E3" s="21" t="s">
        <v>52</v>
      </c>
    </row>
    <row r="4" spans="1:6" s="20" customFormat="1" ht="17.25" customHeight="1" x14ac:dyDescent="0.3">
      <c r="A4" s="106" t="s">
        <v>94</v>
      </c>
      <c r="B4" s="107">
        <v>1</v>
      </c>
      <c r="C4" s="107">
        <v>1</v>
      </c>
      <c r="D4" s="107">
        <v>0</v>
      </c>
      <c r="E4" s="107">
        <f>(B4*C4)+D4</f>
        <v>1</v>
      </c>
    </row>
    <row r="5" spans="1:6" s="20" customFormat="1" ht="16.149999999999999" customHeight="1" x14ac:dyDescent="0.3">
      <c r="A5" s="106" t="s">
        <v>95</v>
      </c>
      <c r="B5" s="107">
        <v>1</v>
      </c>
      <c r="C5" s="107">
        <v>1</v>
      </c>
      <c r="D5" s="107">
        <v>0</v>
      </c>
      <c r="E5" s="107">
        <f t="shared" ref="E5:E12" si="0">(B5*C5)+D5</f>
        <v>1</v>
      </c>
    </row>
    <row r="6" spans="1:6" s="20" customFormat="1" ht="16.149999999999999" customHeight="1" x14ac:dyDescent="0.3">
      <c r="A6" s="106" t="s">
        <v>96</v>
      </c>
      <c r="B6" s="107">
        <v>1</v>
      </c>
      <c r="C6" s="107">
        <v>1</v>
      </c>
      <c r="D6" s="107">
        <v>0</v>
      </c>
      <c r="E6" s="107">
        <f t="shared" si="0"/>
        <v>1</v>
      </c>
    </row>
    <row r="7" spans="1:6" s="20" customFormat="1" ht="16.149999999999999" customHeight="1" x14ac:dyDescent="0.3">
      <c r="A7" s="106" t="s">
        <v>97</v>
      </c>
      <c r="B7" s="107">
        <v>1</v>
      </c>
      <c r="C7" s="107">
        <v>1</v>
      </c>
      <c r="D7" s="107">
        <v>0</v>
      </c>
      <c r="E7" s="107">
        <f t="shared" si="0"/>
        <v>1</v>
      </c>
    </row>
    <row r="8" spans="1:6" s="20" customFormat="1" ht="16.149999999999999" customHeight="1" x14ac:dyDescent="0.3">
      <c r="A8" s="106" t="s">
        <v>98</v>
      </c>
      <c r="B8" s="107">
        <v>1</v>
      </c>
      <c r="C8" s="107">
        <v>1</v>
      </c>
      <c r="D8" s="107">
        <v>0</v>
      </c>
      <c r="E8" s="107">
        <f t="shared" si="0"/>
        <v>1</v>
      </c>
      <c r="F8" s="3"/>
    </row>
    <row r="9" spans="1:6" s="20" customFormat="1" ht="16.149999999999999" customHeight="1" x14ac:dyDescent="0.3">
      <c r="A9" s="106" t="s">
        <v>99</v>
      </c>
      <c r="B9" s="107">
        <f>'Table 1'!E29</f>
        <v>10</v>
      </c>
      <c r="C9" s="107">
        <v>1</v>
      </c>
      <c r="D9" s="107">
        <v>0</v>
      </c>
      <c r="E9" s="107">
        <f t="shared" si="0"/>
        <v>10</v>
      </c>
    </row>
    <row r="10" spans="1:6" s="20" customFormat="1" ht="16.149999999999999" customHeight="1" x14ac:dyDescent="0.3">
      <c r="A10" s="106" t="s">
        <v>100</v>
      </c>
      <c r="B10" s="107">
        <f>$B$9*0.1</f>
        <v>1</v>
      </c>
      <c r="C10" s="107">
        <v>1</v>
      </c>
      <c r="D10" s="107">
        <v>0</v>
      </c>
      <c r="E10" s="107">
        <f t="shared" si="0"/>
        <v>1</v>
      </c>
    </row>
    <row r="11" spans="1:6" s="20" customFormat="1" ht="30.75" customHeight="1" x14ac:dyDescent="0.3">
      <c r="A11" s="106" t="s">
        <v>101</v>
      </c>
      <c r="B11" s="107">
        <f>$B$9*0.1</f>
        <v>1</v>
      </c>
      <c r="C11" s="107">
        <v>2</v>
      </c>
      <c r="D11" s="107">
        <v>0</v>
      </c>
      <c r="E11" s="107">
        <f t="shared" si="0"/>
        <v>2</v>
      </c>
    </row>
    <row r="12" spans="1:6" s="20" customFormat="1" ht="16.149999999999999" customHeight="1" x14ac:dyDescent="0.3">
      <c r="A12" s="106" t="s">
        <v>102</v>
      </c>
      <c r="B12" s="107">
        <f>$B$9*0.1</f>
        <v>1</v>
      </c>
      <c r="C12" s="107">
        <v>2</v>
      </c>
      <c r="D12" s="107">
        <v>0</v>
      </c>
      <c r="E12" s="107">
        <f t="shared" si="0"/>
        <v>2</v>
      </c>
    </row>
    <row r="13" spans="1:6" s="20" customFormat="1" ht="14.5" customHeight="1" x14ac:dyDescent="0.3">
      <c r="A13" s="104"/>
      <c r="B13" s="105"/>
      <c r="C13" s="105"/>
      <c r="D13" s="108" t="s">
        <v>103</v>
      </c>
      <c r="E13" s="152">
        <f>ROUND(SUM(E4:E12),0)</f>
        <v>20</v>
      </c>
    </row>
    <row r="14" spans="1:6" ht="3.65" customHeight="1" x14ac:dyDescent="0.35"/>
    <row r="15" spans="1:6" ht="30" customHeight="1" x14ac:dyDescent="0.35">
      <c r="A15" s="183" t="s">
        <v>104</v>
      </c>
      <c r="B15" s="183"/>
      <c r="C15" s="183"/>
      <c r="D15" s="183"/>
      <c r="E15" s="183"/>
    </row>
    <row r="16" spans="1:6" ht="31.9" customHeight="1" x14ac:dyDescent="0.35">
      <c r="A16" s="183" t="s">
        <v>209</v>
      </c>
      <c r="B16" s="183"/>
      <c r="C16" s="183"/>
      <c r="D16" s="183"/>
      <c r="E16" s="183"/>
    </row>
    <row r="17" spans="1:5" ht="26.5" customHeight="1" x14ac:dyDescent="0.35">
      <c r="A17" s="188" t="s">
        <v>110</v>
      </c>
      <c r="B17" s="188"/>
      <c r="C17" s="188"/>
      <c r="D17" s="188"/>
      <c r="E17" s="188"/>
    </row>
  </sheetData>
  <mergeCells count="4">
    <mergeCell ref="A17:E17"/>
    <mergeCell ref="A1:E1"/>
    <mergeCell ref="A15:E15"/>
    <mergeCell ref="A16:E1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E7754-04D5-4DBA-B79C-283E5E0BF946}">
  <dimension ref="A1:F10"/>
  <sheetViews>
    <sheetView zoomScaleNormal="100" workbookViewId="0">
      <selection sqref="A1:F1"/>
    </sheetView>
  </sheetViews>
  <sheetFormatPr defaultColWidth="17.7265625" defaultRowHeight="31.9" customHeight="1" x14ac:dyDescent="0.35"/>
  <sheetData>
    <row r="1" spans="1:6" s="20" customFormat="1" ht="31.9" customHeight="1" x14ac:dyDescent="0.3">
      <c r="A1" s="189" t="s">
        <v>2</v>
      </c>
      <c r="B1" s="189"/>
      <c r="C1" s="189"/>
      <c r="D1" s="189"/>
      <c r="E1" s="189"/>
      <c r="F1" s="189"/>
    </row>
    <row r="2" spans="1:6" s="20" customFormat="1" ht="40.15" customHeight="1" x14ac:dyDescent="0.3">
      <c r="A2" s="31"/>
      <c r="B2" s="190" t="s">
        <v>53</v>
      </c>
      <c r="C2" s="190"/>
      <c r="D2" s="31" t="s">
        <v>54</v>
      </c>
      <c r="E2" s="190"/>
      <c r="F2" s="190"/>
    </row>
    <row r="3" spans="1:6" s="20" customFormat="1" ht="31.9" customHeight="1" x14ac:dyDescent="0.3">
      <c r="A3" s="31"/>
      <c r="B3" s="32" t="s">
        <v>33</v>
      </c>
      <c r="C3" s="32" t="s">
        <v>34</v>
      </c>
      <c r="D3" s="32" t="s">
        <v>35</v>
      </c>
      <c r="E3" s="32" t="s">
        <v>36</v>
      </c>
      <c r="F3" s="32" t="s">
        <v>37</v>
      </c>
    </row>
    <row r="4" spans="1:6" s="20" customFormat="1" ht="70.900000000000006" customHeight="1" x14ac:dyDescent="0.3">
      <c r="A4" s="32" t="s">
        <v>55</v>
      </c>
      <c r="B4" s="31" t="s">
        <v>56</v>
      </c>
      <c r="C4" s="31" t="s">
        <v>57</v>
      </c>
      <c r="D4" s="31" t="s">
        <v>58</v>
      </c>
      <c r="E4" s="31" t="s">
        <v>59</v>
      </c>
      <c r="F4" s="31" t="s">
        <v>60</v>
      </c>
    </row>
    <row r="5" spans="1:6" s="20" customFormat="1" ht="31.9" customHeight="1" x14ac:dyDescent="0.3">
      <c r="A5" s="21">
        <v>1</v>
      </c>
      <c r="B5" s="21">
        <v>1</v>
      </c>
      <c r="C5" s="21">
        <v>9</v>
      </c>
      <c r="D5" s="21">
        <v>0</v>
      </c>
      <c r="E5" s="21">
        <v>0</v>
      </c>
      <c r="F5" s="21">
        <v>10</v>
      </c>
    </row>
    <row r="6" spans="1:6" s="20" customFormat="1" ht="31.9" customHeight="1" x14ac:dyDescent="0.3">
      <c r="A6" s="21">
        <v>2</v>
      </c>
      <c r="B6" s="21">
        <v>1</v>
      </c>
      <c r="C6" s="21">
        <f>+C5+B6</f>
        <v>10</v>
      </c>
      <c r="D6" s="21">
        <v>0</v>
      </c>
      <c r="E6" s="21">
        <v>0</v>
      </c>
      <c r="F6" s="21">
        <f t="shared" ref="F6:F7" si="0">B6+C6+D6+E6</f>
        <v>11</v>
      </c>
    </row>
    <row r="7" spans="1:6" s="20" customFormat="1" ht="31.9" customHeight="1" x14ac:dyDescent="0.3">
      <c r="A7" s="21">
        <v>3</v>
      </c>
      <c r="B7" s="21">
        <v>1</v>
      </c>
      <c r="C7" s="21">
        <f>+C6+B7</f>
        <v>11</v>
      </c>
      <c r="D7" s="21">
        <v>0</v>
      </c>
      <c r="E7" s="21">
        <v>0</v>
      </c>
      <c r="F7" s="21">
        <f t="shared" si="0"/>
        <v>12</v>
      </c>
    </row>
    <row r="8" spans="1:6" s="20" customFormat="1" ht="31.9" customHeight="1" x14ac:dyDescent="0.3">
      <c r="A8" s="21" t="s">
        <v>61</v>
      </c>
      <c r="B8" s="21">
        <v>1</v>
      </c>
      <c r="C8" s="21">
        <f>AVERAGE(C5:C7)</f>
        <v>10</v>
      </c>
      <c r="D8" s="21">
        <v>0</v>
      </c>
      <c r="E8" s="21">
        <v>0</v>
      </c>
      <c r="F8" s="21">
        <f>AVERAGE(F5:F7)</f>
        <v>11</v>
      </c>
    </row>
    <row r="9" spans="1:6" s="20" customFormat="1" ht="58.15" customHeight="1" x14ac:dyDescent="0.3">
      <c r="A9" s="191" t="s">
        <v>93</v>
      </c>
      <c r="B9" s="191"/>
      <c r="C9" s="191"/>
      <c r="D9" s="191"/>
      <c r="E9" s="191"/>
      <c r="F9" s="191"/>
    </row>
    <row r="10" spans="1:6" ht="25.9" customHeight="1" x14ac:dyDescent="0.35">
      <c r="A10" s="183" t="s">
        <v>92</v>
      </c>
      <c r="B10" s="183"/>
      <c r="C10" s="183"/>
      <c r="D10" s="183"/>
      <c r="E10" s="183"/>
      <c r="F10" s="183"/>
    </row>
  </sheetData>
  <mergeCells count="5">
    <mergeCell ref="A1:F1"/>
    <mergeCell ref="B2:C2"/>
    <mergeCell ref="E2:F2"/>
    <mergeCell ref="A9:F9"/>
    <mergeCell ref="A10:F10"/>
  </mergeCells>
  <pageMargins left="0.7" right="0.7" top="0.75" bottom="0.75" header="0.3" footer="0.3"/>
  <pageSetup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98A52-D78A-4555-9403-1E3AB70620CB}">
  <dimension ref="A1:I32"/>
  <sheetViews>
    <sheetView zoomScale="80" zoomScaleNormal="80" workbookViewId="0">
      <selection activeCell="B39" sqref="B39"/>
    </sheetView>
  </sheetViews>
  <sheetFormatPr defaultRowHeight="14.5" x14ac:dyDescent="0.35"/>
  <cols>
    <col min="1" max="1" width="4.1796875" customWidth="1"/>
    <col min="2" max="2" width="22.453125" customWidth="1"/>
    <col min="3" max="3" width="31.26953125" customWidth="1"/>
    <col min="4" max="4" width="16.26953125" customWidth="1"/>
    <col min="5" max="5" width="20.26953125" customWidth="1"/>
    <col min="6" max="6" width="21.7265625" customWidth="1"/>
    <col min="8" max="8" width="12.26953125" customWidth="1"/>
    <col min="9" max="9" width="8.26953125" customWidth="1"/>
    <col min="10" max="10" width="20.26953125" customWidth="1"/>
    <col min="11" max="11" width="12" customWidth="1"/>
  </cols>
  <sheetData>
    <row r="1" spans="1:8" ht="18" x14ac:dyDescent="0.4">
      <c r="A1" s="86" t="s">
        <v>63</v>
      </c>
      <c r="B1" s="87"/>
      <c r="G1" s="87"/>
      <c r="H1" s="87"/>
    </row>
    <row r="2" spans="1:8" ht="30" customHeight="1" thickBot="1" x14ac:dyDescent="0.4">
      <c r="A2" s="192" t="s">
        <v>118</v>
      </c>
      <c r="B2" s="192"/>
      <c r="C2" s="192"/>
      <c r="D2" s="192"/>
      <c r="E2" s="192"/>
      <c r="F2" s="192"/>
      <c r="G2" s="87"/>
      <c r="H2" s="87"/>
    </row>
    <row r="3" spans="1:8" x14ac:dyDescent="0.35">
      <c r="A3" s="118" t="s">
        <v>64</v>
      </c>
      <c r="B3" s="119"/>
      <c r="C3" s="120" t="s">
        <v>65</v>
      </c>
      <c r="D3" s="121" t="s">
        <v>66</v>
      </c>
      <c r="E3" s="87"/>
      <c r="F3" s="87"/>
      <c r="G3" s="87"/>
      <c r="H3" s="87"/>
    </row>
    <row r="4" spans="1:8" x14ac:dyDescent="0.35">
      <c r="A4" s="93"/>
      <c r="B4" s="89"/>
      <c r="C4" s="92"/>
      <c r="D4" s="90"/>
      <c r="E4" s="87"/>
      <c r="F4" s="87"/>
      <c r="G4" s="87"/>
      <c r="H4" s="87"/>
    </row>
    <row r="5" spans="1:8" x14ac:dyDescent="0.35">
      <c r="A5" s="122" t="s">
        <v>67</v>
      </c>
      <c r="B5" s="92"/>
      <c r="C5" s="92"/>
      <c r="D5" s="90"/>
      <c r="E5" s="87"/>
      <c r="F5" s="87"/>
      <c r="G5" s="87"/>
      <c r="H5" s="87"/>
    </row>
    <row r="6" spans="1:8" x14ac:dyDescent="0.35">
      <c r="A6" s="93"/>
      <c r="B6" s="89" t="s">
        <v>68</v>
      </c>
      <c r="C6" s="92"/>
      <c r="D6" s="90"/>
      <c r="E6" s="87"/>
      <c r="F6" s="87"/>
      <c r="G6" s="87"/>
      <c r="H6" s="87"/>
    </row>
    <row r="7" spans="1:8" x14ac:dyDescent="0.35">
      <c r="A7" s="93"/>
      <c r="B7" s="91" t="s">
        <v>124</v>
      </c>
      <c r="C7" s="92"/>
      <c r="D7" s="113">
        <v>816</v>
      </c>
      <c r="E7" s="87"/>
      <c r="F7" s="87"/>
      <c r="G7" s="87"/>
      <c r="H7" s="87"/>
    </row>
    <row r="8" spans="1:8" x14ac:dyDescent="0.35">
      <c r="A8" s="93"/>
      <c r="B8" s="91" t="s">
        <v>69</v>
      </c>
      <c r="C8" s="112"/>
      <c r="D8" s="114">
        <v>575.4</v>
      </c>
      <c r="E8" s="87"/>
      <c r="F8" s="87"/>
      <c r="G8" s="87"/>
      <c r="H8" s="87"/>
    </row>
    <row r="9" spans="1:8" ht="15" thickBot="1" x14ac:dyDescent="0.4">
      <c r="A9" s="132"/>
      <c r="B9" s="97" t="s">
        <v>70</v>
      </c>
      <c r="C9" s="123"/>
      <c r="D9" s="124">
        <v>358.2</v>
      </c>
      <c r="E9" s="87"/>
      <c r="F9" s="87"/>
      <c r="G9" s="87"/>
      <c r="H9" s="87"/>
    </row>
    <row r="10" spans="1:8" ht="15" thickBot="1" x14ac:dyDescent="0.4">
      <c r="A10" s="115"/>
      <c r="B10" s="115"/>
      <c r="C10" s="115"/>
      <c r="D10" s="116"/>
      <c r="E10" s="195" t="s">
        <v>71</v>
      </c>
      <c r="F10" s="195"/>
      <c r="G10" s="87"/>
      <c r="H10" s="87"/>
    </row>
    <row r="11" spans="1:8" x14ac:dyDescent="0.35">
      <c r="A11" s="131" t="s">
        <v>72</v>
      </c>
      <c r="B11" s="117"/>
      <c r="C11" s="126"/>
      <c r="D11" s="127" t="s">
        <v>125</v>
      </c>
      <c r="E11" s="126" t="s">
        <v>73</v>
      </c>
      <c r="F11" s="128" t="s">
        <v>119</v>
      </c>
      <c r="G11" s="87"/>
      <c r="H11" s="87"/>
    </row>
    <row r="12" spans="1:8" x14ac:dyDescent="0.35">
      <c r="A12" s="88"/>
      <c r="B12" s="91" t="s">
        <v>74</v>
      </c>
      <c r="C12" s="94" t="s">
        <v>75</v>
      </c>
      <c r="D12" s="125">
        <f>ROUND(8000*575.4/358.2,-3)</f>
        <v>13000</v>
      </c>
      <c r="E12" s="125">
        <f>D12*2/3</f>
        <v>8666.6666666666661</v>
      </c>
      <c r="F12" s="95">
        <f>ROUND(E12*$D$7/$D$8,-2)</f>
        <v>12300</v>
      </c>
      <c r="G12" s="87"/>
      <c r="H12" s="87"/>
    </row>
    <row r="13" spans="1:8" x14ac:dyDescent="0.35">
      <c r="A13" s="88"/>
      <c r="B13" s="91" t="s">
        <v>76</v>
      </c>
      <c r="C13" s="94" t="s">
        <v>77</v>
      </c>
      <c r="D13" s="125">
        <f>ROUND(1000*575.4/358.2,-3)+1500</f>
        <v>3500</v>
      </c>
      <c r="E13" s="125">
        <f t="shared" ref="E13:E19" si="0">D13*2/3</f>
        <v>2333.3333333333335</v>
      </c>
      <c r="F13" s="95">
        <f>ROUND(E13*$D$7/$D$8,-1)</f>
        <v>3310</v>
      </c>
      <c r="G13" s="87"/>
      <c r="H13" s="87"/>
    </row>
    <row r="14" spans="1:8" x14ac:dyDescent="0.35">
      <c r="A14" s="88"/>
      <c r="B14" s="91" t="s">
        <v>78</v>
      </c>
      <c r="C14" s="94" t="s">
        <v>79</v>
      </c>
      <c r="D14" s="125">
        <f>ROUND(4000*575.4/358.2,-3)+1000</f>
        <v>7000</v>
      </c>
      <c r="E14" s="125">
        <f t="shared" si="0"/>
        <v>4666.666666666667</v>
      </c>
      <c r="F14" s="95">
        <f>ROUND(E14*$D$7/$D$8,-1)</f>
        <v>6620</v>
      </c>
      <c r="G14" s="87"/>
      <c r="H14" s="87"/>
    </row>
    <row r="15" spans="1:8" x14ac:dyDescent="0.35">
      <c r="A15" s="88"/>
      <c r="B15" s="91" t="s">
        <v>80</v>
      </c>
      <c r="C15" s="94" t="s">
        <v>81</v>
      </c>
      <c r="D15" s="125">
        <f>ROUND(5000*575.4/358.2,-3)</f>
        <v>8000</v>
      </c>
      <c r="E15" s="125">
        <f t="shared" si="0"/>
        <v>5333.333333333333</v>
      </c>
      <c r="F15" s="95">
        <f>ROUND(E15*$D$7/$D$8,-1)</f>
        <v>7560</v>
      </c>
      <c r="G15" s="87"/>
      <c r="H15" s="87"/>
    </row>
    <row r="16" spans="1:8" x14ac:dyDescent="0.35">
      <c r="A16" s="88"/>
      <c r="B16" s="91" t="s">
        <v>82</v>
      </c>
      <c r="C16" s="94" t="s">
        <v>83</v>
      </c>
      <c r="D16" s="125">
        <f>ROUND(8000*575.4/358.2,-3)+2000</f>
        <v>15000</v>
      </c>
      <c r="E16" s="125">
        <f t="shared" si="0"/>
        <v>10000</v>
      </c>
      <c r="F16" s="95">
        <f>ROUND(E16*$D$7/$D$8,-2)</f>
        <v>14200</v>
      </c>
    </row>
    <row r="17" spans="1:9" x14ac:dyDescent="0.35">
      <c r="A17" s="88"/>
      <c r="B17" s="91" t="s">
        <v>84</v>
      </c>
      <c r="C17" s="94" t="s">
        <v>85</v>
      </c>
      <c r="D17" s="125">
        <f>ROUND(21000*575.4/358.2,-3)-5000</f>
        <v>29000</v>
      </c>
      <c r="E17" s="125">
        <f t="shared" si="0"/>
        <v>19333.333333333332</v>
      </c>
      <c r="F17" s="95">
        <f>ROUND(E17*$D$7/$D$8,-2)</f>
        <v>27400</v>
      </c>
    </row>
    <row r="18" spans="1:9" ht="15.5" x14ac:dyDescent="0.4">
      <c r="A18" s="88"/>
      <c r="B18" s="91" t="s">
        <v>86</v>
      </c>
      <c r="C18" s="94" t="s">
        <v>81</v>
      </c>
      <c r="D18" s="125">
        <f>ROUND(5000*575.4/358.2,-3)</f>
        <v>8000</v>
      </c>
      <c r="E18" s="125">
        <f t="shared" si="0"/>
        <v>5333.333333333333</v>
      </c>
      <c r="F18" s="95">
        <f>ROUND(E18*$D$7/$D$8,-1)</f>
        <v>7560</v>
      </c>
    </row>
    <row r="19" spans="1:9" ht="16" thickBot="1" x14ac:dyDescent="0.45">
      <c r="A19" s="96"/>
      <c r="B19" s="97" t="s">
        <v>87</v>
      </c>
      <c r="C19" s="98" t="s">
        <v>81</v>
      </c>
      <c r="D19" s="129">
        <f>ROUND(5000*575.4/358.2,-3)</f>
        <v>8000</v>
      </c>
      <c r="E19" s="129">
        <f t="shared" si="0"/>
        <v>5333.333333333333</v>
      </c>
      <c r="F19" s="130">
        <f>ROUND(E19*$D$7/$D$8,-1)</f>
        <v>7560</v>
      </c>
      <c r="G19" s="87"/>
      <c r="H19" s="87"/>
    </row>
    <row r="20" spans="1:9" x14ac:dyDescent="0.35">
      <c r="A20" s="87"/>
      <c r="B20" s="87"/>
      <c r="C20" s="99" t="s">
        <v>126</v>
      </c>
      <c r="D20" s="100">
        <f>SUM(D12:D19)</f>
        <v>91500</v>
      </c>
      <c r="E20" s="100">
        <f>SUM(E12:E19)</f>
        <v>61000</v>
      </c>
      <c r="F20" s="100">
        <f>ROUND(SUM(F12:F19),-2)</f>
        <v>86500</v>
      </c>
      <c r="G20" s="101"/>
      <c r="H20" s="87" t="s">
        <v>89</v>
      </c>
      <c r="I20" s="103">
        <f>2/3*(SUM(D12:D19))</f>
        <v>61000</v>
      </c>
    </row>
    <row r="21" spans="1:9" x14ac:dyDescent="0.35">
      <c r="C21" s="99" t="s">
        <v>127</v>
      </c>
      <c r="E21" s="100">
        <v>350</v>
      </c>
      <c r="F21" s="100">
        <f t="shared" ref="F21" si="1">E21*$D$7/$D$8</f>
        <v>496.35036496350369</v>
      </c>
      <c r="G21" s="101"/>
      <c r="H21" s="87" t="s">
        <v>90</v>
      </c>
      <c r="I21" s="103">
        <f>+I20/3</f>
        <v>20333.333333333332</v>
      </c>
    </row>
    <row r="22" spans="1:9" x14ac:dyDescent="0.35">
      <c r="C22" s="99" t="s">
        <v>128</v>
      </c>
      <c r="E22" s="100">
        <f>E20+E21</f>
        <v>61350</v>
      </c>
      <c r="F22" s="100">
        <f>ROUND(F20+F21,-2)</f>
        <v>87000</v>
      </c>
      <c r="H22" s="102"/>
    </row>
    <row r="23" spans="1:9" x14ac:dyDescent="0.35">
      <c r="D23" s="87"/>
      <c r="E23" s="87"/>
      <c r="F23" s="87"/>
      <c r="G23" s="87"/>
      <c r="H23" s="87"/>
    </row>
    <row r="24" spans="1:9" x14ac:dyDescent="0.35">
      <c r="A24" s="193" t="s">
        <v>117</v>
      </c>
      <c r="B24" s="193"/>
      <c r="C24" s="193"/>
      <c r="D24" s="193"/>
      <c r="E24" s="193"/>
      <c r="F24" s="193"/>
      <c r="G24" s="87"/>
      <c r="H24" s="87"/>
    </row>
    <row r="25" spans="1:9" x14ac:dyDescent="0.35">
      <c r="A25" s="192" t="s">
        <v>88</v>
      </c>
      <c r="B25" s="192"/>
      <c r="C25" s="192"/>
      <c r="D25" s="192"/>
      <c r="E25" s="192"/>
      <c r="F25" s="192"/>
      <c r="G25" s="87"/>
      <c r="H25" s="87"/>
    </row>
    <row r="26" spans="1:9" ht="29.5" customHeight="1" x14ac:dyDescent="0.35">
      <c r="A26" s="192" t="s">
        <v>112</v>
      </c>
      <c r="B26" s="192"/>
      <c r="C26" s="192"/>
      <c r="D26" s="192"/>
      <c r="E26" s="192"/>
      <c r="F26" s="192"/>
      <c r="G26" s="87"/>
      <c r="H26" s="87"/>
    </row>
    <row r="27" spans="1:9" ht="31.15" customHeight="1" x14ac:dyDescent="0.35">
      <c r="A27" s="192" t="s">
        <v>113</v>
      </c>
      <c r="B27" s="192"/>
      <c r="C27" s="192"/>
      <c r="D27" s="192"/>
      <c r="E27" s="192"/>
      <c r="F27" s="192"/>
      <c r="G27" s="87"/>
      <c r="H27" s="87"/>
    </row>
    <row r="28" spans="1:9" s="194" customFormat="1" ht="14.5" customHeight="1" x14ac:dyDescent="0.25"/>
    <row r="29" spans="1:9" x14ac:dyDescent="0.35">
      <c r="A29" s="193" t="s">
        <v>91</v>
      </c>
      <c r="B29" s="193"/>
      <c r="C29" s="193"/>
      <c r="D29" s="193"/>
      <c r="E29" s="193"/>
      <c r="F29" s="193"/>
      <c r="G29" s="87"/>
      <c r="H29" s="87"/>
    </row>
    <row r="30" spans="1:9" ht="27.65" customHeight="1" x14ac:dyDescent="0.35">
      <c r="A30" s="192" t="s">
        <v>114</v>
      </c>
      <c r="B30" s="192"/>
      <c r="C30" s="192"/>
      <c r="D30" s="192"/>
      <c r="E30" s="192"/>
      <c r="F30" s="192"/>
    </row>
    <row r="31" spans="1:9" x14ac:dyDescent="0.35">
      <c r="A31" s="192" t="s">
        <v>115</v>
      </c>
      <c r="B31" s="192"/>
      <c r="C31" s="192"/>
      <c r="D31" s="192"/>
      <c r="E31" s="192"/>
      <c r="F31" s="192"/>
    </row>
    <row r="32" spans="1:9" ht="29.5" customHeight="1" x14ac:dyDescent="0.35">
      <c r="A32" s="192" t="s">
        <v>116</v>
      </c>
      <c r="B32" s="192"/>
      <c r="C32" s="192"/>
      <c r="D32" s="192"/>
      <c r="E32" s="192"/>
      <c r="F32" s="192"/>
    </row>
  </sheetData>
  <mergeCells count="11">
    <mergeCell ref="A32:F32"/>
    <mergeCell ref="A28:XFD28"/>
    <mergeCell ref="E10:F10"/>
    <mergeCell ref="A25:F25"/>
    <mergeCell ref="A26:F26"/>
    <mergeCell ref="A30:F30"/>
    <mergeCell ref="A2:F2"/>
    <mergeCell ref="A27:F27"/>
    <mergeCell ref="A29:F29"/>
    <mergeCell ref="A24:F24"/>
    <mergeCell ref="A31:F31"/>
  </mergeCells>
  <pageMargins left="0.7" right="0.7" top="0.75" bottom="0.75" header="0.3" footer="0.3"/>
  <pageSetup scale="7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8647799BF397B47822A696CA5B00470" ma:contentTypeVersion="6" ma:contentTypeDescription="Create a new document." ma:contentTypeScope="" ma:versionID="0ceb306ddc9cef45b6b00103a3ec3f35">
  <xsd:schema xmlns:xsd="http://www.w3.org/2001/XMLSchema" xmlns:xs="http://www.w3.org/2001/XMLSchema" xmlns:p="http://schemas.microsoft.com/office/2006/metadata/properties" xmlns:ns2="1891fcec-84c2-4840-9468-b51a784ab0d1" xmlns:ns3="4d6aed1e-57d3-46e3-9aba-f706adbce63b" targetNamespace="http://schemas.microsoft.com/office/2006/metadata/properties" ma:root="true" ma:fieldsID="d8c58acf2a0b8d9b5703eea10f1e9b5c" ns2:_="" ns3:_="">
    <xsd:import namespace="1891fcec-84c2-4840-9468-b51a784ab0d1"/>
    <xsd:import namespace="4d6aed1e-57d3-46e3-9aba-f706adbce63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91fcec-84c2-4840-9468-b51a784ab0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d6aed1e-57d3-46e3-9aba-f706adbce63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DCED415-8393-4634-9968-A495AFA0611E}">
  <ds:schemaRefs>
    <ds:schemaRef ds:uri="http://schemas.microsoft.com/sharepoint/v3/contenttype/forms"/>
  </ds:schemaRefs>
</ds:datastoreItem>
</file>

<file path=customXml/itemProps2.xml><?xml version="1.0" encoding="utf-8"?>
<ds:datastoreItem xmlns:ds="http://schemas.openxmlformats.org/officeDocument/2006/customXml" ds:itemID="{1788708A-52BB-4D0F-B232-80F9E123F193}">
  <ds:schemaRefs>
    <ds:schemaRef ds:uri="http://schemas.microsoft.com/office/2006/documentManagement/types"/>
    <ds:schemaRef ds:uri="http://purl.org/dc/dcmitype/"/>
    <ds:schemaRef ds:uri="http://schemas.microsoft.com/office/infopath/2007/PartnerControls"/>
    <ds:schemaRef ds:uri="http://purl.org/dc/terms/"/>
    <ds:schemaRef ds:uri="http://purl.org/dc/elements/1.1/"/>
    <ds:schemaRef ds:uri="http://schemas.openxmlformats.org/package/2006/metadata/core-properties"/>
    <ds:schemaRef ds:uri="http://www.w3.org/XML/1998/namespace"/>
    <ds:schemaRef ds:uri="4d6aed1e-57d3-46e3-9aba-f706adbce63b"/>
    <ds:schemaRef ds:uri="1891fcec-84c2-4840-9468-b51a784ab0d1"/>
    <ds:schemaRef ds:uri="http://schemas.microsoft.com/office/2006/metadata/properties"/>
  </ds:schemaRefs>
</ds:datastoreItem>
</file>

<file path=customXml/itemProps3.xml><?xml version="1.0" encoding="utf-8"?>
<ds:datastoreItem xmlns:ds="http://schemas.openxmlformats.org/officeDocument/2006/customXml" ds:itemID="{833944CE-9FC4-432C-A398-EF442B681C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91fcec-84c2-4840-9468-b51a784ab0d1"/>
    <ds:schemaRef ds:uri="4d6aed1e-57d3-46e3-9aba-f706adbce6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Summary</vt:lpstr>
      <vt:lpstr>Table 1</vt:lpstr>
      <vt:lpstr>Table 2</vt:lpstr>
      <vt:lpstr>Capital O&amp;M</vt:lpstr>
      <vt:lpstr>Responses</vt:lpstr>
      <vt:lpstr>Respondents</vt:lpstr>
      <vt:lpstr>Stack testing</vt:lpstr>
      <vt:lpstr>'Capital O&amp;M'!_Hlk48135012</vt:lpstr>
      <vt:lpstr>'Stack testing'!Print_Area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Denise Bevington</dc:creator>
  <cp:keywords/>
  <dc:description/>
  <cp:lastModifiedBy>Wrigley, William</cp:lastModifiedBy>
  <cp:revision/>
  <cp:lastPrinted>2023-05-23T16:44:27Z</cp:lastPrinted>
  <dcterms:created xsi:type="dcterms:W3CDTF">2018-07-19T14:57:42Z</dcterms:created>
  <dcterms:modified xsi:type="dcterms:W3CDTF">2023-09-07T11:59:26Z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0x010100A8647799BF397B47822A696CA5B00470</vt:lpwstr>
  </property>
</Properties>
</file>