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803524C-C0C5-4961-80A1-28FDC717684A}" xr6:coauthVersionLast="47" xr6:coauthVersionMax="47" xr10:uidLastSave="{00000000-0000-0000-0000-000000000000}"/>
  <bookViews>
    <workbookView xWindow="-110" yWindow="-110" windowWidth="19420" windowHeight="10300" tabRatio="777" xr2:uid="{D855CF00-F869-48B3-9963-4AD001D31E8A}"/>
  </bookViews>
  <sheets>
    <sheet name="Summary" sheetId="6" r:id="rId1"/>
    <sheet name="Table 1" sheetId="7" r:id="rId2"/>
    <sheet name="Table 2" sheetId="8"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5" i="8" l="1"/>
  <c r="P30" i="7"/>
  <c r="F33" i="7"/>
  <c r="I33" i="7" l="1"/>
  <c r="I32" i="7"/>
  <c r="F32" i="7"/>
  <c r="F22" i="7"/>
  <c r="I22" i="7"/>
  <c r="I7" i="7"/>
  <c r="F15" i="8"/>
  <c r="E13" i="8"/>
  <c r="E7" i="8"/>
  <c r="D7" i="8"/>
  <c r="E11" i="7"/>
  <c r="F7" i="8" l="1"/>
  <c r="G7" i="8" s="1"/>
  <c r="G6" i="3"/>
  <c r="D6" i="3"/>
  <c r="E6" i="8"/>
  <c r="O31" i="7"/>
  <c r="H7" i="8" l="1"/>
  <c r="I7" i="8"/>
  <c r="D8" i="4"/>
  <c r="E8" i="4"/>
  <c r="D5" i="3"/>
  <c r="G5" i="3"/>
  <c r="D4" i="8" l="1"/>
  <c r="F4" i="8" s="1"/>
  <c r="D6" i="8"/>
  <c r="F6" i="8" s="1"/>
  <c r="D9" i="8"/>
  <c r="F9" i="8"/>
  <c r="D10" i="8"/>
  <c r="F10" i="8" s="1"/>
  <c r="D11" i="8"/>
  <c r="F11" i="8" s="1"/>
  <c r="G11" i="8" s="1"/>
  <c r="D12" i="8"/>
  <c r="F12" i="8"/>
  <c r="H12" i="8" s="1"/>
  <c r="D13" i="8"/>
  <c r="F13" i="8" s="1"/>
  <c r="G13" i="8" s="1"/>
  <c r="D14" i="8"/>
  <c r="F14" i="8" s="1"/>
  <c r="D7" i="7"/>
  <c r="F7" i="7"/>
  <c r="H7" i="7" s="1"/>
  <c r="D9" i="7"/>
  <c r="F9" i="7"/>
  <c r="H9" i="7" s="1"/>
  <c r="D11" i="7"/>
  <c r="F11" i="7" s="1"/>
  <c r="D15" i="7"/>
  <c r="F15" i="7"/>
  <c r="H15" i="7" s="1"/>
  <c r="G15" i="7"/>
  <c r="D16" i="7"/>
  <c r="F16" i="7"/>
  <c r="G16" i="7" s="1"/>
  <c r="D17" i="7"/>
  <c r="F17" i="7" s="1"/>
  <c r="D18" i="7"/>
  <c r="F18" i="7"/>
  <c r="D19" i="7"/>
  <c r="F19" i="7"/>
  <c r="G19" i="7"/>
  <c r="H19" i="7"/>
  <c r="I19" i="7"/>
  <c r="D21" i="7"/>
  <c r="F21" i="7"/>
  <c r="G21" i="7" s="1"/>
  <c r="D29" i="7"/>
  <c r="F29" i="7"/>
  <c r="H29" i="7" s="1"/>
  <c r="G29" i="7"/>
  <c r="D30" i="7"/>
  <c r="F30" i="7"/>
  <c r="G30" i="7" s="1"/>
  <c r="D31" i="7"/>
  <c r="F31" i="7" s="1"/>
  <c r="C8" i="4"/>
  <c r="B8" i="4"/>
  <c r="F7" i="4"/>
  <c r="F6" i="4"/>
  <c r="F5" i="4"/>
  <c r="H14" i="8" l="1"/>
  <c r="G14" i="8"/>
  <c r="I14" i="8" s="1"/>
  <c r="H6" i="8"/>
  <c r="G6" i="8"/>
  <c r="G12" i="8"/>
  <c r="I12" i="8" s="1"/>
  <c r="H11" i="8"/>
  <c r="I11" i="8" s="1"/>
  <c r="G9" i="8"/>
  <c r="I9" i="8" s="1"/>
  <c r="H9" i="8"/>
  <c r="H30" i="7"/>
  <c r="H16" i="7"/>
  <c r="I16" i="7" s="1"/>
  <c r="H18" i="7"/>
  <c r="G18" i="7"/>
  <c r="I18" i="7" s="1"/>
  <c r="G7" i="7"/>
  <c r="G9" i="7"/>
  <c r="I9" i="7"/>
  <c r="F8" i="4"/>
  <c r="B3" i="6" s="1"/>
  <c r="G10" i="8"/>
  <c r="H10" i="8"/>
  <c r="G4" i="8"/>
  <c r="H4" i="8"/>
  <c r="H13" i="8"/>
  <c r="I13" i="8" s="1"/>
  <c r="I6" i="8"/>
  <c r="G31" i="7"/>
  <c r="I31" i="7" s="1"/>
  <c r="H31" i="7"/>
  <c r="G17" i="7"/>
  <c r="H17" i="7"/>
  <c r="I17" i="7"/>
  <c r="G11" i="7"/>
  <c r="H11" i="7"/>
  <c r="I29" i="7"/>
  <c r="H21" i="7"/>
  <c r="I21" i="7" s="1"/>
  <c r="I15" i="7"/>
  <c r="E10" i="5"/>
  <c r="K33" i="7" s="1"/>
  <c r="I10" i="8" l="1"/>
  <c r="I30" i="7"/>
  <c r="L33" i="7"/>
  <c r="I11" i="7"/>
  <c r="I4" i="8"/>
  <c r="B2" i="6" l="1"/>
  <c r="B4" i="6"/>
  <c r="B7" i="6"/>
  <c r="I6" i="3" l="1"/>
  <c r="I34" i="7" s="1"/>
  <c r="I35" i="7" s="1"/>
  <c r="B5" i="6" s="1"/>
  <c r="B6" i="6" l="1"/>
</calcChain>
</file>

<file path=xl/sharedStrings.xml><?xml version="1.0" encoding="utf-8"?>
<sst xmlns="http://schemas.openxmlformats.org/spreadsheetml/2006/main" count="165" uniqueCount="140">
  <si>
    <t>ICR Summary Information</t>
  </si>
  <si>
    <t>Hours per Response</t>
  </si>
  <si>
    <t>Number of Respondents</t>
  </si>
  <si>
    <t>Total Estimated Burden Hours</t>
  </si>
  <si>
    <t>Total Estimated Costs</t>
  </si>
  <si>
    <t>Annualized Capital O&amp;M</t>
  </si>
  <si>
    <t>Total Annual Responses</t>
  </si>
  <si>
    <t>hr/response</t>
  </si>
  <si>
    <t>Subtotal for Reporting Requirements</t>
  </si>
  <si>
    <t>Assumptions:</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</si>
  <si>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</si>
  <si>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</si>
  <si>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</si>
  <si>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</si>
  <si>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</si>
  <si>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</si>
  <si>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</si>
  <si>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</si>
  <si>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</si>
  <si>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</si>
  <si>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</si>
  <si>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</si>
  <si>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</si>
  <si>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r>
      <t>Number of Respondents with O&amp;M</t>
    </r>
    <r>
      <rPr>
        <b/>
        <vertAlign val="superscript"/>
        <sz val="10"/>
        <color theme="1"/>
        <rFont val="Times New Roman"/>
        <family val="1"/>
      </rPr>
      <t xml:space="preserve"> b</t>
    </r>
  </si>
  <si>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</si>
  <si>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</si>
  <si>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</si>
  <si>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</si>
  <si>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</si>
  <si>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</si>
  <si>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</si>
  <si>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</si>
  <si>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</si>
  <si>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</si>
  <si>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</si>
  <si>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</si>
  <si>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</si>
  <si>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</si>
  <si>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</si>
  <si>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</si>
  <si>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</si>
  <si>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Form Number</t>
  </si>
  <si>
    <r>
      <t xml:space="preserve">j  </t>
    </r>
    <r>
      <rPr>
        <sz val="10"/>
        <color rgb="FF000000"/>
        <rFont val="Times New Roman"/>
        <family val="1"/>
      </rPr>
      <t xml:space="preserve">Totals have been rounded to 3 significant figures. Figures may not add exactly due to rounding. </t>
    </r>
  </si>
  <si>
    <r>
      <t xml:space="preserve">i </t>
    </r>
    <r>
      <rPr>
        <sz val="10"/>
        <color rgb="FF000000"/>
        <rFont val="Times New Roman"/>
        <family val="1"/>
      </rPr>
      <t xml:space="preserve"> Assume that it will take 80 hours per year to record performance test data.</t>
    </r>
  </si>
  <si>
    <r>
      <t>h</t>
    </r>
    <r>
      <rPr>
        <sz val="10"/>
        <color rgb="FF000000"/>
        <rFont val="Times New Roman"/>
        <family val="1"/>
      </rPr>
      <t xml:space="preserve">  Assume that it will take eight hours per year to record daily gathering of monitoring data (which have been automatically recorded).</t>
    </r>
  </si>
  <si>
    <r>
      <t xml:space="preserve">g </t>
    </r>
    <r>
      <rPr>
        <sz val="10"/>
        <color rgb="FF000000"/>
        <rFont val="Times New Roman"/>
        <family val="1"/>
      </rPr>
      <t xml:space="preserve"> Assume that it will take 40 hours to write semiannual reports.</t>
    </r>
  </si>
  <si>
    <r>
      <t>e</t>
    </r>
    <r>
      <rPr>
        <sz val="10"/>
        <color theme="1"/>
        <rFont val="Times New Roman"/>
        <family val="1"/>
      </rPr>
      <t xml:space="preserve">  Assume that 20 percent would have to repeat the performance testing due to failure.</t>
    </r>
  </si>
  <si>
    <r>
      <t>d</t>
    </r>
    <r>
      <rPr>
        <sz val="10"/>
        <color theme="1"/>
        <rFont val="Times New Roman"/>
        <family val="1"/>
      </rPr>
      <t xml:space="preserve">  Assume that this is a one-time-only cost.</t>
    </r>
  </si>
  <si>
    <r>
      <t xml:space="preserve">GRAND TOTAL (rounded) </t>
    </r>
    <r>
      <rPr>
        <b/>
        <vertAlign val="superscript"/>
        <sz val="10"/>
        <color theme="1"/>
        <rFont val="Times New Roman"/>
        <family val="1"/>
      </rPr>
      <t>j</t>
    </r>
  </si>
  <si>
    <r>
      <t xml:space="preserve">CAPITAL AND O&amp;M COST (rounded) </t>
    </r>
    <r>
      <rPr>
        <b/>
        <vertAlign val="superscript"/>
        <sz val="10"/>
        <color theme="1"/>
        <rFont val="Times New Roman"/>
        <family val="1"/>
      </rPr>
      <t>j</t>
    </r>
  </si>
  <si>
    <r>
      <t xml:space="preserve">TOTAL LABOR BURDEN AND COST (rounded) </t>
    </r>
    <r>
      <rPr>
        <b/>
        <vertAlign val="superscript"/>
        <sz val="10"/>
        <color theme="1"/>
        <rFont val="Times New Roman"/>
        <family val="1"/>
      </rPr>
      <t>j</t>
    </r>
  </si>
  <si>
    <t>responses</t>
  </si>
  <si>
    <t>Subtotal for Recordkeeping Requirements</t>
  </si>
  <si>
    <r>
      <t>iii.  Records of performance test data</t>
    </r>
    <r>
      <rPr>
        <vertAlign val="superscript"/>
        <sz val="10"/>
        <color theme="1"/>
        <rFont val="Times New Roman"/>
        <family val="1"/>
      </rPr>
      <t xml:space="preserve"> d, i</t>
    </r>
  </si>
  <si>
    <t>ii.  Records of startup, shutdown and malfunction</t>
  </si>
  <si>
    <r>
      <t xml:space="preserve">i.  Record of daily production rate and hours of operation </t>
    </r>
    <r>
      <rPr>
        <vertAlign val="superscript"/>
        <sz val="10"/>
        <color theme="1"/>
        <rFont val="Times New Roman"/>
        <family val="1"/>
      </rPr>
      <t>h</t>
    </r>
  </si>
  <si>
    <t xml:space="preserve">E.  Time to Enter Information  </t>
  </si>
  <si>
    <t>N/A</t>
  </si>
  <si>
    <t>D.  Develop Record System</t>
  </si>
  <si>
    <t>See 4E</t>
  </si>
  <si>
    <t>C.  Implement Activities</t>
  </si>
  <si>
    <t>B.  Plan Activities</t>
  </si>
  <si>
    <t>See 3A</t>
  </si>
  <si>
    <t>A.  Familiarize with regulatory requirements</t>
  </si>
  <si>
    <t>4.  Recordkeeping Requirements</t>
  </si>
  <si>
    <r>
      <t>vii.  Semiannual reports of excess emissions</t>
    </r>
    <r>
      <rPr>
        <vertAlign val="superscript"/>
        <sz val="10"/>
        <color theme="1"/>
        <rFont val="Times New Roman"/>
        <family val="1"/>
      </rPr>
      <t xml:space="preserve"> g</t>
    </r>
  </si>
  <si>
    <t>See 3B</t>
  </si>
  <si>
    <t>vi.  Performance test report</t>
  </si>
  <si>
    <r>
      <t xml:space="preserve">v.  Notification of initial performance test </t>
    </r>
    <r>
      <rPr>
        <vertAlign val="superscript"/>
        <sz val="10"/>
        <color theme="1"/>
        <rFont val="Times New Roman"/>
        <family val="1"/>
      </rPr>
      <t>d</t>
    </r>
  </si>
  <si>
    <r>
      <t>iv.  Notification of actual startup</t>
    </r>
    <r>
      <rPr>
        <vertAlign val="superscript"/>
        <sz val="10"/>
        <color theme="1"/>
        <rFont val="Times New Roman"/>
        <family val="1"/>
      </rPr>
      <t xml:space="preserve"> d</t>
    </r>
  </si>
  <si>
    <r>
      <t xml:space="preserve">iii.  Notification of demonstration of CMS </t>
    </r>
    <r>
      <rPr>
        <vertAlign val="superscript"/>
        <sz val="10"/>
        <color theme="1"/>
        <rFont val="Times New Roman"/>
        <family val="1"/>
      </rPr>
      <t>d</t>
    </r>
  </si>
  <si>
    <r>
      <t xml:space="preserve">ii.  Notification of physical and operational changes </t>
    </r>
    <r>
      <rPr>
        <vertAlign val="superscript"/>
        <sz val="10"/>
        <color theme="1"/>
        <rFont val="Times New Roman"/>
        <family val="1"/>
      </rPr>
      <t>f</t>
    </r>
  </si>
  <si>
    <r>
      <t xml:space="preserve">i.  Notification of construction/ reconstruction </t>
    </r>
    <r>
      <rPr>
        <vertAlign val="superscript"/>
        <sz val="10"/>
        <color theme="1"/>
        <rFont val="Times New Roman"/>
        <family val="1"/>
      </rPr>
      <t>d</t>
    </r>
  </si>
  <si>
    <t>E.  Write Report</t>
  </si>
  <si>
    <t>D.  Gather Existing Information</t>
  </si>
  <si>
    <t>C.  Create Information</t>
  </si>
  <si>
    <r>
      <t xml:space="preserve">iii.  Repeat of performance test </t>
    </r>
    <r>
      <rPr>
        <vertAlign val="superscript"/>
        <sz val="10"/>
        <color theme="1"/>
        <rFont val="Times New Roman"/>
        <family val="1"/>
      </rPr>
      <t>e</t>
    </r>
  </si>
  <si>
    <t>See 3B(i)</t>
  </si>
  <si>
    <t>ii.  Demonstration of monitoring system</t>
  </si>
  <si>
    <r>
      <t xml:space="preserve">i.  Initial performance test </t>
    </r>
    <r>
      <rPr>
        <vertAlign val="superscript"/>
        <sz val="10"/>
        <color theme="1"/>
        <rFont val="Times New Roman"/>
        <family val="1"/>
      </rPr>
      <t>d</t>
    </r>
  </si>
  <si>
    <t>B.  Required Activities</t>
  </si>
  <si>
    <r>
      <t xml:space="preserve">A.  Familiarize with regulatory requirements </t>
    </r>
    <r>
      <rPr>
        <vertAlign val="superscript"/>
        <sz val="10"/>
        <color theme="1"/>
        <rFont val="Times New Roman"/>
        <family val="1"/>
      </rPr>
      <t>c, d</t>
    </r>
  </si>
  <si>
    <t>3.  Reporting Requirements</t>
  </si>
  <si>
    <t>2.  Survey and Studies</t>
  </si>
  <si>
    <t>1.  Applications</t>
  </si>
  <si>
    <r>
      <t xml:space="preserve">(H)
Total costs per year </t>
    </r>
    <r>
      <rPr>
        <b/>
        <vertAlign val="superscript"/>
        <sz val="10"/>
        <color theme="1"/>
        <rFont val="Times New Roman"/>
        <family val="1"/>
      </rPr>
      <t>b</t>
    </r>
  </si>
  <si>
    <t>(G)
Clerical hours per year
(G=Ex0.1)</t>
  </si>
  <si>
    <t>(F)
Management person hours per year
(F=Ex0.05)</t>
  </si>
  <si>
    <t>(E)
Technical person hours per year (E=CxD)</t>
  </si>
  <si>
    <r>
      <t xml:space="preserve">(D)
Number of respondents per year </t>
    </r>
    <r>
      <rPr>
        <b/>
        <vertAlign val="superscript"/>
        <sz val="10"/>
        <color theme="1"/>
        <rFont val="Times New Roman"/>
        <family val="1"/>
      </rPr>
      <t>a</t>
    </r>
  </si>
  <si>
    <t>(C)
Person hours per respondent per year
(C=AxB)</t>
  </si>
  <si>
    <t>(B)
Number of occurrences per respondent per year</t>
  </si>
  <si>
    <t>(A)
Person hours per Occurrence</t>
  </si>
  <si>
    <t>Burden Items</t>
  </si>
  <si>
    <t>Table 1: Annual Respondent Burden and Cost – NSPS for Sewage Sludge Treatment Plants (40 CFR Part 60, Subpart O) (Renewal)</t>
  </si>
  <si>
    <r>
      <t xml:space="preserve">g  </t>
    </r>
    <r>
      <rPr>
        <sz val="10"/>
        <color rgb="FF000000"/>
        <rFont val="Times New Roman"/>
        <family val="1"/>
      </rPr>
      <t xml:space="preserve">Totals have been rounded to 3 significant figures. Figures may not add exactly due to rounding. </t>
    </r>
  </si>
  <si>
    <r>
      <t xml:space="preserve">f </t>
    </r>
    <r>
      <rPr>
        <sz val="10"/>
        <color rgb="FF000000"/>
        <rFont val="Times New Roman"/>
        <family val="1"/>
      </rPr>
      <t xml:space="preserve"> Assume that it will take eight hours to review semiannual reports.</t>
    </r>
  </si>
  <si>
    <r>
      <t>d</t>
    </r>
    <r>
      <rPr>
        <sz val="10"/>
        <color rgb="FF000000"/>
        <rFont val="Times New Roman"/>
        <family val="1"/>
      </rPr>
      <t xml:space="preserve">  Assume that 20 percent would have to repeat the performance testing due to failure.</t>
    </r>
  </si>
  <si>
    <r>
      <t xml:space="preserve">TOTAL LABOR BURDEN and COST (rounded) </t>
    </r>
    <r>
      <rPr>
        <b/>
        <vertAlign val="superscript"/>
        <sz val="10"/>
        <color theme="1"/>
        <rFont val="Times New Roman"/>
        <family val="1"/>
      </rPr>
      <t>g</t>
    </r>
  </si>
  <si>
    <r>
      <t xml:space="preserve">Semiannual reports </t>
    </r>
    <r>
      <rPr>
        <vertAlign val="superscript"/>
        <sz val="10"/>
        <color theme="1"/>
        <rFont val="Times New Roman"/>
        <family val="1"/>
      </rPr>
      <t>f</t>
    </r>
  </si>
  <si>
    <t>Repeat performance test</t>
  </si>
  <si>
    <r>
      <t xml:space="preserve">Initial test </t>
    </r>
    <r>
      <rPr>
        <vertAlign val="superscript"/>
        <sz val="10"/>
        <color theme="1"/>
        <rFont val="Times New Roman"/>
        <family val="1"/>
      </rPr>
      <t>c</t>
    </r>
  </si>
  <si>
    <r>
      <t xml:space="preserve">Notification of actual startup </t>
    </r>
    <r>
      <rPr>
        <vertAlign val="superscript"/>
        <sz val="10"/>
        <color theme="1"/>
        <rFont val="Times New Roman"/>
        <family val="1"/>
      </rPr>
      <t>c</t>
    </r>
  </si>
  <si>
    <r>
      <t xml:space="preserve">Notification of physical and operational changes </t>
    </r>
    <r>
      <rPr>
        <vertAlign val="superscript"/>
        <sz val="10"/>
        <color theme="1"/>
        <rFont val="Times New Roman"/>
        <family val="1"/>
      </rPr>
      <t>e</t>
    </r>
  </si>
  <si>
    <r>
      <t xml:space="preserve">Notification of construction/ reconstruction </t>
    </r>
    <r>
      <rPr>
        <vertAlign val="superscript"/>
        <sz val="10"/>
        <color theme="1"/>
        <rFont val="Times New Roman"/>
        <family val="1"/>
      </rPr>
      <t>c</t>
    </r>
  </si>
  <si>
    <r>
      <t xml:space="preserve">Retesting preparation </t>
    </r>
    <r>
      <rPr>
        <vertAlign val="superscript"/>
        <sz val="10"/>
        <color theme="1"/>
        <rFont val="Times New Roman"/>
        <family val="1"/>
      </rPr>
      <t>c, d</t>
    </r>
  </si>
  <si>
    <r>
      <t xml:space="preserve">Initial Performance Test </t>
    </r>
    <r>
      <rPr>
        <vertAlign val="superscript"/>
        <sz val="10"/>
        <color theme="1"/>
        <rFont val="Times New Roman"/>
        <family val="1"/>
      </rPr>
      <t>c</t>
    </r>
  </si>
  <si>
    <r>
      <t xml:space="preserve">(H)
Costs per Year  </t>
    </r>
    <r>
      <rPr>
        <b/>
        <vertAlign val="superscript"/>
        <sz val="10"/>
        <color theme="1"/>
        <rFont val="Times New Roman"/>
        <family val="1"/>
      </rPr>
      <t>b</t>
    </r>
  </si>
  <si>
    <t>(G)
Clerical Hours per Year
(G=Ex0.1)</t>
  </si>
  <si>
    <t>(F)
Management Hours per Year
(F=Ex0.05)</t>
  </si>
  <si>
    <t>(E)
Technical Hours per Year
(E=CxD)</t>
  </si>
  <si>
    <r>
      <t xml:space="preserve">(D)
Plants per Year </t>
    </r>
    <r>
      <rPr>
        <b/>
        <vertAlign val="superscript"/>
        <sz val="10"/>
        <color theme="1"/>
        <rFont val="Times New Roman"/>
        <family val="1"/>
      </rPr>
      <t>a</t>
    </r>
  </si>
  <si>
    <t>(C)
EPA Hours per Year
(C=AxB)</t>
  </si>
  <si>
    <t>(B)
No of occurrences per Plant per Year</t>
  </si>
  <si>
    <t xml:space="preserve">(A)
EPA hours per occurrence  </t>
  </si>
  <si>
    <t>Activity</t>
  </si>
  <si>
    <r>
      <t>Table 2: Average Annual EPA Burden and Cost – NSPS for Sewage Sludge Treatment Plants (40 CFR Part 60, Subpart O) (Renewal)</t>
    </r>
    <r>
      <rPr>
        <sz val="10"/>
        <color rgb="FF000000"/>
        <rFont val="Times New Roman"/>
        <family val="1"/>
      </rPr>
      <t xml:space="preserve"> </t>
    </r>
  </si>
  <si>
    <t>Particulate Matter</t>
  </si>
  <si>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</si>
  <si>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a</t>
    </r>
    <r>
      <rPr>
        <sz val="10"/>
        <color theme="1"/>
        <rFont val="Times New Roman"/>
        <family val="1"/>
      </rPr>
      <t xml:space="preserve"> New respondents include sources with constructed, reconstructed and modified affected facilities.</t>
    </r>
  </si>
  <si>
    <r>
      <t xml:space="preserve">Total (rounded) </t>
    </r>
    <r>
      <rPr>
        <b/>
        <vertAlign val="superscript"/>
        <sz val="10"/>
        <color theme="1"/>
        <rFont val="Times New Roman"/>
        <family val="1"/>
      </rPr>
      <t>b</t>
    </r>
  </si>
  <si>
    <t>Notification of construction/ reconstruction</t>
  </si>
  <si>
    <t>Notification of physical and operational changes</t>
  </si>
  <si>
    <t>Notification of demonstration of CMS</t>
  </si>
  <si>
    <t>Notification of actual startup</t>
  </si>
  <si>
    <t>Notification of initial performance test</t>
  </si>
  <si>
    <t>Semiannual report of excess emissions</t>
  </si>
  <si>
    <t>Not Applicable</t>
  </si>
  <si>
    <t>old:</t>
  </si>
  <si>
    <t>new</t>
  </si>
  <si>
    <r>
      <rPr>
        <vertAlign val="superscript"/>
        <sz val="10"/>
        <color theme="1"/>
        <rFont val="Times New Roman"/>
        <family val="1"/>
      </rPr>
      <t>a</t>
    </r>
    <r>
      <rPr>
        <sz val="10"/>
        <color theme="1"/>
        <rFont val="Times New Roman"/>
        <family val="1"/>
      </rPr>
      <t xml:space="preserve">  This ICR assumes that there are 204 existing units at 103 facilities (respondents) and that 2 new, modified or reconstructed units will be constructed per year over the next three years.</t>
    </r>
  </si>
  <si>
    <r>
      <t>f</t>
    </r>
    <r>
      <rPr>
        <sz val="10"/>
        <rFont val="Times New Roman"/>
        <family val="1"/>
      </rPr>
      <t xml:space="preserve">  Assume that 2 facilities will have a physical or operational change.</t>
    </r>
  </si>
  <si>
    <r>
      <t>e</t>
    </r>
    <r>
      <rPr>
        <sz val="10"/>
        <color rgb="FF000000"/>
        <rFont val="Times New Roman"/>
        <family val="1"/>
      </rPr>
      <t xml:space="preserve">  Assume that 2 sources will have a physical or operational change.</t>
    </r>
  </si>
  <si>
    <t>Attend retesting</t>
  </si>
  <si>
    <t>Repeat initial performance test:</t>
  </si>
  <si>
    <t>Report Review:</t>
  </si>
  <si>
    <r>
      <t xml:space="preserve">c  </t>
    </r>
    <r>
      <rPr>
        <sz val="10"/>
        <color theme="1"/>
        <rFont val="Times New Roman"/>
        <family val="1"/>
      </rPr>
      <t>This ICR assumes all existing facilities will have to re-familiarize with regulatory requirements each year.</t>
    </r>
  </si>
  <si>
    <r>
      <t>c</t>
    </r>
    <r>
      <rPr>
        <sz val="10"/>
        <color rgb="FF000000"/>
        <rFont val="Times New Roman"/>
        <family val="1"/>
      </rPr>
      <t xml:space="preserve">  Assume that this is a one-time only cost.</t>
    </r>
  </si>
  <si>
    <r>
      <t xml:space="preserve">b </t>
    </r>
    <r>
      <rPr>
        <sz val="10"/>
        <color theme="1"/>
        <rFont val="Times New Roman"/>
        <family val="1"/>
      </rPr>
      <t>This ICR uses the following labor rates: Executive, Administrative, and Managerial: $157.61 ($75.05+ 110%);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</si>
  <si>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color theme="1"/>
        <rFont val="Times New Roman"/>
        <family val="1"/>
      </rPr>
      <t xml:space="preserve">  This cost is based on the following labor rates:  Managerial rate of $70.56 (GS-13, Step 5, $44.10 + 60%), Technical rate of $52.37 (GS-12, Step 1, $32.73 + 60%), and Clerical rate of $28.34 (GS-6, Step 3, $17.71 + 60%). These rates are from the Office of Personnel Management (OPM), 2022 General Schedule, which excludes locality rates of pay. The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</si>
</sst>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3" formatCode="_(* #,##0.00_);_(* \(#,##0.00\);_(* &quot;-&quot;??_);_(@_)"/>
    <numFmt numFmtId="164" formatCode="General_)"/>
    <numFmt numFmtId="165" formatCode="&quot;$&quot;#,##0.00"/>
    <numFmt numFmtId="166" formatCode="0.0"/>
    <numFmt numFmtId="167" formatCode="_(* #,##0_);_(* \(#,##0\);_(* &quot;-&quot;??_);_(@_)"/>
  </numFmts>
  <fonts count="21"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10"/>
      <color rgb="FFFF0000"/>
      <name val="Times New Roman"/>
      <family val="1"/>
    </font>
    <font>
      <sz val="10"/>
      <name val="Times New Roman"/>
      <family val="1"/>
    </font>
    <font>
      <sz val="8"/>
      <name val="Helv"/>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11"/>
      <color theme="1"/>
      <name val="Calibri"/>
      <family val="2"/>
      <scheme val="minor"/>
    </font>
    <font>
      <b/>
      <sz val="11"/>
      <color theme="1"/>
      <name val="Calibri"/>
      <family val="2"/>
      <scheme val="minor"/>
    </font>
    <font>
      <u/>
      <sz val="10"/>
      <color theme="1"/>
      <name val="Times New Roman"/>
      <family val="1"/>
    </font>
    <font>
      <vertAlign val="superscript"/>
      <sz val="12"/>
      <color theme="1"/>
      <name val="Times New Roman"/>
      <family val="1"/>
    </font>
    <font>
      <b/>
      <sz val="10"/>
      <name val="Times New Roman"/>
      <family val="1"/>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7" fillId="0" borderId="0"/>
    <xf numFmtId="43" fontId="16" fillId="0" borderId="0" applyFont="0" applyFill="0" applyBorder="0" applyAlignment="0" applyProtection="0"/>
  </cellStyleXfs>
  <cellXfs count="82">
    <xf numFmtId="0" fontId="0" fillId="0" borderId="0" xfId="0"/>
    <xf numFmtId="0" fontId="1" fillId="0" borderId="0" xfId="0" applyFont="1"/>
    <xf numFmtId="0" fontId="5" fillId="0" borderId="0" xfId="0" applyFont="1"/>
    <xf numFmtId="164" fontId="6" fillId="0" borderId="0" xfId="1" applyFont="1" applyAlignment="1">
      <alignment horizontal="center" vertical="center" wrapText="1"/>
    </xf>
    <xf numFmtId="165" fontId="6" fillId="0" borderId="0" xfId="1" applyNumberFormat="1" applyFont="1" applyAlignment="1">
      <alignment horizontal="right" wrapText="1"/>
    </xf>
    <xf numFmtId="0" fontId="14" fillId="0" borderId="0" xfId="0" applyFont="1"/>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3" fillId="0" borderId="0" xfId="0" applyFont="1"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6" fontId="1" fillId="0" borderId="0" xfId="0" applyNumberFormat="1" applyFont="1" applyAlignment="1">
      <alignment horizontal="center" vertical="center" wrapText="1"/>
    </xf>
    <xf numFmtId="6" fontId="2" fillId="0" borderId="0" xfId="0" applyNumberFormat="1" applyFont="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 fillId="0" borderId="1" xfId="0" applyFont="1" applyBorder="1" applyAlignment="1">
      <alignment horizontal="left" vertical="center" wrapText="1" indent="2"/>
    </xf>
    <xf numFmtId="1" fontId="1" fillId="0" borderId="1" xfId="0" applyNumberFormat="1" applyFont="1" applyBorder="1" applyAlignment="1">
      <alignment horizontal="center" vertical="center" wrapText="1"/>
    </xf>
    <xf numFmtId="0" fontId="15" fillId="0" borderId="0" xfId="0" applyFont="1" applyAlignment="1">
      <alignment vertical="top" wrapText="1"/>
    </xf>
    <xf numFmtId="1" fontId="2" fillId="0" borderId="1" xfId="0" applyNumberFormat="1"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horizontal="center" vertical="center" wrapText="1"/>
    </xf>
    <xf numFmtId="6" fontId="14" fillId="0" borderId="0" xfId="0" applyNumberFormat="1" applyFont="1"/>
    <xf numFmtId="3" fontId="0" fillId="0" borderId="0" xfId="0" applyNumberFormat="1"/>
    <xf numFmtId="6" fontId="0" fillId="0" borderId="0" xfId="0" applyNumberFormat="1"/>
    <xf numFmtId="1" fontId="0" fillId="0" borderId="0" xfId="0" applyNumberFormat="1"/>
    <xf numFmtId="0" fontId="1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18"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6" fontId="2" fillId="0" borderId="1" xfId="0" applyNumberFormat="1" applyFont="1" applyBorder="1" applyAlignment="1">
      <alignment horizontal="right" vertical="center"/>
    </xf>
    <xf numFmtId="3" fontId="2" fillId="0" borderId="1" xfId="0" applyNumberFormat="1"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xf>
    <xf numFmtId="167" fontId="0" fillId="0" borderId="0" xfId="2" applyNumberFormat="1" applyFont="1"/>
    <xf numFmtId="8" fontId="1" fillId="0" borderId="1" xfId="0" applyNumberFormat="1" applyFont="1" applyBorder="1" applyAlignment="1">
      <alignment horizontal="right" vertical="center"/>
    </xf>
    <xf numFmtId="166"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right" vertical="center"/>
    </xf>
    <xf numFmtId="0" fontId="1" fillId="0" borderId="1" xfId="0" applyFont="1" applyBorder="1" applyAlignment="1">
      <alignment horizontal="left" vertical="center" indent="1"/>
    </xf>
    <xf numFmtId="0" fontId="1" fillId="0" borderId="1" xfId="0" applyFont="1" applyBorder="1"/>
    <xf numFmtId="0" fontId="1" fillId="0" borderId="1" xfId="0" applyFont="1" applyBorder="1" applyAlignment="1">
      <alignment horizontal="right" vertical="center"/>
    </xf>
    <xf numFmtId="0" fontId="1" fillId="0" borderId="1" xfId="0" applyFont="1" applyBorder="1" applyAlignment="1">
      <alignment vertical="center"/>
    </xf>
    <xf numFmtId="3" fontId="1" fillId="0" borderId="1" xfId="0" applyNumberFormat="1" applyFont="1" applyBorder="1" applyAlignment="1">
      <alignment horizontal="center" vertical="center"/>
    </xf>
    <xf numFmtId="0" fontId="1" fillId="0" borderId="1" xfId="0" applyFont="1" applyBorder="1" applyAlignment="1">
      <alignment horizontal="left" vertical="center" indent="2"/>
    </xf>
    <xf numFmtId="2" fontId="1" fillId="0" borderId="1" xfId="0" applyNumberFormat="1" applyFont="1" applyBorder="1" applyAlignment="1">
      <alignment horizontal="center" vertical="center"/>
    </xf>
    <xf numFmtId="0" fontId="1" fillId="2" borderId="1" xfId="0" applyFont="1" applyFill="1" applyBorder="1"/>
    <xf numFmtId="0" fontId="2" fillId="2" borderId="1" xfId="0" applyFont="1" applyFill="1" applyBorder="1" applyAlignment="1">
      <alignment horizontal="center" vertical="center" wrapText="1"/>
    </xf>
    <xf numFmtId="0" fontId="17" fillId="0" borderId="0" xfId="0" applyFont="1"/>
    <xf numFmtId="0" fontId="2" fillId="0" borderId="5" xfId="0" applyFont="1" applyBorder="1" applyAlignment="1">
      <alignment horizontal="center" vertical="center" wrapText="1"/>
    </xf>
    <xf numFmtId="0" fontId="9" fillId="0" borderId="1" xfId="0" applyFont="1" applyBorder="1" applyAlignment="1">
      <alignment vertical="center" wrapText="1"/>
    </xf>
    <xf numFmtId="0" fontId="12" fillId="0" borderId="0" xfId="0" applyFont="1" applyAlignment="1">
      <alignment vertical="center"/>
    </xf>
    <xf numFmtId="0" fontId="0" fillId="0" borderId="0" xfId="0" quotePrefix="1"/>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xf numFmtId="0" fontId="6" fillId="2" borderId="1" xfId="0" applyFont="1" applyFill="1" applyBorder="1" applyAlignment="1">
      <alignment horizontal="right" vertical="center"/>
    </xf>
    <xf numFmtId="0" fontId="6" fillId="0" borderId="1" xfId="0" applyFont="1" applyBorder="1" applyAlignment="1">
      <alignment vertical="center"/>
    </xf>
    <xf numFmtId="0" fontId="20" fillId="0" borderId="1" xfId="0" applyFont="1" applyBorder="1" applyAlignment="1">
      <alignment vertical="center"/>
    </xf>
    <xf numFmtId="0" fontId="0" fillId="0" borderId="0" xfId="0" applyAlignment="1">
      <alignment horizontal="left" indent="1"/>
    </xf>
    <xf numFmtId="0" fontId="0" fillId="0" borderId="0" xfId="0" applyAlignment="1">
      <alignment horizont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3" fontId="2" fillId="0" borderId="1" xfId="0" applyNumberFormat="1" applyFont="1" applyBorder="1" applyAlignment="1">
      <alignment horizontal="center" vertical="center"/>
    </xf>
    <xf numFmtId="0" fontId="19"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left" vertical="top"/>
    </xf>
    <xf numFmtId="0" fontId="8" fillId="0" borderId="1" xfId="0" applyFont="1" applyBorder="1" applyAlignment="1">
      <alignment horizontal="center" vertical="center" wrapText="1"/>
    </xf>
    <xf numFmtId="0" fontId="9" fillId="0" borderId="0" xfId="0" applyFont="1" applyAlignment="1">
      <alignment horizontal="left" vertical="top" wrapText="1"/>
    </xf>
    <xf numFmtId="0" fontId="10" fillId="0" borderId="1" xfId="0" applyFont="1" applyBorder="1" applyAlignment="1">
      <alignment horizontal="center" vertical="center" wrapText="1"/>
    </xf>
    <xf numFmtId="0" fontId="10" fillId="0" borderId="1" xfId="0" applyFont="1" applyBorder="1" applyAlignment="1">
      <alignment vertical="center" wrapText="1"/>
    </xf>
  </cellXfs>
  <cellStyles count="3">
    <cellStyle name="Comma" xfId="2" builtinId="3"/>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D6" sqref="D6"/>
    </sheetView>
  </sheetViews>
  <sheetFormatPr defaultRowHeight="14.5" x14ac:dyDescent="0.35"/>
  <cols>
    <col min="1" max="1" width="27.7265625" bestFit="1" customWidth="1"/>
    <col min="2" max="2" width="15.81640625" customWidth="1"/>
  </cols>
  <sheetData>
    <row r="1" spans="1:2" x14ac:dyDescent="0.35">
      <c r="A1" s="65" t="s">
        <v>0</v>
      </c>
      <c r="B1" s="65"/>
    </row>
    <row r="2" spans="1:2" x14ac:dyDescent="0.35">
      <c r="A2" t="s">
        <v>1</v>
      </c>
      <c r="B2" s="28">
        <f>'Table 1'!L33</f>
        <v>65.934065934065927</v>
      </c>
    </row>
    <row r="3" spans="1:2" x14ac:dyDescent="0.35">
      <c r="A3" t="s">
        <v>2</v>
      </c>
      <c r="B3">
        <f>Respondents!F8</f>
        <v>103</v>
      </c>
    </row>
    <row r="4" spans="1:2" x14ac:dyDescent="0.35">
      <c r="A4" t="s">
        <v>3</v>
      </c>
      <c r="B4" s="26">
        <f>'Table 1'!F33</f>
        <v>12000</v>
      </c>
    </row>
    <row r="5" spans="1:2" x14ac:dyDescent="0.35">
      <c r="A5" t="s">
        <v>4</v>
      </c>
      <c r="B5" s="27">
        <f>'Table 1'!I35</f>
        <v>5250000</v>
      </c>
    </row>
    <row r="6" spans="1:2" x14ac:dyDescent="0.35">
      <c r="A6" t="s">
        <v>5</v>
      </c>
      <c r="B6" s="27">
        <f>'Capital O&amp;M'!D6+'Capital O&amp;M'!G6</f>
        <v>3810000</v>
      </c>
    </row>
    <row r="7" spans="1:2" x14ac:dyDescent="0.35">
      <c r="A7" t="s">
        <v>6</v>
      </c>
      <c r="B7" s="28">
        <f>Responses!E10</f>
        <v>182</v>
      </c>
    </row>
    <row r="8" spans="1:2" x14ac:dyDescent="0.35">
      <c r="A8" t="s">
        <v>41</v>
      </c>
      <c r="B8" s="64" t="s">
        <v>127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3F1CC-40E2-4B3E-9EFF-FD48C1AF6550}">
  <dimension ref="A1:P50"/>
  <sheetViews>
    <sheetView zoomScale="86" zoomScaleNormal="86" workbookViewId="0">
      <selection activeCell="M43" sqref="M43"/>
    </sheetView>
  </sheetViews>
  <sheetFormatPr defaultRowHeight="14.5" x14ac:dyDescent="0.35"/>
  <cols>
    <col min="1" max="1" width="57.26953125" customWidth="1"/>
    <col min="2" max="2" width="12.453125" customWidth="1"/>
    <col min="3" max="3" width="12" customWidth="1"/>
    <col min="4" max="4" width="11.26953125" customWidth="1"/>
    <col min="5" max="5" width="12.7265625" customWidth="1"/>
    <col min="6" max="6" width="10.453125" customWidth="1"/>
    <col min="7" max="7" width="13.1796875" customWidth="1"/>
    <col min="8" max="8" width="9.81640625" customWidth="1"/>
    <col min="9" max="9" width="13.7265625" customWidth="1"/>
    <col min="11" max="11" width="11.26953125" customWidth="1"/>
    <col min="12" max="12" width="13.81640625" bestFit="1" customWidth="1"/>
  </cols>
  <sheetData>
    <row r="1" spans="1:9" x14ac:dyDescent="0.35">
      <c r="A1" s="53" t="s">
        <v>94</v>
      </c>
    </row>
    <row r="2" spans="1:9" x14ac:dyDescent="0.35">
      <c r="F2">
        <v>123.94</v>
      </c>
      <c r="G2">
        <v>157.61000000000001</v>
      </c>
      <c r="H2">
        <v>62.52</v>
      </c>
    </row>
    <row r="3" spans="1:9" ht="78" x14ac:dyDescent="0.35">
      <c r="A3" s="52" t="s">
        <v>93</v>
      </c>
      <c r="B3" s="52" t="s">
        <v>92</v>
      </c>
      <c r="C3" s="52" t="s">
        <v>91</v>
      </c>
      <c r="D3" s="52" t="s">
        <v>90</v>
      </c>
      <c r="E3" s="52" t="s">
        <v>89</v>
      </c>
      <c r="F3" s="52" t="s">
        <v>88</v>
      </c>
      <c r="G3" s="52" t="s">
        <v>87</v>
      </c>
      <c r="H3" s="52" t="s">
        <v>86</v>
      </c>
      <c r="I3" s="52" t="s">
        <v>85</v>
      </c>
    </row>
    <row r="4" spans="1:9" x14ac:dyDescent="0.35">
      <c r="A4" s="47" t="s">
        <v>84</v>
      </c>
      <c r="B4" s="37" t="s">
        <v>57</v>
      </c>
      <c r="C4" s="45"/>
      <c r="D4" s="45"/>
      <c r="E4" s="45"/>
      <c r="F4" s="45"/>
      <c r="G4" s="45"/>
      <c r="H4" s="45"/>
      <c r="I4" s="45"/>
    </row>
    <row r="5" spans="1:9" x14ac:dyDescent="0.35">
      <c r="A5" s="47" t="s">
        <v>83</v>
      </c>
      <c r="B5" s="37" t="s">
        <v>57</v>
      </c>
      <c r="C5" s="45"/>
      <c r="D5" s="45"/>
      <c r="E5" s="60"/>
      <c r="F5" s="45"/>
      <c r="G5" s="45"/>
      <c r="H5" s="45"/>
      <c r="I5" s="45"/>
    </row>
    <row r="6" spans="1:9" x14ac:dyDescent="0.35">
      <c r="A6" s="47" t="s">
        <v>82</v>
      </c>
      <c r="B6" s="51"/>
      <c r="C6" s="43"/>
      <c r="D6" s="43"/>
      <c r="E6" s="61"/>
      <c r="F6" s="43"/>
      <c r="G6" s="43"/>
      <c r="H6" s="43"/>
      <c r="I6" s="43"/>
    </row>
    <row r="7" spans="1:9" ht="15.5" x14ac:dyDescent="0.35">
      <c r="A7" s="44" t="s">
        <v>81</v>
      </c>
      <c r="B7" s="37">
        <v>1</v>
      </c>
      <c r="C7" s="37">
        <v>1</v>
      </c>
      <c r="D7" s="37">
        <f>B7*C7</f>
        <v>1</v>
      </c>
      <c r="E7" s="58">
        <v>103</v>
      </c>
      <c r="F7" s="37">
        <f>D7*E7</f>
        <v>103</v>
      </c>
      <c r="G7" s="37">
        <f>F7*0.05</f>
        <v>5.15</v>
      </c>
      <c r="H7" s="37">
        <f>F7*0.1</f>
        <v>10.3</v>
      </c>
      <c r="I7" s="40">
        <f>$F$2*F7+$G$2*G7+$H$2*H7</f>
        <v>14221.467500000001</v>
      </c>
    </row>
    <row r="8" spans="1:9" x14ac:dyDescent="0.35">
      <c r="A8" s="44" t="s">
        <v>80</v>
      </c>
      <c r="B8" s="43"/>
      <c r="C8" s="43"/>
      <c r="D8" s="37"/>
      <c r="E8" s="61"/>
      <c r="F8" s="37"/>
      <c r="G8" s="37"/>
      <c r="H8" s="37"/>
      <c r="I8" s="40"/>
    </row>
    <row r="9" spans="1:9" ht="15.5" x14ac:dyDescent="0.35">
      <c r="A9" s="49" t="s">
        <v>79</v>
      </c>
      <c r="B9" s="37">
        <v>72</v>
      </c>
      <c r="C9" s="37">
        <v>1</v>
      </c>
      <c r="D9" s="37">
        <f>B9*C9</f>
        <v>72</v>
      </c>
      <c r="E9" s="58">
        <v>2</v>
      </c>
      <c r="F9" s="41">
        <f>D9*E9</f>
        <v>144</v>
      </c>
      <c r="G9" s="37">
        <f>F9*0.05</f>
        <v>7.2</v>
      </c>
      <c r="H9" s="37">
        <f>F9*0.1</f>
        <v>14.4</v>
      </c>
      <c r="I9" s="40">
        <f>$F$2*F9+$G$2*G9+$H$2*H9</f>
        <v>19882.440000000002</v>
      </c>
    </row>
    <row r="10" spans="1:9" x14ac:dyDescent="0.35">
      <c r="A10" s="49" t="s">
        <v>78</v>
      </c>
      <c r="B10" s="7" t="s">
        <v>77</v>
      </c>
      <c r="C10" s="47"/>
      <c r="D10" s="37"/>
      <c r="E10" s="60"/>
      <c r="F10" s="37"/>
      <c r="G10" s="37"/>
      <c r="H10" s="37"/>
      <c r="I10" s="40"/>
    </row>
    <row r="11" spans="1:9" ht="15.5" x14ac:dyDescent="0.35">
      <c r="A11" s="49" t="s">
        <v>76</v>
      </c>
      <c r="B11" s="37">
        <v>72</v>
      </c>
      <c r="C11" s="37">
        <v>1</v>
      </c>
      <c r="D11" s="37">
        <f>B11*C11</f>
        <v>72</v>
      </c>
      <c r="E11" s="58">
        <f>0.2*E9</f>
        <v>0.4</v>
      </c>
      <c r="F11" s="37">
        <f>D11*E11</f>
        <v>28.8</v>
      </c>
      <c r="G11" s="50">
        <f>F11*0.05</f>
        <v>1.4400000000000002</v>
      </c>
      <c r="H11" s="50">
        <f>F11*0.1</f>
        <v>2.8800000000000003</v>
      </c>
      <c r="I11" s="40">
        <f>$F$2*F11+$G$2*G11+$H$2*H11</f>
        <v>3976.4880000000003</v>
      </c>
    </row>
    <row r="12" spans="1:9" x14ac:dyDescent="0.35">
      <c r="A12" s="44" t="s">
        <v>75</v>
      </c>
      <c r="B12" s="37" t="s">
        <v>66</v>
      </c>
      <c r="C12" s="47"/>
      <c r="D12" s="37"/>
      <c r="E12" s="62"/>
      <c r="F12" s="37"/>
      <c r="G12" s="37"/>
      <c r="H12" s="37"/>
      <c r="I12" s="40"/>
    </row>
    <row r="13" spans="1:9" x14ac:dyDescent="0.35">
      <c r="A13" s="44" t="s">
        <v>74</v>
      </c>
      <c r="B13" s="37" t="s">
        <v>57</v>
      </c>
      <c r="C13" s="45"/>
      <c r="D13" s="37"/>
      <c r="E13" s="60"/>
      <c r="F13" s="37"/>
      <c r="G13" s="37"/>
      <c r="H13" s="37"/>
      <c r="I13" s="40"/>
    </row>
    <row r="14" spans="1:9" x14ac:dyDescent="0.35">
      <c r="A14" s="44" t="s">
        <v>73</v>
      </c>
      <c r="B14" s="43"/>
      <c r="C14" s="43"/>
      <c r="D14" s="37"/>
      <c r="E14" s="61"/>
      <c r="F14" s="37"/>
      <c r="G14" s="37"/>
      <c r="H14" s="37"/>
      <c r="I14" s="40"/>
    </row>
    <row r="15" spans="1:9" ht="15.5" x14ac:dyDescent="0.35">
      <c r="A15" s="49" t="s">
        <v>72</v>
      </c>
      <c r="B15" s="37">
        <v>2</v>
      </c>
      <c r="C15" s="37">
        <v>1</v>
      </c>
      <c r="D15" s="37">
        <f>B15*C15</f>
        <v>2</v>
      </c>
      <c r="E15" s="58">
        <v>2</v>
      </c>
      <c r="F15" s="37">
        <f>D15*E15</f>
        <v>4</v>
      </c>
      <c r="G15" s="37">
        <f>F15*0.05</f>
        <v>0.2</v>
      </c>
      <c r="H15" s="37">
        <f>F15*0.1</f>
        <v>0.4</v>
      </c>
      <c r="I15" s="40">
        <f>$F$2*F15+$G$2*G15+$H$2*H15</f>
        <v>552.29000000000008</v>
      </c>
    </row>
    <row r="16" spans="1:9" ht="15.5" x14ac:dyDescent="0.35">
      <c r="A16" s="49" t="s">
        <v>71</v>
      </c>
      <c r="B16" s="37">
        <v>2</v>
      </c>
      <c r="C16" s="37">
        <v>1</v>
      </c>
      <c r="D16" s="37">
        <f>B16*C16</f>
        <v>2</v>
      </c>
      <c r="E16" s="58">
        <v>2</v>
      </c>
      <c r="F16" s="37">
        <f>D16*E16</f>
        <v>4</v>
      </c>
      <c r="G16" s="37">
        <f>F16*0.05</f>
        <v>0.2</v>
      </c>
      <c r="H16" s="37">
        <f>F16*0.1</f>
        <v>0.4</v>
      </c>
      <c r="I16" s="40">
        <f>$F$2*F16+$G$2*G16+$H$2*H16</f>
        <v>552.29000000000008</v>
      </c>
    </row>
    <row r="17" spans="1:16" ht="15.5" x14ac:dyDescent="0.35">
      <c r="A17" s="49" t="s">
        <v>70</v>
      </c>
      <c r="B17" s="37">
        <v>40</v>
      </c>
      <c r="C17" s="37">
        <v>1</v>
      </c>
      <c r="D17" s="37">
        <f>B17*C17</f>
        <v>40</v>
      </c>
      <c r="E17" s="58">
        <v>2</v>
      </c>
      <c r="F17" s="37">
        <f>D17*E17</f>
        <v>80</v>
      </c>
      <c r="G17" s="37">
        <f>F17*0.05</f>
        <v>4</v>
      </c>
      <c r="H17" s="37">
        <f>F17*0.1</f>
        <v>8</v>
      </c>
      <c r="I17" s="40">
        <f>$F$2*F17+$G$2*G17+$H$2*H17</f>
        <v>11045.800000000001</v>
      </c>
    </row>
    <row r="18" spans="1:16" ht="15.5" x14ac:dyDescent="0.35">
      <c r="A18" s="49" t="s">
        <v>69</v>
      </c>
      <c r="B18" s="37">
        <v>2</v>
      </c>
      <c r="C18" s="37">
        <v>1</v>
      </c>
      <c r="D18" s="37">
        <f>B18*C18</f>
        <v>2</v>
      </c>
      <c r="E18" s="58">
        <v>2</v>
      </c>
      <c r="F18" s="37">
        <f>D18*E18</f>
        <v>4</v>
      </c>
      <c r="G18" s="37">
        <f>F18*0.05</f>
        <v>0.2</v>
      </c>
      <c r="H18" s="37">
        <f>F18*0.1</f>
        <v>0.4</v>
      </c>
      <c r="I18" s="40">
        <f>$F$2*F18+$G$2*G18+$H$2*H18</f>
        <v>552.29000000000008</v>
      </c>
    </row>
    <row r="19" spans="1:16" ht="15.5" x14ac:dyDescent="0.35">
      <c r="A19" s="49" t="s">
        <v>68</v>
      </c>
      <c r="B19" s="37">
        <v>2</v>
      </c>
      <c r="C19" s="37">
        <v>1</v>
      </c>
      <c r="D19" s="37">
        <f>B19*C19</f>
        <v>2</v>
      </c>
      <c r="E19" s="58">
        <v>2</v>
      </c>
      <c r="F19" s="37">
        <f>D19*E19</f>
        <v>4</v>
      </c>
      <c r="G19" s="37">
        <f>F19*0.05</f>
        <v>0.2</v>
      </c>
      <c r="H19" s="37">
        <f>F19*0.1</f>
        <v>0.4</v>
      </c>
      <c r="I19" s="40">
        <f>$F$2*F19+$G$2*G19+$H$2*H19</f>
        <v>552.29000000000008</v>
      </c>
    </row>
    <row r="20" spans="1:16" x14ac:dyDescent="0.35">
      <c r="A20" s="49" t="s">
        <v>67</v>
      </c>
      <c r="B20" s="37" t="s">
        <v>66</v>
      </c>
      <c r="C20" s="47"/>
      <c r="D20" s="37"/>
      <c r="E20" s="62"/>
      <c r="F20" s="37"/>
      <c r="G20" s="37"/>
      <c r="H20" s="37"/>
      <c r="I20" s="40"/>
    </row>
    <row r="21" spans="1:16" ht="15.5" x14ac:dyDescent="0.35">
      <c r="A21" s="49" t="s">
        <v>65</v>
      </c>
      <c r="B21" s="37">
        <v>40</v>
      </c>
      <c r="C21" s="37">
        <v>2</v>
      </c>
      <c r="D21" s="37">
        <f>B21*C21</f>
        <v>80</v>
      </c>
      <c r="E21" s="58">
        <v>103</v>
      </c>
      <c r="F21" s="48">
        <f>D21*E21</f>
        <v>8240</v>
      </c>
      <c r="G21" s="37">
        <f>F21*0.05</f>
        <v>412</v>
      </c>
      <c r="H21" s="37">
        <f>F21*0.1</f>
        <v>824</v>
      </c>
      <c r="I21" s="40">
        <f>$F$2*F21+$G$2*G21+$H$2*H21</f>
        <v>1137717.3999999999</v>
      </c>
    </row>
    <row r="22" spans="1:16" x14ac:dyDescent="0.35">
      <c r="A22" s="38" t="s">
        <v>8</v>
      </c>
      <c r="B22" s="37"/>
      <c r="C22" s="37"/>
      <c r="D22" s="37"/>
      <c r="E22" s="58"/>
      <c r="F22" s="66">
        <f>SUM(F4:H21)</f>
        <v>9903.57</v>
      </c>
      <c r="G22" s="67"/>
      <c r="H22" s="68"/>
      <c r="I22" s="35">
        <f>SUM(I4:I21)</f>
        <v>1189052.7555</v>
      </c>
    </row>
    <row r="23" spans="1:16" x14ac:dyDescent="0.35">
      <c r="A23" s="47" t="s">
        <v>64</v>
      </c>
      <c r="B23" s="43"/>
      <c r="C23" s="43"/>
      <c r="D23" s="37"/>
      <c r="E23" s="61"/>
      <c r="F23" s="43"/>
      <c r="G23" s="43"/>
      <c r="H23" s="43"/>
      <c r="I23" s="43"/>
    </row>
    <row r="24" spans="1:16" x14ac:dyDescent="0.35">
      <c r="A24" s="44" t="s">
        <v>63</v>
      </c>
      <c r="B24" s="37" t="s">
        <v>62</v>
      </c>
      <c r="C24" s="47"/>
      <c r="D24" s="37"/>
      <c r="E24" s="62"/>
      <c r="F24" s="47"/>
      <c r="G24" s="47"/>
      <c r="H24" s="47"/>
      <c r="I24" s="46"/>
    </row>
    <row r="25" spans="1:16" x14ac:dyDescent="0.35">
      <c r="A25" s="44" t="s">
        <v>61</v>
      </c>
      <c r="B25" s="37" t="s">
        <v>59</v>
      </c>
      <c r="C25" s="47"/>
      <c r="D25" s="37"/>
      <c r="E25" s="62"/>
      <c r="F25" s="47"/>
      <c r="G25" s="47"/>
      <c r="H25" s="47"/>
      <c r="I25" s="46"/>
    </row>
    <row r="26" spans="1:16" x14ac:dyDescent="0.35">
      <c r="A26" s="44" t="s">
        <v>60</v>
      </c>
      <c r="B26" s="37" t="s">
        <v>59</v>
      </c>
      <c r="C26" s="47"/>
      <c r="D26" s="37"/>
      <c r="E26" s="62"/>
      <c r="F26" s="47"/>
      <c r="G26" s="47"/>
      <c r="H26" s="47"/>
      <c r="I26" s="46"/>
    </row>
    <row r="27" spans="1:16" x14ac:dyDescent="0.35">
      <c r="A27" s="44" t="s">
        <v>58</v>
      </c>
      <c r="B27" s="37" t="s">
        <v>57</v>
      </c>
      <c r="C27" s="45"/>
      <c r="D27" s="37"/>
      <c r="E27" s="60"/>
      <c r="F27" s="45"/>
      <c r="G27" s="45"/>
      <c r="H27" s="45"/>
      <c r="I27" s="45"/>
    </row>
    <row r="28" spans="1:16" x14ac:dyDescent="0.35">
      <c r="A28" s="44" t="s">
        <v>56</v>
      </c>
      <c r="B28" s="43"/>
      <c r="C28" s="43"/>
      <c r="D28" s="37"/>
      <c r="E28" s="61"/>
      <c r="F28" s="43"/>
      <c r="G28" s="43"/>
      <c r="H28" s="43"/>
      <c r="I28" s="42"/>
      <c r="O28" t="s">
        <v>128</v>
      </c>
      <c r="P28" t="s">
        <v>129</v>
      </c>
    </row>
    <row r="29" spans="1:16" ht="15.5" x14ac:dyDescent="0.35">
      <c r="A29" s="19" t="s">
        <v>55</v>
      </c>
      <c r="B29" s="37">
        <v>8</v>
      </c>
      <c r="C29" s="37">
        <v>1</v>
      </c>
      <c r="D29" s="37">
        <f>B29*C29</f>
        <v>8</v>
      </c>
      <c r="E29" s="58">
        <v>103</v>
      </c>
      <c r="F29" s="37">
        <f>D29*E29</f>
        <v>824</v>
      </c>
      <c r="G29" s="41">
        <f>F29*0.05</f>
        <v>41.2</v>
      </c>
      <c r="H29" s="37">
        <f>F29*0.1</f>
        <v>82.4</v>
      </c>
      <c r="I29" s="40">
        <f>$F$2*F29+$G$2*G29+$H$2*H29</f>
        <v>113771.74</v>
      </c>
      <c r="O29">
        <v>86</v>
      </c>
      <c r="P29">
        <v>103</v>
      </c>
    </row>
    <row r="30" spans="1:16" x14ac:dyDescent="0.35">
      <c r="A30" s="19" t="s">
        <v>54</v>
      </c>
      <c r="B30" s="37">
        <v>8</v>
      </c>
      <c r="C30" s="37">
        <v>1</v>
      </c>
      <c r="D30" s="37">
        <f>B30*C30</f>
        <v>8</v>
      </c>
      <c r="E30" s="58">
        <v>103</v>
      </c>
      <c r="F30" s="37">
        <f>D30*E30</f>
        <v>824</v>
      </c>
      <c r="G30" s="37">
        <f>F30*0.05</f>
        <v>41.2</v>
      </c>
      <c r="H30" s="37">
        <f>F30*0.1</f>
        <v>82.4</v>
      </c>
      <c r="I30" s="40">
        <f>$F$2*F30+$G$2*G30+$H$2*H30</f>
        <v>113771.74</v>
      </c>
      <c r="L30" s="39"/>
      <c r="O30">
        <v>170</v>
      </c>
      <c r="P30" s="28">
        <f>+P29*O31</f>
        <v>203.6046511627907</v>
      </c>
    </row>
    <row r="31" spans="1:16" ht="15.5" x14ac:dyDescent="0.35">
      <c r="A31" s="19" t="s">
        <v>53</v>
      </c>
      <c r="B31" s="37">
        <v>80</v>
      </c>
      <c r="C31" s="37">
        <v>1</v>
      </c>
      <c r="D31" s="37">
        <f>B31*C31</f>
        <v>80</v>
      </c>
      <c r="E31" s="58">
        <v>2</v>
      </c>
      <c r="F31" s="37">
        <f>D31*E31</f>
        <v>160</v>
      </c>
      <c r="G31" s="37">
        <f>F31*0.05</f>
        <v>8</v>
      </c>
      <c r="H31" s="37">
        <f>F31*0.1</f>
        <v>16</v>
      </c>
      <c r="I31" s="40">
        <f>$F$2*F31+$G$2*G31+$H$2*H31</f>
        <v>22091.600000000002</v>
      </c>
      <c r="L31" s="39"/>
      <c r="O31">
        <f>+O30/O29</f>
        <v>1.9767441860465116</v>
      </c>
    </row>
    <row r="32" spans="1:16" x14ac:dyDescent="0.35">
      <c r="A32" s="38" t="s">
        <v>52</v>
      </c>
      <c r="B32" s="38"/>
      <c r="C32" s="38"/>
      <c r="D32" s="38"/>
      <c r="E32" s="63"/>
      <c r="F32" s="66">
        <f>SUM(F23:H31)</f>
        <v>2079.1999999999998</v>
      </c>
      <c r="G32" s="67"/>
      <c r="H32" s="68"/>
      <c r="I32" s="35">
        <f>SUM(I23:I31)</f>
        <v>249635.08000000002</v>
      </c>
      <c r="K32" t="s">
        <v>51</v>
      </c>
      <c r="L32" t="s">
        <v>7</v>
      </c>
    </row>
    <row r="33" spans="1:12" ht="15" x14ac:dyDescent="0.35">
      <c r="A33" s="38" t="s">
        <v>50</v>
      </c>
      <c r="B33" s="37"/>
      <c r="C33" s="37"/>
      <c r="D33" s="37"/>
      <c r="E33" s="58"/>
      <c r="F33" s="66">
        <f>ROUND(F22+F32,-2)</f>
        <v>12000</v>
      </c>
      <c r="G33" s="67"/>
      <c r="H33" s="68"/>
      <c r="I33" s="35">
        <f>ROUND(I22+I32,-4)</f>
        <v>1440000</v>
      </c>
      <c r="K33" s="28">
        <f>Responses!E10</f>
        <v>182</v>
      </c>
      <c r="L33" s="28">
        <f>+F33/K33</f>
        <v>65.934065934065927</v>
      </c>
    </row>
    <row r="34" spans="1:12" ht="15" x14ac:dyDescent="0.35">
      <c r="A34" s="38" t="s">
        <v>49</v>
      </c>
      <c r="B34" s="37"/>
      <c r="C34" s="37"/>
      <c r="D34" s="37"/>
      <c r="E34" s="58"/>
      <c r="F34" s="36"/>
      <c r="G34" s="36"/>
      <c r="H34" s="36"/>
      <c r="I34" s="35">
        <f>'Capital O&amp;M'!I6</f>
        <v>3810000</v>
      </c>
    </row>
    <row r="35" spans="1:12" ht="15" x14ac:dyDescent="0.35">
      <c r="A35" s="38" t="s">
        <v>48</v>
      </c>
      <c r="B35" s="37"/>
      <c r="C35" s="37"/>
      <c r="D35" s="37"/>
      <c r="E35" s="58"/>
      <c r="F35" s="36"/>
      <c r="G35" s="36"/>
      <c r="H35" s="36"/>
      <c r="I35" s="35">
        <f>ROUND(+I33+I34,-4)</f>
        <v>5250000</v>
      </c>
    </row>
    <row r="37" spans="1:12" x14ac:dyDescent="0.35">
      <c r="A37" s="34" t="s">
        <v>9</v>
      </c>
      <c r="B37" s="32"/>
      <c r="C37" s="1"/>
      <c r="D37" s="1"/>
      <c r="E37" s="1"/>
      <c r="F37" s="1"/>
      <c r="G37" s="1"/>
      <c r="H37" s="1"/>
      <c r="I37" s="1"/>
      <c r="J37" s="1"/>
    </row>
    <row r="38" spans="1:12" ht="15.5" x14ac:dyDescent="0.35">
      <c r="A38" s="33" t="s">
        <v>130</v>
      </c>
      <c r="B38" s="32"/>
      <c r="C38" s="1"/>
      <c r="D38" s="1"/>
      <c r="E38" s="1"/>
      <c r="F38" s="1"/>
      <c r="G38" s="1"/>
      <c r="H38" s="1"/>
      <c r="I38" s="1"/>
      <c r="J38" s="1"/>
    </row>
    <row r="39" spans="1:12" ht="57" customHeight="1" x14ac:dyDescent="0.35">
      <c r="A39" s="69" t="s">
        <v>138</v>
      </c>
      <c r="B39" s="69"/>
      <c r="C39" s="69"/>
      <c r="D39" s="69"/>
      <c r="E39" s="69"/>
      <c r="F39" s="69"/>
      <c r="G39" s="69"/>
      <c r="H39" s="69"/>
      <c r="I39" s="69"/>
      <c r="J39" s="30"/>
    </row>
    <row r="40" spans="1:12" ht="15.5" x14ac:dyDescent="0.35">
      <c r="A40" s="70" t="s">
        <v>136</v>
      </c>
      <c r="B40" s="70"/>
      <c r="C40" s="70"/>
      <c r="D40" s="70"/>
      <c r="E40" s="30"/>
      <c r="F40" s="30"/>
      <c r="G40" s="30"/>
      <c r="H40" s="30"/>
      <c r="I40" s="30"/>
      <c r="J40" s="30"/>
    </row>
    <row r="41" spans="1:12" ht="15.75" customHeight="1" x14ac:dyDescent="0.35">
      <c r="A41" s="31" t="s">
        <v>47</v>
      </c>
      <c r="C41" s="30"/>
      <c r="D41" s="30"/>
      <c r="E41" s="30"/>
      <c r="F41" s="30"/>
      <c r="G41" s="30"/>
      <c r="H41" s="30"/>
      <c r="I41" s="30"/>
      <c r="J41" s="30"/>
    </row>
    <row r="42" spans="1:12" ht="15.75" customHeight="1" x14ac:dyDescent="0.35">
      <c r="A42" s="31" t="s">
        <v>46</v>
      </c>
      <c r="C42" s="30"/>
      <c r="D42" s="30"/>
      <c r="E42" s="30"/>
      <c r="F42" s="30"/>
      <c r="G42" s="30"/>
      <c r="H42" s="30"/>
      <c r="I42" s="30"/>
      <c r="J42" s="30"/>
    </row>
    <row r="43" spans="1:12" ht="15.75" customHeight="1" x14ac:dyDescent="0.35">
      <c r="A43" s="56" t="s">
        <v>131</v>
      </c>
      <c r="C43" s="30"/>
      <c r="D43" s="30"/>
      <c r="E43" s="30"/>
      <c r="F43" s="30"/>
      <c r="G43" s="30"/>
      <c r="H43" s="30"/>
      <c r="I43" s="30"/>
      <c r="J43" s="30"/>
    </row>
    <row r="44" spans="1:12" ht="15.75" customHeight="1" x14ac:dyDescent="0.35">
      <c r="A44" s="8" t="s">
        <v>45</v>
      </c>
      <c r="C44" s="29"/>
      <c r="D44" s="29"/>
      <c r="E44" s="29"/>
      <c r="F44" s="29"/>
      <c r="G44" s="29"/>
      <c r="H44" s="29"/>
      <c r="I44" s="29"/>
      <c r="J44" s="29"/>
    </row>
    <row r="45" spans="1:12" ht="15.5" x14ac:dyDescent="0.35">
      <c r="A45" s="8" t="s">
        <v>44</v>
      </c>
      <c r="C45" s="29"/>
      <c r="D45" s="29"/>
      <c r="E45" s="29"/>
      <c r="F45" s="29"/>
      <c r="G45" s="29"/>
      <c r="H45" s="29"/>
      <c r="I45" s="29"/>
      <c r="J45" s="29"/>
    </row>
    <row r="46" spans="1:12" ht="15.75" customHeight="1" x14ac:dyDescent="0.35">
      <c r="A46" s="8" t="s">
        <v>43</v>
      </c>
      <c r="C46" s="29"/>
      <c r="D46" s="29"/>
      <c r="E46" s="29"/>
      <c r="F46" s="29"/>
      <c r="G46" s="29"/>
      <c r="H46" s="29"/>
      <c r="I46" s="29"/>
      <c r="J46" s="29"/>
    </row>
    <row r="47" spans="1:12" ht="15.5" x14ac:dyDescent="0.35">
      <c r="A47" s="8" t="s">
        <v>42</v>
      </c>
    </row>
    <row r="50" spans="12:12" x14ac:dyDescent="0.35">
      <c r="L50" s="26"/>
    </row>
  </sheetData>
  <mergeCells count="5">
    <mergeCell ref="F32:H32"/>
    <mergeCell ref="F33:H33"/>
    <mergeCell ref="F22:H22"/>
    <mergeCell ref="A39:I39"/>
    <mergeCell ref="A40:D40"/>
  </mergeCell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A4C49-16A6-4449-8EAA-B63B3E2E325C}">
  <dimension ref="A1:K24"/>
  <sheetViews>
    <sheetView workbookViewId="0">
      <selection activeCell="E21" sqref="E21"/>
    </sheetView>
  </sheetViews>
  <sheetFormatPr defaultRowHeight="14.5" x14ac:dyDescent="0.35"/>
  <cols>
    <col min="1" max="1" width="45.1796875" customWidth="1"/>
    <col min="2" max="2" width="10.7265625" customWidth="1"/>
    <col min="3" max="3" width="11.1796875" customWidth="1"/>
    <col min="5" max="5" width="11" customWidth="1"/>
    <col min="7" max="7" width="12.26953125" customWidth="1"/>
    <col min="8" max="8" width="10.1796875" customWidth="1"/>
    <col min="9" max="9" width="10.54296875" bestFit="1" customWidth="1"/>
  </cols>
  <sheetData>
    <row r="1" spans="1:10" x14ac:dyDescent="0.35">
      <c r="A1" s="34" t="s">
        <v>116</v>
      </c>
    </row>
    <row r="2" spans="1:10" x14ac:dyDescent="0.35">
      <c r="F2">
        <v>52.37</v>
      </c>
      <c r="G2">
        <v>70.56</v>
      </c>
      <c r="H2">
        <v>28.34</v>
      </c>
    </row>
    <row r="3" spans="1:10" ht="65" x14ac:dyDescent="0.35">
      <c r="A3" s="52" t="s">
        <v>115</v>
      </c>
      <c r="B3" s="52" t="s">
        <v>114</v>
      </c>
      <c r="C3" s="52" t="s">
        <v>113</v>
      </c>
      <c r="D3" s="52" t="s">
        <v>112</v>
      </c>
      <c r="E3" s="52" t="s">
        <v>111</v>
      </c>
      <c r="F3" s="52" t="s">
        <v>110</v>
      </c>
      <c r="G3" s="52" t="s">
        <v>109</v>
      </c>
      <c r="H3" s="52" t="s">
        <v>108</v>
      </c>
      <c r="I3" s="52" t="s">
        <v>107</v>
      </c>
    </row>
    <row r="4" spans="1:10" ht="15.5" x14ac:dyDescent="0.35">
      <c r="A4" s="47" t="s">
        <v>106</v>
      </c>
      <c r="B4" s="37">
        <v>24</v>
      </c>
      <c r="C4" s="37">
        <v>1</v>
      </c>
      <c r="D4" s="37">
        <f>B4*C4</f>
        <v>24</v>
      </c>
      <c r="E4" s="58">
        <v>2</v>
      </c>
      <c r="F4" s="37">
        <f>D4*E4</f>
        <v>48</v>
      </c>
      <c r="G4" s="37">
        <f>F4*0.05</f>
        <v>2.4000000000000004</v>
      </c>
      <c r="H4" s="37">
        <f>F4*0.1</f>
        <v>4.8000000000000007</v>
      </c>
      <c r="I4" s="40">
        <f>$F$2*F4+$G$2*G4+$H$2*H4</f>
        <v>2819.136</v>
      </c>
    </row>
    <row r="5" spans="1:10" x14ac:dyDescent="0.35">
      <c r="A5" s="47" t="s">
        <v>134</v>
      </c>
      <c r="B5" s="42"/>
      <c r="C5" s="42"/>
      <c r="D5" s="37"/>
      <c r="E5" s="59"/>
      <c r="F5" s="37"/>
      <c r="G5" s="37"/>
      <c r="H5" s="37"/>
      <c r="I5" s="40"/>
      <c r="J5" s="57"/>
    </row>
    <row r="6" spans="1:10" ht="15.5" x14ac:dyDescent="0.35">
      <c r="A6" s="47" t="s">
        <v>105</v>
      </c>
      <c r="B6" s="37">
        <v>24</v>
      </c>
      <c r="C6" s="37">
        <v>1</v>
      </c>
      <c r="D6" s="37">
        <f>B6*C6</f>
        <v>24</v>
      </c>
      <c r="E6" s="58">
        <f>+E4*0.2</f>
        <v>0.4</v>
      </c>
      <c r="F6" s="37">
        <f>D6*E6</f>
        <v>9.6000000000000014</v>
      </c>
      <c r="G6" s="50">
        <f>F6*0.05</f>
        <v>0.48000000000000009</v>
      </c>
      <c r="H6" s="50">
        <f>F6*0.1</f>
        <v>0.96000000000000019</v>
      </c>
      <c r="I6" s="40">
        <f>$F$2*F6+$G$2*G6+$H$2*H6</f>
        <v>563.82720000000006</v>
      </c>
    </row>
    <row r="7" spans="1:10" x14ac:dyDescent="0.35">
      <c r="A7" s="47" t="s">
        <v>133</v>
      </c>
      <c r="B7" s="37">
        <v>24</v>
      </c>
      <c r="C7" s="37">
        <v>1</v>
      </c>
      <c r="D7" s="37">
        <f>B7*C7</f>
        <v>24</v>
      </c>
      <c r="E7" s="58">
        <f>E6</f>
        <v>0.4</v>
      </c>
      <c r="F7" s="37">
        <f>D7*E7</f>
        <v>9.6000000000000014</v>
      </c>
      <c r="G7" s="50">
        <f>F7*0.05</f>
        <v>0.48000000000000009</v>
      </c>
      <c r="H7" s="50">
        <f>F7*0.1</f>
        <v>0.96000000000000019</v>
      </c>
      <c r="I7" s="40">
        <f>$F$2*F7+$G$2*G7+$H$2*H7</f>
        <v>563.82720000000006</v>
      </c>
    </row>
    <row r="8" spans="1:10" x14ac:dyDescent="0.35">
      <c r="A8" s="47" t="s">
        <v>135</v>
      </c>
      <c r="B8" s="42"/>
      <c r="C8" s="42"/>
      <c r="D8" s="37"/>
      <c r="E8" s="59"/>
      <c r="F8" s="37"/>
      <c r="G8" s="37"/>
      <c r="H8" s="37"/>
      <c r="I8" s="40"/>
    </row>
    <row r="9" spans="1:10" ht="15.5" x14ac:dyDescent="0.35">
      <c r="A9" s="47" t="s">
        <v>104</v>
      </c>
      <c r="B9" s="37">
        <v>2</v>
      </c>
      <c r="C9" s="37">
        <v>1</v>
      </c>
      <c r="D9" s="37">
        <f t="shared" ref="D9:D14" si="0">B9*C9</f>
        <v>2</v>
      </c>
      <c r="E9" s="58">
        <v>2</v>
      </c>
      <c r="F9" s="37">
        <f t="shared" ref="F9:F14" si="1">D9*E9</f>
        <v>4</v>
      </c>
      <c r="G9" s="37">
        <f t="shared" ref="G9:G14" si="2">F9*0.05</f>
        <v>0.2</v>
      </c>
      <c r="H9" s="37">
        <f t="shared" ref="H9:H14" si="3">F9*0.1</f>
        <v>0.4</v>
      </c>
      <c r="I9" s="40">
        <f t="shared" ref="I9:I14" si="4">$F$2*F9+$G$2*G9+$H$2*H9</f>
        <v>234.928</v>
      </c>
    </row>
    <row r="10" spans="1:10" ht="15.5" x14ac:dyDescent="0.35">
      <c r="A10" s="47" t="s">
        <v>103</v>
      </c>
      <c r="B10" s="37">
        <v>2</v>
      </c>
      <c r="C10" s="37">
        <v>1</v>
      </c>
      <c r="D10" s="37">
        <f t="shared" si="0"/>
        <v>2</v>
      </c>
      <c r="E10" s="58">
        <v>2</v>
      </c>
      <c r="F10" s="37">
        <f t="shared" si="1"/>
        <v>4</v>
      </c>
      <c r="G10" s="37">
        <f t="shared" si="2"/>
        <v>0.2</v>
      </c>
      <c r="H10" s="37">
        <f t="shared" si="3"/>
        <v>0.4</v>
      </c>
      <c r="I10" s="40">
        <f t="shared" si="4"/>
        <v>234.928</v>
      </c>
    </row>
    <row r="11" spans="1:10" ht="15.5" x14ac:dyDescent="0.35">
      <c r="A11" s="47" t="s">
        <v>102</v>
      </c>
      <c r="B11" s="37">
        <v>0.5</v>
      </c>
      <c r="C11" s="37">
        <v>1</v>
      </c>
      <c r="D11" s="37">
        <f t="shared" si="0"/>
        <v>0.5</v>
      </c>
      <c r="E11" s="58">
        <v>2</v>
      </c>
      <c r="F11" s="37">
        <f t="shared" si="1"/>
        <v>1</v>
      </c>
      <c r="G11" s="37">
        <f t="shared" si="2"/>
        <v>0.05</v>
      </c>
      <c r="H11" s="37">
        <f t="shared" si="3"/>
        <v>0.1</v>
      </c>
      <c r="I11" s="40">
        <f t="shared" si="4"/>
        <v>58.731999999999999</v>
      </c>
    </row>
    <row r="12" spans="1:10" ht="15.5" x14ac:dyDescent="0.35">
      <c r="A12" s="47" t="s">
        <v>101</v>
      </c>
      <c r="B12" s="37">
        <v>0.5</v>
      </c>
      <c r="C12" s="37">
        <v>1</v>
      </c>
      <c r="D12" s="37">
        <f t="shared" si="0"/>
        <v>0.5</v>
      </c>
      <c r="E12" s="58">
        <v>2</v>
      </c>
      <c r="F12" s="37">
        <f t="shared" si="1"/>
        <v>1</v>
      </c>
      <c r="G12" s="37">
        <f t="shared" si="2"/>
        <v>0.05</v>
      </c>
      <c r="H12" s="37">
        <f t="shared" si="3"/>
        <v>0.1</v>
      </c>
      <c r="I12" s="40">
        <f t="shared" si="4"/>
        <v>58.731999999999999</v>
      </c>
    </row>
    <row r="13" spans="1:10" x14ac:dyDescent="0.35">
      <c r="A13" s="47" t="s">
        <v>100</v>
      </c>
      <c r="B13" s="37">
        <v>8</v>
      </c>
      <c r="C13" s="37">
        <v>1</v>
      </c>
      <c r="D13" s="37">
        <f t="shared" si="0"/>
        <v>8</v>
      </c>
      <c r="E13" s="58">
        <f>2*0.2</f>
        <v>0.4</v>
      </c>
      <c r="F13" s="37">
        <f t="shared" si="1"/>
        <v>3.2</v>
      </c>
      <c r="G13" s="37">
        <f t="shared" si="2"/>
        <v>0.16000000000000003</v>
      </c>
      <c r="H13" s="37">
        <f t="shared" si="3"/>
        <v>0.32000000000000006</v>
      </c>
      <c r="I13" s="40">
        <f t="shared" si="4"/>
        <v>187.94240000000002</v>
      </c>
    </row>
    <row r="14" spans="1:10" ht="15.5" x14ac:dyDescent="0.35">
      <c r="A14" s="47" t="s">
        <v>99</v>
      </c>
      <c r="B14" s="37">
        <v>8</v>
      </c>
      <c r="C14" s="37">
        <v>2</v>
      </c>
      <c r="D14" s="37">
        <f t="shared" si="0"/>
        <v>16</v>
      </c>
      <c r="E14" s="58">
        <v>103</v>
      </c>
      <c r="F14" s="48">
        <f t="shared" si="1"/>
        <v>1648</v>
      </c>
      <c r="G14" s="37">
        <f t="shared" si="2"/>
        <v>82.4</v>
      </c>
      <c r="H14" s="37">
        <f t="shared" si="3"/>
        <v>164.8</v>
      </c>
      <c r="I14" s="40">
        <f t="shared" si="4"/>
        <v>96790.335999999996</v>
      </c>
    </row>
    <row r="15" spans="1:10" ht="15" x14ac:dyDescent="0.35">
      <c r="A15" s="38" t="s">
        <v>98</v>
      </c>
      <c r="B15" s="37"/>
      <c r="C15" s="37"/>
      <c r="D15" s="37"/>
      <c r="E15" s="37"/>
      <c r="F15" s="71">
        <f>ROUND(SUM(F4:H14),-1)</f>
        <v>1990</v>
      </c>
      <c r="G15" s="71"/>
      <c r="H15" s="71"/>
      <c r="I15" s="35">
        <f>ROUND(SUM(I4:I14),-3)</f>
        <v>102000</v>
      </c>
    </row>
    <row r="17" spans="1:11" x14ac:dyDescent="0.35">
      <c r="A17" s="34" t="s">
        <v>9</v>
      </c>
      <c r="B17" s="32"/>
      <c r="C17" s="1"/>
      <c r="D17" s="1"/>
      <c r="E17" s="1"/>
      <c r="F17" s="1"/>
      <c r="G17" s="1"/>
      <c r="H17" s="1"/>
      <c r="I17" s="1"/>
      <c r="J17" s="1"/>
    </row>
    <row r="18" spans="1:11" ht="22.15" customHeight="1" x14ac:dyDescent="0.35">
      <c r="A18" s="73" t="s">
        <v>130</v>
      </c>
      <c r="B18" s="73"/>
      <c r="C18" s="73"/>
      <c r="D18" s="73"/>
      <c r="E18" s="73"/>
      <c r="F18" s="73"/>
      <c r="G18" s="73"/>
      <c r="H18" s="73"/>
      <c r="I18" s="73"/>
      <c r="J18" s="73"/>
      <c r="K18" s="73"/>
    </row>
    <row r="19" spans="1:11" ht="48" customHeight="1" x14ac:dyDescent="0.35">
      <c r="A19" s="72" t="s">
        <v>139</v>
      </c>
      <c r="B19" s="72"/>
      <c r="C19" s="72"/>
      <c r="D19" s="72"/>
      <c r="E19" s="72"/>
      <c r="F19" s="72"/>
      <c r="G19" s="72"/>
      <c r="H19" s="72"/>
      <c r="I19" s="72"/>
      <c r="J19" s="72"/>
      <c r="K19" s="72"/>
    </row>
    <row r="20" spans="1:11" ht="15.75" customHeight="1" x14ac:dyDescent="0.35">
      <c r="A20" s="8" t="s">
        <v>137</v>
      </c>
      <c r="C20" s="29"/>
      <c r="D20" s="29"/>
      <c r="E20" s="29"/>
      <c r="F20" s="29"/>
      <c r="G20" s="29"/>
      <c r="H20" s="29"/>
      <c r="I20" s="29"/>
      <c r="J20" s="29"/>
    </row>
    <row r="21" spans="1:11" ht="15.75" customHeight="1" x14ac:dyDescent="0.35">
      <c r="A21" s="8" t="s">
        <v>97</v>
      </c>
      <c r="C21" s="29"/>
      <c r="D21" s="29"/>
      <c r="E21" s="29"/>
      <c r="F21" s="29"/>
      <c r="G21" s="29"/>
      <c r="H21" s="29"/>
      <c r="I21" s="29"/>
      <c r="J21" s="29"/>
    </row>
    <row r="22" spans="1:11" ht="15.75" customHeight="1" x14ac:dyDescent="0.35">
      <c r="A22" s="8" t="s">
        <v>132</v>
      </c>
      <c r="C22" s="29"/>
      <c r="D22" s="29"/>
      <c r="E22" s="29"/>
      <c r="F22" s="29"/>
      <c r="G22" s="29"/>
      <c r="H22" s="29"/>
      <c r="I22" s="29"/>
      <c r="J22" s="29"/>
    </row>
    <row r="23" spans="1:11" ht="15.75" customHeight="1" x14ac:dyDescent="0.35">
      <c r="A23" s="8" t="s">
        <v>96</v>
      </c>
      <c r="C23" s="29"/>
      <c r="D23" s="29"/>
      <c r="E23" s="29"/>
      <c r="F23" s="29"/>
      <c r="G23" s="29"/>
      <c r="H23" s="29"/>
      <c r="I23" s="29"/>
      <c r="J23" s="29"/>
    </row>
    <row r="24" spans="1:11" ht="15.5" x14ac:dyDescent="0.35">
      <c r="A24" s="8" t="s">
        <v>95</v>
      </c>
    </row>
  </sheetData>
  <mergeCells count="3">
    <mergeCell ref="F15:H15"/>
    <mergeCell ref="A19:K19"/>
    <mergeCell ref="A18:K18"/>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9"/>
  <sheetViews>
    <sheetView zoomScale="80" zoomScaleNormal="80" workbookViewId="0">
      <selection activeCell="E27" sqref="E27"/>
    </sheetView>
  </sheetViews>
  <sheetFormatPr defaultColWidth="22" defaultRowHeight="13" x14ac:dyDescent="0.3"/>
  <cols>
    <col min="1" max="1" width="22" style="5"/>
    <col min="2" max="2" width="17.54296875" style="5" customWidth="1"/>
    <col min="3" max="3" width="17.26953125" style="5" customWidth="1"/>
    <col min="4" max="4" width="22" style="5"/>
    <col min="5" max="5" width="19.81640625" style="5" customWidth="1"/>
    <col min="6" max="7" width="16.81640625" style="5" customWidth="1"/>
    <col min="8" max="8" width="6" style="5" customWidth="1"/>
    <col min="9" max="16384" width="22" style="5"/>
  </cols>
  <sheetData>
    <row r="1" spans="1:9" x14ac:dyDescent="0.3">
      <c r="A1" s="3"/>
      <c r="B1" s="4"/>
      <c r="C1" s="4"/>
    </row>
    <row r="2" spans="1:9" x14ac:dyDescent="0.3">
      <c r="A2" s="75" t="s">
        <v>10</v>
      </c>
      <c r="B2" s="75"/>
      <c r="C2" s="75"/>
      <c r="D2" s="75"/>
      <c r="E2" s="75"/>
      <c r="F2" s="75"/>
      <c r="G2" s="76"/>
      <c r="H2" s="14"/>
    </row>
    <row r="3" spans="1:9" x14ac:dyDescent="0.3">
      <c r="A3" s="10" t="s">
        <v>11</v>
      </c>
      <c r="B3" s="10" t="s">
        <v>12</v>
      </c>
      <c r="C3" s="10" t="s">
        <v>13</v>
      </c>
      <c r="D3" s="10" t="s">
        <v>14</v>
      </c>
      <c r="E3" s="10" t="s">
        <v>15</v>
      </c>
      <c r="F3" s="10" t="s">
        <v>16</v>
      </c>
      <c r="G3" s="10" t="s">
        <v>17</v>
      </c>
      <c r="H3" s="14"/>
    </row>
    <row r="4" spans="1:9" ht="42.65" customHeight="1" x14ac:dyDescent="0.3">
      <c r="A4" s="54" t="s">
        <v>18</v>
      </c>
      <c r="B4" s="54" t="s">
        <v>19</v>
      </c>
      <c r="C4" s="54" t="s">
        <v>20</v>
      </c>
      <c r="D4" s="54" t="s">
        <v>21</v>
      </c>
      <c r="E4" s="54" t="s">
        <v>22</v>
      </c>
      <c r="F4" s="54" t="s">
        <v>23</v>
      </c>
      <c r="G4" s="54" t="s">
        <v>24</v>
      </c>
      <c r="H4" s="14"/>
    </row>
    <row r="5" spans="1:9" ht="22.15" customHeight="1" x14ac:dyDescent="0.3">
      <c r="A5" s="9" t="s">
        <v>117</v>
      </c>
      <c r="B5" s="11">
        <v>100000</v>
      </c>
      <c r="C5" s="7">
        <v>2</v>
      </c>
      <c r="D5" s="11">
        <f>+B5*C5</f>
        <v>200000</v>
      </c>
      <c r="E5" s="11">
        <v>35000</v>
      </c>
      <c r="F5" s="7">
        <v>103</v>
      </c>
      <c r="G5" s="11">
        <f>+E5*F5</f>
        <v>3605000</v>
      </c>
      <c r="H5" s="15"/>
    </row>
    <row r="6" spans="1:9" ht="26.5" customHeight="1" x14ac:dyDescent="0.3">
      <c r="A6" s="12" t="s">
        <v>120</v>
      </c>
      <c r="B6" s="7"/>
      <c r="C6" s="7"/>
      <c r="D6" s="13">
        <f>ROUND(SUM(D5:D5), 0)</f>
        <v>200000</v>
      </c>
      <c r="E6" s="7"/>
      <c r="F6" s="7"/>
      <c r="G6" s="13">
        <f>ROUND(SUM(G5:G5), -4)</f>
        <v>3610000</v>
      </c>
      <c r="I6" s="25">
        <f>D6+G6</f>
        <v>3810000</v>
      </c>
    </row>
    <row r="7" spans="1:9" ht="11.25" customHeight="1" x14ac:dyDescent="0.3">
      <c r="A7" s="23"/>
      <c r="B7" s="24"/>
      <c r="C7" s="24"/>
      <c r="D7" s="16"/>
      <c r="E7" s="24"/>
      <c r="F7" s="24"/>
      <c r="G7" s="16"/>
    </row>
    <row r="8" spans="1:9" ht="18.649999999999999" customHeight="1" x14ac:dyDescent="0.3">
      <c r="A8" s="74" t="s">
        <v>119</v>
      </c>
      <c r="B8" s="74"/>
      <c r="C8" s="74"/>
      <c r="D8" s="74"/>
      <c r="E8" s="74"/>
      <c r="F8" s="74"/>
      <c r="G8" s="74"/>
    </row>
    <row r="9" spans="1:9" ht="15.5" x14ac:dyDescent="0.3">
      <c r="A9" s="77" t="s">
        <v>118</v>
      </c>
      <c r="B9" s="77"/>
      <c r="C9" s="77"/>
      <c r="D9" s="77"/>
      <c r="E9" s="21"/>
      <c r="F9" s="21"/>
      <c r="G9" s="21"/>
    </row>
  </sheetData>
  <mergeCells count="3">
    <mergeCell ref="A8:G8"/>
    <mergeCell ref="A2:G2"/>
    <mergeCell ref="A9:D9"/>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2"/>
  <sheetViews>
    <sheetView zoomScale="80" zoomScaleNormal="80" workbookViewId="0">
      <selection activeCell="A6" sqref="A6"/>
    </sheetView>
  </sheetViews>
  <sheetFormatPr defaultRowHeight="14.5" x14ac:dyDescent="0.35"/>
  <cols>
    <col min="1" max="1" width="25.7265625" customWidth="1"/>
    <col min="2" max="2" width="11.81640625" customWidth="1"/>
    <col min="3" max="3" width="12.7265625" customWidth="1"/>
    <col min="4" max="4" width="11.453125" customWidth="1"/>
    <col min="5" max="5" width="14.7265625" customWidth="1"/>
  </cols>
  <sheetData>
    <row r="1" spans="1:6" s="5" customFormat="1" ht="15" x14ac:dyDescent="0.3">
      <c r="A1" s="78" t="s">
        <v>6</v>
      </c>
      <c r="B1" s="78"/>
      <c r="C1" s="78"/>
      <c r="D1" s="78"/>
      <c r="E1" s="78"/>
    </row>
    <row r="2" spans="1:6" s="5" customFormat="1" ht="13" x14ac:dyDescent="0.3">
      <c r="A2" s="6" t="s">
        <v>11</v>
      </c>
      <c r="B2" s="6" t="s">
        <v>12</v>
      </c>
      <c r="C2" s="6" t="s">
        <v>13</v>
      </c>
      <c r="D2" s="6" t="s">
        <v>14</v>
      </c>
      <c r="E2" s="6" t="s">
        <v>15</v>
      </c>
    </row>
    <row r="3" spans="1:6" s="5" customFormat="1" ht="104" x14ac:dyDescent="0.3">
      <c r="A3" s="6" t="s">
        <v>25</v>
      </c>
      <c r="B3" s="6" t="s">
        <v>26</v>
      </c>
      <c r="C3" s="6" t="s">
        <v>27</v>
      </c>
      <c r="D3" s="6" t="s">
        <v>28</v>
      </c>
      <c r="E3" s="6" t="s">
        <v>29</v>
      </c>
    </row>
    <row r="4" spans="1:6" s="5" customFormat="1" ht="26" x14ac:dyDescent="0.3">
      <c r="A4" s="55" t="s">
        <v>121</v>
      </c>
      <c r="B4" s="7">
        <v>2</v>
      </c>
      <c r="C4" s="7">
        <v>1</v>
      </c>
      <c r="D4" s="7" t="s">
        <v>57</v>
      </c>
      <c r="E4" s="7">
        <v>2</v>
      </c>
    </row>
    <row r="5" spans="1:6" s="5" customFormat="1" ht="26" x14ac:dyDescent="0.3">
      <c r="A5" s="55" t="s">
        <v>122</v>
      </c>
      <c r="B5" s="7">
        <v>2</v>
      </c>
      <c r="C5" s="7">
        <v>1</v>
      </c>
      <c r="D5" s="7" t="s">
        <v>57</v>
      </c>
      <c r="E5" s="7">
        <v>2</v>
      </c>
    </row>
    <row r="6" spans="1:6" s="5" customFormat="1" ht="26" x14ac:dyDescent="0.3">
      <c r="A6" s="55" t="s">
        <v>123</v>
      </c>
      <c r="B6" s="7">
        <v>2</v>
      </c>
      <c r="C6" s="7">
        <v>1</v>
      </c>
      <c r="D6" s="7" t="s">
        <v>57</v>
      </c>
      <c r="E6" s="7">
        <v>2</v>
      </c>
    </row>
    <row r="7" spans="1:6" s="5" customFormat="1" ht="13" x14ac:dyDescent="0.3">
      <c r="A7" s="55" t="s">
        <v>124</v>
      </c>
      <c r="B7" s="7">
        <v>2</v>
      </c>
      <c r="C7" s="7">
        <v>1</v>
      </c>
      <c r="D7" s="7" t="s">
        <v>57</v>
      </c>
      <c r="E7" s="7">
        <v>2</v>
      </c>
    </row>
    <row r="8" spans="1:6" s="5" customFormat="1" ht="26" x14ac:dyDescent="0.3">
      <c r="A8" s="55" t="s">
        <v>125</v>
      </c>
      <c r="B8" s="20">
        <v>2</v>
      </c>
      <c r="C8" s="7">
        <v>1</v>
      </c>
      <c r="D8" s="7" t="s">
        <v>57</v>
      </c>
      <c r="E8" s="7">
        <v>2</v>
      </c>
      <c r="F8" s="2"/>
    </row>
    <row r="9" spans="1:6" s="5" customFormat="1" ht="28.5" customHeight="1" x14ac:dyDescent="0.3">
      <c r="A9" s="55" t="s">
        <v>126</v>
      </c>
      <c r="B9" s="20">
        <v>103</v>
      </c>
      <c r="C9" s="7">
        <v>2</v>
      </c>
      <c r="D9" s="7" t="s">
        <v>57</v>
      </c>
      <c r="E9" s="7">
        <v>172</v>
      </c>
    </row>
    <row r="10" spans="1:6" s="5" customFormat="1" ht="28.5" customHeight="1" x14ac:dyDescent="0.3">
      <c r="A10" s="9"/>
      <c r="B10" s="7"/>
      <c r="C10" s="7"/>
      <c r="D10" s="10" t="s">
        <v>30</v>
      </c>
      <c r="E10" s="22">
        <f>SUM(E4:E9)</f>
        <v>182</v>
      </c>
    </row>
    <row r="11" spans="1:6" s="5" customFormat="1" ht="13" x14ac:dyDescent="0.3">
      <c r="A11" s="79"/>
      <c r="B11" s="79"/>
      <c r="C11" s="79"/>
      <c r="D11" s="79"/>
      <c r="E11" s="79"/>
    </row>
    <row r="12" spans="1:6" s="5" customFormat="1" ht="18" customHeight="1" x14ac:dyDescent="0.35">
      <c r="A12"/>
      <c r="B12"/>
      <c r="C12"/>
      <c r="D12"/>
      <c r="E12"/>
    </row>
  </sheetData>
  <mergeCells count="2">
    <mergeCell ref="A1:E1"/>
    <mergeCell ref="A11:E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80" zoomScaleNormal="80" workbookViewId="0">
      <selection activeCell="D14" sqref="D14"/>
    </sheetView>
  </sheetViews>
  <sheetFormatPr defaultColWidth="17.7265625" defaultRowHeight="31.9" customHeight="1" x14ac:dyDescent="0.35"/>
  <sheetData>
    <row r="1" spans="1:6" s="5" customFormat="1" ht="31.9" customHeight="1" x14ac:dyDescent="0.3">
      <c r="A1" s="78" t="s">
        <v>2</v>
      </c>
      <c r="B1" s="78"/>
      <c r="C1" s="78"/>
      <c r="D1" s="78"/>
      <c r="E1" s="78"/>
      <c r="F1" s="78"/>
    </row>
    <row r="2" spans="1:6" s="5" customFormat="1" ht="38.5" customHeight="1" x14ac:dyDescent="0.3">
      <c r="A2" s="17"/>
      <c r="B2" s="80" t="s">
        <v>31</v>
      </c>
      <c r="C2" s="80"/>
      <c r="D2" s="18" t="s">
        <v>32</v>
      </c>
      <c r="E2" s="81"/>
      <c r="F2" s="81"/>
    </row>
    <row r="3" spans="1:6" s="5" customFormat="1" ht="31.9" customHeight="1" x14ac:dyDescent="0.3">
      <c r="A3" s="17"/>
      <c r="B3" s="18" t="s">
        <v>11</v>
      </c>
      <c r="C3" s="18" t="s">
        <v>12</v>
      </c>
      <c r="D3" s="18" t="s">
        <v>13</v>
      </c>
      <c r="E3" s="18" t="s">
        <v>14</v>
      </c>
      <c r="F3" s="18" t="s">
        <v>15</v>
      </c>
    </row>
    <row r="4" spans="1:6" s="5" customFormat="1" ht="70.900000000000006" customHeight="1" x14ac:dyDescent="0.3">
      <c r="A4" s="18" t="s">
        <v>33</v>
      </c>
      <c r="B4" s="18" t="s">
        <v>34</v>
      </c>
      <c r="C4" s="18" t="s">
        <v>35</v>
      </c>
      <c r="D4" s="18" t="s">
        <v>36</v>
      </c>
      <c r="E4" s="18" t="s">
        <v>37</v>
      </c>
      <c r="F4" s="18" t="s">
        <v>38</v>
      </c>
    </row>
    <row r="5" spans="1:6" s="5" customFormat="1" ht="31.9" customHeight="1" x14ac:dyDescent="0.3">
      <c r="A5" s="6">
        <v>1</v>
      </c>
      <c r="B5" s="7">
        <v>2</v>
      </c>
      <c r="C5" s="7">
        <v>103</v>
      </c>
      <c r="D5" s="7">
        <v>0</v>
      </c>
      <c r="E5" s="7">
        <v>2</v>
      </c>
      <c r="F5" s="7">
        <f>B5+C5+D5-E5</f>
        <v>103</v>
      </c>
    </row>
    <row r="6" spans="1:6" s="5" customFormat="1" ht="31.9" customHeight="1" x14ac:dyDescent="0.3">
      <c r="A6" s="6">
        <v>2</v>
      </c>
      <c r="B6" s="7">
        <v>2</v>
      </c>
      <c r="C6" s="7">
        <v>103</v>
      </c>
      <c r="D6" s="7">
        <v>0</v>
      </c>
      <c r="E6" s="7">
        <v>2</v>
      </c>
      <c r="F6" s="7">
        <f>B6+C6+D6-E6</f>
        <v>103</v>
      </c>
    </row>
    <row r="7" spans="1:6" s="5" customFormat="1" ht="31.9" customHeight="1" x14ac:dyDescent="0.3">
      <c r="A7" s="6">
        <v>3</v>
      </c>
      <c r="B7" s="7">
        <v>2</v>
      </c>
      <c r="C7" s="7">
        <v>103</v>
      </c>
      <c r="D7" s="7">
        <v>0</v>
      </c>
      <c r="E7" s="7">
        <v>2</v>
      </c>
      <c r="F7" s="7">
        <f>B7+C7+D7-E7</f>
        <v>103</v>
      </c>
    </row>
    <row r="8" spans="1:6" s="5" customFormat="1" ht="31.9" customHeight="1" x14ac:dyDescent="0.3">
      <c r="A8" s="18" t="s">
        <v>39</v>
      </c>
      <c r="B8" s="10">
        <f>AVERAGE(B5:B7)</f>
        <v>2</v>
      </c>
      <c r="C8" s="10">
        <f>AVERAGE(C5:C7)</f>
        <v>103</v>
      </c>
      <c r="D8" s="10">
        <f>AVERAGE(D5:D7)</f>
        <v>0</v>
      </c>
      <c r="E8" s="10">
        <f>AVERAGE(E5:E7)</f>
        <v>2</v>
      </c>
      <c r="F8" s="10">
        <f>AVERAGE(F5:F7)</f>
        <v>103</v>
      </c>
    </row>
    <row r="9" spans="1:6" s="5" customFormat="1" ht="20.5" customHeight="1" x14ac:dyDescent="0.3">
      <c r="A9" s="8" t="s">
        <v>40</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1788708A-52BB-4D0F-B232-80F9E123F193}">
  <ds:schemaRef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http://purl.org/dc/terms/"/>
    <ds:schemaRef ds:uri="http://schemas.microsoft.com/office/2006/metadata/properties"/>
    <ds:schemaRef ds:uri="4d6aed1e-57d3-46e3-9aba-f706adbce63b"/>
    <ds:schemaRef ds:uri="1891fcec-84c2-4840-9468-b51a784ab0d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Wrigley, William</cp:lastModifiedBy>
  <cp:revision/>
  <dcterms:created xsi:type="dcterms:W3CDTF">2018-07-19T14:57:42Z</dcterms:created>
  <dcterms:modified xsi:type="dcterms:W3CDTF">2023-01-26T16:08:06Z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