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14F8AB38-8CFC-4D95-858D-EF36A790D83C}" xr6:coauthVersionLast="47" xr6:coauthVersionMax="47" xr10:uidLastSave="{00000000-0000-0000-0000-000000000000}"/>
  <bookViews>
    <workbookView xWindow="-110" yWindow="-110" windowWidth="19420" windowHeight="10420" xr2:uid="{96DE058B-D098-4CE9-9E14-B8F7844C5F75}"/>
  </bookViews>
  <sheets>
    <sheet name="Summary" sheetId="8" r:id="rId1"/>
    <sheet name="Table 1" sheetId="4" r:id="rId2"/>
    <sheet name="Table 2" sheetId="2" r:id="rId3"/>
    <sheet name="Capital O&amp;M" sheetId="5" r:id="rId4"/>
    <sheet name="Responses" sheetId="6" r:id="rId5"/>
    <sheet name="Respondent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 i="5" l="1"/>
  <c r="K51" i="4"/>
  <c r="E9" i="5"/>
  <c r="G9" i="5" s="1"/>
  <c r="E8" i="5"/>
  <c r="E7" i="5"/>
  <c r="G7" i="5" s="1"/>
  <c r="E6" i="5"/>
  <c r="E5" i="5"/>
  <c r="B9" i="5"/>
  <c r="D9" i="5" s="1"/>
  <c r="B8" i="5"/>
  <c r="D8" i="5" s="1"/>
  <c r="B7" i="5"/>
  <c r="D7" i="5" s="1"/>
  <c r="B6" i="5"/>
  <c r="D6" i="5" s="1"/>
  <c r="B5" i="5"/>
  <c r="D5" i="5" s="1"/>
  <c r="I6" i="2"/>
  <c r="F22" i="2"/>
  <c r="E9" i="6"/>
  <c r="E8" i="6"/>
  <c r="E7" i="6"/>
  <c r="E6" i="6"/>
  <c r="E5" i="6"/>
  <c r="F10" i="7"/>
  <c r="B3" i="8" s="1"/>
  <c r="E10" i="7"/>
  <c r="D10" i="7"/>
  <c r="F9" i="7"/>
  <c r="F8" i="7"/>
  <c r="F7" i="7"/>
  <c r="I52" i="4"/>
  <c r="F52" i="4"/>
  <c r="I51" i="4"/>
  <c r="F51" i="4"/>
  <c r="F23" i="4"/>
  <c r="I23" i="4"/>
  <c r="I9" i="4"/>
  <c r="G8" i="5"/>
  <c r="G6" i="5"/>
  <c r="G5" i="5"/>
  <c r="C10" i="7"/>
  <c r="B10" i="7"/>
  <c r="I53" i="4" l="1"/>
  <c r="B6" i="8" s="1"/>
  <c r="D10" i="5"/>
  <c r="E10" i="6"/>
  <c r="B2" i="8" s="1"/>
  <c r="B7" i="8"/>
  <c r="I54" i="4" l="1"/>
  <c r="F30" i="4"/>
  <c r="H30" i="4" s="1"/>
  <c r="F42" i="4"/>
  <c r="F41" i="4"/>
  <c r="G41" i="4" s="1"/>
  <c r="F19" i="4"/>
  <c r="G19" i="4" s="1"/>
  <c r="H19" i="4" l="1"/>
  <c r="I19" i="4" s="1"/>
  <c r="H42" i="4"/>
  <c r="G42" i="4"/>
  <c r="I42" i="4" s="1"/>
  <c r="G30" i="4"/>
  <c r="I30" i="4" s="1"/>
  <c r="H41" i="4"/>
  <c r="I41" i="4" s="1"/>
  <c r="F18" i="4"/>
  <c r="E19" i="2"/>
  <c r="E21" i="2"/>
  <c r="E20" i="2"/>
  <c r="E6" i="2"/>
  <c r="E13" i="2" s="1"/>
  <c r="F29" i="4" l="1"/>
  <c r="H29" i="4" s="1"/>
  <c r="G29" i="4"/>
  <c r="I29" i="4" s="1"/>
  <c r="F31" i="4"/>
  <c r="G31" i="4" s="1"/>
  <c r="F32" i="4"/>
  <c r="H32" i="4" s="1"/>
  <c r="F33" i="4"/>
  <c r="G33" i="4" s="1"/>
  <c r="F34" i="4"/>
  <c r="H34" i="4" s="1"/>
  <c r="F36" i="4"/>
  <c r="H36" i="4" s="1"/>
  <c r="F37" i="4"/>
  <c r="G37" i="4" s="1"/>
  <c r="F39" i="4"/>
  <c r="G39" i="4" s="1"/>
  <c r="F40" i="4"/>
  <c r="H40" i="4" s="1"/>
  <c r="G40" i="4"/>
  <c r="I40" i="4" s="1"/>
  <c r="F43" i="4"/>
  <c r="G43" i="4" s="1"/>
  <c r="F44" i="4"/>
  <c r="H44" i="4" s="1"/>
  <c r="G44" i="4"/>
  <c r="F45" i="4"/>
  <c r="G45" i="4" s="1"/>
  <c r="F46" i="4"/>
  <c r="H46" i="4" s="1"/>
  <c r="F48" i="4"/>
  <c r="H48" i="4" s="1"/>
  <c r="F49" i="4"/>
  <c r="G49" i="4" s="1"/>
  <c r="F10" i="4"/>
  <c r="H10" i="4" s="1"/>
  <c r="F11" i="4"/>
  <c r="G11" i="4" s="1"/>
  <c r="F12" i="4"/>
  <c r="H12" i="4" s="1"/>
  <c r="F13" i="4"/>
  <c r="G13" i="4" s="1"/>
  <c r="F28" i="4"/>
  <c r="F20" i="2"/>
  <c r="H20" i="2" s="1"/>
  <c r="F21" i="2"/>
  <c r="G21" i="2" s="1"/>
  <c r="F6" i="2"/>
  <c r="G6" i="2" s="1"/>
  <c r="D21" i="2"/>
  <c r="D20" i="2"/>
  <c r="D19" i="2"/>
  <c r="F19" i="2" s="1"/>
  <c r="G19" i="2" s="1"/>
  <c r="D13" i="2"/>
  <c r="F13" i="2" s="1"/>
  <c r="G13" i="2" s="1"/>
  <c r="D6" i="2"/>
  <c r="G10" i="4" l="1"/>
  <c r="I10" i="4" s="1"/>
  <c r="G32" i="4"/>
  <c r="I32" i="4" s="1"/>
  <c r="G28" i="4"/>
  <c r="H13" i="4"/>
  <c r="I13" i="4" s="1"/>
  <c r="G48" i="4"/>
  <c r="I48" i="4" s="1"/>
  <c r="G36" i="4"/>
  <c r="I36" i="4" s="1"/>
  <c r="H21" i="2"/>
  <c r="I21" i="2" s="1"/>
  <c r="G20" i="2"/>
  <c r="G34" i="4"/>
  <c r="I34" i="4" s="1"/>
  <c r="G46" i="4"/>
  <c r="I46" i="4" s="1"/>
  <c r="I44" i="4"/>
  <c r="H49" i="4"/>
  <c r="I49" i="4" s="1"/>
  <c r="H45" i="4"/>
  <c r="I45" i="4" s="1"/>
  <c r="H43" i="4"/>
  <c r="I43" i="4" s="1"/>
  <c r="H39" i="4"/>
  <c r="I39" i="4" s="1"/>
  <c r="H37" i="4"/>
  <c r="I37" i="4" s="1"/>
  <c r="H33" i="4"/>
  <c r="I33" i="4" s="1"/>
  <c r="H31" i="4"/>
  <c r="I31" i="4" s="1"/>
  <c r="G12" i="4"/>
  <c r="I12" i="4" s="1"/>
  <c r="H11" i="4"/>
  <c r="I11" i="4" s="1"/>
  <c r="H28" i="4"/>
  <c r="I28" i="4" s="1"/>
  <c r="H19" i="2"/>
  <c r="I19" i="2" s="1"/>
  <c r="I20" i="2"/>
  <c r="H13" i="2"/>
  <c r="I13" i="2" s="1"/>
  <c r="H6" i="2"/>
  <c r="F17" i="4" l="1"/>
  <c r="G18" i="4"/>
  <c r="F20" i="4"/>
  <c r="G20" i="4" s="1"/>
  <c r="F21" i="4"/>
  <c r="G21" i="4" s="1"/>
  <c r="F22" i="4"/>
  <c r="G22" i="4" s="1"/>
  <c r="H18" i="4" l="1"/>
  <c r="I18" i="4" s="1"/>
  <c r="G17" i="4"/>
  <c r="H21" i="4"/>
  <c r="I21" i="4" s="1"/>
  <c r="H22" i="4"/>
  <c r="I22" i="4" s="1"/>
  <c r="H20" i="4"/>
  <c r="I20" i="4" s="1"/>
  <c r="H17" i="4"/>
  <c r="I17" i="4" l="1"/>
  <c r="F16" i="4" l="1"/>
  <c r="F14" i="4"/>
  <c r="F9" i="4"/>
  <c r="G9" i="4" l="1"/>
  <c r="H9" i="4"/>
  <c r="H16" i="4"/>
  <c r="G16" i="4"/>
  <c r="I16" i="4" s="1"/>
  <c r="H14" i="4"/>
  <c r="G14" i="4"/>
  <c r="B4" i="8" l="1"/>
  <c r="I14" i="4"/>
  <c r="B5" i="8" l="1"/>
  <c r="I22" i="2" l="1"/>
</calcChain>
</file>

<file path=xl/sharedStrings.xml><?xml version="1.0" encoding="utf-8"?>
<sst xmlns="http://schemas.openxmlformats.org/spreadsheetml/2006/main" count="214" uniqueCount="172">
  <si>
    <t>(A)</t>
  </si>
  <si>
    <t>Information Collection Activity</t>
  </si>
  <si>
    <t>(B)</t>
  </si>
  <si>
    <t>Number of Respondents</t>
  </si>
  <si>
    <t>(C)</t>
  </si>
  <si>
    <t>Number of Responses</t>
  </si>
  <si>
    <t>(D)</t>
  </si>
  <si>
    <t>(E)</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</si>
  <si>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</si>
  <si>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</si>
  <si>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</si>
  <si>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</si>
  <si>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</si>
  <si>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</si>
  <si>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</si>
  <si>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Continuous Monitoring Device</t>
  </si>
  <si>
    <t xml:space="preserve">Number of New Respondents </t>
  </si>
  <si>
    <t>Total Capital/Startup Cost, (B X C)</t>
  </si>
  <si>
    <t>(F)</t>
  </si>
  <si>
    <t>Number of Respondents with O&amp;M</t>
  </si>
  <si>
    <t>(G)</t>
  </si>
  <si>
    <t>Burden Item</t>
  </si>
  <si>
    <t>N/A</t>
  </si>
  <si>
    <t>(H)</t>
  </si>
  <si>
    <t>Assumptions:</t>
  </si>
  <si>
    <t>See 3B</t>
  </si>
  <si>
    <t>Subtotal for Reporting Requirements</t>
  </si>
  <si>
    <t>See 3A</t>
  </si>
  <si>
    <t>Subtotal for Recordkeeping Requirements</t>
  </si>
  <si>
    <t>Labor Rates</t>
  </si>
  <si>
    <t>Management</t>
  </si>
  <si>
    <t>Technical</t>
  </si>
  <si>
    <t>Clerical</t>
  </si>
  <si>
    <t xml:space="preserve">(A) </t>
  </si>
  <si>
    <t xml:space="preserve">(B) </t>
  </si>
  <si>
    <t xml:space="preserve">(C) </t>
  </si>
  <si>
    <t xml:space="preserve">(D) </t>
  </si>
  <si>
    <t xml:space="preserve">(E) </t>
  </si>
  <si>
    <t xml:space="preserve">(F) </t>
  </si>
  <si>
    <t xml:space="preserve">(G) </t>
  </si>
  <si>
    <t>Number of Occurrences Per Respondent Per Year</t>
  </si>
  <si>
    <t>Management Hours Per Year 
(F=Ex0.05)</t>
  </si>
  <si>
    <t>Clerical Hours Per Year 
(G=Ex0.1)</t>
  </si>
  <si>
    <t xml:space="preserve">(H) </t>
  </si>
  <si>
    <t>EPA Hours per Occurrence</t>
  </si>
  <si>
    <t>EPA Hours Per Respondent Per Year 
(C=AxB)</t>
  </si>
  <si>
    <t>Technical Hours Per Year 
(E=CXD)</t>
  </si>
  <si>
    <t>Capital/Startup vs. Operation and Maintenance (O&amp;M) Costs</t>
  </si>
  <si>
    <t>Technical person-hours per occurrence</t>
  </si>
  <si>
    <t>No. of occurrences per respondent per year</t>
  </si>
  <si>
    <t>Technical person-hours per respondent per year</t>
  </si>
  <si>
    <t>Technical hours per year (E=CxD)</t>
  </si>
  <si>
    <t xml:space="preserve">Management hours per year  </t>
  </si>
  <si>
    <t xml:space="preserve">Clerical hours per year </t>
  </si>
  <si>
    <t>(C=AxB)</t>
  </si>
  <si>
    <t>(F=Ex0.05)</t>
  </si>
  <si>
    <t>(G=Ex0.10)</t>
  </si>
  <si>
    <t>Total Annual Responses</t>
  </si>
  <si>
    <t>1.  Applications</t>
  </si>
  <si>
    <t>Number of Existing Respondents That Keep Records But Do Not Submit Reports</t>
  </si>
  <si>
    <t>Semiannual compliance reports</t>
  </si>
  <si>
    <t>Total</t>
  </si>
  <si>
    <t>Total Annual Responses
E=(BxC)+D</t>
  </si>
  <si>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</si>
  <si>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</si>
  <si>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t>Number of Respondents
(E=A+B+C-D)</t>
  </si>
  <si>
    <t>Total O&amp;M
(E X F)</t>
  </si>
  <si>
    <r>
      <t xml:space="preserve">Number of Respondents Per Year </t>
    </r>
    <r>
      <rPr>
        <b/>
        <vertAlign val="superscript"/>
        <sz val="10"/>
        <color theme="1"/>
        <rFont val="Times New Roman"/>
        <family val="1"/>
      </rPr>
      <t>a</t>
    </r>
  </si>
  <si>
    <r>
      <t xml:space="preserve">Total Costs, $ </t>
    </r>
    <r>
      <rPr>
        <b/>
        <vertAlign val="superscript"/>
        <sz val="10"/>
        <color theme="1"/>
        <rFont val="Times New Roman"/>
        <family val="1"/>
      </rPr>
      <t>b</t>
    </r>
  </si>
  <si>
    <r>
      <t xml:space="preserve">TOTAL (rounded) </t>
    </r>
    <r>
      <rPr>
        <b/>
        <vertAlign val="superscript"/>
        <sz val="10"/>
        <color theme="1"/>
        <rFont val="Times New Roman"/>
        <family val="1"/>
      </rPr>
      <t>f</t>
    </r>
  </si>
  <si>
    <t xml:space="preserve">Table 2: Average Annual EPA Burden and Cost – NESHAP for the Manufacture of Amino/Phenolic Resins (40 CFR Part 63, Subpart OOO) (Renewal)
</t>
  </si>
  <si>
    <t>Initial performance test</t>
  </si>
  <si>
    <r>
      <t xml:space="preserve">Repeat performance test </t>
    </r>
    <r>
      <rPr>
        <vertAlign val="superscript"/>
        <sz val="10"/>
        <color rgb="FF000000"/>
        <rFont val="Times New Roman"/>
        <family val="1"/>
      </rPr>
      <t>c</t>
    </r>
  </si>
  <si>
    <t>Report review</t>
  </si>
  <si>
    <t>a)  Notification of construction/reconstruction</t>
  </si>
  <si>
    <t>b)  Notification of anticipated startup</t>
  </si>
  <si>
    <t>c)  Notification of actual startup</t>
  </si>
  <si>
    <t>d)  Notification of modification</t>
  </si>
  <si>
    <t>e)  Notification of compliance status</t>
  </si>
  <si>
    <t xml:space="preserve">g)  Notification of process change </t>
  </si>
  <si>
    <t>h)  Notification of inspection of storage vessel</t>
  </si>
  <si>
    <t>i)  Notification of change in primary product</t>
  </si>
  <si>
    <t>j)  Pre-compliance report</t>
  </si>
  <si>
    <t>k)  Storage vessel initial compliance demonstration</t>
  </si>
  <si>
    <r>
      <t xml:space="preserve">l)  Periodic reports of compliance status </t>
    </r>
    <r>
      <rPr>
        <vertAlign val="superscript"/>
        <sz val="10"/>
        <color rgb="FF000000"/>
        <rFont val="Times New Roman"/>
        <family val="1"/>
      </rPr>
      <t>e</t>
    </r>
  </si>
  <si>
    <t>m)  Semiannual summary report</t>
  </si>
  <si>
    <t>n)  Reports of malfunctions</t>
  </si>
  <si>
    <r>
      <t>a</t>
    </r>
    <r>
      <rPr>
        <sz val="10"/>
        <color rgb="FF000000"/>
        <rFont val="Times New Roman"/>
        <family val="1"/>
      </rPr>
      <t xml:space="preserve">  This ICR assumes there are 19 respondents subject to the rule and that no additional respondents will become subject over the next three years</t>
    </r>
  </si>
  <si>
    <r>
      <t>f</t>
    </r>
    <r>
      <rPr>
        <sz val="10"/>
        <color rgb="FF000000"/>
        <rFont val="Times New Roman"/>
        <family val="1"/>
      </rPr>
      <t xml:space="preserve">  Totals have been rounded to three significant figures. Figures may not add exactly due to rounding.</t>
    </r>
  </si>
  <si>
    <t>2.  Survey and Studies</t>
  </si>
  <si>
    <t>3.  Reporting Requirements</t>
  </si>
  <si>
    <t>B. Plan activities</t>
  </si>
  <si>
    <t xml:space="preserve">C. Training </t>
  </si>
  <si>
    <t>E. Gather, monitor and inspect information</t>
  </si>
  <si>
    <t>F. Process, compile and review</t>
  </si>
  <si>
    <t>G. Write Report</t>
  </si>
  <si>
    <t>1) Pre-compliance report</t>
  </si>
  <si>
    <t>2) Notification of compliance status</t>
  </si>
  <si>
    <t>4. Recordkeeping Requirements</t>
  </si>
  <si>
    <t>C. Implement activities</t>
  </si>
  <si>
    <t>1) Malfunction records</t>
  </si>
  <si>
    <t>2) Monitoring records</t>
  </si>
  <si>
    <t>3) Batch process vent records</t>
  </si>
  <si>
    <t>4) Aggregate batch vent stream records</t>
  </si>
  <si>
    <t>6) Other records and documentation</t>
  </si>
  <si>
    <t>D. Develop record system</t>
  </si>
  <si>
    <t>1) Record/disclose information</t>
  </si>
  <si>
    <t>E. Time to enter information</t>
  </si>
  <si>
    <t>5) Leak detection and repair (LDAR) records</t>
  </si>
  <si>
    <t>F. Time to train personnel</t>
  </si>
  <si>
    <t>1) Control equipment inspect and monitor</t>
  </si>
  <si>
    <t>2) Leak detection and repair</t>
  </si>
  <si>
    <t>G. Time for audits</t>
  </si>
  <si>
    <t>pH Monitor</t>
  </si>
  <si>
    <t>Liquid Flow Monitor</t>
  </si>
  <si>
    <t>O&amp;M</t>
  </si>
  <si>
    <r>
      <t xml:space="preserve">Continuous process vent control systems </t>
    </r>
    <r>
      <rPr>
        <vertAlign val="superscript"/>
        <sz val="10"/>
        <color rgb="FF000000"/>
        <rFont val="Times New Roman"/>
        <family val="1"/>
      </rPr>
      <t>a</t>
    </r>
  </si>
  <si>
    <t>Monitoring equipment</t>
  </si>
  <si>
    <r>
      <t xml:space="preserve">Total </t>
    </r>
    <r>
      <rPr>
        <b/>
        <vertAlign val="superscript"/>
        <sz val="10"/>
        <color rgb="FF000000"/>
        <rFont val="Times New Roman"/>
        <family val="1"/>
      </rPr>
      <t>b</t>
    </r>
  </si>
  <si>
    <r>
      <t>b</t>
    </r>
    <r>
      <rPr>
        <sz val="10"/>
        <color theme="1"/>
        <rFont val="Times New Roman"/>
        <family val="1"/>
      </rPr>
      <t xml:space="preserve">  Totals have been rounded to 3 significant figures. Figures may not add exactly due to rounding.</t>
    </r>
  </si>
  <si>
    <t>Initial notification and performance tests</t>
  </si>
  <si>
    <r>
      <t xml:space="preserve">Repeat performance test </t>
    </r>
    <r>
      <rPr>
        <vertAlign val="superscript"/>
        <sz val="9"/>
        <color rgb="FF000000"/>
        <rFont val="Times New Roman"/>
        <family val="1"/>
      </rPr>
      <t>a</t>
    </r>
  </si>
  <si>
    <t>Malfunction reports</t>
  </si>
  <si>
    <t>Other reports</t>
  </si>
  <si>
    <t xml:space="preserve">Table 1: Annual Respondent Burden and Cost – NESHAP for the Manufacture of Amino/Phenolic Resins (40 CFR Part 63, Subpart OOO) (Renewal)  </t>
  </si>
  <si>
    <r>
      <t>c</t>
    </r>
    <r>
      <rPr>
        <sz val="10"/>
        <color rgb="FF000000"/>
        <rFont val="Times New Roman"/>
        <family val="1"/>
      </rPr>
      <t xml:space="preserve">  We assume that it would take 20 hours once per year for the Agency to view the repeat performance test.</t>
    </r>
  </si>
  <si>
    <r>
      <t>d</t>
    </r>
    <r>
      <rPr>
        <sz val="10"/>
        <color rgb="FF000000"/>
        <rFont val="Times New Roman"/>
        <family val="1"/>
      </rPr>
      <t xml:space="preserve">  We assume that it will take four hours once per year for the Agency to review the notification of performance test and the performance test report.</t>
    </r>
  </si>
  <si>
    <r>
      <t>e</t>
    </r>
    <r>
      <rPr>
        <sz val="10"/>
        <color rgb="FF000000"/>
        <rFont val="Times New Roman"/>
        <family val="1"/>
      </rPr>
      <t xml:space="preserve">  We assume that it will take 4 hours twice per year for Agency to review the periodic report of compliance status.</t>
    </r>
  </si>
  <si>
    <r>
      <t xml:space="preserve">f)  Notification of performance test/review test report </t>
    </r>
    <r>
      <rPr>
        <vertAlign val="superscript"/>
        <sz val="10"/>
        <color rgb="FF000000"/>
        <rFont val="Times New Roman"/>
        <family val="1"/>
      </rPr>
      <t>d</t>
    </r>
  </si>
  <si>
    <r>
      <rPr>
        <vertAlign val="superscript"/>
        <sz val="10"/>
        <color rgb="FF000000"/>
        <rFont val="Times New Roman"/>
        <family val="1"/>
      </rPr>
      <t>a</t>
    </r>
    <r>
      <rPr>
        <sz val="10"/>
        <color rgb="FF000000"/>
        <rFont val="Times New Roman"/>
        <family val="1"/>
      </rPr>
      <t xml:space="preserve">   We assume that 5 percent of the initial tests will be repeated during each successive year.</t>
    </r>
  </si>
  <si>
    <t>2a) Monitoring records</t>
  </si>
  <si>
    <t>4) Batch process vent records</t>
  </si>
  <si>
    <t>5) Aggregate batch vent stream records</t>
  </si>
  <si>
    <t>6) Leak detection and repair (LDAR) records</t>
  </si>
  <si>
    <t>7) Other records and documentation</t>
  </si>
  <si>
    <r>
      <t xml:space="preserve">Respondents per year </t>
    </r>
    <r>
      <rPr>
        <b/>
        <vertAlign val="superscript"/>
        <sz val="10"/>
        <rFont val="Times New Roman"/>
        <family val="1"/>
      </rPr>
      <t>a</t>
    </r>
  </si>
  <si>
    <r>
      <t xml:space="preserve">Total cost per year ($) </t>
    </r>
    <r>
      <rPr>
        <b/>
        <vertAlign val="superscript"/>
        <sz val="10"/>
        <rFont val="Times New Roman"/>
        <family val="1"/>
      </rPr>
      <t>b</t>
    </r>
  </si>
  <si>
    <r>
      <t xml:space="preserve">A. Familiarize with regulatory requirements </t>
    </r>
    <r>
      <rPr>
        <vertAlign val="superscript"/>
        <sz val="10"/>
        <rFont val="Times New Roman"/>
        <family val="1"/>
      </rPr>
      <t>c, d</t>
    </r>
  </si>
  <si>
    <r>
      <t xml:space="preserve">D. Create, test and research development </t>
    </r>
    <r>
      <rPr>
        <vertAlign val="superscript"/>
        <sz val="10"/>
        <rFont val="Times New Roman"/>
        <family val="1"/>
      </rPr>
      <t>e, f</t>
    </r>
  </si>
  <si>
    <r>
      <t xml:space="preserve">2b) Continuous process vent records </t>
    </r>
    <r>
      <rPr>
        <vertAlign val="superscript"/>
        <sz val="10"/>
        <rFont val="Times New Roman"/>
        <family val="1"/>
      </rPr>
      <t>h</t>
    </r>
  </si>
  <si>
    <r>
      <t xml:space="preserve">2) Store, file, maintain information </t>
    </r>
    <r>
      <rPr>
        <vertAlign val="superscript"/>
        <sz val="10"/>
        <rFont val="Times New Roman"/>
        <family val="1"/>
      </rPr>
      <t>i</t>
    </r>
  </si>
  <si>
    <r>
      <t xml:space="preserve">3a) Storage vessel - maintenance &amp; recording info </t>
    </r>
    <r>
      <rPr>
        <vertAlign val="superscript"/>
        <sz val="10"/>
        <rFont val="Times New Roman"/>
        <family val="1"/>
      </rPr>
      <t>h</t>
    </r>
  </si>
  <si>
    <r>
      <t xml:space="preserve">Total Labor Burden and Costs (rounded) </t>
    </r>
    <r>
      <rPr>
        <b/>
        <vertAlign val="superscript"/>
        <sz val="10"/>
        <rFont val="Times New Roman"/>
        <family val="1"/>
      </rPr>
      <t>j</t>
    </r>
  </si>
  <si>
    <r>
      <t xml:space="preserve">Total Capital and O&amp;M Cost (rounded) </t>
    </r>
    <r>
      <rPr>
        <b/>
        <vertAlign val="superscript"/>
        <sz val="10"/>
        <rFont val="Times New Roman"/>
        <family val="1"/>
      </rPr>
      <t>j</t>
    </r>
  </si>
  <si>
    <r>
      <t xml:space="preserve">Grand Total (rounded) </t>
    </r>
    <r>
      <rPr>
        <b/>
        <vertAlign val="superscript"/>
        <sz val="10"/>
        <rFont val="Times New Roman"/>
        <family val="1"/>
      </rPr>
      <t>j</t>
    </r>
  </si>
  <si>
    <r>
      <t>a</t>
    </r>
    <r>
      <rPr>
        <sz val="10"/>
        <rFont val="Times New Roman"/>
        <family val="1"/>
      </rPr>
      <t xml:space="preserve">  This ICR assumes there are 19 respondents subject to the rule and that no additional respondents will become subject over the next three years.</t>
    </r>
  </si>
  <si>
    <r>
      <t>c</t>
    </r>
    <r>
      <rPr>
        <sz val="10"/>
        <rFont val="Times New Roman"/>
        <family val="1"/>
      </rPr>
      <t xml:space="preserve">  This ICR assumes that all respondents will have to familiarize with the regulatory requirements each year.</t>
    </r>
  </si>
  <si>
    <r>
      <t>d</t>
    </r>
    <r>
      <rPr>
        <sz val="10"/>
        <rFont val="Times New Roman"/>
        <family val="1"/>
      </rPr>
      <t xml:space="preserve">  We assume that it will take 16 hours for each respondent to familiarize with regulatory requirements.</t>
    </r>
  </si>
  <si>
    <r>
      <t>e</t>
    </r>
    <r>
      <rPr>
        <sz val="10"/>
        <rFont val="Times New Roman"/>
        <family val="1"/>
      </rPr>
      <t xml:space="preserve">  Initial performance testing was assumed to take 280 technical hours (1 test leader for two weeks and 5 feet crew for one week), with an additional 40 hours for the establishment of parameter monitoring levels for a total of 320 respondent hours per occurrence.</t>
    </r>
  </si>
  <si>
    <r>
      <t>f</t>
    </r>
    <r>
      <rPr>
        <sz val="10"/>
        <rFont val="Times New Roman"/>
        <family val="1"/>
      </rPr>
      <t xml:space="preserve">  We assume that 5 percent of the initial tests will be repeated during each successive year.</t>
    </r>
  </si>
  <si>
    <r>
      <t>g</t>
    </r>
    <r>
      <rPr>
        <sz val="10"/>
        <rFont val="Times New Roman"/>
        <family val="1"/>
      </rPr>
      <t xml:space="preserve">  We assume that it will take each respondent 40 hours two times per year to complete reports (semiannual reporting).</t>
    </r>
  </si>
  <si>
    <r>
      <t xml:space="preserve">h </t>
    </r>
    <r>
      <rPr>
        <sz val="10"/>
        <rFont val="Times New Roman"/>
        <family val="1"/>
      </rPr>
      <t xml:space="preserve"> Includes burden from activities based on amendments in the October 15, 2018 final rule (83 FR 51842). These activities only apply to owners and operators of storage vessels that are subject to these provisions (15 facilities), or continuous process vents (1 facility).</t>
    </r>
  </si>
  <si>
    <r>
      <t>i</t>
    </r>
    <r>
      <rPr>
        <sz val="10"/>
        <rFont val="Times New Roman"/>
        <family val="1"/>
      </rPr>
      <t xml:space="preserve">  We assume that it will take 4 hours two times per year to gather monitoring information and maintain monitoring equipment.</t>
    </r>
  </si>
  <si>
    <r>
      <t>j</t>
    </r>
    <r>
      <rPr>
        <sz val="10"/>
        <rFont val="Times New Roman"/>
        <family val="1"/>
      </rPr>
      <t xml:space="preserve">  Totals have been rounded to three significant figures. Figures may not add exactly due to rounding.</t>
    </r>
  </si>
  <si>
    <r>
      <t xml:space="preserve">3) Semiannual summary report </t>
    </r>
    <r>
      <rPr>
        <vertAlign val="superscript"/>
        <sz val="10"/>
        <rFont val="Times New Roman"/>
        <family val="1"/>
      </rPr>
      <t>g</t>
    </r>
  </si>
  <si>
    <t>5) Reports of malfunctions</t>
  </si>
  <si>
    <t>6) Other reports</t>
  </si>
  <si>
    <t>7) Leak detection and repair (LDAR) reporting</t>
  </si>
  <si>
    <r>
      <t xml:space="preserve">3b) Continuous process vent records </t>
    </r>
    <r>
      <rPr>
        <vertAlign val="superscript"/>
        <sz val="10"/>
        <rFont val="Times New Roman"/>
        <family val="1"/>
      </rPr>
      <t>h</t>
    </r>
  </si>
  <si>
    <r>
      <t xml:space="preserve">4) Activities for periodic report related to storage vessel maintenance </t>
    </r>
    <r>
      <rPr>
        <vertAlign val="superscript"/>
        <sz val="10"/>
        <rFont val="Times New Roman"/>
        <family val="1"/>
      </rPr>
      <t>h</t>
    </r>
  </si>
  <si>
    <r>
      <t>b</t>
    </r>
    <r>
      <rPr>
        <sz val="10"/>
        <color rgb="FF000000"/>
        <rFont val="Times New Roman"/>
        <family val="1"/>
      </rPr>
      <t xml:space="preserve"> This cost is based on the following labor rates which incorporates a 1.6 benefits multiplication factor to account for government overhead expenses:  Managerial rate of $70.56 (GS-13, Step 5, $44.10 + 60%), Technical rate of $52.37 (GS-12, Step 1, $32.73 + 60%), and Clerical rate of $28.34 (GS-6, Step 3, $17.71 + 60%).  These rates are from the Office of Personnel Management (OPM) “2022 General Schedule” which excludes locality rates of pay. </t>
    </r>
  </si>
  <si>
    <t>ICR Summary Information</t>
  </si>
  <si>
    <t>Hours per Response</t>
  </si>
  <si>
    <t>Total Estimated Burden Hours</t>
  </si>
  <si>
    <t>Total Estimated Costs</t>
  </si>
  <si>
    <t>Annualized Capital O&amp;M</t>
  </si>
  <si>
    <t>hrs/response</t>
  </si>
  <si>
    <r>
      <t>a</t>
    </r>
    <r>
      <rPr>
        <sz val="10"/>
        <color theme="1"/>
        <rFont val="Times New Roman"/>
        <family val="1"/>
      </rPr>
      <t xml:space="preserve"> </t>
    </r>
    <r>
      <rPr>
        <sz val="10"/>
        <rFont val="Times New Roman"/>
        <family val="1"/>
      </rPr>
      <t xml:space="preserve"> We assume that there are 19 facilities in the Amino/Phenolic Resins category, however only 6 facilities are expected to operate emissions controls for continuous process vents. Further, 4 out of 6 back-end process vents are able to comply with the standard without any additional controls. The EPA currently anticipates that 2 back-end CPVs located at 1 facility</t>
    </r>
    <r>
      <rPr>
        <sz val="10"/>
        <color theme="1"/>
        <rFont val="Times New Roman"/>
        <family val="1"/>
      </rPr>
      <t xml:space="preserve"> installed an RTO. Capital/Startup and Annual O&amp;M Costs are average facility costs based on revised control technology vendor information from industry provided to the EPA as part of the October 15, 2018 final rule. We assumed that facilities are in compliance with the 2018 final rule amendments by October 15, 2019, and therefore there are no capital costs under this ICR renewal. For front-end CPVs at existing affected sources, it is expected that these CPVs are able to meet the standard without any additional controls. See the memorandum “National Impacts Associated with Final Standards for CPVs and Storage Tanks in the Amino and Phenolic Resins Production Source Category” in Docket Id. No. EPA-HQ-OAR-2012-0133-0105 for additional information.</t>
    </r>
  </si>
  <si>
    <r>
      <t>b</t>
    </r>
    <r>
      <rPr>
        <sz val="10"/>
        <rFont val="Times New Roman"/>
        <family val="1"/>
      </rPr>
      <t xml:space="preserve"> </t>
    </r>
    <r>
      <rPr>
        <vertAlign val="superscript"/>
        <sz val="10"/>
        <rFont val="Times New Roman"/>
        <family val="1"/>
      </rPr>
      <t xml:space="preserve"> </t>
    </r>
    <r>
      <rPr>
        <sz val="10"/>
        <rFont val="Times New Roman"/>
        <family val="1"/>
      </rPr>
      <t>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</si>
  <si>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c</t>
    </r>
    <r>
      <rPr>
        <sz val="10"/>
        <color theme="1"/>
        <rFont val="Times New Roman"/>
        <family val="1"/>
      </rPr>
      <t xml:space="preserve"> This ICR updates the capital and O&amp;M costs from 2014 dollars to 2020 dollars.</t>
    </r>
  </si>
  <si>
    <r>
      <t xml:space="preserve">Capital/Startup Cost for One Respondent </t>
    </r>
    <r>
      <rPr>
        <vertAlign val="superscript"/>
        <sz val="10"/>
        <color rgb="FF000000"/>
        <rFont val="Times New Roman"/>
        <family val="1"/>
      </rPr>
      <t>c</t>
    </r>
  </si>
  <si>
    <r>
      <t xml:space="preserve">Annual O&amp;M Costs for One Respondent </t>
    </r>
    <r>
      <rPr>
        <vertAlign val="superscript"/>
        <sz val="10"/>
        <color rgb="FF000000"/>
        <rFont val="Times New Roman"/>
        <family val="1"/>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</si>
</sst>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1" formatCode="_(* #,##0_);_(* \(#,##0\);_(* &quot;-&quot;_);_(@_)"/>
    <numFmt numFmtId="164" formatCode="&quot;$&quot;#,##0.00"/>
    <numFmt numFmtId="165" formatCode="0.0"/>
  </numFmts>
  <fonts count="30" x14ac:knownFonts="1">
    <font>
      <sz val="11"/>
      <color theme="1"/>
      <name val="Calibri"/>
      <family val="2"/>
      <scheme val="minor"/>
    </font>
    <font>
      <b/>
      <sz val="12"/>
      <color rgb="FF000000"/>
      <name val="Times New Roman"/>
      <family val="1"/>
    </font>
    <font>
      <sz val="10"/>
      <color theme="1"/>
      <name val="Times New Roman"/>
      <family val="1"/>
    </font>
    <font>
      <sz val="9"/>
      <color rgb="FF000000"/>
      <name val="Times New Roman"/>
      <family val="1"/>
    </font>
    <font>
      <sz val="9"/>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theme="1"/>
      <name val="Times New Roman"/>
      <family val="1"/>
    </font>
    <font>
      <b/>
      <sz val="10"/>
      <color theme="1"/>
      <name val="Times New Roman"/>
      <family val="1"/>
    </font>
    <font>
      <sz val="10"/>
      <name val="Times New Roman"/>
      <family val="1"/>
    </font>
    <font>
      <sz val="12"/>
      <color rgb="FF000000"/>
      <name val="Times New Roman"/>
      <family val="1"/>
    </font>
    <font>
      <sz val="11"/>
      <color rgb="FF000000"/>
      <name val="Calibri"/>
      <family val="2"/>
    </font>
    <font>
      <sz val="12"/>
      <color rgb="FFFF0000"/>
      <name val="Times New Roman"/>
      <family val="1"/>
    </font>
    <font>
      <vertAlign val="superscript"/>
      <sz val="12"/>
      <color rgb="FF000000"/>
      <name val="Times New Roman"/>
      <family val="1"/>
    </font>
    <font>
      <sz val="11"/>
      <color theme="1"/>
      <name val="Times New Roman"/>
      <family val="1"/>
    </font>
    <font>
      <b/>
      <sz val="12"/>
      <color theme="1"/>
      <name val="Times New Roman"/>
      <family val="1"/>
    </font>
    <font>
      <b/>
      <vertAlign val="superscript"/>
      <sz val="10"/>
      <color theme="1"/>
      <name val="Times New Roman"/>
      <family val="1"/>
    </font>
    <font>
      <b/>
      <sz val="10"/>
      <color rgb="FF0000FF"/>
      <name val="Times New Roman"/>
      <family val="1"/>
    </font>
    <font>
      <vertAlign val="superscript"/>
      <sz val="9"/>
      <color rgb="FF000000"/>
      <name val="Times New Roman"/>
      <family val="1"/>
    </font>
    <font>
      <b/>
      <sz val="12"/>
      <name val="Times New Roman"/>
      <family val="1"/>
    </font>
    <font>
      <sz val="11"/>
      <name val="Times New Roman"/>
      <family val="1"/>
    </font>
    <font>
      <b/>
      <sz val="10"/>
      <name val="Times New Roman"/>
      <family val="1"/>
    </font>
    <font>
      <b/>
      <vertAlign val="superscript"/>
      <sz val="10"/>
      <name val="Times New Roman"/>
      <family val="1"/>
    </font>
    <font>
      <vertAlign val="superscript"/>
      <sz val="10"/>
      <name val="Times New Roman"/>
      <family val="1"/>
    </font>
    <font>
      <b/>
      <i/>
      <sz val="10"/>
      <name val="Times New Roman"/>
      <family val="1"/>
    </font>
    <font>
      <i/>
      <sz val="10"/>
      <name val="Times New Roman"/>
      <family val="1"/>
    </font>
    <font>
      <sz val="11"/>
      <color rgb="FFFF0000"/>
      <name val="Calibri"/>
      <family val="2"/>
      <scheme val="minor"/>
    </font>
    <font>
      <sz val="10"/>
      <color rgb="FFFF0000"/>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5" fillId="0" borderId="1" xfId="0" applyFont="1" applyBorder="1" applyAlignment="1">
      <alignment vertical="center" wrapText="1"/>
    </xf>
    <xf numFmtId="0" fontId="2" fillId="0" borderId="0" xfId="0" applyFont="1"/>
    <xf numFmtId="0" fontId="7" fillId="0" borderId="0" xfId="0" applyFont="1" applyAlignment="1">
      <alignment vertical="center"/>
    </xf>
    <xf numFmtId="0" fontId="7" fillId="0" borderId="1" xfId="0" applyFont="1" applyBorder="1" applyAlignment="1">
      <alignment vertical="center" wrapText="1"/>
    </xf>
    <xf numFmtId="0" fontId="11" fillId="0" borderId="1" xfId="0" applyFont="1" applyBorder="1" applyAlignment="1">
      <alignment vertical="center"/>
    </xf>
    <xf numFmtId="164" fontId="5" fillId="0" borderId="1" xfId="0" applyNumberFormat="1" applyFont="1" applyBorder="1"/>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6" fontId="5" fillId="0" borderId="0" xfId="0" applyNumberFormat="1" applyFont="1" applyBorder="1" applyAlignment="1">
      <alignment horizontal="right" vertical="center" wrapText="1"/>
    </xf>
    <xf numFmtId="0" fontId="0" fillId="0" borderId="0" xfId="0" applyBorder="1"/>
    <xf numFmtId="0" fontId="5" fillId="0" borderId="0" xfId="0" applyFont="1" applyBorder="1" applyAlignment="1">
      <alignment horizontal="right" vertical="center" wrapText="1"/>
    </xf>
    <xf numFmtId="8" fontId="5" fillId="0" borderId="0" xfId="0" applyNumberFormat="1" applyFont="1" applyBorder="1" applyAlignment="1">
      <alignment horizontal="right" vertical="center" wrapText="1"/>
    </xf>
    <xf numFmtId="6" fontId="7" fillId="0" borderId="0" xfId="0" applyNumberFormat="1" applyFont="1" applyBorder="1" applyAlignment="1">
      <alignment horizontal="right" vertical="center" wrapText="1"/>
    </xf>
    <xf numFmtId="0" fontId="12" fillId="0" borderId="0" xfId="0" applyFont="1" applyBorder="1" applyAlignment="1">
      <alignment vertical="center"/>
    </xf>
    <xf numFmtId="0" fontId="5" fillId="0" borderId="0" xfId="0" applyFont="1" applyBorder="1" applyAlignment="1">
      <alignment vertical="center" wrapText="1"/>
    </xf>
    <xf numFmtId="3" fontId="5" fillId="0" borderId="0" xfId="0" applyNumberFormat="1" applyFont="1" applyBorder="1" applyAlignment="1">
      <alignment horizontal="center" vertical="center" wrapText="1"/>
    </xf>
    <xf numFmtId="0" fontId="13" fillId="0" borderId="0" xfId="0" applyFont="1" applyBorder="1" applyAlignment="1">
      <alignment vertical="center"/>
    </xf>
    <xf numFmtId="0" fontId="14" fillId="0" borderId="0" xfId="0" applyFont="1" applyBorder="1" applyAlignment="1">
      <alignment vertical="center"/>
    </xf>
    <xf numFmtId="0" fontId="10" fillId="0" borderId="0" xfId="0" applyFont="1" applyBorder="1" applyAlignment="1">
      <alignment vertical="center"/>
    </xf>
    <xf numFmtId="0" fontId="9" fillId="0" borderId="0"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5" fillId="0" borderId="0"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top" wrapText="1"/>
    </xf>
    <xf numFmtId="3" fontId="7" fillId="0" borderId="0" xfId="0" applyNumberFormat="1" applyFont="1" applyBorder="1" applyAlignment="1">
      <alignment vertical="center" wrapText="1"/>
    </xf>
    <xf numFmtId="0" fontId="16" fillId="0" borderId="0" xfId="0" applyFont="1"/>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6" fontId="2" fillId="0" borderId="1" xfId="0" applyNumberFormat="1" applyFont="1" applyBorder="1" applyAlignment="1">
      <alignment horizontal="right"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9" fillId="0" borderId="1" xfId="0" applyFont="1" applyBorder="1" applyAlignment="1">
      <alignment horizontal="center" vertical="center"/>
    </xf>
    <xf numFmtId="0" fontId="7" fillId="0" borderId="1" xfId="0" applyFont="1" applyBorder="1" applyAlignment="1">
      <alignment vertical="center"/>
    </xf>
    <xf numFmtId="6" fontId="10" fillId="0" borderId="1" xfId="0" applyNumberFormat="1" applyFont="1" applyBorder="1" applyAlignment="1">
      <alignment horizontal="right" vertical="center"/>
    </xf>
    <xf numFmtId="6" fontId="11" fillId="0" borderId="1" xfId="0" applyNumberFormat="1" applyFont="1" applyBorder="1" applyAlignment="1">
      <alignment horizontal="right" vertical="center" wrapText="1"/>
    </xf>
    <xf numFmtId="8" fontId="11" fillId="0" borderId="1" xfId="0" applyNumberFormat="1" applyFont="1" applyBorder="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indent="1"/>
    </xf>
    <xf numFmtId="0" fontId="2" fillId="0" borderId="4" xfId="0" applyFont="1" applyBorder="1" applyAlignment="1">
      <alignment horizontal="center" vertical="center" wrapText="1"/>
    </xf>
    <xf numFmtId="0" fontId="6" fillId="0" borderId="0" xfId="0" applyFont="1" applyAlignment="1">
      <alignment vertical="center"/>
    </xf>
    <xf numFmtId="6" fontId="5" fillId="0" borderId="1" xfId="0" applyNumberFormat="1" applyFont="1" applyBorder="1" applyAlignment="1">
      <alignment horizontal="center" vertical="center" wrapText="1"/>
    </xf>
    <xf numFmtId="8" fontId="2" fillId="0" borderId="1" xfId="0" applyNumberFormat="1" applyFont="1" applyBorder="1" applyAlignment="1">
      <alignment horizontal="right" vertical="center"/>
    </xf>
    <xf numFmtId="0" fontId="5" fillId="0" borderId="1" xfId="0" applyFont="1" applyBorder="1" applyAlignment="1">
      <alignment horizontal="left" vertical="center" wrapText="1" indent="1"/>
    </xf>
    <xf numFmtId="0" fontId="5" fillId="0" borderId="0" xfId="0" applyFont="1" applyBorder="1" applyAlignment="1">
      <alignment vertical="center"/>
    </xf>
    <xf numFmtId="0" fontId="5" fillId="0" borderId="0" xfId="0" applyFont="1" applyBorder="1" applyAlignment="1">
      <alignment horizontal="center" vertical="center"/>
    </xf>
    <xf numFmtId="0" fontId="22" fillId="0" borderId="0" xfId="0" applyFont="1"/>
    <xf numFmtId="0" fontId="11" fillId="0" borderId="0" xfId="0" applyFont="1"/>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0" xfId="0" applyFont="1" applyAlignment="1">
      <alignment horizontal="center" vertical="center" wrapText="1"/>
    </xf>
    <xf numFmtId="0" fontId="23" fillId="0" borderId="11" xfId="0" applyFont="1" applyBorder="1" applyAlignment="1">
      <alignment horizontal="center" vertical="center" wrapText="1"/>
    </xf>
    <xf numFmtId="0" fontId="11" fillId="0" borderId="2" xfId="0" applyFont="1" applyBorder="1" applyAlignment="1">
      <alignment vertical="center" wrapText="1"/>
    </xf>
    <xf numFmtId="0" fontId="11" fillId="0" borderId="13" xfId="0" applyFont="1" applyBorder="1" applyAlignment="1">
      <alignment vertical="center" wrapText="1"/>
    </xf>
    <xf numFmtId="0" fontId="23" fillId="0" borderId="2" xfId="0" applyFont="1" applyBorder="1" applyAlignment="1">
      <alignment horizontal="center" vertical="center" wrapText="1"/>
    </xf>
    <xf numFmtId="0" fontId="23" fillId="0" borderId="13" xfId="0" applyFont="1" applyBorder="1" applyAlignment="1">
      <alignment horizontal="center" vertical="center" wrapText="1"/>
    </xf>
    <xf numFmtId="0" fontId="11" fillId="0" borderId="14" xfId="0" applyFont="1" applyBorder="1" applyAlignment="1">
      <alignment vertic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right" vertical="center" wrapText="1"/>
    </xf>
    <xf numFmtId="164" fontId="11" fillId="0" borderId="1" xfId="0" applyNumberFormat="1" applyFont="1" applyBorder="1"/>
    <xf numFmtId="0" fontId="11" fillId="0" borderId="1" xfId="0" applyFont="1" applyBorder="1" applyAlignment="1">
      <alignment horizontal="left" vertical="center" indent="1"/>
    </xf>
    <xf numFmtId="3" fontId="11" fillId="0" borderId="4"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23" fillId="0" borderId="2" xfId="0" applyFont="1" applyBorder="1" applyAlignment="1">
      <alignment vertical="center" wrapText="1"/>
    </xf>
    <xf numFmtId="0" fontId="11" fillId="0" borderId="2" xfId="0" applyFont="1" applyBorder="1" applyAlignment="1">
      <alignment horizontal="center" vertical="center" wrapText="1"/>
    </xf>
    <xf numFmtId="6" fontId="26" fillId="0" borderId="1" xfId="0" applyNumberFormat="1" applyFont="1" applyBorder="1" applyAlignment="1">
      <alignment horizontal="right" vertical="center" wrapText="1"/>
    </xf>
    <xf numFmtId="1" fontId="11" fillId="0" borderId="4"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8" fontId="11" fillId="0" borderId="1" xfId="0" applyNumberFormat="1" applyFont="1" applyFill="1" applyBorder="1" applyAlignment="1">
      <alignment horizontal="right" vertical="center" wrapText="1"/>
    </xf>
    <xf numFmtId="165" fontId="11" fillId="0" borderId="1" xfId="0" applyNumberFormat="1" applyFont="1" applyBorder="1" applyAlignment="1">
      <alignment horizontal="center" vertical="center" wrapText="1"/>
    </xf>
    <xf numFmtId="0" fontId="26" fillId="0" borderId="2" xfId="0" applyFont="1" applyBorder="1" applyAlignment="1">
      <alignment vertical="center" wrapText="1"/>
    </xf>
    <xf numFmtId="0" fontId="27" fillId="0" borderId="2" xfId="0" applyFont="1" applyBorder="1" applyAlignment="1">
      <alignment vertical="center" wrapText="1"/>
    </xf>
    <xf numFmtId="0" fontId="23" fillId="0" borderId="1" xfId="0" applyFont="1" applyBorder="1" applyAlignment="1">
      <alignment vertical="center" wrapText="1"/>
    </xf>
    <xf numFmtId="0" fontId="11" fillId="0" borderId="1" xfId="0" applyFont="1" applyBorder="1" applyAlignment="1">
      <alignment vertical="center" wrapText="1"/>
    </xf>
    <xf numFmtId="6" fontId="23" fillId="0" borderId="1" xfId="0" applyNumberFormat="1" applyFont="1" applyBorder="1" applyAlignment="1">
      <alignment horizontal="right" vertical="center" wrapText="1"/>
    </xf>
    <xf numFmtId="0" fontId="23" fillId="0" borderId="1" xfId="0" applyFont="1" applyBorder="1" applyAlignment="1">
      <alignment horizontal="center" vertical="center" wrapText="1"/>
    </xf>
    <xf numFmtId="0" fontId="11" fillId="0" borderId="0" xfId="0" applyFont="1" applyAlignment="1">
      <alignment vertical="center"/>
    </xf>
    <xf numFmtId="0" fontId="23" fillId="0" borderId="0" xfId="0" applyFont="1" applyAlignment="1">
      <alignment vertical="center"/>
    </xf>
    <xf numFmtId="0" fontId="25" fillId="0" borderId="0" xfId="0" applyFont="1" applyAlignment="1">
      <alignment vertical="center"/>
    </xf>
    <xf numFmtId="0" fontId="11" fillId="0" borderId="1" xfId="0" applyFont="1" applyBorder="1" applyAlignment="1">
      <alignment horizontal="left" vertical="center" wrapText="1" inden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29" fillId="0" borderId="0" xfId="0" applyFont="1"/>
    <xf numFmtId="0" fontId="11" fillId="0" borderId="1" xfId="0" applyFont="1" applyFill="1" applyBorder="1" applyAlignment="1">
      <alignment horizontal="center" vertical="center"/>
    </xf>
    <xf numFmtId="0" fontId="28" fillId="0" borderId="0" xfId="0" applyFont="1" applyBorder="1"/>
    <xf numFmtId="0" fontId="28" fillId="0" borderId="0" xfId="0" applyFont="1"/>
    <xf numFmtId="0" fontId="5" fillId="0" borderId="0" xfId="0" applyFont="1" applyBorder="1" applyAlignment="1">
      <alignment horizontal="left" vertical="center"/>
    </xf>
    <xf numFmtId="0" fontId="5" fillId="0" borderId="1" xfId="0" applyFont="1" applyFill="1" applyBorder="1" applyAlignment="1">
      <alignment horizontal="center" vertical="center" wrapText="1"/>
    </xf>
    <xf numFmtId="6" fontId="5" fillId="0" borderId="1" xfId="0" applyNumberFormat="1" applyFont="1" applyFill="1" applyBorder="1" applyAlignment="1">
      <alignment horizontal="center" vertical="center" wrapText="1"/>
    </xf>
    <xf numFmtId="6"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11" fillId="0" borderId="0" xfId="0" applyNumberFormat="1" applyFont="1"/>
    <xf numFmtId="0" fontId="0" fillId="0" borderId="0" xfId="0" applyAlignment="1">
      <alignment horizontal="center"/>
    </xf>
    <xf numFmtId="0" fontId="25" fillId="0" borderId="0" xfId="0" applyFont="1" applyAlignment="1">
      <alignment horizontal="left" vertical="top"/>
    </xf>
    <xf numFmtId="0" fontId="25" fillId="0" borderId="0" xfId="0" applyFont="1" applyAlignment="1">
      <alignment horizontal="left" vertical="top" wrapText="1"/>
    </xf>
    <xf numFmtId="3" fontId="23" fillId="0" borderId="1" xfId="0" applyNumberFormat="1" applyFont="1" applyBorder="1" applyAlignment="1">
      <alignment horizontal="center" vertical="center" wrapText="1"/>
    </xf>
    <xf numFmtId="0" fontId="25" fillId="0" borderId="0" xfId="0" applyFont="1" applyFill="1" applyAlignment="1">
      <alignment horizontal="left" vertical="top" wrapText="1"/>
    </xf>
    <xf numFmtId="0" fontId="11" fillId="0" borderId="1" xfId="0" applyFont="1" applyBorder="1" applyAlignment="1">
      <alignment horizontal="center"/>
    </xf>
    <xf numFmtId="0" fontId="21" fillId="0" borderId="0" xfId="0" applyFont="1" applyAlignment="1">
      <alignment horizontal="left" vertical="top" wrapText="1"/>
    </xf>
    <xf numFmtId="0" fontId="23" fillId="0" borderId="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2" xfId="0" applyFont="1" applyBorder="1" applyAlignment="1">
      <alignment horizontal="center" vertical="center" wrapText="1"/>
    </xf>
    <xf numFmtId="3" fontId="26" fillId="0" borderId="1" xfId="0" applyNumberFormat="1" applyFont="1" applyBorder="1" applyAlignment="1">
      <alignment horizontal="center" vertical="center" wrapText="1"/>
    </xf>
    <xf numFmtId="0" fontId="6" fillId="0" borderId="0" xfId="0" applyFont="1" applyAlignment="1">
      <alignment horizontal="left" vertical="top"/>
    </xf>
    <xf numFmtId="0" fontId="11" fillId="0" borderId="3" xfId="0" applyFont="1" applyBorder="1" applyAlignment="1">
      <alignment horizontal="center"/>
    </xf>
    <xf numFmtId="0" fontId="11" fillId="0" borderId="4" xfId="0" applyFont="1" applyBorder="1" applyAlignment="1">
      <alignment horizontal="center"/>
    </xf>
    <xf numFmtId="0" fontId="17" fillId="0" borderId="0" xfId="0" applyFont="1" applyAlignment="1">
      <alignment horizontal="left" vertical="top" wrapText="1"/>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6" fillId="0" borderId="0" xfId="0" applyFont="1" applyAlignment="1">
      <alignment horizontal="left" vertical="top" wrapText="1"/>
    </xf>
    <xf numFmtId="0" fontId="6" fillId="0" borderId="0" xfId="0" applyFont="1" applyFill="1" applyAlignment="1">
      <alignment horizontal="left" vertical="top" wrapText="1"/>
    </xf>
    <xf numFmtId="0" fontId="2" fillId="0" borderId="0"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1"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323F-F0C9-476F-8581-92F55E1AA9FA}">
  <dimension ref="A1:C7"/>
  <sheetViews>
    <sheetView tabSelected="1" workbookViewId="0">
      <selection activeCell="C6" sqref="C6"/>
    </sheetView>
  </sheetViews>
  <sheetFormatPr defaultRowHeight="14.5" x14ac:dyDescent="0.35"/>
  <cols>
    <col min="1" max="1" width="25.7265625" bestFit="1" customWidth="1"/>
    <col min="2" max="2" width="13" customWidth="1"/>
  </cols>
  <sheetData>
    <row r="1" spans="1:3" x14ac:dyDescent="0.35">
      <c r="A1" s="107" t="s">
        <v>161</v>
      </c>
      <c r="B1" s="107"/>
    </row>
    <row r="2" spans="1:3" x14ac:dyDescent="0.35">
      <c r="A2" t="s">
        <v>162</v>
      </c>
      <c r="B2" s="93">
        <f>'Table 1'!K51</f>
        <v>96.830000000000013</v>
      </c>
    </row>
    <row r="3" spans="1:3" x14ac:dyDescent="0.35">
      <c r="A3" t="s">
        <v>3</v>
      </c>
      <c r="B3">
        <f>Respondents!F10</f>
        <v>19</v>
      </c>
    </row>
    <row r="4" spans="1:3" x14ac:dyDescent="0.35">
      <c r="A4" t="s">
        <v>163</v>
      </c>
      <c r="B4" s="94">
        <f>'Table 1'!F52</f>
        <v>23300</v>
      </c>
    </row>
    <row r="5" spans="1:3" x14ac:dyDescent="0.35">
      <c r="A5" t="s">
        <v>164</v>
      </c>
      <c r="B5" s="95">
        <f>'Table 1'!I54</f>
        <v>5080000</v>
      </c>
    </row>
    <row r="6" spans="1:3" x14ac:dyDescent="0.35">
      <c r="A6" t="s">
        <v>165</v>
      </c>
      <c r="B6" s="95">
        <f>'Table 1'!I53</f>
        <v>2280000</v>
      </c>
      <c r="C6" s="100"/>
    </row>
    <row r="7" spans="1:3" x14ac:dyDescent="0.35">
      <c r="A7" t="s">
        <v>57</v>
      </c>
      <c r="B7" s="96">
        <f>Responses!E10</f>
        <v>115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167B-C317-4F21-ABE0-2A85EB1BB591}">
  <dimension ref="A1:L66"/>
  <sheetViews>
    <sheetView topLeftCell="A50" zoomScale="115" zoomScaleNormal="115" workbookViewId="0">
      <selection activeCell="K54" sqref="K54"/>
    </sheetView>
  </sheetViews>
  <sheetFormatPr defaultColWidth="9.26953125" defaultRowHeight="14" x14ac:dyDescent="0.3"/>
  <cols>
    <col min="1" max="1" width="43.54296875" style="54" customWidth="1"/>
    <col min="2" max="8" width="12" style="54" customWidth="1"/>
    <col min="9" max="9" width="13.54296875" style="54" customWidth="1"/>
    <col min="10" max="10" width="4.7265625" style="54" customWidth="1"/>
    <col min="11" max="11" width="11.54296875" style="54" customWidth="1"/>
    <col min="12" max="16384" width="9.26953125" style="54"/>
  </cols>
  <sheetData>
    <row r="1" spans="1:12" ht="37.5" customHeight="1" x14ac:dyDescent="0.3">
      <c r="A1" s="113" t="s">
        <v>124</v>
      </c>
      <c r="B1" s="113"/>
      <c r="C1" s="113"/>
      <c r="D1" s="113"/>
      <c r="E1" s="113"/>
      <c r="F1" s="113"/>
      <c r="G1" s="113"/>
      <c r="H1" s="113"/>
      <c r="I1" s="113"/>
    </row>
    <row r="2" spans="1:12" x14ac:dyDescent="0.3">
      <c r="A2" s="55"/>
      <c r="B2" s="55"/>
      <c r="C2" s="55"/>
      <c r="D2" s="55"/>
      <c r="E2" s="55"/>
      <c r="F2" s="55"/>
      <c r="G2" s="55"/>
      <c r="H2" s="55"/>
      <c r="I2" s="55"/>
    </row>
    <row r="3" spans="1:12" x14ac:dyDescent="0.3">
      <c r="A3" s="114" t="s">
        <v>21</v>
      </c>
      <c r="B3" s="56" t="s">
        <v>0</v>
      </c>
      <c r="C3" s="57" t="s">
        <v>2</v>
      </c>
      <c r="D3" s="56" t="s">
        <v>4</v>
      </c>
      <c r="E3" s="57" t="s">
        <v>6</v>
      </c>
      <c r="F3" s="56" t="s">
        <v>7</v>
      </c>
      <c r="G3" s="57" t="s">
        <v>18</v>
      </c>
      <c r="H3" s="56" t="s">
        <v>20</v>
      </c>
      <c r="I3" s="58" t="s">
        <v>23</v>
      </c>
      <c r="J3" s="55"/>
      <c r="K3" s="55"/>
      <c r="L3" s="55"/>
    </row>
    <row r="4" spans="1:12" ht="65" x14ac:dyDescent="0.3">
      <c r="A4" s="115"/>
      <c r="B4" s="59" t="s">
        <v>48</v>
      </c>
      <c r="C4" s="60" t="s">
        <v>49</v>
      </c>
      <c r="D4" s="59" t="s">
        <v>50</v>
      </c>
      <c r="E4" s="60" t="s">
        <v>135</v>
      </c>
      <c r="F4" s="59" t="s">
        <v>51</v>
      </c>
      <c r="G4" s="60" t="s">
        <v>52</v>
      </c>
      <c r="H4" s="59" t="s">
        <v>53</v>
      </c>
      <c r="I4" s="61" t="s">
        <v>136</v>
      </c>
      <c r="J4" s="55"/>
      <c r="K4" s="55"/>
      <c r="L4" s="55"/>
    </row>
    <row r="5" spans="1:12" x14ac:dyDescent="0.3">
      <c r="A5" s="116"/>
      <c r="B5" s="62"/>
      <c r="C5" s="63"/>
      <c r="D5" s="64" t="s">
        <v>54</v>
      </c>
      <c r="E5" s="63"/>
      <c r="F5" s="62"/>
      <c r="G5" s="65" t="s">
        <v>55</v>
      </c>
      <c r="H5" s="64" t="s">
        <v>56</v>
      </c>
      <c r="I5" s="66"/>
      <c r="J5" s="55"/>
      <c r="K5" s="55"/>
      <c r="L5" s="55"/>
    </row>
    <row r="6" spans="1:12" x14ac:dyDescent="0.3">
      <c r="A6" s="5" t="s">
        <v>58</v>
      </c>
      <c r="B6" s="67" t="s">
        <v>22</v>
      </c>
      <c r="C6" s="5"/>
      <c r="D6" s="67"/>
      <c r="E6" s="67"/>
      <c r="F6" s="68"/>
      <c r="G6" s="69"/>
      <c r="H6" s="69"/>
      <c r="I6" s="70"/>
      <c r="J6" s="55"/>
      <c r="K6" s="112" t="s">
        <v>29</v>
      </c>
      <c r="L6" s="112"/>
    </row>
    <row r="7" spans="1:12" x14ac:dyDescent="0.3">
      <c r="A7" s="5" t="s">
        <v>89</v>
      </c>
      <c r="B7" s="67" t="s">
        <v>22</v>
      </c>
      <c r="C7" s="5"/>
      <c r="D7" s="67"/>
      <c r="E7" s="67"/>
      <c r="F7" s="68"/>
      <c r="G7" s="69"/>
      <c r="H7" s="69"/>
      <c r="I7" s="70"/>
      <c r="J7" s="55"/>
      <c r="K7" s="5" t="s">
        <v>30</v>
      </c>
      <c r="L7" s="71">
        <v>157.61000000000001</v>
      </c>
    </row>
    <row r="8" spans="1:12" x14ac:dyDescent="0.3">
      <c r="A8" s="5" t="s">
        <v>90</v>
      </c>
      <c r="B8" s="67"/>
      <c r="C8" s="5"/>
      <c r="D8" s="67"/>
      <c r="E8" s="67"/>
      <c r="F8" s="68"/>
      <c r="G8" s="69"/>
      <c r="H8" s="69"/>
      <c r="I8" s="70"/>
      <c r="J8" s="55"/>
      <c r="K8" s="5" t="s">
        <v>31</v>
      </c>
      <c r="L8" s="71">
        <v>123.94</v>
      </c>
    </row>
    <row r="9" spans="1:12" ht="15.5" x14ac:dyDescent="0.3">
      <c r="A9" s="72" t="s">
        <v>137</v>
      </c>
      <c r="B9" s="67">
        <v>16</v>
      </c>
      <c r="C9" s="67">
        <v>1</v>
      </c>
      <c r="D9" s="67">
        <v>16</v>
      </c>
      <c r="E9" s="67">
        <v>19</v>
      </c>
      <c r="F9" s="73">
        <f>D9*E9</f>
        <v>304</v>
      </c>
      <c r="G9" s="74">
        <f>F9*0.05</f>
        <v>15.200000000000001</v>
      </c>
      <c r="H9" s="74">
        <f>F9*0.1</f>
        <v>30.400000000000002</v>
      </c>
      <c r="I9" s="39">
        <f>G9*L$7+F9*L$8+H9*L$9</f>
        <v>41974.04</v>
      </c>
      <c r="J9" s="55"/>
      <c r="K9" s="5" t="s">
        <v>32</v>
      </c>
      <c r="L9" s="71">
        <v>62.52</v>
      </c>
    </row>
    <row r="10" spans="1:12" x14ac:dyDescent="0.3">
      <c r="A10" s="72" t="s">
        <v>91</v>
      </c>
      <c r="B10" s="67">
        <v>8</v>
      </c>
      <c r="C10" s="67">
        <v>1</v>
      </c>
      <c r="D10" s="67">
        <v>8</v>
      </c>
      <c r="E10" s="67">
        <v>19</v>
      </c>
      <c r="F10" s="73">
        <f t="shared" ref="F10:F13" si="0">D10*E10</f>
        <v>152</v>
      </c>
      <c r="G10" s="74">
        <f t="shared" ref="G10:G13" si="1">F10*0.05</f>
        <v>7.6000000000000005</v>
      </c>
      <c r="H10" s="74">
        <f t="shared" ref="H10:H13" si="2">F10*0.1</f>
        <v>15.200000000000001</v>
      </c>
      <c r="I10" s="39">
        <f t="shared" ref="I10:I13" si="3">G10*L$7+F10*L$8+H10*L$9</f>
        <v>20987.02</v>
      </c>
      <c r="J10" s="55"/>
      <c r="K10" s="55"/>
      <c r="L10" s="55"/>
    </row>
    <row r="11" spans="1:12" x14ac:dyDescent="0.3">
      <c r="A11" s="72" t="s">
        <v>92</v>
      </c>
      <c r="B11" s="67">
        <v>16</v>
      </c>
      <c r="C11" s="67">
        <v>1</v>
      </c>
      <c r="D11" s="67">
        <v>16</v>
      </c>
      <c r="E11" s="67">
        <v>19</v>
      </c>
      <c r="F11" s="73">
        <f t="shared" si="0"/>
        <v>304</v>
      </c>
      <c r="G11" s="74">
        <f t="shared" si="1"/>
        <v>15.200000000000001</v>
      </c>
      <c r="H11" s="74">
        <f t="shared" si="2"/>
        <v>30.400000000000002</v>
      </c>
      <c r="I11" s="39">
        <f t="shared" si="3"/>
        <v>41974.04</v>
      </c>
      <c r="J11" s="55"/>
      <c r="K11" s="55"/>
      <c r="L11" s="55"/>
    </row>
    <row r="12" spans="1:12" ht="15.5" x14ac:dyDescent="0.3">
      <c r="A12" s="72" t="s">
        <v>138</v>
      </c>
      <c r="B12" s="67">
        <v>320</v>
      </c>
      <c r="C12" s="67">
        <v>1</v>
      </c>
      <c r="D12" s="67">
        <v>320</v>
      </c>
      <c r="E12" s="98">
        <v>1</v>
      </c>
      <c r="F12" s="73">
        <f t="shared" si="0"/>
        <v>320</v>
      </c>
      <c r="G12" s="74">
        <f t="shared" si="1"/>
        <v>16</v>
      </c>
      <c r="H12" s="74">
        <f t="shared" si="2"/>
        <v>32</v>
      </c>
      <c r="I12" s="39">
        <f t="shared" si="3"/>
        <v>44183.200000000004</v>
      </c>
      <c r="J12" s="55"/>
      <c r="K12" s="55"/>
      <c r="L12" s="55"/>
    </row>
    <row r="13" spans="1:12" x14ac:dyDescent="0.3">
      <c r="A13" s="72" t="s">
        <v>93</v>
      </c>
      <c r="B13" s="67">
        <v>208</v>
      </c>
      <c r="C13" s="67">
        <v>1</v>
      </c>
      <c r="D13" s="67">
        <v>208</v>
      </c>
      <c r="E13" s="67">
        <v>19</v>
      </c>
      <c r="F13" s="73">
        <f t="shared" si="0"/>
        <v>3952</v>
      </c>
      <c r="G13" s="74">
        <f t="shared" si="1"/>
        <v>197.60000000000002</v>
      </c>
      <c r="H13" s="74">
        <f t="shared" si="2"/>
        <v>395.20000000000005</v>
      </c>
      <c r="I13" s="39">
        <f t="shared" si="3"/>
        <v>545662.52</v>
      </c>
      <c r="J13" s="55"/>
      <c r="K13" s="55"/>
      <c r="L13" s="55"/>
    </row>
    <row r="14" spans="1:12" x14ac:dyDescent="0.3">
      <c r="A14" s="72" t="s">
        <v>94</v>
      </c>
      <c r="B14" s="67">
        <v>48</v>
      </c>
      <c r="C14" s="67">
        <v>2</v>
      </c>
      <c r="D14" s="67">
        <v>96</v>
      </c>
      <c r="E14" s="67">
        <v>19</v>
      </c>
      <c r="F14" s="73">
        <f t="shared" ref="F14:F16" si="4">D14*E14</f>
        <v>1824</v>
      </c>
      <c r="G14" s="74">
        <f t="shared" ref="G14:G16" si="5">F14*0.05</f>
        <v>91.2</v>
      </c>
      <c r="H14" s="74">
        <f t="shared" ref="H14:H16" si="6">F14*0.1</f>
        <v>182.4</v>
      </c>
      <c r="I14" s="39">
        <f t="shared" ref="I14:I16" si="7">G14*L$7+F14*L$8+H14*L$9</f>
        <v>251844.24</v>
      </c>
      <c r="J14" s="55"/>
      <c r="K14" s="55"/>
      <c r="L14" s="55"/>
    </row>
    <row r="15" spans="1:12" x14ac:dyDescent="0.3">
      <c r="A15" s="72" t="s">
        <v>95</v>
      </c>
      <c r="B15" s="67"/>
      <c r="C15" s="67"/>
      <c r="D15" s="67"/>
      <c r="E15" s="67"/>
      <c r="F15" s="68"/>
      <c r="G15" s="69"/>
      <c r="H15" s="69"/>
      <c r="I15" s="38"/>
      <c r="J15" s="55"/>
      <c r="K15" s="55"/>
      <c r="L15" s="55"/>
    </row>
    <row r="16" spans="1:12" x14ac:dyDescent="0.3">
      <c r="A16" s="72" t="s">
        <v>96</v>
      </c>
      <c r="B16" s="67">
        <v>20</v>
      </c>
      <c r="C16" s="67">
        <v>1</v>
      </c>
      <c r="D16" s="67">
        <v>20</v>
      </c>
      <c r="E16" s="67">
        <v>0</v>
      </c>
      <c r="F16" s="68">
        <f t="shared" si="4"/>
        <v>0</v>
      </c>
      <c r="G16" s="69">
        <f t="shared" si="5"/>
        <v>0</v>
      </c>
      <c r="H16" s="69">
        <f t="shared" si="6"/>
        <v>0</v>
      </c>
      <c r="I16" s="38">
        <f t="shared" si="7"/>
        <v>0</v>
      </c>
      <c r="J16" s="55"/>
      <c r="K16" s="55"/>
      <c r="L16" s="55"/>
    </row>
    <row r="17" spans="1:12" x14ac:dyDescent="0.3">
      <c r="A17" s="72" t="s">
        <v>97</v>
      </c>
      <c r="B17" s="67">
        <v>20</v>
      </c>
      <c r="C17" s="67">
        <v>1</v>
      </c>
      <c r="D17" s="67">
        <v>20</v>
      </c>
      <c r="E17" s="67">
        <v>0</v>
      </c>
      <c r="F17" s="73">
        <f t="shared" ref="F17:F22" si="8">D17*E17</f>
        <v>0</v>
      </c>
      <c r="G17" s="74">
        <f t="shared" ref="G17:G22" si="9">F17*0.05</f>
        <v>0</v>
      </c>
      <c r="H17" s="75">
        <f t="shared" ref="H17:H22" si="10">F17*0.1</f>
        <v>0</v>
      </c>
      <c r="I17" s="38">
        <f>G17*L$7+F17*L$8+H17*L$9</f>
        <v>0</v>
      </c>
      <c r="J17" s="55"/>
      <c r="K17" s="55"/>
      <c r="L17" s="55"/>
    </row>
    <row r="18" spans="1:12" ht="15.5" x14ac:dyDescent="0.3">
      <c r="A18" s="72" t="s">
        <v>154</v>
      </c>
      <c r="B18" s="67">
        <v>40</v>
      </c>
      <c r="C18" s="67">
        <v>2</v>
      </c>
      <c r="D18" s="67">
        <v>80</v>
      </c>
      <c r="E18" s="67">
        <v>19</v>
      </c>
      <c r="F18" s="73">
        <f>D18*E18</f>
        <v>1520</v>
      </c>
      <c r="G18" s="74">
        <f t="shared" si="9"/>
        <v>76</v>
      </c>
      <c r="H18" s="74">
        <f t="shared" si="10"/>
        <v>152</v>
      </c>
      <c r="I18" s="39">
        <f t="shared" ref="I18:I22" si="11">G18*L$7+F18*L$8+H18*L$9</f>
        <v>209870.19999999998</v>
      </c>
      <c r="J18" s="55"/>
      <c r="K18" s="55"/>
      <c r="L18" s="55"/>
    </row>
    <row r="19" spans="1:12" ht="28.5" x14ac:dyDescent="0.3">
      <c r="A19" s="92" t="s">
        <v>159</v>
      </c>
      <c r="B19" s="67">
        <v>1</v>
      </c>
      <c r="C19" s="67">
        <v>1</v>
      </c>
      <c r="D19" s="67">
        <v>1</v>
      </c>
      <c r="E19" s="98">
        <v>15</v>
      </c>
      <c r="F19" s="73">
        <f>D19*E19</f>
        <v>15</v>
      </c>
      <c r="G19" s="74">
        <f t="shared" si="9"/>
        <v>0.75</v>
      </c>
      <c r="H19" s="74">
        <f t="shared" si="10"/>
        <v>1.5</v>
      </c>
      <c r="I19" s="39">
        <f>G19*L$7+F19*L$8+H19*L$9</f>
        <v>2071.0875000000001</v>
      </c>
      <c r="J19" s="55"/>
      <c r="K19" s="55"/>
      <c r="L19" s="55"/>
    </row>
    <row r="20" spans="1:12" x14ac:dyDescent="0.3">
      <c r="A20" s="72" t="s">
        <v>155</v>
      </c>
      <c r="B20" s="67">
        <v>20</v>
      </c>
      <c r="C20" s="67">
        <v>2</v>
      </c>
      <c r="D20" s="67">
        <v>40</v>
      </c>
      <c r="E20" s="67">
        <v>19</v>
      </c>
      <c r="F20" s="68">
        <f t="shared" si="8"/>
        <v>760</v>
      </c>
      <c r="G20" s="69">
        <f t="shared" si="9"/>
        <v>38</v>
      </c>
      <c r="H20" s="69">
        <f t="shared" si="10"/>
        <v>76</v>
      </c>
      <c r="I20" s="39">
        <f t="shared" si="11"/>
        <v>104935.09999999999</v>
      </c>
      <c r="J20" s="55"/>
      <c r="K20" s="55"/>
      <c r="L20" s="55"/>
    </row>
    <row r="21" spans="1:12" x14ac:dyDescent="0.3">
      <c r="A21" s="72" t="s">
        <v>156</v>
      </c>
      <c r="B21" s="67">
        <v>8</v>
      </c>
      <c r="C21" s="67">
        <v>2</v>
      </c>
      <c r="D21" s="67">
        <v>16</v>
      </c>
      <c r="E21" s="67">
        <v>19</v>
      </c>
      <c r="F21" s="68">
        <f t="shared" si="8"/>
        <v>304</v>
      </c>
      <c r="G21" s="74">
        <f t="shared" si="9"/>
        <v>15.200000000000001</v>
      </c>
      <c r="H21" s="74">
        <f t="shared" si="10"/>
        <v>30.400000000000002</v>
      </c>
      <c r="I21" s="39">
        <f t="shared" si="11"/>
        <v>41974.04</v>
      </c>
      <c r="J21" s="55"/>
      <c r="K21" s="55"/>
      <c r="L21" s="55"/>
    </row>
    <row r="22" spans="1:12" x14ac:dyDescent="0.3">
      <c r="A22" s="72" t="s">
        <v>157</v>
      </c>
      <c r="B22" s="67">
        <v>60</v>
      </c>
      <c r="C22" s="67">
        <v>1</v>
      </c>
      <c r="D22" s="67">
        <v>60</v>
      </c>
      <c r="E22" s="67">
        <v>19</v>
      </c>
      <c r="F22" s="73">
        <f t="shared" si="8"/>
        <v>1140</v>
      </c>
      <c r="G22" s="69">
        <f t="shared" si="9"/>
        <v>57</v>
      </c>
      <c r="H22" s="69">
        <f t="shared" si="10"/>
        <v>114</v>
      </c>
      <c r="I22" s="39">
        <f t="shared" si="11"/>
        <v>157402.65</v>
      </c>
      <c r="J22" s="55"/>
      <c r="K22" s="55"/>
      <c r="L22" s="55"/>
    </row>
    <row r="23" spans="1:12" x14ac:dyDescent="0.3">
      <c r="A23" s="76" t="s">
        <v>26</v>
      </c>
      <c r="B23" s="64"/>
      <c r="C23" s="64"/>
      <c r="D23" s="77"/>
      <c r="E23" s="64"/>
      <c r="F23" s="117">
        <f>SUM(F6:H22)</f>
        <v>12184.25</v>
      </c>
      <c r="G23" s="117"/>
      <c r="H23" s="117"/>
      <c r="I23" s="78">
        <f>SUM(I6:I22)</f>
        <v>1462878.1375</v>
      </c>
      <c r="J23" s="55"/>
      <c r="K23" s="55"/>
      <c r="L23" s="55"/>
    </row>
    <row r="24" spans="1:12" x14ac:dyDescent="0.3">
      <c r="A24" s="5" t="s">
        <v>98</v>
      </c>
      <c r="B24" s="67"/>
      <c r="C24" s="67"/>
      <c r="D24" s="67"/>
      <c r="E24" s="67"/>
      <c r="F24" s="79"/>
      <c r="G24" s="80"/>
      <c r="H24" s="80"/>
      <c r="I24" s="81"/>
      <c r="J24" s="55"/>
      <c r="K24" s="55"/>
      <c r="L24" s="55"/>
    </row>
    <row r="25" spans="1:12" ht="15.5" x14ac:dyDescent="0.3">
      <c r="A25" s="72" t="s">
        <v>137</v>
      </c>
      <c r="B25" s="67" t="s">
        <v>27</v>
      </c>
      <c r="C25" s="67"/>
      <c r="D25" s="67"/>
      <c r="E25" s="67"/>
      <c r="F25" s="79"/>
      <c r="G25" s="80"/>
      <c r="H25" s="80"/>
      <c r="I25" s="81"/>
      <c r="J25" s="55"/>
      <c r="K25" s="55"/>
      <c r="L25" s="55"/>
    </row>
    <row r="26" spans="1:12" x14ac:dyDescent="0.3">
      <c r="A26" s="72" t="s">
        <v>91</v>
      </c>
      <c r="B26" s="67" t="s">
        <v>25</v>
      </c>
      <c r="C26" s="67"/>
      <c r="D26" s="67"/>
      <c r="E26" s="67"/>
      <c r="F26" s="68"/>
      <c r="G26" s="74"/>
      <c r="H26" s="74"/>
      <c r="I26" s="38"/>
      <c r="J26" s="55"/>
      <c r="K26" s="55"/>
      <c r="L26" s="55"/>
    </row>
    <row r="27" spans="1:12" x14ac:dyDescent="0.3">
      <c r="A27" s="72" t="s">
        <v>99</v>
      </c>
      <c r="B27" s="67"/>
      <c r="C27" s="67"/>
      <c r="D27" s="67"/>
      <c r="E27" s="67"/>
      <c r="F27" s="68"/>
      <c r="G27" s="74"/>
      <c r="H27" s="74"/>
      <c r="I27" s="38"/>
      <c r="J27" s="55"/>
      <c r="K27" s="55"/>
      <c r="L27" s="55"/>
    </row>
    <row r="28" spans="1:12" x14ac:dyDescent="0.3">
      <c r="A28" s="72" t="s">
        <v>100</v>
      </c>
      <c r="B28" s="67">
        <v>6</v>
      </c>
      <c r="C28" s="67">
        <v>2</v>
      </c>
      <c r="D28" s="67">
        <v>12</v>
      </c>
      <c r="E28" s="67">
        <v>19</v>
      </c>
      <c r="F28" s="68">
        <f t="shared" ref="F28" si="12">D28*E28</f>
        <v>228</v>
      </c>
      <c r="G28" s="74">
        <f t="shared" ref="G28" si="13">F28*0.05</f>
        <v>11.4</v>
      </c>
      <c r="H28" s="74">
        <f t="shared" ref="H28" si="14">F28*0.1</f>
        <v>22.8</v>
      </c>
      <c r="I28" s="39">
        <f t="shared" ref="I28" si="15">G28*L$7+F28*L$8+H28*L$9</f>
        <v>31480.53</v>
      </c>
      <c r="J28" s="55"/>
      <c r="K28" s="55"/>
      <c r="L28" s="55"/>
    </row>
    <row r="29" spans="1:12" x14ac:dyDescent="0.3">
      <c r="A29" s="72" t="s">
        <v>130</v>
      </c>
      <c r="B29" s="67">
        <v>24</v>
      </c>
      <c r="C29" s="67">
        <v>2</v>
      </c>
      <c r="D29" s="67">
        <v>48</v>
      </c>
      <c r="E29" s="67">
        <v>19</v>
      </c>
      <c r="F29" s="68">
        <f t="shared" ref="F29:F49" si="16">D29*E29</f>
        <v>912</v>
      </c>
      <c r="G29" s="74">
        <f t="shared" ref="G29:G49" si="17">F29*0.05</f>
        <v>45.6</v>
      </c>
      <c r="H29" s="74">
        <f t="shared" ref="H29:H49" si="18">F29*0.1</f>
        <v>91.2</v>
      </c>
      <c r="I29" s="39">
        <f t="shared" ref="I29:I49" si="19">G29*L$7+F29*L$8+H29*L$9</f>
        <v>125922.12</v>
      </c>
      <c r="J29" s="55"/>
      <c r="K29" s="55"/>
      <c r="L29" s="55"/>
    </row>
    <row r="30" spans="1:12" ht="15.5" x14ac:dyDescent="0.3">
      <c r="A30" s="72" t="s">
        <v>139</v>
      </c>
      <c r="B30" s="67">
        <v>4</v>
      </c>
      <c r="C30" s="67">
        <v>2</v>
      </c>
      <c r="D30" s="67">
        <v>8</v>
      </c>
      <c r="E30" s="98">
        <v>1</v>
      </c>
      <c r="F30" s="68">
        <f t="shared" ref="F30" si="20">D30*E30</f>
        <v>8</v>
      </c>
      <c r="G30" s="82">
        <f t="shared" ref="G30" si="21">F30*0.05</f>
        <v>0.4</v>
      </c>
      <c r="H30" s="74">
        <f t="shared" ref="H30" si="22">F30*0.1</f>
        <v>0.8</v>
      </c>
      <c r="I30" s="39">
        <f t="shared" ref="I30" si="23">G30*L$7+F30*L$8+H30*L$9</f>
        <v>1104.5800000000002</v>
      </c>
      <c r="J30" s="55"/>
      <c r="K30" s="55"/>
      <c r="L30" s="55"/>
    </row>
    <row r="31" spans="1:12" x14ac:dyDescent="0.3">
      <c r="A31" s="72" t="s">
        <v>102</v>
      </c>
      <c r="B31" s="67">
        <v>24</v>
      </c>
      <c r="C31" s="67">
        <v>2</v>
      </c>
      <c r="D31" s="67">
        <v>48</v>
      </c>
      <c r="E31" s="67">
        <v>19</v>
      </c>
      <c r="F31" s="68">
        <f t="shared" si="16"/>
        <v>912</v>
      </c>
      <c r="G31" s="74">
        <f t="shared" si="17"/>
        <v>45.6</v>
      </c>
      <c r="H31" s="74">
        <f t="shared" si="18"/>
        <v>91.2</v>
      </c>
      <c r="I31" s="39">
        <f t="shared" si="19"/>
        <v>125922.12</v>
      </c>
      <c r="J31" s="55"/>
      <c r="K31" s="55"/>
      <c r="L31" s="55"/>
    </row>
    <row r="32" spans="1:12" x14ac:dyDescent="0.3">
      <c r="A32" s="72" t="s">
        <v>103</v>
      </c>
      <c r="B32" s="67">
        <v>24</v>
      </c>
      <c r="C32" s="67">
        <v>2</v>
      </c>
      <c r="D32" s="67">
        <v>48</v>
      </c>
      <c r="E32" s="67">
        <v>19</v>
      </c>
      <c r="F32" s="68">
        <f t="shared" si="16"/>
        <v>912</v>
      </c>
      <c r="G32" s="74">
        <f t="shared" si="17"/>
        <v>45.6</v>
      </c>
      <c r="H32" s="74">
        <f t="shared" si="18"/>
        <v>91.2</v>
      </c>
      <c r="I32" s="39">
        <f t="shared" si="19"/>
        <v>125922.12</v>
      </c>
      <c r="J32" s="55"/>
      <c r="K32" s="55"/>
      <c r="L32" s="55"/>
    </row>
    <row r="33" spans="1:12" x14ac:dyDescent="0.3">
      <c r="A33" s="72" t="s">
        <v>108</v>
      </c>
      <c r="B33" s="67">
        <v>24</v>
      </c>
      <c r="C33" s="67">
        <v>2</v>
      </c>
      <c r="D33" s="67">
        <v>48</v>
      </c>
      <c r="E33" s="67">
        <v>19</v>
      </c>
      <c r="F33" s="68">
        <f t="shared" si="16"/>
        <v>912</v>
      </c>
      <c r="G33" s="74">
        <f t="shared" si="17"/>
        <v>45.6</v>
      </c>
      <c r="H33" s="74">
        <f t="shared" si="18"/>
        <v>91.2</v>
      </c>
      <c r="I33" s="39">
        <f t="shared" si="19"/>
        <v>125922.12</v>
      </c>
      <c r="J33" s="55"/>
      <c r="K33" s="55"/>
      <c r="L33" s="55"/>
    </row>
    <row r="34" spans="1:12" x14ac:dyDescent="0.3">
      <c r="A34" s="72" t="s">
        <v>104</v>
      </c>
      <c r="B34" s="67">
        <v>24</v>
      </c>
      <c r="C34" s="67">
        <v>2</v>
      </c>
      <c r="D34" s="67">
        <v>48</v>
      </c>
      <c r="E34" s="67">
        <v>19</v>
      </c>
      <c r="F34" s="68">
        <f t="shared" si="16"/>
        <v>912</v>
      </c>
      <c r="G34" s="74">
        <f t="shared" si="17"/>
        <v>45.6</v>
      </c>
      <c r="H34" s="74">
        <f t="shared" si="18"/>
        <v>91.2</v>
      </c>
      <c r="I34" s="39">
        <f t="shared" si="19"/>
        <v>125922.12</v>
      </c>
      <c r="J34" s="55"/>
      <c r="K34" s="55"/>
      <c r="L34" s="55"/>
    </row>
    <row r="35" spans="1:12" x14ac:dyDescent="0.3">
      <c r="A35" s="72" t="s">
        <v>105</v>
      </c>
      <c r="B35" s="67"/>
      <c r="C35" s="67"/>
      <c r="D35" s="67"/>
      <c r="E35" s="67"/>
      <c r="F35" s="68"/>
      <c r="G35" s="74"/>
      <c r="H35" s="74"/>
      <c r="I35" s="39"/>
      <c r="J35" s="55"/>
      <c r="K35" s="55"/>
      <c r="L35" s="55"/>
    </row>
    <row r="36" spans="1:12" x14ac:dyDescent="0.3">
      <c r="A36" s="72" t="s">
        <v>106</v>
      </c>
      <c r="B36" s="67">
        <v>16</v>
      </c>
      <c r="C36" s="67">
        <v>2</v>
      </c>
      <c r="D36" s="67">
        <v>32</v>
      </c>
      <c r="E36" s="67">
        <v>19</v>
      </c>
      <c r="F36" s="68">
        <f t="shared" si="16"/>
        <v>608</v>
      </c>
      <c r="G36" s="74">
        <f t="shared" si="17"/>
        <v>30.400000000000002</v>
      </c>
      <c r="H36" s="74">
        <f t="shared" si="18"/>
        <v>60.800000000000004</v>
      </c>
      <c r="I36" s="39">
        <f t="shared" si="19"/>
        <v>83948.08</v>
      </c>
      <c r="J36" s="55"/>
      <c r="K36" s="55"/>
      <c r="L36" s="55"/>
    </row>
    <row r="37" spans="1:12" ht="15.5" x14ac:dyDescent="0.3">
      <c r="A37" s="72" t="s">
        <v>140</v>
      </c>
      <c r="B37" s="67">
        <v>4</v>
      </c>
      <c r="C37" s="67">
        <v>2</v>
      </c>
      <c r="D37" s="67">
        <v>8</v>
      </c>
      <c r="E37" s="67">
        <v>19</v>
      </c>
      <c r="F37" s="68">
        <f t="shared" si="16"/>
        <v>152</v>
      </c>
      <c r="G37" s="74">
        <f t="shared" si="17"/>
        <v>7.6000000000000005</v>
      </c>
      <c r="H37" s="74">
        <f t="shared" si="18"/>
        <v>15.200000000000001</v>
      </c>
      <c r="I37" s="39">
        <f t="shared" si="19"/>
        <v>20987.02</v>
      </c>
      <c r="J37" s="55"/>
      <c r="K37" s="55"/>
      <c r="L37" s="55"/>
    </row>
    <row r="38" spans="1:12" x14ac:dyDescent="0.3">
      <c r="A38" s="72" t="s">
        <v>107</v>
      </c>
      <c r="B38" s="67"/>
      <c r="C38" s="67"/>
      <c r="D38" s="67"/>
      <c r="E38" s="67"/>
      <c r="F38" s="68"/>
      <c r="G38" s="74"/>
      <c r="H38" s="74"/>
      <c r="I38" s="39"/>
      <c r="J38" s="55"/>
      <c r="K38" s="55"/>
      <c r="L38" s="55"/>
    </row>
    <row r="39" spans="1:12" x14ac:dyDescent="0.3">
      <c r="A39" s="72" t="s">
        <v>100</v>
      </c>
      <c r="B39" s="67">
        <v>4</v>
      </c>
      <c r="C39" s="67">
        <v>2</v>
      </c>
      <c r="D39" s="67">
        <v>8</v>
      </c>
      <c r="E39" s="67">
        <v>19</v>
      </c>
      <c r="F39" s="68">
        <f t="shared" si="16"/>
        <v>152</v>
      </c>
      <c r="G39" s="74">
        <f t="shared" si="17"/>
        <v>7.6000000000000005</v>
      </c>
      <c r="H39" s="74">
        <f t="shared" si="18"/>
        <v>15.200000000000001</v>
      </c>
      <c r="I39" s="39">
        <f t="shared" si="19"/>
        <v>20987.02</v>
      </c>
      <c r="J39" s="55"/>
      <c r="K39" s="55"/>
      <c r="L39" s="55"/>
    </row>
    <row r="40" spans="1:12" x14ac:dyDescent="0.3">
      <c r="A40" s="72" t="s">
        <v>101</v>
      </c>
      <c r="B40" s="67">
        <v>4</v>
      </c>
      <c r="C40" s="67">
        <v>2</v>
      </c>
      <c r="D40" s="67">
        <v>8</v>
      </c>
      <c r="E40" s="67">
        <v>19</v>
      </c>
      <c r="F40" s="68">
        <f t="shared" si="16"/>
        <v>152</v>
      </c>
      <c r="G40" s="74">
        <f t="shared" si="17"/>
        <v>7.6000000000000005</v>
      </c>
      <c r="H40" s="74">
        <f t="shared" si="18"/>
        <v>15.200000000000001</v>
      </c>
      <c r="I40" s="39">
        <f t="shared" si="19"/>
        <v>20987.02</v>
      </c>
      <c r="J40" s="55"/>
      <c r="K40" s="55"/>
      <c r="L40" s="55"/>
    </row>
    <row r="41" spans="1:12" ht="15.5" x14ac:dyDescent="0.3">
      <c r="A41" s="72" t="s">
        <v>141</v>
      </c>
      <c r="B41" s="67">
        <v>1</v>
      </c>
      <c r="C41" s="67">
        <v>1</v>
      </c>
      <c r="D41" s="67">
        <v>1</v>
      </c>
      <c r="E41" s="98">
        <v>15</v>
      </c>
      <c r="F41" s="68">
        <f t="shared" si="16"/>
        <v>15</v>
      </c>
      <c r="G41" s="74">
        <f t="shared" si="17"/>
        <v>0.75</v>
      </c>
      <c r="H41" s="74">
        <f t="shared" si="18"/>
        <v>1.5</v>
      </c>
      <c r="I41" s="39">
        <f t="shared" si="19"/>
        <v>2071.0875000000001</v>
      </c>
      <c r="J41" s="55"/>
      <c r="K41" s="55"/>
      <c r="L41" s="55"/>
    </row>
    <row r="42" spans="1:12" ht="15.5" x14ac:dyDescent="0.3">
      <c r="A42" s="72" t="s">
        <v>158</v>
      </c>
      <c r="B42" s="67">
        <v>4</v>
      </c>
      <c r="C42" s="67">
        <v>2</v>
      </c>
      <c r="D42" s="67">
        <v>8</v>
      </c>
      <c r="E42" s="98">
        <v>1</v>
      </c>
      <c r="F42" s="68">
        <f t="shared" si="16"/>
        <v>8</v>
      </c>
      <c r="G42" s="82">
        <f>F42*0.05</f>
        <v>0.4</v>
      </c>
      <c r="H42" s="74">
        <f t="shared" si="18"/>
        <v>0.8</v>
      </c>
      <c r="I42" s="39">
        <f t="shared" si="19"/>
        <v>1104.5800000000002</v>
      </c>
      <c r="J42" s="55"/>
      <c r="K42" s="55"/>
      <c r="L42" s="55"/>
    </row>
    <row r="43" spans="1:12" x14ac:dyDescent="0.3">
      <c r="A43" s="72" t="s">
        <v>131</v>
      </c>
      <c r="B43" s="67">
        <v>4</v>
      </c>
      <c r="C43" s="67">
        <v>2</v>
      </c>
      <c r="D43" s="67">
        <v>8</v>
      </c>
      <c r="E43" s="67">
        <v>19</v>
      </c>
      <c r="F43" s="68">
        <f t="shared" si="16"/>
        <v>152</v>
      </c>
      <c r="G43" s="74">
        <f t="shared" si="17"/>
        <v>7.6000000000000005</v>
      </c>
      <c r="H43" s="74">
        <f t="shared" si="18"/>
        <v>15.200000000000001</v>
      </c>
      <c r="I43" s="39">
        <f t="shared" si="19"/>
        <v>20987.02</v>
      </c>
      <c r="J43" s="55"/>
      <c r="K43" s="55"/>
      <c r="L43" s="55"/>
    </row>
    <row r="44" spans="1:12" x14ac:dyDescent="0.3">
      <c r="A44" s="72" t="s">
        <v>132</v>
      </c>
      <c r="B44" s="67">
        <v>4</v>
      </c>
      <c r="C44" s="67">
        <v>2</v>
      </c>
      <c r="D44" s="67">
        <v>8</v>
      </c>
      <c r="E44" s="67">
        <v>19</v>
      </c>
      <c r="F44" s="68">
        <f t="shared" si="16"/>
        <v>152</v>
      </c>
      <c r="G44" s="74">
        <f t="shared" si="17"/>
        <v>7.6000000000000005</v>
      </c>
      <c r="H44" s="74">
        <f t="shared" si="18"/>
        <v>15.200000000000001</v>
      </c>
      <c r="I44" s="39">
        <f t="shared" si="19"/>
        <v>20987.02</v>
      </c>
      <c r="J44" s="55"/>
      <c r="K44" s="55"/>
      <c r="L44" s="55"/>
    </row>
    <row r="45" spans="1:12" x14ac:dyDescent="0.3">
      <c r="A45" s="72" t="s">
        <v>133</v>
      </c>
      <c r="B45" s="67">
        <v>4</v>
      </c>
      <c r="C45" s="67">
        <v>2</v>
      </c>
      <c r="D45" s="67">
        <v>8</v>
      </c>
      <c r="E45" s="67">
        <v>19</v>
      </c>
      <c r="F45" s="68">
        <f t="shared" si="16"/>
        <v>152</v>
      </c>
      <c r="G45" s="74">
        <f t="shared" si="17"/>
        <v>7.6000000000000005</v>
      </c>
      <c r="H45" s="74">
        <f t="shared" si="18"/>
        <v>15.200000000000001</v>
      </c>
      <c r="I45" s="39">
        <f t="shared" si="19"/>
        <v>20987.02</v>
      </c>
      <c r="J45" s="55"/>
      <c r="K45" s="55"/>
      <c r="L45" s="55"/>
    </row>
    <row r="46" spans="1:12" x14ac:dyDescent="0.3">
      <c r="A46" s="72" t="s">
        <v>134</v>
      </c>
      <c r="B46" s="67">
        <v>8</v>
      </c>
      <c r="C46" s="67">
        <v>2</v>
      </c>
      <c r="D46" s="67">
        <v>16</v>
      </c>
      <c r="E46" s="67">
        <v>19</v>
      </c>
      <c r="F46" s="68">
        <f t="shared" si="16"/>
        <v>304</v>
      </c>
      <c r="G46" s="74">
        <f t="shared" si="17"/>
        <v>15.200000000000001</v>
      </c>
      <c r="H46" s="74">
        <f t="shared" si="18"/>
        <v>30.400000000000002</v>
      </c>
      <c r="I46" s="39">
        <f t="shared" si="19"/>
        <v>41974.04</v>
      </c>
      <c r="J46" s="55"/>
      <c r="K46" s="55"/>
      <c r="L46" s="55"/>
    </row>
    <row r="47" spans="1:12" x14ac:dyDescent="0.3">
      <c r="A47" s="72" t="s">
        <v>109</v>
      </c>
      <c r="B47" s="67"/>
      <c r="C47" s="67"/>
      <c r="D47" s="67"/>
      <c r="E47" s="67"/>
      <c r="F47" s="68"/>
      <c r="G47" s="74"/>
      <c r="H47" s="74"/>
      <c r="I47" s="39"/>
      <c r="J47" s="55"/>
      <c r="K47" s="55"/>
      <c r="L47" s="55"/>
    </row>
    <row r="48" spans="1:12" x14ac:dyDescent="0.3">
      <c r="A48" s="72" t="s">
        <v>110</v>
      </c>
      <c r="B48" s="67">
        <v>40</v>
      </c>
      <c r="C48" s="67">
        <v>2</v>
      </c>
      <c r="D48" s="67">
        <v>80</v>
      </c>
      <c r="E48" s="67">
        <v>19</v>
      </c>
      <c r="F48" s="73">
        <f t="shared" si="16"/>
        <v>1520</v>
      </c>
      <c r="G48" s="74">
        <f t="shared" si="17"/>
        <v>76</v>
      </c>
      <c r="H48" s="74">
        <f t="shared" si="18"/>
        <v>152</v>
      </c>
      <c r="I48" s="39">
        <f t="shared" si="19"/>
        <v>209870.19999999998</v>
      </c>
      <c r="J48" s="55"/>
      <c r="K48" s="55"/>
      <c r="L48" s="55"/>
    </row>
    <row r="49" spans="1:12" x14ac:dyDescent="0.3">
      <c r="A49" s="72" t="s">
        <v>111</v>
      </c>
      <c r="B49" s="67">
        <v>40</v>
      </c>
      <c r="C49" s="67">
        <v>2</v>
      </c>
      <c r="D49" s="67">
        <v>80</v>
      </c>
      <c r="E49" s="67">
        <v>19</v>
      </c>
      <c r="F49" s="73">
        <f t="shared" si="16"/>
        <v>1520</v>
      </c>
      <c r="G49" s="74">
        <f t="shared" si="17"/>
        <v>76</v>
      </c>
      <c r="H49" s="74">
        <f t="shared" si="18"/>
        <v>152</v>
      </c>
      <c r="I49" s="39">
        <f t="shared" si="19"/>
        <v>209870.19999999998</v>
      </c>
      <c r="J49" s="55"/>
      <c r="K49" s="55"/>
      <c r="L49" s="55"/>
    </row>
    <row r="50" spans="1:12" x14ac:dyDescent="0.3">
      <c r="A50" s="72" t="s">
        <v>112</v>
      </c>
      <c r="B50" s="67" t="s">
        <v>22</v>
      </c>
      <c r="C50" s="67"/>
      <c r="D50" s="67"/>
      <c r="E50" s="67"/>
      <c r="F50" s="68"/>
      <c r="G50" s="74"/>
      <c r="H50" s="74"/>
      <c r="I50" s="38"/>
      <c r="J50" s="55"/>
      <c r="K50" s="55"/>
      <c r="L50" s="55"/>
    </row>
    <row r="51" spans="1:12" x14ac:dyDescent="0.3">
      <c r="A51" s="83" t="s">
        <v>28</v>
      </c>
      <c r="B51" s="84"/>
      <c r="C51" s="84"/>
      <c r="D51" s="84"/>
      <c r="E51" s="84"/>
      <c r="F51" s="117">
        <f>SUM(F24:H50)</f>
        <v>11135.45</v>
      </c>
      <c r="G51" s="117"/>
      <c r="H51" s="117"/>
      <c r="I51" s="78">
        <f>SUM(I24:I50)</f>
        <v>1336956.0175000001</v>
      </c>
      <c r="J51" s="55"/>
      <c r="K51" s="106">
        <f>F51/Responses!E10</f>
        <v>96.830000000000013</v>
      </c>
      <c r="L51" s="55" t="s">
        <v>166</v>
      </c>
    </row>
    <row r="52" spans="1:12" ht="15" x14ac:dyDescent="0.3">
      <c r="A52" s="85" t="s">
        <v>142</v>
      </c>
      <c r="B52" s="86"/>
      <c r="C52" s="86"/>
      <c r="D52" s="86"/>
      <c r="E52" s="86"/>
      <c r="F52" s="110">
        <f>ROUND(F23+F51,-2)</f>
        <v>23300</v>
      </c>
      <c r="G52" s="110"/>
      <c r="H52" s="110"/>
      <c r="I52" s="87">
        <f>ROUND(I51+I23,-4)</f>
        <v>2800000</v>
      </c>
      <c r="J52" s="55"/>
      <c r="K52" s="55"/>
      <c r="L52" s="55"/>
    </row>
    <row r="53" spans="1:12" ht="15" x14ac:dyDescent="0.3">
      <c r="A53" s="85" t="s">
        <v>143</v>
      </c>
      <c r="B53" s="86"/>
      <c r="C53" s="86"/>
      <c r="D53" s="86"/>
      <c r="E53" s="86"/>
      <c r="F53" s="88"/>
      <c r="G53" s="88"/>
      <c r="H53" s="88"/>
      <c r="I53" s="87">
        <f>ROUND('Capital O&amp;M'!G10, -4)</f>
        <v>2280000</v>
      </c>
      <c r="J53" s="55"/>
      <c r="K53" s="55"/>
      <c r="L53" s="55"/>
    </row>
    <row r="54" spans="1:12" ht="15" x14ac:dyDescent="0.3">
      <c r="A54" s="85" t="s">
        <v>144</v>
      </c>
      <c r="B54" s="86"/>
      <c r="C54" s="86"/>
      <c r="D54" s="86"/>
      <c r="E54" s="86"/>
      <c r="F54" s="88"/>
      <c r="G54" s="88"/>
      <c r="H54" s="88"/>
      <c r="I54" s="87">
        <f>ROUND(I52+I53,-4)</f>
        <v>5080000</v>
      </c>
      <c r="J54" s="55"/>
      <c r="K54" s="55"/>
      <c r="L54" s="55"/>
    </row>
    <row r="55" spans="1:12" x14ac:dyDescent="0.3">
      <c r="A55" s="89"/>
      <c r="B55" s="55"/>
      <c r="C55" s="55"/>
      <c r="D55" s="55"/>
      <c r="E55" s="55"/>
      <c r="F55" s="55"/>
      <c r="G55" s="55"/>
      <c r="H55" s="55"/>
      <c r="I55" s="55"/>
      <c r="J55" s="55"/>
      <c r="K55" s="55"/>
      <c r="L55" s="55"/>
    </row>
    <row r="56" spans="1:12" x14ac:dyDescent="0.3">
      <c r="A56" s="90" t="s">
        <v>24</v>
      </c>
      <c r="B56" s="55"/>
      <c r="C56" s="55"/>
      <c r="D56" s="55"/>
      <c r="E56" s="55"/>
      <c r="F56" s="55"/>
      <c r="G56" s="55"/>
      <c r="H56" s="55"/>
      <c r="I56" s="55"/>
      <c r="J56" s="55"/>
      <c r="K56" s="55"/>
      <c r="L56" s="55"/>
    </row>
    <row r="57" spans="1:12" ht="21" customHeight="1" x14ac:dyDescent="0.3">
      <c r="A57" s="109" t="s">
        <v>145</v>
      </c>
      <c r="B57" s="109"/>
      <c r="C57" s="109"/>
      <c r="D57" s="109"/>
      <c r="E57" s="109"/>
      <c r="F57" s="109"/>
      <c r="G57" s="109"/>
      <c r="H57" s="109"/>
      <c r="I57" s="109"/>
      <c r="J57" s="91"/>
      <c r="K57" s="55"/>
      <c r="L57" s="55"/>
    </row>
    <row r="58" spans="1:12" ht="57" customHeight="1" x14ac:dyDescent="0.3">
      <c r="A58" s="111" t="s">
        <v>168</v>
      </c>
      <c r="B58" s="111"/>
      <c r="C58" s="111"/>
      <c r="D58" s="111"/>
      <c r="E58" s="111"/>
      <c r="F58" s="111"/>
      <c r="G58" s="111"/>
      <c r="H58" s="111"/>
      <c r="I58" s="111"/>
      <c r="J58" s="91"/>
      <c r="K58" s="97"/>
      <c r="L58" s="55"/>
    </row>
    <row r="59" spans="1:12" ht="17.25" customHeight="1" x14ac:dyDescent="0.3">
      <c r="A59" s="108" t="s">
        <v>146</v>
      </c>
      <c r="B59" s="108"/>
      <c r="C59" s="108"/>
      <c r="D59" s="108"/>
      <c r="E59" s="108"/>
      <c r="F59" s="108"/>
      <c r="G59" s="108"/>
      <c r="H59" s="108"/>
      <c r="I59" s="108"/>
    </row>
    <row r="60" spans="1:12" ht="17.25" customHeight="1" x14ac:dyDescent="0.3">
      <c r="A60" s="108" t="s">
        <v>147</v>
      </c>
      <c r="B60" s="108"/>
      <c r="C60" s="108"/>
      <c r="D60" s="108"/>
      <c r="E60" s="108"/>
      <c r="F60" s="108"/>
      <c r="G60" s="108"/>
      <c r="H60" s="108"/>
      <c r="I60" s="108"/>
    </row>
    <row r="61" spans="1:12" ht="30.75" customHeight="1" x14ac:dyDescent="0.3">
      <c r="A61" s="109" t="s">
        <v>148</v>
      </c>
      <c r="B61" s="109"/>
      <c r="C61" s="109"/>
      <c r="D61" s="109"/>
      <c r="E61" s="109"/>
      <c r="F61" s="109"/>
      <c r="G61" s="109"/>
      <c r="H61" s="109"/>
      <c r="I61" s="109"/>
    </row>
    <row r="62" spans="1:12" ht="17.25" customHeight="1" x14ac:dyDescent="0.3">
      <c r="A62" s="108" t="s">
        <v>149</v>
      </c>
      <c r="B62" s="108"/>
      <c r="C62" s="108"/>
      <c r="D62" s="108"/>
      <c r="E62" s="108"/>
      <c r="F62" s="108"/>
      <c r="G62" s="108"/>
      <c r="H62" s="108"/>
      <c r="I62" s="108"/>
    </row>
    <row r="63" spans="1:12" ht="17.25" customHeight="1" x14ac:dyDescent="0.3">
      <c r="A63" s="108" t="s">
        <v>150</v>
      </c>
      <c r="B63" s="108"/>
      <c r="C63" s="108"/>
      <c r="D63" s="108"/>
      <c r="E63" s="108"/>
      <c r="F63" s="108"/>
      <c r="G63" s="108"/>
      <c r="H63" s="108"/>
      <c r="I63" s="108"/>
    </row>
    <row r="64" spans="1:12" ht="31.5" customHeight="1" x14ac:dyDescent="0.3">
      <c r="A64" s="109" t="s">
        <v>151</v>
      </c>
      <c r="B64" s="109"/>
      <c r="C64" s="109"/>
      <c r="D64" s="109"/>
      <c r="E64" s="109"/>
      <c r="F64" s="109"/>
      <c r="G64" s="109"/>
      <c r="H64" s="109"/>
      <c r="I64" s="109"/>
    </row>
    <row r="65" spans="1:9" ht="17.25" customHeight="1" x14ac:dyDescent="0.3">
      <c r="A65" s="108" t="s">
        <v>152</v>
      </c>
      <c r="B65" s="108"/>
      <c r="C65" s="108"/>
      <c r="D65" s="108"/>
      <c r="E65" s="108"/>
      <c r="F65" s="108"/>
      <c r="G65" s="108"/>
      <c r="H65" s="108"/>
      <c r="I65" s="108"/>
    </row>
    <row r="66" spans="1:9" ht="17.25" customHeight="1" x14ac:dyDescent="0.3">
      <c r="A66" s="108" t="s">
        <v>153</v>
      </c>
      <c r="B66" s="108"/>
      <c r="C66" s="108"/>
      <c r="D66" s="108"/>
      <c r="E66" s="108"/>
      <c r="F66" s="108"/>
      <c r="G66" s="108"/>
      <c r="H66" s="108"/>
      <c r="I66" s="108"/>
    </row>
  </sheetData>
  <mergeCells count="16">
    <mergeCell ref="F52:H52"/>
    <mergeCell ref="A57:I57"/>
    <mergeCell ref="A58:I58"/>
    <mergeCell ref="K6:L6"/>
    <mergeCell ref="A1:I1"/>
    <mergeCell ref="A3:A5"/>
    <mergeCell ref="F23:H23"/>
    <mergeCell ref="F51:H51"/>
    <mergeCell ref="A65:I65"/>
    <mergeCell ref="A66:I66"/>
    <mergeCell ref="A59:I59"/>
    <mergeCell ref="A60:I60"/>
    <mergeCell ref="A61:I61"/>
    <mergeCell ref="A62:I62"/>
    <mergeCell ref="A63:I63"/>
    <mergeCell ref="A64:I6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234C-CFDB-45F6-8394-8564F7F247CD}">
  <dimension ref="A1:L30"/>
  <sheetViews>
    <sheetView topLeftCell="A16" zoomScale="115" zoomScaleNormal="115" workbookViewId="0">
      <selection activeCell="I7" sqref="I7"/>
    </sheetView>
  </sheetViews>
  <sheetFormatPr defaultColWidth="9.26953125" defaultRowHeight="13" x14ac:dyDescent="0.3"/>
  <cols>
    <col min="1" max="1" width="39.54296875" style="2" customWidth="1"/>
    <col min="2" max="2" width="10.453125" style="2" customWidth="1"/>
    <col min="3" max="3" width="10.54296875" style="2" customWidth="1"/>
    <col min="4" max="4" width="10.7265625" style="2" customWidth="1"/>
    <col min="5" max="5" width="11.26953125" style="2" customWidth="1"/>
    <col min="6" max="6" width="10" style="2" customWidth="1"/>
    <col min="7" max="7" width="11.26953125" style="2" customWidth="1"/>
    <col min="8" max="8" width="9.26953125" style="2"/>
    <col min="9" max="9" width="11.54296875" style="2" customWidth="1"/>
    <col min="10" max="10" width="5.26953125" style="2" customWidth="1"/>
    <col min="11" max="11" width="12.26953125" style="2" customWidth="1"/>
    <col min="12" max="16384" width="9.26953125" style="2"/>
  </cols>
  <sheetData>
    <row r="1" spans="1:12" ht="33" customHeight="1" x14ac:dyDescent="0.3">
      <c r="A1" s="121" t="s">
        <v>70</v>
      </c>
      <c r="B1" s="121"/>
      <c r="C1" s="121"/>
      <c r="D1" s="121"/>
      <c r="E1" s="121"/>
      <c r="F1" s="121"/>
      <c r="G1" s="121"/>
      <c r="H1" s="121"/>
      <c r="I1" s="121"/>
    </row>
    <row r="2" spans="1:12" ht="14" x14ac:dyDescent="0.3">
      <c r="A2" s="29"/>
      <c r="B2" s="29"/>
      <c r="C2" s="29"/>
      <c r="D2" s="29"/>
      <c r="E2" s="29"/>
      <c r="F2" s="29"/>
      <c r="G2" s="29"/>
      <c r="H2" s="29"/>
      <c r="I2" s="29"/>
    </row>
    <row r="3" spans="1:12" x14ac:dyDescent="0.3">
      <c r="A3" s="123" t="s">
        <v>21</v>
      </c>
      <c r="B3" s="30" t="s">
        <v>33</v>
      </c>
      <c r="C3" s="30" t="s">
        <v>34</v>
      </c>
      <c r="D3" s="30" t="s">
        <v>35</v>
      </c>
      <c r="E3" s="30" t="s">
        <v>36</v>
      </c>
      <c r="F3" s="30" t="s">
        <v>37</v>
      </c>
      <c r="G3" s="30" t="s">
        <v>38</v>
      </c>
      <c r="H3" s="30" t="s">
        <v>39</v>
      </c>
      <c r="I3" s="30" t="s">
        <v>43</v>
      </c>
    </row>
    <row r="4" spans="1:12" ht="65" x14ac:dyDescent="0.3">
      <c r="A4" s="123"/>
      <c r="B4" s="30" t="s">
        <v>44</v>
      </c>
      <c r="C4" s="30" t="s">
        <v>40</v>
      </c>
      <c r="D4" s="30" t="s">
        <v>45</v>
      </c>
      <c r="E4" s="30" t="s">
        <v>67</v>
      </c>
      <c r="F4" s="30" t="s">
        <v>46</v>
      </c>
      <c r="G4" s="30" t="s">
        <v>41</v>
      </c>
      <c r="H4" s="30" t="s">
        <v>42</v>
      </c>
      <c r="I4" s="30" t="s">
        <v>68</v>
      </c>
    </row>
    <row r="5" spans="1:12" x14ac:dyDescent="0.3">
      <c r="A5" s="44" t="s">
        <v>71</v>
      </c>
      <c r="B5" s="45" t="s">
        <v>22</v>
      </c>
      <c r="C5" s="45"/>
      <c r="D5" s="42"/>
      <c r="E5" s="30"/>
      <c r="F5" s="30"/>
      <c r="G5" s="30"/>
      <c r="H5" s="30"/>
      <c r="I5" s="30"/>
    </row>
    <row r="6" spans="1:12" ht="15.5" x14ac:dyDescent="0.3">
      <c r="A6" s="44" t="s">
        <v>72</v>
      </c>
      <c r="B6" s="45">
        <v>20</v>
      </c>
      <c r="C6" s="45">
        <v>1</v>
      </c>
      <c r="D6" s="47">
        <f>B6*C6</f>
        <v>20</v>
      </c>
      <c r="E6" s="9">
        <f>'Table 1'!E12</f>
        <v>1</v>
      </c>
      <c r="F6" s="31">
        <f t="shared" ref="F6" si="0">D6*E6</f>
        <v>20</v>
      </c>
      <c r="G6" s="31">
        <f t="shared" ref="G6" si="1">F6*0.05</f>
        <v>1</v>
      </c>
      <c r="H6" s="31">
        <f t="shared" ref="H6" si="2">F6*0.1</f>
        <v>2</v>
      </c>
      <c r="I6" s="50">
        <f>$L$10*F6+$L$9*G6+$L$11*H6</f>
        <v>1174.6399999999999</v>
      </c>
    </row>
    <row r="7" spans="1:12" x14ac:dyDescent="0.3">
      <c r="A7" s="44" t="s">
        <v>73</v>
      </c>
      <c r="B7" s="45"/>
      <c r="C7" s="45"/>
      <c r="D7" s="42"/>
      <c r="E7" s="9"/>
      <c r="F7" s="31"/>
      <c r="G7" s="31"/>
      <c r="H7" s="31"/>
      <c r="I7" s="32"/>
    </row>
    <row r="8" spans="1:12" x14ac:dyDescent="0.3">
      <c r="A8" s="46" t="s">
        <v>74</v>
      </c>
      <c r="B8" s="45" t="s">
        <v>22</v>
      </c>
      <c r="C8" s="45"/>
      <c r="D8" s="43"/>
      <c r="E8" s="9"/>
      <c r="F8" s="31"/>
      <c r="G8" s="31"/>
      <c r="H8" s="31"/>
      <c r="I8" s="32"/>
      <c r="K8" s="119" t="s">
        <v>29</v>
      </c>
      <c r="L8" s="120"/>
    </row>
    <row r="9" spans="1:12" x14ac:dyDescent="0.3">
      <c r="A9" s="46" t="s">
        <v>75</v>
      </c>
      <c r="B9" s="45" t="s">
        <v>22</v>
      </c>
      <c r="C9" s="45"/>
      <c r="D9" s="43"/>
      <c r="E9" s="9"/>
      <c r="F9" s="31"/>
      <c r="G9" s="31"/>
      <c r="H9" s="31"/>
      <c r="I9" s="32"/>
      <c r="K9" s="5" t="s">
        <v>30</v>
      </c>
      <c r="L9" s="6">
        <v>70.56</v>
      </c>
    </row>
    <row r="10" spans="1:12" x14ac:dyDescent="0.3">
      <c r="A10" s="46" t="s">
        <v>76</v>
      </c>
      <c r="B10" s="45" t="s">
        <v>22</v>
      </c>
      <c r="C10" s="45"/>
      <c r="D10" s="43"/>
      <c r="E10" s="9"/>
      <c r="F10" s="31"/>
      <c r="G10" s="31"/>
      <c r="H10" s="31"/>
      <c r="I10" s="32"/>
      <c r="K10" s="5" t="s">
        <v>31</v>
      </c>
      <c r="L10" s="6">
        <v>52.37</v>
      </c>
    </row>
    <row r="11" spans="1:12" x14ac:dyDescent="0.3">
      <c r="A11" s="46" t="s">
        <v>77</v>
      </c>
      <c r="B11" s="45" t="s">
        <v>22</v>
      </c>
      <c r="C11" s="45"/>
      <c r="D11" s="43"/>
      <c r="E11" s="9"/>
      <c r="F11" s="31"/>
      <c r="G11" s="31"/>
      <c r="H11" s="31"/>
      <c r="I11" s="32"/>
      <c r="K11" s="5" t="s">
        <v>32</v>
      </c>
      <c r="L11" s="6">
        <v>28.34</v>
      </c>
    </row>
    <row r="12" spans="1:12" x14ac:dyDescent="0.3">
      <c r="A12" s="46" t="s">
        <v>78</v>
      </c>
      <c r="B12" s="45" t="s">
        <v>22</v>
      </c>
      <c r="C12" s="45"/>
      <c r="D12" s="43"/>
      <c r="E12" s="9"/>
      <c r="F12" s="31"/>
      <c r="G12" s="31"/>
      <c r="H12" s="31"/>
      <c r="I12" s="32"/>
    </row>
    <row r="13" spans="1:12" ht="28.5" x14ac:dyDescent="0.3">
      <c r="A13" s="51" t="s">
        <v>128</v>
      </c>
      <c r="B13" s="45">
        <v>4</v>
      </c>
      <c r="C13" s="45">
        <v>1</v>
      </c>
      <c r="D13" s="47">
        <f>B13*C13</f>
        <v>4</v>
      </c>
      <c r="E13" s="9">
        <f>E6</f>
        <v>1</v>
      </c>
      <c r="F13" s="31">
        <f t="shared" ref="F13:F21" si="3">D13*E13</f>
        <v>4</v>
      </c>
      <c r="G13" s="31">
        <f t="shared" ref="G13:G21" si="4">F13*0.05</f>
        <v>0.2</v>
      </c>
      <c r="H13" s="31">
        <f t="shared" ref="H13:H21" si="5">F13*0.1</f>
        <v>0.4</v>
      </c>
      <c r="I13" s="50">
        <f t="shared" ref="I13:I20" si="6">$L$10*F13+$L$9*G13+$L$11*H13</f>
        <v>234.928</v>
      </c>
    </row>
    <row r="14" spans="1:12" x14ac:dyDescent="0.3">
      <c r="A14" s="46" t="s">
        <v>79</v>
      </c>
      <c r="B14" s="45" t="s">
        <v>22</v>
      </c>
      <c r="C14" s="45"/>
      <c r="D14" s="43"/>
      <c r="E14" s="9"/>
      <c r="F14" s="31"/>
      <c r="G14" s="31"/>
      <c r="H14" s="31"/>
      <c r="I14" s="32"/>
    </row>
    <row r="15" spans="1:12" x14ac:dyDescent="0.3">
      <c r="A15" s="46" t="s">
        <v>80</v>
      </c>
      <c r="B15" s="45" t="s">
        <v>22</v>
      </c>
      <c r="C15" s="45"/>
      <c r="D15" s="43"/>
      <c r="E15" s="9"/>
      <c r="F15" s="31"/>
      <c r="G15" s="31"/>
      <c r="H15" s="31"/>
      <c r="I15" s="32"/>
    </row>
    <row r="16" spans="1:12" x14ac:dyDescent="0.3">
      <c r="A16" s="46" t="s">
        <v>81</v>
      </c>
      <c r="B16" s="45" t="s">
        <v>22</v>
      </c>
      <c r="C16" s="45"/>
      <c r="D16" s="43"/>
      <c r="E16" s="9"/>
      <c r="F16" s="31"/>
      <c r="G16" s="31"/>
      <c r="H16" s="31"/>
      <c r="I16" s="32"/>
    </row>
    <row r="17" spans="1:10" x14ac:dyDescent="0.3">
      <c r="A17" s="46" t="s">
        <v>82</v>
      </c>
      <c r="B17" s="45" t="s">
        <v>22</v>
      </c>
      <c r="C17" s="45"/>
      <c r="D17" s="43"/>
      <c r="E17" s="9"/>
      <c r="F17" s="31"/>
      <c r="G17" s="31"/>
      <c r="H17" s="31"/>
      <c r="I17" s="32"/>
    </row>
    <row r="18" spans="1:10" x14ac:dyDescent="0.3">
      <c r="A18" s="46" t="s">
        <v>83</v>
      </c>
      <c r="B18" s="45" t="s">
        <v>22</v>
      </c>
      <c r="C18" s="45"/>
      <c r="D18" s="43"/>
      <c r="E18" s="9"/>
      <c r="F18" s="31"/>
      <c r="G18" s="31"/>
      <c r="H18" s="31"/>
      <c r="I18" s="32"/>
    </row>
    <row r="19" spans="1:10" ht="15.5" x14ac:dyDescent="0.3">
      <c r="A19" s="46" t="s">
        <v>84</v>
      </c>
      <c r="B19" s="45">
        <v>4</v>
      </c>
      <c r="C19" s="45">
        <v>2</v>
      </c>
      <c r="D19" s="47">
        <f t="shared" ref="D19:D21" si="7">B19*C19</f>
        <v>8</v>
      </c>
      <c r="E19" s="9">
        <f>'Table 1'!E21</f>
        <v>19</v>
      </c>
      <c r="F19" s="31">
        <f t="shared" si="3"/>
        <v>152</v>
      </c>
      <c r="G19" s="31">
        <f t="shared" si="4"/>
        <v>7.6000000000000005</v>
      </c>
      <c r="H19" s="31">
        <f t="shared" si="5"/>
        <v>15.200000000000001</v>
      </c>
      <c r="I19" s="50">
        <f t="shared" si="6"/>
        <v>8927.2639999999992</v>
      </c>
    </row>
    <row r="20" spans="1:10" x14ac:dyDescent="0.3">
      <c r="A20" s="46" t="s">
        <v>85</v>
      </c>
      <c r="B20" s="45">
        <v>2</v>
      </c>
      <c r="C20" s="45">
        <v>2</v>
      </c>
      <c r="D20" s="47">
        <f t="shared" si="7"/>
        <v>4</v>
      </c>
      <c r="E20" s="9">
        <f>'Table 1'!E18</f>
        <v>19</v>
      </c>
      <c r="F20" s="31">
        <f t="shared" si="3"/>
        <v>76</v>
      </c>
      <c r="G20" s="31">
        <f t="shared" si="4"/>
        <v>3.8000000000000003</v>
      </c>
      <c r="H20" s="31">
        <f t="shared" si="5"/>
        <v>7.6000000000000005</v>
      </c>
      <c r="I20" s="50">
        <f t="shared" si="6"/>
        <v>4463.6319999999996</v>
      </c>
    </row>
    <row r="21" spans="1:10" x14ac:dyDescent="0.3">
      <c r="A21" s="46" t="s">
        <v>86</v>
      </c>
      <c r="B21" s="45">
        <v>2</v>
      </c>
      <c r="C21" s="45">
        <v>2</v>
      </c>
      <c r="D21" s="47">
        <f t="shared" si="7"/>
        <v>4</v>
      </c>
      <c r="E21" s="9">
        <f>'Table 1'!E20</f>
        <v>19</v>
      </c>
      <c r="F21" s="31">
        <f t="shared" si="3"/>
        <v>76</v>
      </c>
      <c r="G21" s="31">
        <f t="shared" si="4"/>
        <v>3.8000000000000003</v>
      </c>
      <c r="H21" s="31">
        <f t="shared" si="5"/>
        <v>7.6000000000000005</v>
      </c>
      <c r="I21" s="50">
        <f>$L$10*F21+$L$9*G21+$L$11*H21</f>
        <v>4463.6319999999996</v>
      </c>
    </row>
    <row r="22" spans="1:10" ht="15" x14ac:dyDescent="0.3">
      <c r="A22" s="33" t="s">
        <v>69</v>
      </c>
      <c r="B22" s="34"/>
      <c r="C22" s="34"/>
      <c r="D22" s="35"/>
      <c r="E22" s="36"/>
      <c r="F22" s="122">
        <f>ROUND(SUM(F5:H21),0)</f>
        <v>377</v>
      </c>
      <c r="G22" s="122"/>
      <c r="H22" s="122"/>
      <c r="I22" s="37">
        <f>ROUND(SUM(I5:I21),-2)</f>
        <v>19300</v>
      </c>
    </row>
    <row r="24" spans="1:10" x14ac:dyDescent="0.3">
      <c r="A24" s="3" t="s">
        <v>24</v>
      </c>
    </row>
    <row r="25" spans="1:10" ht="19.149999999999999" customHeight="1" x14ac:dyDescent="0.3">
      <c r="A25" s="124" t="s">
        <v>87</v>
      </c>
      <c r="B25" s="124"/>
      <c r="C25" s="124"/>
      <c r="D25" s="124"/>
      <c r="E25" s="124"/>
      <c r="F25" s="124"/>
      <c r="G25" s="124"/>
      <c r="H25" s="124"/>
      <c r="I25" s="124"/>
      <c r="J25" s="48"/>
    </row>
    <row r="26" spans="1:10" ht="44.25" customHeight="1" x14ac:dyDescent="0.3">
      <c r="A26" s="125" t="s">
        <v>160</v>
      </c>
      <c r="B26" s="125"/>
      <c r="C26" s="125"/>
      <c r="D26" s="125"/>
      <c r="E26" s="125"/>
      <c r="F26" s="125"/>
      <c r="G26" s="125"/>
      <c r="H26" s="125"/>
      <c r="I26" s="125"/>
      <c r="J26" s="48"/>
    </row>
    <row r="27" spans="1:10" ht="19.5" customHeight="1" x14ac:dyDescent="0.3">
      <c r="A27" s="118" t="s">
        <v>125</v>
      </c>
      <c r="B27" s="118"/>
      <c r="C27" s="118"/>
      <c r="D27" s="118"/>
      <c r="E27" s="118"/>
      <c r="F27" s="118"/>
      <c r="G27" s="118"/>
      <c r="H27" s="118"/>
      <c r="I27" s="118"/>
    </row>
    <row r="28" spans="1:10" ht="15.5" x14ac:dyDescent="0.3">
      <c r="A28" s="118" t="s">
        <v>126</v>
      </c>
      <c r="B28" s="118"/>
      <c r="C28" s="118"/>
      <c r="D28" s="118"/>
      <c r="E28" s="118"/>
      <c r="F28" s="118"/>
      <c r="G28" s="118"/>
      <c r="H28" s="118"/>
      <c r="I28" s="118"/>
    </row>
    <row r="29" spans="1:10" ht="17.5" customHeight="1" x14ac:dyDescent="0.3">
      <c r="A29" s="118" t="s">
        <v>127</v>
      </c>
      <c r="B29" s="118"/>
      <c r="C29" s="118"/>
      <c r="D29" s="118"/>
      <c r="E29" s="118"/>
      <c r="F29" s="118"/>
      <c r="G29" s="118"/>
      <c r="H29" s="118"/>
      <c r="I29" s="118"/>
    </row>
    <row r="30" spans="1:10" ht="17.25" customHeight="1" x14ac:dyDescent="0.3">
      <c r="A30" s="118" t="s">
        <v>88</v>
      </c>
      <c r="B30" s="118"/>
      <c r="C30" s="118"/>
      <c r="D30" s="118"/>
      <c r="E30" s="118"/>
      <c r="F30" s="118"/>
      <c r="G30" s="118"/>
      <c r="H30" s="118"/>
      <c r="I30" s="118"/>
    </row>
  </sheetData>
  <mergeCells count="10">
    <mergeCell ref="A1:I1"/>
    <mergeCell ref="F22:H22"/>
    <mergeCell ref="A3:A4"/>
    <mergeCell ref="A25:I25"/>
    <mergeCell ref="A26:I26"/>
    <mergeCell ref="A27:I27"/>
    <mergeCell ref="A28:I28"/>
    <mergeCell ref="A29:I29"/>
    <mergeCell ref="A30:I30"/>
    <mergeCell ref="K8:L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A5E79-3AFE-44CF-A90F-6AA080CF54F0}">
  <dimension ref="A1:I52"/>
  <sheetViews>
    <sheetView workbookViewId="0">
      <selection activeCell="I11" sqref="I11"/>
    </sheetView>
  </sheetViews>
  <sheetFormatPr defaultColWidth="9.26953125" defaultRowHeight="14.5" x14ac:dyDescent="0.35"/>
  <cols>
    <col min="1" max="1" width="38.54296875" style="12" customWidth="1"/>
    <col min="2" max="2" width="13.54296875" style="12" customWidth="1"/>
    <col min="3" max="3" width="11.54296875" style="12" customWidth="1"/>
    <col min="4" max="4" width="17.26953125" style="12" customWidth="1"/>
    <col min="5" max="5" width="15.26953125" style="12" customWidth="1"/>
    <col min="6" max="6" width="11.7265625" style="12" customWidth="1"/>
    <col min="7" max="7" width="12.54296875" style="12" customWidth="1"/>
    <col min="8" max="8" width="9.26953125" style="12"/>
    <col min="9" max="9" width="18" style="12" customWidth="1"/>
    <col min="10" max="16384" width="9.26953125" style="12"/>
  </cols>
  <sheetData>
    <row r="1" spans="1:9" ht="15.5" x14ac:dyDescent="0.35">
      <c r="A1" s="20"/>
      <c r="F1" s="10"/>
      <c r="G1" s="10"/>
      <c r="H1" s="10"/>
      <c r="I1" s="13"/>
    </row>
    <row r="2" spans="1:9" ht="15" x14ac:dyDescent="0.35">
      <c r="A2" s="129" t="s">
        <v>47</v>
      </c>
      <c r="B2" s="129"/>
      <c r="C2" s="129"/>
      <c r="D2" s="129"/>
      <c r="E2" s="129"/>
      <c r="F2" s="129"/>
      <c r="G2" s="129"/>
      <c r="H2" s="10"/>
      <c r="I2" s="13"/>
    </row>
    <row r="3" spans="1:9" x14ac:dyDescent="0.35">
      <c r="A3" s="9" t="s">
        <v>0</v>
      </c>
      <c r="B3" s="9" t="s">
        <v>2</v>
      </c>
      <c r="C3" s="9" t="s">
        <v>4</v>
      </c>
      <c r="D3" s="9" t="s">
        <v>6</v>
      </c>
      <c r="E3" s="9" t="s">
        <v>7</v>
      </c>
      <c r="F3" s="9" t="s">
        <v>18</v>
      </c>
      <c r="G3" s="9" t="s">
        <v>20</v>
      </c>
      <c r="I3" s="14"/>
    </row>
    <row r="4" spans="1:9" ht="41.5" x14ac:dyDescent="0.35">
      <c r="A4" s="1" t="s">
        <v>15</v>
      </c>
      <c r="B4" s="102" t="s">
        <v>170</v>
      </c>
      <c r="C4" s="9" t="s">
        <v>16</v>
      </c>
      <c r="D4" s="9" t="s">
        <v>17</v>
      </c>
      <c r="E4" s="102" t="s">
        <v>171</v>
      </c>
      <c r="F4" s="9" t="s">
        <v>19</v>
      </c>
      <c r="G4" s="9" t="s">
        <v>66</v>
      </c>
      <c r="I4" s="11"/>
    </row>
    <row r="5" spans="1:9" x14ac:dyDescent="0.35">
      <c r="A5" s="1" t="s">
        <v>113</v>
      </c>
      <c r="B5" s="49">
        <f>1000*(596.2/576.1)</f>
        <v>1034.8897760805417</v>
      </c>
      <c r="C5" s="9">
        <v>0</v>
      </c>
      <c r="D5" s="103">
        <f>B5*C5</f>
        <v>0</v>
      </c>
      <c r="E5" s="49">
        <f>300*(596.2/576.1)</f>
        <v>310.46693282416248</v>
      </c>
      <c r="F5" s="9">
        <v>19</v>
      </c>
      <c r="G5" s="103">
        <f>E5*F5</f>
        <v>5898.8717236590874</v>
      </c>
      <c r="H5" s="99"/>
      <c r="I5" s="13"/>
    </row>
    <row r="6" spans="1:9" x14ac:dyDescent="0.35">
      <c r="A6" s="1" t="s">
        <v>114</v>
      </c>
      <c r="B6" s="49">
        <f>500*(596.2/576.1)</f>
        <v>517.44488804027083</v>
      </c>
      <c r="C6" s="9">
        <v>0</v>
      </c>
      <c r="D6" s="103">
        <f t="shared" ref="D6:D9" si="0">B6*C6</f>
        <v>0</v>
      </c>
      <c r="E6" s="49">
        <f>100*(596.2/576.1)</f>
        <v>103.48897760805416</v>
      </c>
      <c r="F6" s="9">
        <v>19</v>
      </c>
      <c r="G6" s="103">
        <f t="shared" ref="G6:G9" si="1">E6*F6</f>
        <v>1966.290574553029</v>
      </c>
      <c r="I6" s="11"/>
    </row>
    <row r="7" spans="1:9" x14ac:dyDescent="0.35">
      <c r="A7" s="1" t="s">
        <v>115</v>
      </c>
      <c r="B7" s="49">
        <f>0*(596.2/576.1)</f>
        <v>0</v>
      </c>
      <c r="C7" s="9">
        <v>0</v>
      </c>
      <c r="D7" s="103">
        <f t="shared" si="0"/>
        <v>0</v>
      </c>
      <c r="E7" s="49">
        <f>1505*(596.2/576.1)</f>
        <v>1557.5091130012152</v>
      </c>
      <c r="F7" s="9">
        <v>19</v>
      </c>
      <c r="G7" s="103">
        <f t="shared" si="1"/>
        <v>29592.673147023088</v>
      </c>
      <c r="I7" s="11"/>
    </row>
    <row r="8" spans="1:9" ht="15.5" x14ac:dyDescent="0.35">
      <c r="A8" s="1" t="s">
        <v>116</v>
      </c>
      <c r="B8" s="49">
        <f>2409500*(596.2/576.1)</f>
        <v>2493566.9154660651</v>
      </c>
      <c r="C8" s="9">
        <v>0</v>
      </c>
      <c r="D8" s="103">
        <f t="shared" si="0"/>
        <v>0</v>
      </c>
      <c r="E8" s="49">
        <f>1055850*(596.2/576.1)</f>
        <v>1092688.3700746398</v>
      </c>
      <c r="F8" s="9">
        <v>2</v>
      </c>
      <c r="G8" s="103">
        <f t="shared" si="1"/>
        <v>2185376.7401492796</v>
      </c>
      <c r="I8" s="11"/>
    </row>
    <row r="9" spans="1:9" x14ac:dyDescent="0.35">
      <c r="A9" s="1" t="s">
        <v>117</v>
      </c>
      <c r="B9" s="49">
        <f>21919*(596.2/576.1)</f>
        <v>22683.749001909389</v>
      </c>
      <c r="C9" s="9">
        <v>0</v>
      </c>
      <c r="D9" s="103">
        <f t="shared" si="0"/>
        <v>0</v>
      </c>
      <c r="E9" s="49">
        <f>3121*(596.2/576.1)</f>
        <v>3229.8909911473702</v>
      </c>
      <c r="F9" s="9">
        <v>19</v>
      </c>
      <c r="G9" s="103">
        <f t="shared" si="1"/>
        <v>61367.928831800033</v>
      </c>
      <c r="I9" s="11"/>
    </row>
    <row r="10" spans="1:9" ht="15" x14ac:dyDescent="0.35">
      <c r="A10" s="4" t="s">
        <v>118</v>
      </c>
      <c r="B10" s="9"/>
      <c r="C10" s="9"/>
      <c r="D10" s="104">
        <f>SUM(D5:D9)</f>
        <v>0</v>
      </c>
      <c r="E10" s="9"/>
      <c r="F10" s="9"/>
      <c r="G10" s="104">
        <f>ROUND(SUM(G5:G9), -4)</f>
        <v>2280000</v>
      </c>
      <c r="I10" s="11"/>
    </row>
    <row r="11" spans="1:9" ht="115.5" customHeight="1" x14ac:dyDescent="0.35">
      <c r="A11" s="127" t="s">
        <v>167</v>
      </c>
      <c r="B11" s="127"/>
      <c r="C11" s="127"/>
      <c r="D11" s="127"/>
      <c r="E11" s="127"/>
      <c r="F11" s="127"/>
      <c r="G11" s="127"/>
      <c r="H11" s="99"/>
      <c r="I11" s="14"/>
    </row>
    <row r="12" spans="1:9" ht="15.5" x14ac:dyDescent="0.35">
      <c r="A12" s="128" t="s">
        <v>119</v>
      </c>
      <c r="B12" s="128"/>
      <c r="C12" s="128"/>
      <c r="D12" s="128"/>
      <c r="E12" s="128"/>
      <c r="F12" s="128"/>
      <c r="G12" s="128"/>
      <c r="I12" s="14"/>
    </row>
    <row r="13" spans="1:9" x14ac:dyDescent="0.35">
      <c r="A13" s="126" t="s">
        <v>169</v>
      </c>
      <c r="B13" s="126"/>
      <c r="C13" s="126"/>
      <c r="D13" s="126"/>
      <c r="E13" s="126"/>
      <c r="F13" s="126"/>
      <c r="G13" s="126"/>
      <c r="H13" s="10"/>
      <c r="I13" s="13"/>
    </row>
    <row r="14" spans="1:9" x14ac:dyDescent="0.35">
      <c r="G14" s="10"/>
      <c r="H14" s="10"/>
      <c r="I14" s="13"/>
    </row>
    <row r="15" spans="1:9" x14ac:dyDescent="0.35">
      <c r="G15" s="10"/>
      <c r="H15" s="10"/>
      <c r="I15" s="11"/>
    </row>
    <row r="16" spans="1:9" x14ac:dyDescent="0.35">
      <c r="G16" s="10"/>
      <c r="H16" s="10"/>
      <c r="I16" s="13"/>
    </row>
    <row r="17" spans="1:9" x14ac:dyDescent="0.35">
      <c r="G17" s="10"/>
      <c r="H17" s="10"/>
      <c r="I17" s="11"/>
    </row>
    <row r="18" spans="1:9" x14ac:dyDescent="0.35">
      <c r="G18" s="10"/>
      <c r="H18" s="10"/>
      <c r="I18" s="11"/>
    </row>
    <row r="19" spans="1:9" x14ac:dyDescent="0.35">
      <c r="G19" s="10"/>
      <c r="H19" s="10"/>
      <c r="I19" s="11"/>
    </row>
    <row r="20" spans="1:9" x14ac:dyDescent="0.35">
      <c r="G20" s="10"/>
      <c r="H20" s="10"/>
      <c r="I20" s="11"/>
    </row>
    <row r="21" spans="1:9" x14ac:dyDescent="0.35">
      <c r="G21" s="10"/>
      <c r="H21" s="10"/>
      <c r="I21" s="11"/>
    </row>
    <row r="22" spans="1:9" x14ac:dyDescent="0.35">
      <c r="G22" s="10"/>
      <c r="H22" s="10"/>
      <c r="I22" s="11"/>
    </row>
    <row r="23" spans="1:9" x14ac:dyDescent="0.35">
      <c r="G23" s="10"/>
      <c r="H23" s="10"/>
      <c r="I23" s="13"/>
    </row>
    <row r="24" spans="1:9" x14ac:dyDescent="0.35">
      <c r="A24" s="17"/>
      <c r="B24" s="10"/>
      <c r="C24" s="10"/>
      <c r="D24" s="10"/>
      <c r="E24" s="10"/>
      <c r="F24" s="10"/>
      <c r="G24" s="10"/>
      <c r="H24" s="10"/>
      <c r="I24" s="13"/>
    </row>
    <row r="25" spans="1:9" x14ac:dyDescent="0.35">
      <c r="A25" s="17"/>
      <c r="B25" s="10"/>
      <c r="C25" s="10"/>
      <c r="D25" s="10"/>
      <c r="E25" s="10"/>
      <c r="F25" s="18"/>
      <c r="G25" s="10"/>
      <c r="H25" s="10"/>
      <c r="I25" s="14"/>
    </row>
    <row r="26" spans="1:9" ht="15.5" x14ac:dyDescent="0.35">
      <c r="A26" s="16"/>
      <c r="H26" s="10"/>
      <c r="I26" s="14"/>
    </row>
    <row r="27" spans="1:9" x14ac:dyDescent="0.35">
      <c r="H27" s="10"/>
      <c r="I27" s="13"/>
    </row>
    <row r="28" spans="1:9" x14ac:dyDescent="0.35">
      <c r="H28" s="10"/>
      <c r="I28" s="11"/>
    </row>
    <row r="29" spans="1:9" x14ac:dyDescent="0.35">
      <c r="H29" s="10"/>
      <c r="I29" s="11"/>
    </row>
    <row r="30" spans="1:9" x14ac:dyDescent="0.35">
      <c r="H30" s="10"/>
      <c r="I30" s="14"/>
    </row>
    <row r="31" spans="1:9" x14ac:dyDescent="0.35">
      <c r="H31" s="10"/>
      <c r="I31" s="11"/>
    </row>
    <row r="32" spans="1:9" x14ac:dyDescent="0.35">
      <c r="H32" s="10"/>
      <c r="I32" s="13"/>
    </row>
    <row r="33" spans="1:9" x14ac:dyDescent="0.35">
      <c r="H33" s="10"/>
      <c r="I33" s="14"/>
    </row>
    <row r="34" spans="1:9" x14ac:dyDescent="0.35">
      <c r="H34" s="10"/>
      <c r="I34" s="13"/>
    </row>
    <row r="35" spans="1:9" x14ac:dyDescent="0.35">
      <c r="H35" s="28"/>
      <c r="I35" s="15"/>
    </row>
    <row r="36" spans="1:9" ht="106.5" customHeight="1" x14ac:dyDescent="0.35"/>
    <row r="37" spans="1:9" ht="20.25" customHeight="1" x14ac:dyDescent="0.35"/>
    <row r="38" spans="1:9" x14ac:dyDescent="0.35">
      <c r="H38" s="19"/>
      <c r="I38" s="15"/>
    </row>
    <row r="39" spans="1:9" ht="15.5" x14ac:dyDescent="0.35">
      <c r="A39" s="20"/>
    </row>
    <row r="40" spans="1:9" x14ac:dyDescent="0.35">
      <c r="A40" s="21"/>
    </row>
    <row r="41" spans="1:9" ht="15.5" x14ac:dyDescent="0.35">
      <c r="A41" s="22"/>
    </row>
    <row r="42" spans="1:9" ht="15.5" x14ac:dyDescent="0.35">
      <c r="A42" s="22"/>
    </row>
    <row r="43" spans="1:9" ht="15.5" x14ac:dyDescent="0.35">
      <c r="A43" s="22"/>
    </row>
    <row r="44" spans="1:9" ht="15.5" x14ac:dyDescent="0.35">
      <c r="A44" s="22"/>
    </row>
    <row r="45" spans="1:9" ht="15.5" x14ac:dyDescent="0.35">
      <c r="A45" s="22"/>
    </row>
    <row r="46" spans="1:9" ht="15.5" x14ac:dyDescent="0.35">
      <c r="A46" s="22"/>
    </row>
    <row r="47" spans="1:9" ht="15.5" x14ac:dyDescent="0.35">
      <c r="A47" s="22"/>
    </row>
    <row r="48" spans="1:9" ht="15.5" x14ac:dyDescent="0.35">
      <c r="A48" s="22"/>
    </row>
    <row r="49" spans="1:1" ht="15.5" x14ac:dyDescent="0.35">
      <c r="A49" s="22"/>
    </row>
    <row r="50" spans="1:1" ht="15.5" x14ac:dyDescent="0.35">
      <c r="A50" s="22"/>
    </row>
    <row r="51" spans="1:1" ht="15.5" x14ac:dyDescent="0.35">
      <c r="A51" s="22"/>
    </row>
    <row r="52" spans="1:1" ht="15.5" x14ac:dyDescent="0.35">
      <c r="A52" s="22"/>
    </row>
  </sheetData>
  <mergeCells count="4">
    <mergeCell ref="A13:G13"/>
    <mergeCell ref="A11:G11"/>
    <mergeCell ref="A12:G12"/>
    <mergeCell ref="A2:G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55BD-D9DA-46BD-AC61-0E2C0B656F68}">
  <dimension ref="A2:H11"/>
  <sheetViews>
    <sheetView workbookViewId="0">
      <selection activeCell="F4" sqref="F4"/>
    </sheetView>
  </sheetViews>
  <sheetFormatPr defaultRowHeight="14.5" x14ac:dyDescent="0.35"/>
  <cols>
    <col min="1" max="1" width="28.26953125" customWidth="1"/>
    <col min="2" max="2" width="11.26953125" customWidth="1"/>
    <col min="3" max="3" width="12.26953125" customWidth="1"/>
    <col min="4" max="4" width="11.81640625" customWidth="1"/>
    <col min="5" max="5" width="12.1796875" customWidth="1"/>
    <col min="7" max="7" width="10.7265625" customWidth="1"/>
  </cols>
  <sheetData>
    <row r="2" spans="1:8" ht="15" x14ac:dyDescent="0.35">
      <c r="A2" s="129" t="s">
        <v>57</v>
      </c>
      <c r="B2" s="129"/>
      <c r="C2" s="129"/>
      <c r="D2" s="129"/>
      <c r="E2" s="129"/>
      <c r="F2" s="10"/>
      <c r="G2" s="10"/>
      <c r="H2" s="10"/>
    </row>
    <row r="3" spans="1:8" x14ac:dyDescent="0.35">
      <c r="A3" s="23" t="s">
        <v>0</v>
      </c>
      <c r="B3" s="23" t="s">
        <v>2</v>
      </c>
      <c r="C3" s="23" t="s">
        <v>4</v>
      </c>
      <c r="D3" s="23" t="s">
        <v>6</v>
      </c>
      <c r="E3" s="23" t="s">
        <v>7</v>
      </c>
      <c r="F3" s="10"/>
      <c r="G3" s="10"/>
      <c r="H3" s="10"/>
    </row>
    <row r="4" spans="1:8" ht="80.5" x14ac:dyDescent="0.35">
      <c r="A4" s="23" t="s">
        <v>1</v>
      </c>
      <c r="B4" s="23" t="s">
        <v>3</v>
      </c>
      <c r="C4" s="23" t="s">
        <v>5</v>
      </c>
      <c r="D4" s="23" t="s">
        <v>59</v>
      </c>
      <c r="E4" s="23" t="s">
        <v>62</v>
      </c>
      <c r="F4" s="10"/>
      <c r="G4" s="10"/>
      <c r="H4" s="10"/>
    </row>
    <row r="5" spans="1:8" x14ac:dyDescent="0.35">
      <c r="A5" s="40" t="s">
        <v>120</v>
      </c>
      <c r="B5" s="41">
        <v>0</v>
      </c>
      <c r="C5" s="41">
        <v>1</v>
      </c>
      <c r="D5" s="41">
        <v>0</v>
      </c>
      <c r="E5" s="105">
        <f>B5*C5+D5</f>
        <v>0</v>
      </c>
      <c r="F5" s="101"/>
      <c r="G5" s="10"/>
      <c r="H5" s="10"/>
    </row>
    <row r="6" spans="1:8" x14ac:dyDescent="0.35">
      <c r="A6" s="40" t="s">
        <v>121</v>
      </c>
      <c r="B6" s="41">
        <v>1</v>
      </c>
      <c r="C6" s="41">
        <v>1</v>
      </c>
      <c r="D6" s="41">
        <v>0</v>
      </c>
      <c r="E6" s="105">
        <f t="shared" ref="E6:E9" si="0">B6*C6+D6</f>
        <v>1</v>
      </c>
      <c r="F6" s="10"/>
      <c r="G6" s="10"/>
      <c r="H6" s="10"/>
    </row>
    <row r="7" spans="1:8" x14ac:dyDescent="0.35">
      <c r="A7" s="40" t="s">
        <v>122</v>
      </c>
      <c r="B7" s="41">
        <v>19</v>
      </c>
      <c r="C7" s="41">
        <v>2</v>
      </c>
      <c r="D7" s="41">
        <v>0</v>
      </c>
      <c r="E7" s="105">
        <f t="shared" si="0"/>
        <v>38</v>
      </c>
      <c r="F7" s="10"/>
      <c r="G7" s="10"/>
      <c r="H7" s="10"/>
    </row>
    <row r="8" spans="1:8" x14ac:dyDescent="0.35">
      <c r="A8" s="40" t="s">
        <v>60</v>
      </c>
      <c r="B8" s="41">
        <v>19</v>
      </c>
      <c r="C8" s="41">
        <v>2</v>
      </c>
      <c r="D8" s="41">
        <v>0</v>
      </c>
      <c r="E8" s="105">
        <f t="shared" si="0"/>
        <v>38</v>
      </c>
      <c r="F8" s="10"/>
      <c r="G8" s="10"/>
      <c r="H8" s="10"/>
    </row>
    <row r="9" spans="1:8" x14ac:dyDescent="0.35">
      <c r="A9" s="40" t="s">
        <v>123</v>
      </c>
      <c r="B9" s="41">
        <v>19</v>
      </c>
      <c r="C9" s="41">
        <v>2</v>
      </c>
      <c r="D9" s="41">
        <v>0</v>
      </c>
      <c r="E9" s="105">
        <f t="shared" si="0"/>
        <v>38</v>
      </c>
      <c r="F9" s="10"/>
      <c r="G9" s="10"/>
      <c r="H9" s="18"/>
    </row>
    <row r="10" spans="1:8" x14ac:dyDescent="0.35">
      <c r="A10" s="24"/>
      <c r="B10" s="23"/>
      <c r="C10" s="23"/>
      <c r="D10" s="9" t="s">
        <v>61</v>
      </c>
      <c r="E10" s="7">
        <f>SUM(E5:E9)</f>
        <v>115</v>
      </c>
      <c r="F10" s="18"/>
      <c r="G10" s="10"/>
      <c r="H10" s="18"/>
    </row>
    <row r="11" spans="1:8" ht="15.5" x14ac:dyDescent="0.35">
      <c r="A11" s="52" t="s">
        <v>129</v>
      </c>
      <c r="B11" s="53"/>
      <c r="C11" s="53"/>
      <c r="D11" s="53"/>
      <c r="E11" s="53"/>
      <c r="F11" s="10"/>
      <c r="G11" s="10"/>
      <c r="H11" s="10"/>
    </row>
  </sheetData>
  <mergeCells count="1">
    <mergeCell ref="A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42DD2-9A6A-425D-8E51-DF46C0B49F17}">
  <dimension ref="A2:G11"/>
  <sheetViews>
    <sheetView workbookViewId="0">
      <selection activeCell="I5" sqref="I5"/>
    </sheetView>
  </sheetViews>
  <sheetFormatPr defaultRowHeight="14.5" x14ac:dyDescent="0.35"/>
  <cols>
    <col min="1" max="1" width="11.7265625" customWidth="1"/>
    <col min="2" max="2" width="12.453125" customWidth="1"/>
    <col min="3" max="3" width="12.26953125" customWidth="1"/>
    <col min="4" max="4" width="12.7265625" customWidth="1"/>
    <col min="5" max="5" width="11" customWidth="1"/>
    <col min="6" max="6" width="13.1796875" customWidth="1"/>
  </cols>
  <sheetData>
    <row r="2" spans="1:7" ht="15" x14ac:dyDescent="0.35">
      <c r="A2" s="129" t="s">
        <v>3</v>
      </c>
      <c r="B2" s="129"/>
      <c r="C2" s="129"/>
      <c r="D2" s="129"/>
      <c r="E2" s="129"/>
      <c r="F2" s="129"/>
    </row>
    <row r="3" spans="1:7" ht="34.5" x14ac:dyDescent="0.35">
      <c r="A3" s="26"/>
      <c r="B3" s="132" t="s">
        <v>8</v>
      </c>
      <c r="C3" s="132"/>
      <c r="D3" s="24" t="s">
        <v>9</v>
      </c>
      <c r="E3" s="133"/>
      <c r="F3" s="133"/>
    </row>
    <row r="4" spans="1:7" x14ac:dyDescent="0.35">
      <c r="A4" s="130" t="s">
        <v>10</v>
      </c>
      <c r="B4" s="9" t="s">
        <v>0</v>
      </c>
      <c r="C4" s="9" t="s">
        <v>2</v>
      </c>
      <c r="D4" s="9" t="s">
        <v>4</v>
      </c>
      <c r="E4" s="9" t="s">
        <v>6</v>
      </c>
      <c r="F4" s="9" t="s">
        <v>7</v>
      </c>
    </row>
    <row r="5" spans="1:7" ht="91" x14ac:dyDescent="0.35">
      <c r="A5" s="131"/>
      <c r="B5" s="9" t="s">
        <v>63</v>
      </c>
      <c r="C5" s="9" t="s">
        <v>11</v>
      </c>
      <c r="D5" s="9" t="s">
        <v>12</v>
      </c>
      <c r="E5" s="9" t="s">
        <v>13</v>
      </c>
      <c r="F5" s="9" t="s">
        <v>65</v>
      </c>
    </row>
    <row r="6" spans="1:7" x14ac:dyDescent="0.35">
      <c r="A6" s="27"/>
      <c r="B6" s="27"/>
      <c r="C6" s="27"/>
      <c r="D6" s="27"/>
      <c r="E6" s="27"/>
      <c r="F6" s="9"/>
    </row>
    <row r="7" spans="1:7" x14ac:dyDescent="0.35">
      <c r="A7" s="23">
        <v>1</v>
      </c>
      <c r="B7" s="23">
        <v>0</v>
      </c>
      <c r="C7" s="23">
        <v>19</v>
      </c>
      <c r="D7" s="23">
        <v>0</v>
      </c>
      <c r="E7" s="23">
        <v>0</v>
      </c>
      <c r="F7" s="105">
        <f>B7+C7+D7-E7</f>
        <v>19</v>
      </c>
      <c r="G7" s="100"/>
    </row>
    <row r="8" spans="1:7" x14ac:dyDescent="0.35">
      <c r="A8" s="23">
        <v>2</v>
      </c>
      <c r="B8" s="23">
        <v>0</v>
      </c>
      <c r="C8" s="23">
        <v>19</v>
      </c>
      <c r="D8" s="23">
        <v>0</v>
      </c>
      <c r="E8" s="23">
        <v>0</v>
      </c>
      <c r="F8" s="105">
        <f t="shared" ref="F8:F9" si="0">B8+C8+D8-E8</f>
        <v>19</v>
      </c>
    </row>
    <row r="9" spans="1:7" x14ac:dyDescent="0.35">
      <c r="A9" s="23">
        <v>3</v>
      </c>
      <c r="B9" s="23">
        <v>0</v>
      </c>
      <c r="C9" s="23">
        <v>19</v>
      </c>
      <c r="D9" s="23">
        <v>0</v>
      </c>
      <c r="E9" s="23">
        <v>0</v>
      </c>
      <c r="F9" s="105">
        <f t="shared" si="0"/>
        <v>19</v>
      </c>
    </row>
    <row r="10" spans="1:7" x14ac:dyDescent="0.35">
      <c r="A10" s="23" t="s">
        <v>14</v>
      </c>
      <c r="B10" s="8">
        <f>AVERAGE(B7:B9)</f>
        <v>0</v>
      </c>
      <c r="C10" s="8">
        <f>AVERAGE(C7:C9)</f>
        <v>19</v>
      </c>
      <c r="D10" s="8">
        <f>AVERAGE(D7:D9)</f>
        <v>0</v>
      </c>
      <c r="E10" s="8">
        <f>AVERAGE(E7:E9)</f>
        <v>0</v>
      </c>
      <c r="F10" s="8">
        <f>AVERAGE(F7:F9)</f>
        <v>19</v>
      </c>
    </row>
    <row r="11" spans="1:7" ht="18.5" x14ac:dyDescent="0.35">
      <c r="A11" s="25" t="s">
        <v>64</v>
      </c>
      <c r="B11" s="12"/>
      <c r="C11" s="12"/>
      <c r="D11" s="12"/>
      <c r="E11" s="12"/>
      <c r="F11" s="12"/>
    </row>
  </sheetData>
  <mergeCells count="4">
    <mergeCell ref="A2:F2"/>
    <mergeCell ref="A4:A5"/>
    <mergeCell ref="B3:C3"/>
    <mergeCell ref="E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Wrigley, William</cp:lastModifiedBy>
  <dcterms:created xsi:type="dcterms:W3CDTF">2019-06-27T19:36:56Z</dcterms:created>
  <dcterms:modified xsi:type="dcterms:W3CDTF">2022-11-16T15:06:04Z</dcterms:modified>
</cp:coreProperties>
</file>