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0B36011A-8A5A-40C7-8724-AA14F08CD303}" xr6:coauthVersionLast="47" xr6:coauthVersionMax="47" xr10:uidLastSave="{00000000-0000-0000-0000-000000000000}"/>
  <bookViews>
    <workbookView xWindow="-110" yWindow="-110" windowWidth="19420" windowHeight="10300" xr2:uid="{00000000-000D-0000-FFFF-FFFF00000000}"/>
  </bookViews>
  <sheets>
    <sheet name="Summary" sheetId="8" r:id="rId1"/>
    <sheet name="Table 1" sheetId="1" r:id="rId2"/>
    <sheet name="Table 2" sheetId="2" r:id="rId3"/>
    <sheet name="Capital O&amp;M" sheetId="5" r:id="rId4"/>
    <sheet name="Responses" sheetId="6" r:id="rId5"/>
    <sheet name="Respondents" sheetId="7" r:id="rId6"/>
  </sheets>
  <externalReferences>
    <externalReference r:id="rId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43" i="1" l="1"/>
  <c r="I42" i="1"/>
  <c r="E11" i="1"/>
  <c r="O7" i="1"/>
  <c r="F5" i="7"/>
  <c r="F6" i="7"/>
  <c r="F7" i="7"/>
  <c r="B8" i="7"/>
  <c r="C8" i="7"/>
  <c r="F8" i="7"/>
  <c r="B3" i="8" s="1"/>
  <c r="E4" i="6"/>
  <c r="E5" i="6"/>
  <c r="E6" i="6"/>
  <c r="E7" i="6"/>
  <c r="E9" i="6"/>
  <c r="C8" i="6"/>
  <c r="E8" i="6" s="1"/>
  <c r="E10" i="6"/>
  <c r="D12" i="5"/>
  <c r="G11" i="5"/>
  <c r="D11" i="5"/>
  <c r="G10" i="5"/>
  <c r="D10" i="5"/>
  <c r="D9" i="5"/>
  <c r="G8" i="5"/>
  <c r="G5" i="5"/>
  <c r="D5" i="5"/>
  <c r="D6" i="5"/>
  <c r="G6" i="5"/>
  <c r="D7" i="5"/>
  <c r="G7" i="5"/>
  <c r="D8" i="5"/>
  <c r="G9" i="5"/>
  <c r="G12" i="5" l="1"/>
  <c r="E11" i="6"/>
  <c r="B7" i="8" s="1"/>
  <c r="I12" i="5" l="1"/>
  <c r="B6" i="8" s="1"/>
  <c r="M9" i="1" l="1"/>
  <c r="D15" i="2" l="1"/>
  <c r="F15" i="2" s="1"/>
  <c r="H15" i="2" s="1"/>
  <c r="E9" i="2"/>
  <c r="E23" i="1"/>
  <c r="E11" i="2" s="1"/>
  <c r="G15" i="2" l="1"/>
  <c r="I15" i="2" s="1"/>
  <c r="D14" i="1"/>
  <c r="E14" i="1"/>
  <c r="F14" i="1" l="1"/>
  <c r="G14" i="1" s="1"/>
  <c r="H14" i="1" l="1"/>
  <c r="I14" i="1" s="1"/>
  <c r="D11" i="2"/>
  <c r="F11" i="2" s="1"/>
  <c r="E22" i="1"/>
  <c r="E10" i="2" s="1"/>
  <c r="D23" i="1"/>
  <c r="D12" i="1"/>
  <c r="F23" i="1" l="1"/>
  <c r="H23" i="1" s="1"/>
  <c r="G11" i="2"/>
  <c r="H11" i="2"/>
  <c r="F12" i="1"/>
  <c r="G12" i="1" s="1"/>
  <c r="G23" i="1" l="1"/>
  <c r="I23" i="1" s="1"/>
  <c r="H12" i="1"/>
  <c r="I12" i="1" s="1"/>
  <c r="I11" i="2"/>
  <c r="D10" i="2" l="1"/>
  <c r="F10" i="2" s="1"/>
  <c r="D22" i="1"/>
  <c r="F22" i="1" s="1"/>
  <c r="G22" i="1" l="1"/>
  <c r="H22" i="1"/>
  <c r="G10" i="2"/>
  <c r="H10" i="2"/>
  <c r="I22" i="1" l="1"/>
  <c r="I10" i="2"/>
  <c r="D11" i="1"/>
  <c r="F11" i="1" s="1"/>
  <c r="G11" i="1" l="1"/>
  <c r="H11" i="1"/>
  <c r="D18" i="2"/>
  <c r="F18" i="2" s="1"/>
  <c r="G18" i="2" s="1"/>
  <c r="D17" i="2"/>
  <c r="F17" i="2" s="1"/>
  <c r="H17" i="2" s="1"/>
  <c r="D14" i="2"/>
  <c r="F14" i="2" s="1"/>
  <c r="G14" i="2" s="1"/>
  <c r="D13" i="2"/>
  <c r="F13" i="2" s="1"/>
  <c r="D12" i="2"/>
  <c r="F12" i="2" s="1"/>
  <c r="D9" i="2"/>
  <c r="F9" i="2" s="1"/>
  <c r="G37" i="1"/>
  <c r="D38" i="1"/>
  <c r="F38" i="1" s="1"/>
  <c r="D36" i="1"/>
  <c r="F36" i="1" s="1"/>
  <c r="D35" i="1"/>
  <c r="F35" i="1" s="1"/>
  <c r="D27" i="1"/>
  <c r="F27" i="1" s="1"/>
  <c r="D24" i="1"/>
  <c r="F24" i="1" s="1"/>
  <c r="D21" i="1"/>
  <c r="F21" i="1" s="1"/>
  <c r="D19" i="1"/>
  <c r="F19" i="1" s="1"/>
  <c r="D18" i="1"/>
  <c r="F18" i="1" s="1"/>
  <c r="D13" i="1"/>
  <c r="F13" i="1" s="1"/>
  <c r="D10" i="1"/>
  <c r="F10" i="1" s="1"/>
  <c r="D8" i="1"/>
  <c r="F8" i="1" s="1"/>
  <c r="G9" i="2" l="1"/>
  <c r="G13" i="2"/>
  <c r="H13" i="2"/>
  <c r="H12" i="2"/>
  <c r="G12" i="2"/>
  <c r="H18" i="2"/>
  <c r="I18" i="2" s="1"/>
  <c r="G17" i="2"/>
  <c r="I17" i="2" s="1"/>
  <c r="I11" i="1"/>
  <c r="H14" i="2"/>
  <c r="I14" i="2" s="1"/>
  <c r="H9" i="2"/>
  <c r="H19" i="1"/>
  <c r="G19" i="1"/>
  <c r="H36" i="1"/>
  <c r="G36" i="1"/>
  <c r="G13" i="1"/>
  <c r="H13" i="1"/>
  <c r="G24" i="1"/>
  <c r="H24" i="1"/>
  <c r="H38" i="1"/>
  <c r="G38" i="1"/>
  <c r="G35" i="1"/>
  <c r="H35" i="1"/>
  <c r="H21" i="1"/>
  <c r="G21" i="1"/>
  <c r="G10" i="1"/>
  <c r="H10" i="1"/>
  <c r="H18" i="1"/>
  <c r="G18" i="1"/>
  <c r="H27" i="1"/>
  <c r="G27" i="1"/>
  <c r="H8" i="1"/>
  <c r="G8" i="1"/>
  <c r="F28" i="1" s="1"/>
  <c r="I12" i="2" l="1"/>
  <c r="F40" i="1"/>
  <c r="F41" i="1" s="1"/>
  <c r="F19" i="2"/>
  <c r="I27" i="1"/>
  <c r="I35" i="1"/>
  <c r="I13" i="2"/>
  <c r="I9" i="2"/>
  <c r="I19" i="1"/>
  <c r="I10" i="1"/>
  <c r="I24" i="1"/>
  <c r="I18" i="1"/>
  <c r="I21" i="1"/>
  <c r="I13" i="1"/>
  <c r="I8" i="1"/>
  <c r="I36" i="1"/>
  <c r="B4" i="8" l="1"/>
  <c r="K41" i="1"/>
  <c r="B2" i="8" s="1"/>
  <c r="I40" i="1"/>
  <c r="I28" i="1"/>
  <c r="I19" i="2"/>
  <c r="I41" i="1" l="1"/>
  <c r="B5" i="8" s="1"/>
</calcChain>
</file>

<file path=xl/sharedStrings.xml><?xml version="1.0" encoding="utf-8"?>
<sst xmlns="http://schemas.openxmlformats.org/spreadsheetml/2006/main" count="230" uniqueCount="175">
  <si>
    <t>Table 1: Annual Respondent Burden and Cost – NESHAP for Petroleum Refineries: Catalytic Cracking Units, Catalytic Reforming Units, and Sulfur Recovery Units (40 CFR Part 63, Subpart UUU) (Renewal)</t>
  </si>
  <si>
    <t>Burden item</t>
  </si>
  <si>
    <t>(A)</t>
  </si>
  <si>
    <t>(B)</t>
  </si>
  <si>
    <t>(C)</t>
  </si>
  <si>
    <t>(D)</t>
  </si>
  <si>
    <t>(E)</t>
  </si>
  <si>
    <t>(F)</t>
  </si>
  <si>
    <t>(G)</t>
  </si>
  <si>
    <t>(H)</t>
  </si>
  <si>
    <t>Person-hours per occurrence</t>
  </si>
  <si>
    <t>No. of occurrences per respondent per year</t>
  </si>
  <si>
    <t>1. Applications</t>
  </si>
  <si>
    <t>N/A</t>
  </si>
  <si>
    <t>2. Survey and Studies</t>
  </si>
  <si>
    <t>3. Reporting Requirements</t>
  </si>
  <si>
    <t>C. Create information</t>
  </si>
  <si>
    <t>See 3B</t>
  </si>
  <si>
    <t>D. Gather existing information</t>
  </si>
  <si>
    <t>E. Write report</t>
  </si>
  <si>
    <t xml:space="preserve"> Subtotal for Reporting Requirements</t>
  </si>
  <si>
    <t>4. Recordkeeping Requirements</t>
  </si>
  <si>
    <t>See 3A</t>
  </si>
  <si>
    <t xml:space="preserve">G. Time to adjust existing ways to comply with previously applicable requirements  </t>
  </si>
  <si>
    <t>I. Time for audits</t>
  </si>
  <si>
    <t>Subtotal for Recordkeeping Requirements</t>
  </si>
  <si>
    <t>Person-hours per respondent per year
(C=AxB)</t>
  </si>
  <si>
    <t>Technical person-hours per year
(E=CxD)</t>
  </si>
  <si>
    <t>Management person-hours per year
(Ex0.05)</t>
  </si>
  <si>
    <t>Clerical person- hours per year
(Ex0.1)</t>
  </si>
  <si>
    <r>
      <t xml:space="preserve">Respondents per year  </t>
    </r>
    <r>
      <rPr>
        <b/>
        <vertAlign val="superscript"/>
        <sz val="10"/>
        <color rgb="FF000000"/>
        <rFont val="Times New Roman"/>
        <family val="1"/>
      </rPr>
      <t>a</t>
    </r>
  </si>
  <si>
    <r>
      <t>Total Cost per Year $</t>
    </r>
    <r>
      <rPr>
        <b/>
        <vertAlign val="superscript"/>
        <sz val="10"/>
        <color rgb="FF000000"/>
        <rFont val="Times New Roman"/>
        <family val="1"/>
      </rPr>
      <t>b</t>
    </r>
  </si>
  <si>
    <t>Assumptions:</t>
  </si>
  <si>
    <t>Table 2: Average Annual EPA Burden and Cost – NESHAP for Petroleum Refineries: Catalytic Cracking Units, Catalytic Reforming Units, and Sulfur Recovery Units (40 CFR Part 63, Subpart UUU) (Renewal)</t>
  </si>
  <si>
    <t>Activity</t>
  </si>
  <si>
    <t>Hours per occurrence</t>
  </si>
  <si>
    <t>Number of occurrence per plant-year</t>
  </si>
  <si>
    <t xml:space="preserve">Plants per year  </t>
  </si>
  <si>
    <t>Report Review</t>
  </si>
  <si>
    <t xml:space="preserve">   Notification of construction/reconstruction</t>
  </si>
  <si>
    <t xml:space="preserve">   Notification of actual startup</t>
  </si>
  <si>
    <t xml:space="preserve">   Notification of special compliance requirements</t>
  </si>
  <si>
    <r>
      <t xml:space="preserve">   Review of operation, maintenance, and monitoring plan  </t>
    </r>
    <r>
      <rPr>
        <vertAlign val="superscript"/>
        <sz val="10"/>
        <color rgb="FF000000"/>
        <rFont val="Times New Roman"/>
        <family val="1"/>
      </rPr>
      <t>b</t>
    </r>
    <r>
      <rPr>
        <sz val="10"/>
        <color rgb="FF000000"/>
        <rFont val="Times New Roman"/>
        <family val="1"/>
      </rPr>
      <t xml:space="preserve"> </t>
    </r>
  </si>
  <si>
    <t xml:space="preserve">   Review of repeat performance test report</t>
  </si>
  <si>
    <t xml:space="preserve">   Review of compliance report</t>
  </si>
  <si>
    <t xml:space="preserve">   Review of NESHAP waiver application</t>
  </si>
  <si>
    <t>Hours per plant per year
(C=AxB)</t>
  </si>
  <si>
    <t>Clerical person-hours per year
(Ex0.1)</t>
  </si>
  <si>
    <r>
      <t>Total Cost per Year $</t>
    </r>
    <r>
      <rPr>
        <b/>
        <vertAlign val="superscript"/>
        <sz val="10"/>
        <color rgb="FF000000"/>
        <rFont val="Times New Roman"/>
        <family val="1"/>
      </rPr>
      <t>a</t>
    </r>
  </si>
  <si>
    <t>Type of affected unit</t>
  </si>
  <si>
    <t>Number of respondents</t>
  </si>
  <si>
    <t>Number of Units</t>
  </si>
  <si>
    <t>FCCU</t>
  </si>
  <si>
    <t>CRU</t>
  </si>
  <si>
    <t>SRU</t>
  </si>
  <si>
    <t>B. Plan activities</t>
  </si>
  <si>
    <t>C. Implement activities</t>
  </si>
  <si>
    <t>Notification of construction/ reconstruction</t>
  </si>
  <si>
    <t>Notification of actual startup</t>
  </si>
  <si>
    <t>Notification of special compliance requirements</t>
  </si>
  <si>
    <t xml:space="preserve">Extended compliance request  </t>
  </si>
  <si>
    <r>
      <t xml:space="preserve">A.  Familiarize with rule requirements  </t>
    </r>
    <r>
      <rPr>
        <vertAlign val="superscript"/>
        <sz val="10"/>
        <color rgb="FF000000"/>
        <rFont val="Times New Roman"/>
        <family val="1"/>
      </rPr>
      <t>c</t>
    </r>
  </si>
  <si>
    <t>A.  Familiarize with rule requirements</t>
  </si>
  <si>
    <r>
      <t xml:space="preserve">Operating, maintenance, and monitoring plan </t>
    </r>
    <r>
      <rPr>
        <vertAlign val="superscript"/>
        <sz val="10"/>
        <rFont val="Times New Roman"/>
        <family val="1"/>
      </rPr>
      <t>d</t>
    </r>
  </si>
  <si>
    <r>
      <t xml:space="preserve">Notification of compliance status  </t>
    </r>
    <r>
      <rPr>
        <vertAlign val="superscript"/>
        <sz val="10"/>
        <rFont val="Times New Roman"/>
        <family val="1"/>
      </rPr>
      <t>d</t>
    </r>
  </si>
  <si>
    <r>
      <t xml:space="preserve">Report of performance test  </t>
    </r>
    <r>
      <rPr>
        <vertAlign val="superscript"/>
        <sz val="10"/>
        <rFont val="Times New Roman"/>
        <family val="1"/>
      </rPr>
      <t xml:space="preserve"> d</t>
    </r>
    <r>
      <rPr>
        <sz val="10"/>
        <rFont val="Times New Roman"/>
        <family val="1"/>
      </rPr>
      <t xml:space="preserve"> </t>
    </r>
  </si>
  <si>
    <t>Number of Respondents using CEMs</t>
  </si>
  <si>
    <t>Number of units using CEMs</t>
  </si>
  <si>
    <t>-</t>
  </si>
  <si>
    <t>hr/response</t>
  </si>
  <si>
    <t xml:space="preserve">B. Required activities  </t>
  </si>
  <si>
    <r>
      <t xml:space="preserve">     Initial Performance test  </t>
    </r>
    <r>
      <rPr>
        <vertAlign val="superscript"/>
        <sz val="10"/>
        <rFont val="Times New Roman"/>
        <family val="1"/>
      </rPr>
      <t>d,e</t>
    </r>
    <r>
      <rPr>
        <sz val="10"/>
        <rFont val="Times New Roman"/>
        <family val="1"/>
      </rPr>
      <t xml:space="preserve"> </t>
    </r>
  </si>
  <si>
    <r>
      <t xml:space="preserve">Notification of performance test  </t>
    </r>
    <r>
      <rPr>
        <vertAlign val="superscript"/>
        <sz val="10"/>
        <rFont val="Times New Roman"/>
        <family val="1"/>
      </rPr>
      <t>d,e</t>
    </r>
  </si>
  <si>
    <r>
      <t>b</t>
    </r>
    <r>
      <rPr>
        <sz val="10"/>
        <rFont val="Times New Roman"/>
        <family val="1"/>
      </rPr>
      <t xml:space="preserve">  We have assumed that this activity is a one-time activity that applies only to new sources.  </t>
    </r>
  </si>
  <si>
    <r>
      <t xml:space="preserve">   Notification of performance test  </t>
    </r>
    <r>
      <rPr>
        <vertAlign val="superscript"/>
        <sz val="10"/>
        <color rgb="FF000000"/>
        <rFont val="Times New Roman"/>
        <family val="1"/>
      </rPr>
      <t>b</t>
    </r>
  </si>
  <si>
    <r>
      <t xml:space="preserve">   Notification of PM performance test </t>
    </r>
    <r>
      <rPr>
        <vertAlign val="superscript"/>
        <sz val="10"/>
        <rFont val="Times New Roman"/>
        <family val="1"/>
      </rPr>
      <t>c</t>
    </r>
    <r>
      <rPr>
        <sz val="10"/>
        <rFont val="Times New Roman"/>
        <family val="1"/>
      </rPr>
      <t xml:space="preserve">  </t>
    </r>
  </si>
  <si>
    <r>
      <t xml:space="preserve">   Notification of HCN performance test </t>
    </r>
    <r>
      <rPr>
        <vertAlign val="superscript"/>
        <sz val="10"/>
        <rFont val="Times New Roman"/>
        <family val="1"/>
      </rPr>
      <t>d</t>
    </r>
    <r>
      <rPr>
        <sz val="10"/>
        <rFont val="Times New Roman"/>
        <family val="1"/>
      </rPr>
      <t xml:space="preserve">  </t>
    </r>
  </si>
  <si>
    <r>
      <t>d</t>
    </r>
    <r>
      <rPr>
        <sz val="10"/>
        <rFont val="Times New Roman"/>
        <family val="1"/>
      </rPr>
      <t xml:space="preserve">  The 2015 final rule required each catalytic cracking unit to conduct a one-time EPA Reference Method 320 test for HCN by August 1, 2017, or within 150 days of startup of a new unit. Therefore, it is assumed that this activity applies only to new units.</t>
    </r>
  </si>
  <si>
    <r>
      <t>d</t>
    </r>
    <r>
      <rPr>
        <sz val="10"/>
        <rFont val="Times New Roman"/>
        <family val="1"/>
      </rPr>
      <t xml:space="preserve">  We have assumed that this activity is a one-time activity that applies only to new sources.  </t>
    </r>
  </si>
  <si>
    <r>
      <t>e</t>
    </r>
    <r>
      <rPr>
        <sz val="10"/>
        <rFont val="Times New Roman"/>
        <family val="1"/>
      </rPr>
      <t xml:space="preserve">  We have assumed that this activity has already occurred for existing sources.</t>
    </r>
  </si>
  <si>
    <t>Continuous Monitoring Device</t>
  </si>
  <si>
    <t>Capital/Startup Cost for One Respondent</t>
  </si>
  <si>
    <t>Annual O&amp;M Costs for One Respondent</t>
  </si>
  <si>
    <t>Total Annual Responses</t>
  </si>
  <si>
    <t>Information Collection Activity</t>
  </si>
  <si>
    <t>Number of Respondents</t>
  </si>
  <si>
    <t>Number of Responses</t>
  </si>
  <si>
    <t>Number of Existing Respondents That Keep Records But Do Not Submit Reports</t>
  </si>
  <si>
    <t>Semiannual compliance report</t>
  </si>
  <si>
    <t>Total</t>
  </si>
  <si>
    <r>
      <t xml:space="preserve">b </t>
    </r>
    <r>
      <rPr>
        <sz val="10"/>
        <rFont val="Times New Roman"/>
        <family val="1"/>
      </rPr>
      <t xml:space="preserve"> This ICR uses the following labor rates: Managerial $157.61 ($75.05 + 110%); Technical $123.94 ($59.02 + 110%); and Clerical $62.52 ($29.77 + 110%).  These rates are from the United States Department of Labor, Bureau of Labor Statistics, September 2021,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</si>
  <si>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t>a</t>
    </r>
    <r>
      <rPr>
        <sz val="10"/>
        <color theme="1"/>
        <rFont val="Times New Roman"/>
        <family val="1"/>
      </rPr>
      <t xml:space="preserve">  This cost is based on the following labor rates:  Managerial rate of $70.56 (GS-13, Step 5, $44.10 +60%), Technical rate of $52.37 (GS-12, Step 1, $32.73 + 60%), and Clerical rate of $28.34 (GS-6, Step 3, $17.71 + 60%).  These rates are from the Office of Personnel Management (OPM), 2022 General Schedule, which excludes locality rates of pay. The rates have been increased by 60 percent to account for the benefit packages available to government employees. </t>
    </r>
  </si>
  <si>
    <r>
      <t>PM Performance Test (internal)</t>
    </r>
    <r>
      <rPr>
        <vertAlign val="superscript"/>
        <sz val="10"/>
        <rFont val="Times New Roman"/>
        <family val="1"/>
      </rPr>
      <t>f</t>
    </r>
  </si>
  <si>
    <r>
      <t xml:space="preserve">Notification of PM performance test  </t>
    </r>
    <r>
      <rPr>
        <vertAlign val="superscript"/>
        <sz val="10"/>
        <rFont val="Times New Roman"/>
        <family val="1"/>
      </rPr>
      <t>f</t>
    </r>
  </si>
  <si>
    <r>
      <t>g</t>
    </r>
    <r>
      <rPr>
        <sz val="10"/>
        <rFont val="Times New Roman"/>
        <family val="1"/>
      </rPr>
      <t xml:space="preserve">  The 2015 final rule required each catalytic cracking unit to conduct a one-time EPA Reference Method 320 test for HCN by August 1, 2017, or within 150 days of startup of a new unit. Therefore, it is assumed that this activity applies only to new units.</t>
    </r>
  </si>
  <si>
    <r>
      <t xml:space="preserve">HCN Performance Test (internal) </t>
    </r>
    <r>
      <rPr>
        <vertAlign val="superscript"/>
        <sz val="10"/>
        <rFont val="Times New Roman"/>
        <family val="1"/>
      </rPr>
      <t>d,e,g</t>
    </r>
  </si>
  <si>
    <r>
      <t xml:space="preserve">Notification of HCN performance test  </t>
    </r>
    <r>
      <rPr>
        <vertAlign val="superscript"/>
        <sz val="10"/>
        <rFont val="Times New Roman"/>
        <family val="1"/>
      </rPr>
      <t>g</t>
    </r>
  </si>
  <si>
    <r>
      <t xml:space="preserve">RATA for units using CEMs </t>
    </r>
    <r>
      <rPr>
        <vertAlign val="superscript"/>
        <sz val="10"/>
        <rFont val="Times New Roman"/>
        <family val="1"/>
      </rPr>
      <t>h</t>
    </r>
  </si>
  <si>
    <r>
      <t>i</t>
    </r>
    <r>
      <rPr>
        <sz val="10"/>
        <rFont val="Times New Roman"/>
        <family val="1"/>
      </rPr>
      <t xml:space="preserve"> We have assumed that all sources would be submitting semiannual compliance reports.</t>
    </r>
  </si>
  <si>
    <r>
      <t xml:space="preserve">Semiannual compliance reports  </t>
    </r>
    <r>
      <rPr>
        <vertAlign val="superscript"/>
        <sz val="10"/>
        <color rgb="FF000000"/>
        <rFont val="Times New Roman"/>
        <family val="1"/>
      </rPr>
      <t>i</t>
    </r>
  </si>
  <si>
    <r>
      <t xml:space="preserve">D. Develop record system  </t>
    </r>
    <r>
      <rPr>
        <vertAlign val="superscript"/>
        <sz val="10"/>
        <color rgb="FF000000"/>
        <rFont val="Times New Roman"/>
        <family val="1"/>
      </rPr>
      <t>j</t>
    </r>
  </si>
  <si>
    <r>
      <t>j</t>
    </r>
    <r>
      <rPr>
        <sz val="10"/>
        <rFont val="Times New Roman"/>
        <family val="1"/>
      </rPr>
      <t xml:space="preserve">  We have assumed that these sources will have the record system in place to monitor operations. </t>
    </r>
  </si>
  <si>
    <r>
      <t>k</t>
    </r>
    <r>
      <rPr>
        <sz val="10"/>
        <rFont val="Times New Roman"/>
        <family val="1"/>
      </rPr>
      <t xml:space="preserve">  We have assumed that depending on the compliance option for the affected facility (i.e., catalytic cracking unit, sulfur recovery units, and by-pass lines) selected by the respondent and the size of the catalytic cracking unit and control device used (e.g., wet scrubber, electrostatic precipitator and thermal incinerators), sources are required to either install continuous opacity monitoring systems and/or continuous parameter monitoring, or choose an alternative option for parameter monitoring.    </t>
    </r>
  </si>
  <si>
    <r>
      <t>l</t>
    </r>
    <r>
      <rPr>
        <sz val="10"/>
        <rFont val="Times New Roman"/>
        <family val="1"/>
      </rPr>
      <t xml:space="preserve">  We have assumed that all respondents would have to keep records of their operations according to the operation and maintenance plan.</t>
    </r>
  </si>
  <si>
    <r>
      <t xml:space="preserve">E. Time to enter information  </t>
    </r>
    <r>
      <rPr>
        <vertAlign val="superscript"/>
        <sz val="10"/>
        <color rgb="FF000000"/>
        <rFont val="Times New Roman"/>
        <family val="1"/>
      </rPr>
      <t xml:space="preserve">k, l </t>
    </r>
    <r>
      <rPr>
        <sz val="10"/>
        <color rgb="FF000000"/>
        <rFont val="Times New Roman"/>
        <family val="1"/>
      </rPr>
      <t xml:space="preserve"> </t>
    </r>
  </si>
  <si>
    <r>
      <t>m</t>
    </r>
    <r>
      <rPr>
        <sz val="10"/>
        <rFont val="Times New Roman"/>
        <family val="1"/>
      </rPr>
      <t xml:space="preserve">  We have assumed that it will take each respondent approximately one hour to record data per week (52 weeks) and 15 minutes to transmit it semiannually.</t>
    </r>
  </si>
  <si>
    <r>
      <t xml:space="preserve">H. Time to transmit or disclose information  </t>
    </r>
    <r>
      <rPr>
        <vertAlign val="superscript"/>
        <sz val="10"/>
        <color rgb="FF000000"/>
        <rFont val="Times New Roman"/>
        <family val="1"/>
      </rPr>
      <t xml:space="preserve"> m</t>
    </r>
  </si>
  <si>
    <r>
      <t xml:space="preserve">Records of operations  </t>
    </r>
    <r>
      <rPr>
        <vertAlign val="superscript"/>
        <sz val="10"/>
        <color rgb="FF000000"/>
        <rFont val="Times New Roman"/>
        <family val="1"/>
      </rPr>
      <t>m</t>
    </r>
  </si>
  <si>
    <r>
      <t xml:space="preserve">n </t>
    </r>
    <r>
      <rPr>
        <sz val="10"/>
        <rFont val="Times New Roman"/>
        <family val="1"/>
      </rPr>
      <t>These costs reflect the one-time engineering evaluation and personnel training costs relative to the catalytic reforming unit catalyst regeneration operational changes made in the 2015 final rule. Therefore, it is assumed that this activity now applies only to new units.</t>
    </r>
  </si>
  <si>
    <r>
      <t xml:space="preserve">F. Time to train personnel  </t>
    </r>
    <r>
      <rPr>
        <vertAlign val="superscript"/>
        <sz val="10"/>
        <rFont val="Times New Roman"/>
        <family val="1"/>
      </rPr>
      <t>d, n</t>
    </r>
  </si>
  <si>
    <r>
      <t xml:space="preserve">o </t>
    </r>
    <r>
      <rPr>
        <sz val="10"/>
        <rFont val="Times New Roman"/>
        <family val="1"/>
      </rPr>
      <t xml:space="preserve">Totals have been rounded to 3 significant figures.  Figures may not add exactly due to rounding. </t>
    </r>
  </si>
  <si>
    <r>
      <t>TOTAL LABOR BURDEN AND COST (rounded)</t>
    </r>
    <r>
      <rPr>
        <b/>
        <vertAlign val="superscript"/>
        <sz val="10"/>
        <color rgb="FF000000"/>
        <rFont val="Times New Roman"/>
        <family val="1"/>
      </rPr>
      <t>o</t>
    </r>
  </si>
  <si>
    <r>
      <t xml:space="preserve">   Notification of compliance status </t>
    </r>
    <r>
      <rPr>
        <vertAlign val="superscript"/>
        <sz val="10"/>
        <color rgb="FF000000"/>
        <rFont val="Times New Roman"/>
        <family val="1"/>
      </rPr>
      <t>b</t>
    </r>
  </si>
  <si>
    <r>
      <t xml:space="preserve">   Review of RATA for CEMS </t>
    </r>
    <r>
      <rPr>
        <vertAlign val="superscript"/>
        <sz val="10"/>
        <rFont val="Times New Roman"/>
        <family val="1"/>
      </rPr>
      <t>e</t>
    </r>
  </si>
  <si>
    <r>
      <t>f</t>
    </r>
    <r>
      <rPr>
        <sz val="10"/>
        <rFont val="Times New Roman"/>
        <family val="1"/>
      </rPr>
      <t xml:space="preserve">  We have assumed that all sources would be submitting semiannual compliance reports.</t>
    </r>
  </si>
  <si>
    <r>
      <t xml:space="preserve">   Review of semiannual compliance reports </t>
    </r>
    <r>
      <rPr>
        <vertAlign val="superscript"/>
        <sz val="10"/>
        <color rgb="FF000000"/>
        <rFont val="Times New Roman"/>
        <family val="1"/>
      </rPr>
      <t>f</t>
    </r>
  </si>
  <si>
    <r>
      <t>TOTAL  ANNUAL BURDEN AND COST (rounded)</t>
    </r>
    <r>
      <rPr>
        <b/>
        <vertAlign val="superscript"/>
        <sz val="10"/>
        <color rgb="FF000000"/>
        <rFont val="Times New Roman"/>
        <family val="1"/>
      </rPr>
      <t>g</t>
    </r>
  </si>
  <si>
    <r>
      <t xml:space="preserve">g </t>
    </r>
    <r>
      <rPr>
        <sz val="10"/>
        <rFont val="Times New Roman"/>
        <family val="1"/>
      </rPr>
      <t xml:space="preserve">Totals have been rounded to 3 significant figures.  Figures may not add exactly due to rounding. </t>
    </r>
  </si>
  <si>
    <t>Total O&amp;M, 
(E X F)</t>
  </si>
  <si>
    <t>Total Capital/Startup Cost,  (B X C)</t>
  </si>
  <si>
    <r>
      <t>Capital/Startup vs. Operation and Maintenance (O&amp;M) Costs</t>
    </r>
    <r>
      <rPr>
        <sz val="10"/>
        <color theme="1"/>
        <rFont val="Times New Roman"/>
        <family val="1"/>
      </rPr>
      <t> </t>
    </r>
  </si>
  <si>
    <t xml:space="preserve">Number of New  Respondents </t>
  </si>
  <si>
    <r>
      <t>Number of Respondents with O&amp;M</t>
    </r>
    <r>
      <rPr>
        <b/>
        <vertAlign val="superscript"/>
        <sz val="10"/>
        <color theme="1"/>
        <rFont val="Times New Roman"/>
        <family val="1"/>
      </rPr>
      <t xml:space="preserve"> </t>
    </r>
  </si>
  <si>
    <r>
      <t xml:space="preserve">COMS (FCCUs) </t>
    </r>
    <r>
      <rPr>
        <vertAlign val="superscript"/>
        <sz val="10"/>
        <rFont val="Times New Roman"/>
        <family val="1"/>
      </rPr>
      <t>a</t>
    </r>
  </si>
  <si>
    <r>
      <t xml:space="preserve">CPMS (FCCUs) </t>
    </r>
    <r>
      <rPr>
        <vertAlign val="superscript"/>
        <sz val="10"/>
        <color theme="1"/>
        <rFont val="Times New Roman"/>
        <family val="1"/>
      </rPr>
      <t>b</t>
    </r>
  </si>
  <si>
    <r>
      <t xml:space="preserve">CPMS (CRUs) </t>
    </r>
    <r>
      <rPr>
        <vertAlign val="superscript"/>
        <sz val="10"/>
        <color theme="1"/>
        <rFont val="Times New Roman"/>
        <family val="1"/>
      </rPr>
      <t>c</t>
    </r>
  </si>
  <si>
    <r>
      <t xml:space="preserve">CPMS (SRUs) </t>
    </r>
    <r>
      <rPr>
        <vertAlign val="superscript"/>
        <sz val="10"/>
        <rFont val="Times New Roman"/>
        <family val="1"/>
      </rPr>
      <t>d</t>
    </r>
  </si>
  <si>
    <r>
      <t xml:space="preserve">CEMS (SRUs) </t>
    </r>
    <r>
      <rPr>
        <vertAlign val="superscript"/>
        <sz val="10"/>
        <rFont val="Times New Roman"/>
        <family val="1"/>
      </rPr>
      <t>e</t>
    </r>
  </si>
  <si>
    <r>
      <t xml:space="preserve">PM Performance Test (outsourced) </t>
    </r>
    <r>
      <rPr>
        <vertAlign val="superscript"/>
        <sz val="10"/>
        <rFont val="Times New Roman"/>
        <family val="1"/>
      </rPr>
      <t>f</t>
    </r>
  </si>
  <si>
    <r>
      <t xml:space="preserve">HCN Performance Test (outsourced) </t>
    </r>
    <r>
      <rPr>
        <vertAlign val="superscript"/>
        <sz val="10"/>
        <rFont val="Times New Roman"/>
        <family val="1"/>
      </rPr>
      <t>g</t>
    </r>
  </si>
  <si>
    <r>
      <t>Totals</t>
    </r>
    <r>
      <rPr>
        <sz val="10"/>
        <color theme="1"/>
        <rFont val="Times New Roman"/>
        <family val="1"/>
      </rPr>
      <t xml:space="preserve"> (rounded)</t>
    </r>
    <r>
      <rPr>
        <b/>
        <sz val="10"/>
        <color theme="1"/>
        <rFont val="Times New Roman"/>
        <family val="1"/>
      </rPr>
      <t xml:space="preserve"> </t>
    </r>
    <r>
      <rPr>
        <b/>
        <vertAlign val="superscript"/>
        <sz val="10"/>
        <color theme="1"/>
        <rFont val="Times New Roman"/>
        <family val="1"/>
      </rPr>
      <t>h</t>
    </r>
  </si>
  <si>
    <t>Total Annual Responses E=(BxC)+D</t>
  </si>
  <si>
    <r>
      <t xml:space="preserve">Notification of particulate matter performance test </t>
    </r>
    <r>
      <rPr>
        <vertAlign val="superscript"/>
        <sz val="10"/>
        <color theme="1"/>
        <rFont val="Times New Roman"/>
        <family val="1"/>
      </rPr>
      <t>a,c</t>
    </r>
  </si>
  <si>
    <r>
      <t xml:space="preserve">Notification of HCN performance test </t>
    </r>
    <r>
      <rPr>
        <vertAlign val="superscript"/>
        <sz val="10"/>
        <color theme="1"/>
        <rFont val="Times New Roman"/>
        <family val="1"/>
      </rPr>
      <t>b,c</t>
    </r>
  </si>
  <si>
    <r>
      <t xml:space="preserve">Particulate matter performance test reports </t>
    </r>
    <r>
      <rPr>
        <vertAlign val="superscript"/>
        <sz val="10"/>
        <color theme="1"/>
        <rFont val="Times New Roman"/>
        <family val="1"/>
      </rPr>
      <t>a,c</t>
    </r>
  </si>
  <si>
    <r>
      <t xml:space="preserve">HCN performance test reports </t>
    </r>
    <r>
      <rPr>
        <vertAlign val="superscript"/>
        <sz val="10"/>
        <color theme="1"/>
        <rFont val="Times New Roman"/>
        <family val="1"/>
      </rPr>
      <t>b,c</t>
    </r>
  </si>
  <si>
    <r>
      <rPr>
        <vertAlign val="superscript"/>
        <sz val="10"/>
        <color rgb="FF000000"/>
        <rFont val="Times New Roman"/>
        <family val="1"/>
      </rPr>
      <t xml:space="preserve">b </t>
    </r>
    <r>
      <rPr>
        <sz val="10"/>
        <color rgb="FF000000"/>
        <rFont val="Times New Roman"/>
        <family val="1"/>
      </rPr>
      <t xml:space="preserve"> The 2015 final rule required each catalytic cracking unit to conduct a one-time EPA Reference Method 320 test for HCN by August 1, 2017, or within 150 days of startup of a new unit. Therefore, it is assumed that this activity applies only to new units.</t>
    </r>
  </si>
  <si>
    <r>
      <t>Notification of performance test</t>
    </r>
    <r>
      <rPr>
        <vertAlign val="superscript"/>
        <sz val="10"/>
        <color theme="1"/>
        <rFont val="Times New Roman"/>
        <family val="1"/>
      </rPr>
      <t xml:space="preserve"> d</t>
    </r>
  </si>
  <si>
    <r>
      <t xml:space="preserve">Relative accuracy test audits for units using CEMs </t>
    </r>
    <r>
      <rPr>
        <vertAlign val="superscript"/>
        <sz val="10"/>
        <color theme="1"/>
        <rFont val="Times New Roman"/>
        <family val="1"/>
      </rPr>
      <t>e</t>
    </r>
  </si>
  <si>
    <r>
      <rPr>
        <vertAlign val="superscript"/>
        <sz val="10"/>
        <rFont val="Times New Roman"/>
        <family val="1"/>
      </rPr>
      <t>d</t>
    </r>
    <r>
      <rPr>
        <sz val="10"/>
        <rFont val="Times New Roman"/>
        <family val="1"/>
      </rPr>
      <t xml:space="preserve">  We have assumed that this activity is a one-time activity that applies only to new sources.  </t>
    </r>
  </si>
  <si>
    <r>
      <t xml:space="preserve">a </t>
    </r>
    <r>
      <rPr>
        <sz val="10"/>
        <color rgb="FF000000"/>
        <rFont val="Times New Roman"/>
        <family val="1"/>
      </rPr>
      <t xml:space="preserve">  New respondents include sources with constructed and reconstructed affected facilities.</t>
    </r>
  </si>
  <si>
    <t>Average</t>
  </si>
  <si>
    <t>Number of Respondents (E=A+B+C-D)</t>
  </si>
  <si>
    <t>Number of Existing Respondents That Are Also New Respondents</t>
  </si>
  <si>
    <t>Number of Existing Respondents that keep records but do not submit reports</t>
  </si>
  <si>
    <t>Number of Existing Respondents</t>
  </si>
  <si>
    <r>
      <t xml:space="preserve">Number of New Respondents </t>
    </r>
    <r>
      <rPr>
        <b/>
        <vertAlign val="superscript"/>
        <sz val="10"/>
        <color rgb="FF000000"/>
        <rFont val="Times New Roman"/>
        <family val="1"/>
      </rPr>
      <t>a</t>
    </r>
  </si>
  <si>
    <t>Year</t>
  </si>
  <si>
    <t>Respondents That Do Not Submit Any Reports</t>
  </si>
  <si>
    <t>Respondents That Submit Reports</t>
  </si>
  <si>
    <t>Annualized Capital O&amp;M</t>
  </si>
  <si>
    <t>Total Estimated Costs</t>
  </si>
  <si>
    <t>Total Estimated Burden Hours</t>
  </si>
  <si>
    <t>Hours per Response</t>
  </si>
  <si>
    <t>ICR Summary Information</t>
  </si>
  <si>
    <r>
      <t>TOTAL CAPITAL AND O&amp;M COSTS (rounded)</t>
    </r>
    <r>
      <rPr>
        <b/>
        <vertAlign val="superscript"/>
        <sz val="10"/>
        <rFont val="Times New Roman"/>
        <family val="1"/>
      </rPr>
      <t>o</t>
    </r>
  </si>
  <si>
    <r>
      <t>GRAND TOTAL (rounded)</t>
    </r>
    <r>
      <rPr>
        <b/>
        <vertAlign val="superscript"/>
        <sz val="10"/>
        <rFont val="Times New Roman"/>
        <family val="1"/>
      </rPr>
      <t>o</t>
    </r>
  </si>
  <si>
    <r>
      <t>a</t>
    </r>
    <r>
      <rPr>
        <sz val="10"/>
        <rFont val="Times New Roman"/>
        <family val="1"/>
      </rPr>
      <t xml:space="preserve">  We have determined that 130 major petroleum refineries will have one or more affected facilities subject to the standard. This includes 92 sources with 106 FCCU.  No new or reconstructed facilities are expected over the next 3 years. </t>
    </r>
  </si>
  <si>
    <r>
      <rPr>
        <vertAlign val="superscript"/>
        <sz val="10"/>
        <rFont val="Times New Roman"/>
        <family val="1"/>
      </rPr>
      <t>c</t>
    </r>
    <r>
      <rPr>
        <sz val="10"/>
        <rFont val="Times New Roman"/>
        <family val="1"/>
      </rPr>
      <t xml:space="preserve"> Assumed 130 facilities will refamiliarize themselves with the Subpart UUU rule during the upcoming 3-year ICR period.</t>
    </r>
  </si>
  <si>
    <r>
      <t>f</t>
    </r>
    <r>
      <rPr>
        <sz val="10"/>
        <rFont val="Times New Roman"/>
        <family val="1"/>
      </rPr>
      <t xml:space="preserve">  The 2015 final rule requires catalytic cracking unit catalyst regeneration to conduct EPA Reference Method (M5) PM testing every 5 years, unless the unit is subject to the “NSPS J” compliance option and the PM emissions rate during the most recent test is greater than 0.8 g PM/kg coke burn-off. For units in excess of that rate, testing is required annually. It was assumed that 10 percent of sources will require annual testing. There are 106 FCCUs that will test over the 3 years so each year, approximately 45.9 performance tests will be conducted (106 units / 3 years + 106 × 0.1 = 45.9 tests/year.</t>
    </r>
  </si>
  <si>
    <r>
      <t>h</t>
    </r>
    <r>
      <rPr>
        <sz val="10"/>
        <rFont val="Times New Roman"/>
        <family val="1"/>
      </rPr>
      <t xml:space="preserve"> We assume that the burdens associated with RATA testing are roughly equal to those for a performance test (excluding the advance notice requirements). We also assume that there are 96 respondents with 231 SRU units (2.41 units/respondent). There are 25 respondents with SRUs using CEMs. Therefore, the number of SRUs using CEMs is 25 x 2.4 = 60 (rounded).</t>
    </r>
  </si>
  <si>
    <t>Note: We estimate that there are 130 refineries (major sources) with 475 units. This includes 92 sources with 106 FCCU units, 104 sources with 138 CRU units, and 96 sources with 231 SRU units. Of sources with SRU units, we assume 25 sources are using CEMS on 60 units.</t>
  </si>
  <si>
    <r>
      <t xml:space="preserve">e </t>
    </r>
    <r>
      <rPr>
        <sz val="10"/>
        <rFont val="Times New Roman"/>
        <family val="1"/>
      </rPr>
      <t>We assume that the burdens associated with review of RATA testing are roughly equal to those for review of a performance test. We also assume that there are 96 respondents with 231 SRU units (2.41 units/respondent). There are 25 respondents with SRUs using CEMs. Therefore, the number of SRUs using CEMs is 25 x 2.4 = 60 (rounded).</t>
    </r>
  </si>
  <si>
    <r>
      <t>c</t>
    </r>
    <r>
      <rPr>
        <sz val="10"/>
        <rFont val="Times New Roman"/>
        <family val="1"/>
      </rPr>
      <t xml:space="preserve"> The 2015 final rule requires catalytic cracking unit catalyst regeneration to conduct EPA Reference Method (M5) PM testing every 5 years, unless the unit is subject to the “NSPS J” compliance option and the PM emissions rate during the most recent test is greater than 0.8 g PM/kg coke burn-off. For units in excess of that rate, testing is required annually. It was assumed that 10 percent of sources will require annual testing. There are 106 FCCUs that will test over the 3 years so each year, approximately 45.9 performance tests will be conducted (106 units / 3 years + 106 × 0.1 = 45.9 tests/year.</t>
    </r>
  </si>
  <si>
    <r>
      <rPr>
        <vertAlign val="superscript"/>
        <sz val="10"/>
        <color rgb="FF000000"/>
        <rFont val="Times New Roman"/>
        <family val="1"/>
      </rPr>
      <t>a</t>
    </r>
    <r>
      <rPr>
        <sz val="10"/>
        <color rgb="FF000000"/>
        <rFont val="Times New Roman"/>
        <family val="1"/>
      </rPr>
      <t xml:space="preserve">  The 2015 final rule requires catalytic cracking unit catalyst regeneration to conduct EPA Reference Method (M5) PM testing every 5 years, unless the unit is subject to the “NSPS J” compliance option and the PM emissions rate during the most recent test is greater than 0.8 g PM/kg coke burn-off. For units in excess of that rate, testing is required annually. It was assumed that 10 percent of sources will require annual testing. There are 106 FCCUs that will test over the 3 years so each year, approximately 45.9 performance tests will be conducted (106 units / 3 years + 106 × 0.1 = 45.9 tests/year.</t>
    </r>
  </si>
  <si>
    <r>
      <rPr>
        <vertAlign val="superscript"/>
        <sz val="10"/>
        <rFont val="Times New Roman"/>
        <family val="1"/>
      </rPr>
      <t>c</t>
    </r>
    <r>
      <rPr>
        <sz val="10"/>
        <rFont val="Times New Roman"/>
        <family val="1"/>
      </rPr>
      <t xml:space="preserve">  There are approximately 106 catalytic cracking units at 92 facilities, so each facility would report 1.15 responses per year, i.e., 106 units / 92 facilities = 1.15 responses/facility. </t>
    </r>
  </si>
  <si>
    <r>
      <rPr>
        <vertAlign val="superscript"/>
        <sz val="10"/>
        <rFont val="Times New Roman"/>
        <family val="1"/>
      </rPr>
      <t>e</t>
    </r>
    <r>
      <rPr>
        <sz val="10"/>
        <rFont val="Times New Roman"/>
        <family val="1"/>
      </rPr>
      <t xml:space="preserve">  There are approximately 231 SRU at 96 facilities, so each facility would report 2.41 responses per year, i.e., 231 units / 96 facilities = 2.41 responses/facility. We assume 25 sources with SRU units are using CEMS. </t>
    </r>
  </si>
  <si>
    <r>
      <t xml:space="preserve">a </t>
    </r>
    <r>
      <rPr>
        <sz val="10"/>
        <color theme="1"/>
        <rFont val="Times New Roman"/>
        <family val="1"/>
      </rPr>
      <t xml:space="preserve">COMS - continuous opacity monitoring system. We assume 25% of the 92 sources with FCCUs are using COMS (0.25 * 92 = 23).  </t>
    </r>
  </si>
  <si>
    <r>
      <rPr>
        <vertAlign val="superscript"/>
        <sz val="10"/>
        <color theme="1"/>
        <rFont val="Times New Roman"/>
        <family val="1"/>
      </rPr>
      <t xml:space="preserve">b  </t>
    </r>
    <r>
      <rPr>
        <sz val="10"/>
        <color theme="1"/>
        <rFont val="Times New Roman"/>
        <family val="1"/>
      </rPr>
      <t>CPMS - continuous parametric monitoring system. We assume the other 75% of the 92 sources with FCCUs are using CMPS (0.75 * 92 = 69).</t>
    </r>
  </si>
  <si>
    <r>
      <rPr>
        <vertAlign val="superscript"/>
        <sz val="10"/>
        <color theme="1"/>
        <rFont val="Times New Roman"/>
        <family val="1"/>
      </rPr>
      <t>c</t>
    </r>
    <r>
      <rPr>
        <sz val="10"/>
        <color theme="1"/>
        <rFont val="Times New Roman"/>
        <family val="1"/>
      </rPr>
      <t xml:space="preserve"> We estimate that there are 138 CRUs using CPMS for monitoring, with an O&amp;M cost of $17,940 per CPMS.</t>
    </r>
  </si>
  <si>
    <r>
      <rPr>
        <vertAlign val="superscript"/>
        <sz val="10"/>
        <rFont val="Times New Roman"/>
        <family val="1"/>
      </rPr>
      <t>d</t>
    </r>
    <r>
      <rPr>
        <sz val="10"/>
        <rFont val="Times New Roman"/>
        <family val="1"/>
      </rPr>
      <t xml:space="preserve"> We assume 74% of the 96 sources with SRUs are using CPMS (.74 * 96 = 71).</t>
    </r>
  </si>
  <si>
    <r>
      <rPr>
        <vertAlign val="superscript"/>
        <sz val="10"/>
        <color theme="1"/>
        <rFont val="Times New Roman"/>
        <family val="1"/>
      </rPr>
      <t>e</t>
    </r>
    <r>
      <rPr>
        <sz val="10"/>
        <color theme="1"/>
        <rFont val="Times New Roman"/>
        <family val="1"/>
      </rPr>
      <t xml:space="preserve"> CEMS – continuous emission monitoring system. We assume 25 sources with SRU units are using CEMS on 60 units.</t>
    </r>
  </si>
  <si>
    <r>
      <rPr>
        <vertAlign val="superscript"/>
        <sz val="10"/>
        <color theme="1"/>
        <rFont val="Times New Roman"/>
        <family val="1"/>
      </rPr>
      <t>f</t>
    </r>
    <r>
      <rPr>
        <sz val="10"/>
        <color theme="1"/>
        <rFont val="Times New Roman"/>
        <family val="1"/>
      </rPr>
      <t xml:space="preserve"> The 2015 final rule amendments required facilities with FCCU to conduct EPA Reference Method (M5) PM testing every 5 years, unless the “NSPS J” compliance option is used (i.e., the fixed 20 percent opacity operating limit compliance alternative), and the PM emissions rate during the most recent test is greater than 0.8 g PM/kg coke burn-off, in which case the testing frequency will be annually. It was assumed that approximately 10% of sources will require annual testing. In the upcoming 3-year ICR period, we assume that a total of 45.9 units per year will need to have a PM performance test (106 units/3 years + 106 × 0.1 = 45.9). We assume it costs $9,200 per unit to conduct a EPA Method 5 performance test.</t>
    </r>
  </si>
  <si>
    <r>
      <rPr>
        <vertAlign val="superscript"/>
        <sz val="10"/>
        <color theme="1"/>
        <rFont val="Times New Roman"/>
        <family val="1"/>
      </rPr>
      <t>g</t>
    </r>
    <r>
      <rPr>
        <sz val="10"/>
        <color theme="1"/>
        <rFont val="Times New Roman"/>
        <family val="1"/>
      </rPr>
      <t xml:space="preserve"> The 2015 final rule amendments required a one-time performance test for HCN for catalytic cracking unit catalyst regeneration by August 1, 2017, or within 150 days of startup of a new unit. Therefore, it is assumed that this activity applies only to new units. We assume it costs $10,000 per unit to conduct a EPA Method 320 performance test.</t>
    </r>
  </si>
  <si>
    <r>
      <rPr>
        <vertAlign val="superscript"/>
        <sz val="10"/>
        <color theme="1"/>
        <rFont val="Times New Roman"/>
        <family val="1"/>
      </rPr>
      <t>h</t>
    </r>
    <r>
      <rPr>
        <sz val="10"/>
        <color theme="1"/>
        <rFont val="Times New Roman"/>
        <family val="1"/>
      </rPr>
      <t xml:space="preserve"> Totals have been rounded to 3 significant figures. Figures may not add exactly due to rounding.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</si>
</sst>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1" formatCode="_(* #,##0_);_(* \(#,##0\);_(* &quot;-&quot;_);_(@_)"/>
    <numFmt numFmtId="43" formatCode="_(* #,##0.00_);_(* \(#,##0.00\);_(* &quot;-&quot;??_);_(@_)"/>
    <numFmt numFmtId="164" formatCode="0.0"/>
    <numFmt numFmtId="165" formatCode="General_)"/>
    <numFmt numFmtId="166" formatCode="&quot;$&quot;#,##0.00"/>
  </numFmts>
  <fonts count="28" x14ac:knownFonts="1">
    <font>
      <sz val="11"/>
      <color theme="1"/>
      <name val="Calibri"/>
      <family val="2"/>
      <scheme val="minor"/>
    </font>
    <font>
      <sz val="10"/>
      <color theme="1"/>
      <name val="Times New Roman"/>
      <family val="1"/>
    </font>
    <font>
      <sz val="10"/>
      <color rgb="FF000000"/>
      <name val="Times New Roman"/>
      <family val="1"/>
    </font>
    <font>
      <vertAlign val="superscript"/>
      <sz val="10"/>
      <color rgb="FF000000"/>
      <name val="Times New Roman"/>
      <family val="1"/>
    </font>
    <font>
      <b/>
      <sz val="10"/>
      <color rgb="FF000000"/>
      <name val="Times New Roman"/>
      <family val="1"/>
    </font>
    <font>
      <b/>
      <vertAlign val="superscript"/>
      <sz val="10"/>
      <color rgb="FF000000"/>
      <name val="Times New Roman"/>
      <family val="1"/>
    </font>
    <font>
      <b/>
      <sz val="10"/>
      <color theme="1"/>
      <name val="Times New Roman"/>
      <family val="1"/>
    </font>
    <font>
      <vertAlign val="superscript"/>
      <sz val="10"/>
      <color theme="1"/>
      <name val="Times New Roman"/>
      <family val="1"/>
    </font>
    <font>
      <sz val="11"/>
      <color rgb="FFFF0000"/>
      <name val="Calibri"/>
      <family val="2"/>
      <scheme val="minor"/>
    </font>
    <font>
      <sz val="10"/>
      <color theme="1"/>
      <name val="Calibri"/>
      <family val="2"/>
      <scheme val="minor"/>
    </font>
    <font>
      <b/>
      <sz val="10"/>
      <name val="Times New Roman"/>
      <family val="1"/>
    </font>
    <font>
      <b/>
      <vertAlign val="superscript"/>
      <sz val="10"/>
      <name val="Times New Roman"/>
      <family val="1"/>
    </font>
    <font>
      <u/>
      <sz val="10"/>
      <color theme="1"/>
      <name val="Calibri"/>
      <family val="2"/>
      <scheme val="minor"/>
    </font>
    <font>
      <sz val="10"/>
      <name val="Times New Roman"/>
      <family val="1"/>
    </font>
    <font>
      <vertAlign val="superscript"/>
      <sz val="10"/>
      <name val="Times New Roman"/>
      <family val="1"/>
    </font>
    <font>
      <sz val="11"/>
      <color theme="1"/>
      <name val="Times New Roman"/>
      <family val="1"/>
    </font>
    <font>
      <sz val="11"/>
      <name val="Calibri"/>
      <family val="2"/>
      <scheme val="minor"/>
    </font>
    <font>
      <b/>
      <sz val="11"/>
      <name val="Calibri"/>
      <family val="2"/>
      <scheme val="minor"/>
    </font>
    <font>
      <sz val="10"/>
      <name val="Calibri"/>
      <family val="2"/>
      <scheme val="minor"/>
    </font>
    <font>
      <sz val="11"/>
      <color theme="1"/>
      <name val="Calibri"/>
      <family val="2"/>
      <scheme val="minor"/>
    </font>
    <font>
      <u/>
      <sz val="10"/>
      <color rgb="FFFF0000"/>
      <name val="Calibri"/>
      <family val="2"/>
      <scheme val="minor"/>
    </font>
    <font>
      <b/>
      <sz val="12"/>
      <color rgb="FF000000"/>
      <name val="Times New Roman"/>
      <family val="1"/>
    </font>
    <font>
      <b/>
      <vertAlign val="superscript"/>
      <sz val="10"/>
      <color theme="1"/>
      <name val="Times New Roman"/>
      <family val="1"/>
    </font>
    <font>
      <b/>
      <sz val="11"/>
      <color theme="1"/>
      <name val="Times New Roman"/>
      <family val="1"/>
    </font>
    <font>
      <b/>
      <sz val="11"/>
      <color theme="1"/>
      <name val="Calibri"/>
      <family val="2"/>
      <scheme val="minor"/>
    </font>
    <font>
      <sz val="10"/>
      <color rgb="FFFF0000"/>
      <name val="Calibri"/>
      <family val="2"/>
      <scheme val="minor"/>
    </font>
    <font>
      <sz val="8"/>
      <name val="Helv"/>
    </font>
    <font>
      <sz val="10"/>
      <color rgb="FFFF0000"/>
      <name val="Times New Roman"/>
      <family val="1"/>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43" fontId="19" fillId="0" borderId="0" applyFont="0" applyFill="0" applyBorder="0" applyAlignment="0" applyProtection="0"/>
    <xf numFmtId="165" fontId="26" fillId="0" borderId="0"/>
  </cellStyleXfs>
  <cellXfs count="122">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1" fillId="0" borderId="1" xfId="0" applyFont="1" applyBorder="1" applyAlignment="1">
      <alignment vertical="center" wrapText="1"/>
    </xf>
    <xf numFmtId="0" fontId="2" fillId="0" borderId="1" xfId="0" applyFont="1" applyBorder="1" applyAlignment="1">
      <alignment horizontal="right" vertical="center" wrapText="1" indent="1"/>
    </xf>
    <xf numFmtId="6" fontId="2" fillId="0" borderId="1" xfId="0" applyNumberFormat="1" applyFont="1" applyBorder="1" applyAlignment="1">
      <alignment horizontal="right" vertical="center" wrapText="1"/>
    </xf>
    <xf numFmtId="0" fontId="2" fillId="0" borderId="1" xfId="0" applyFont="1" applyBorder="1" applyAlignment="1">
      <alignment vertical="center" wrapText="1"/>
    </xf>
    <xf numFmtId="0" fontId="4" fillId="0" borderId="1" xfId="0" applyFont="1" applyBorder="1" applyAlignment="1">
      <alignment horizontal="left" vertical="center" wrapText="1" inden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6" fontId="4"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6" fillId="0" borderId="0" xfId="0" applyFont="1" applyAlignment="1">
      <alignment vertical="center"/>
    </xf>
    <xf numFmtId="8" fontId="2" fillId="0" borderId="1" xfId="0" applyNumberFormat="1" applyFont="1" applyBorder="1" applyAlignment="1">
      <alignment horizontal="right" vertical="center" wrapText="1" indent="1"/>
    </xf>
    <xf numFmtId="6" fontId="2" fillId="0" borderId="1" xfId="0" applyNumberFormat="1" applyFont="1" applyBorder="1" applyAlignment="1">
      <alignment horizontal="right" vertical="center" wrapText="1" indent="1"/>
    </xf>
    <xf numFmtId="6" fontId="4" fillId="0" borderId="1" xfId="0" applyNumberFormat="1" applyFont="1" applyBorder="1" applyAlignment="1">
      <alignment horizontal="right" vertical="center" wrapText="1" indent="1"/>
    </xf>
    <xf numFmtId="2" fontId="2" fillId="0" borderId="1" xfId="0" applyNumberFormat="1" applyFont="1" applyBorder="1" applyAlignment="1">
      <alignment horizontal="center" vertical="center" wrapText="1"/>
    </xf>
    <xf numFmtId="6" fontId="4" fillId="0" borderId="1" xfId="0" applyNumberFormat="1" applyFont="1" applyBorder="1" applyAlignment="1">
      <alignment horizontal="right" vertical="center" wrapText="1"/>
    </xf>
    <xf numFmtId="6" fontId="6" fillId="0" borderId="1" xfId="0" applyNumberFormat="1" applyFont="1" applyBorder="1" applyAlignment="1">
      <alignment vertical="center" wrapText="1"/>
    </xf>
    <xf numFmtId="0" fontId="12" fillId="0" borderId="0" xfId="0" applyFont="1"/>
    <xf numFmtId="0" fontId="9" fillId="0" borderId="0" xfId="0" applyFont="1"/>
    <xf numFmtId="0" fontId="13"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indent="2"/>
    </xf>
    <xf numFmtId="0" fontId="15" fillId="0" borderId="0" xfId="0" applyFont="1"/>
    <xf numFmtId="0" fontId="2" fillId="0" borderId="1" xfId="0" applyFont="1" applyBorder="1" applyAlignment="1">
      <alignment horizontal="left" vertical="center" wrapText="1" indent="4"/>
    </xf>
    <xf numFmtId="0" fontId="13" fillId="0" borderId="1" xfId="0" applyFont="1" applyBorder="1" applyAlignment="1">
      <alignment horizontal="left" vertical="center" wrapText="1" indent="2"/>
    </xf>
    <xf numFmtId="0" fontId="16" fillId="0" borderId="1" xfId="0" applyFont="1" applyBorder="1" applyAlignment="1">
      <alignment horizontal="center"/>
    </xf>
    <xf numFmtId="0" fontId="17" fillId="0" borderId="1" xfId="0" applyFont="1" applyBorder="1" applyAlignment="1">
      <alignment horizontal="center" wrapText="1"/>
    </xf>
    <xf numFmtId="0" fontId="13" fillId="0" borderId="1" xfId="0" applyFont="1" applyBorder="1" applyAlignment="1">
      <alignment horizontal="left" vertical="center" wrapText="1" indent="1"/>
    </xf>
    <xf numFmtId="164" fontId="13" fillId="0" borderId="1" xfId="0" applyNumberFormat="1" applyFont="1" applyBorder="1" applyAlignment="1">
      <alignment horizontal="center" vertical="center" wrapText="1"/>
    </xf>
    <xf numFmtId="2" fontId="13" fillId="0" borderId="1" xfId="0" applyNumberFormat="1" applyFont="1" applyBorder="1" applyAlignment="1">
      <alignment horizontal="center" vertical="center" wrapText="1"/>
    </xf>
    <xf numFmtId="8" fontId="13" fillId="0" borderId="1" xfId="0" applyNumberFormat="1" applyFont="1" applyBorder="1" applyAlignment="1">
      <alignment horizontal="right" vertical="center" wrapText="1" indent="1"/>
    </xf>
    <xf numFmtId="0" fontId="13" fillId="0" borderId="1" xfId="0" applyFont="1" applyFill="1" applyBorder="1" applyAlignment="1">
      <alignment horizontal="center" vertical="center" wrapText="1"/>
    </xf>
    <xf numFmtId="0" fontId="13" fillId="0" borderId="1" xfId="0" applyFont="1" applyBorder="1" applyAlignment="1">
      <alignment horizontal="left" vertical="center" wrapText="1" indent="4"/>
    </xf>
    <xf numFmtId="6" fontId="13" fillId="0" borderId="1" xfId="0" applyNumberFormat="1" applyFont="1" applyBorder="1" applyAlignment="1">
      <alignment horizontal="right" vertical="center" wrapText="1"/>
    </xf>
    <xf numFmtId="0" fontId="17" fillId="0" borderId="1" xfId="0" applyFont="1" applyFill="1" applyBorder="1" applyAlignment="1">
      <alignment horizontal="center" wrapText="1"/>
    </xf>
    <xf numFmtId="0" fontId="0" fillId="0" borderId="1" xfId="0" applyBorder="1" applyAlignment="1">
      <alignment horizontal="center"/>
    </xf>
    <xf numFmtId="1" fontId="0" fillId="0" borderId="1" xfId="0" applyNumberFormat="1" applyBorder="1" applyAlignment="1">
      <alignment horizontal="center"/>
    </xf>
    <xf numFmtId="1" fontId="13" fillId="0" borderId="1" xfId="0" applyNumberFormat="1" applyFont="1" applyBorder="1" applyAlignment="1">
      <alignment horizontal="center" vertical="center" wrapText="1"/>
    </xf>
    <xf numFmtId="6" fontId="13" fillId="0" borderId="1" xfId="0" applyNumberFormat="1" applyFont="1" applyBorder="1" applyAlignment="1">
      <alignment horizontal="right" vertical="center" wrapText="1" indent="1"/>
    </xf>
    <xf numFmtId="6" fontId="13" fillId="0" borderId="1" xfId="0" applyNumberFormat="1" applyFont="1" applyBorder="1" applyAlignment="1">
      <alignment vertical="center" wrapText="1"/>
    </xf>
    <xf numFmtId="0" fontId="8" fillId="0" borderId="0" xfId="0" applyFont="1"/>
    <xf numFmtId="0" fontId="2" fillId="0" borderId="0" xfId="0" applyFont="1" applyAlignment="1">
      <alignment horizontal="left" vertical="center" indent="1"/>
    </xf>
    <xf numFmtId="0" fontId="20" fillId="0" borderId="0" xfId="0" applyFont="1"/>
    <xf numFmtId="164" fontId="13" fillId="0" borderId="1" xfId="0" applyNumberFormat="1" applyFont="1" applyFill="1" applyBorder="1" applyAlignment="1">
      <alignment horizontal="center" vertical="center" wrapText="1"/>
    </xf>
    <xf numFmtId="1" fontId="13"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64" fontId="0" fillId="0" borderId="0" xfId="0" applyNumberFormat="1" applyFill="1"/>
    <xf numFmtId="0" fontId="8" fillId="0" borderId="0" xfId="0" applyFont="1"/>
    <xf numFmtId="0" fontId="8" fillId="0" borderId="0" xfId="0" applyFont="1"/>
    <xf numFmtId="6"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6" fillId="0" borderId="0" xfId="0" applyFont="1" applyAlignment="1">
      <alignment vertical="center" wrapText="1"/>
    </xf>
    <xf numFmtId="6"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23" fillId="0" borderId="0" xfId="0" applyFont="1" applyAlignment="1"/>
    <xf numFmtId="0" fontId="0" fillId="0" borderId="0" xfId="0" applyAlignment="1">
      <alignment horizontal="right"/>
    </xf>
    <xf numFmtId="6" fontId="9" fillId="0" borderId="0" xfId="0" applyNumberFormat="1" applyFont="1"/>
    <xf numFmtId="6" fontId="6" fillId="0" borderId="1" xfId="0" applyNumberFormat="1" applyFont="1" applyBorder="1" applyAlignment="1">
      <alignment horizontal="center" vertical="center" wrapText="1"/>
    </xf>
    <xf numFmtId="0" fontId="6" fillId="0" borderId="1" xfId="0" applyFont="1" applyBorder="1" applyAlignment="1">
      <alignment vertical="center" wrapText="1"/>
    </xf>
    <xf numFmtId="6" fontId="13" fillId="0" borderId="1" xfId="0" applyNumberFormat="1" applyFont="1" applyBorder="1" applyAlignment="1">
      <alignment horizontal="center" vertical="center" wrapText="1"/>
    </xf>
    <xf numFmtId="0" fontId="9" fillId="0" borderId="0" xfId="0" applyFont="1" applyAlignment="1">
      <alignment wrapText="1"/>
    </xf>
    <xf numFmtId="0" fontId="13" fillId="0" borderId="1" xfId="0" applyFont="1" applyBorder="1" applyAlignment="1">
      <alignment vertical="center" wrapText="1"/>
    </xf>
    <xf numFmtId="6" fontId="1" fillId="0" borderId="1" xfId="0" applyNumberFormat="1" applyFont="1" applyBorder="1" applyAlignment="1">
      <alignment horizontal="center" vertical="center" wrapText="1"/>
    </xf>
    <xf numFmtId="0" fontId="13" fillId="0" borderId="1" xfId="0" applyFont="1" applyBorder="1" applyAlignment="1">
      <alignment horizontal="left" vertical="center" wrapText="1"/>
    </xf>
    <xf numFmtId="0" fontId="6" fillId="0" borderId="1" xfId="0" applyFont="1" applyBorder="1" applyAlignment="1">
      <alignment horizontal="center" vertical="center" wrapText="1"/>
    </xf>
    <xf numFmtId="166" fontId="13" fillId="0" borderId="0" xfId="2" applyNumberFormat="1" applyFont="1" applyAlignment="1">
      <alignment horizontal="right" wrapText="1"/>
    </xf>
    <xf numFmtId="165" fontId="13" fillId="0" borderId="0" xfId="2" applyFont="1" applyAlignment="1">
      <alignment horizontal="center" vertical="center" wrapText="1"/>
    </xf>
    <xf numFmtId="1" fontId="6" fillId="0" borderId="7"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1" fillId="0" borderId="7" xfId="0" applyFont="1" applyBorder="1" applyAlignment="1">
      <alignment horizontal="center" vertical="center" wrapText="1"/>
    </xf>
    <xf numFmtId="0" fontId="1" fillId="0" borderId="7" xfId="0" applyFont="1" applyBorder="1" applyAlignment="1">
      <alignment vertical="center" wrapText="1"/>
    </xf>
    <xf numFmtId="1" fontId="6"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0" fontId="27" fillId="0" borderId="0" xfId="0" applyFont="1"/>
    <xf numFmtId="2" fontId="1" fillId="0" borderId="1" xfId="0" applyNumberFormat="1" applyFont="1" applyBorder="1" applyAlignment="1">
      <alignment horizontal="center" vertical="center" wrapText="1"/>
    </xf>
    <xf numFmtId="0" fontId="3" fillId="0" borderId="0" xfId="0" applyFont="1" applyAlignment="1">
      <alignment vertical="center"/>
    </xf>
    <xf numFmtId="1" fontId="0" fillId="0" borderId="0" xfId="0" applyNumberFormat="1"/>
    <xf numFmtId="6" fontId="0" fillId="0" borderId="0" xfId="0" applyNumberFormat="1"/>
    <xf numFmtId="3" fontId="0" fillId="0" borderId="0" xfId="0" applyNumberFormat="1"/>
    <xf numFmtId="41" fontId="0" fillId="0" borderId="0" xfId="0" applyNumberFormat="1"/>
    <xf numFmtId="0" fontId="24" fillId="0" borderId="0" xfId="0" applyFont="1" applyAlignment="1"/>
    <xf numFmtId="0" fontId="25" fillId="0" borderId="0" xfId="0" applyFont="1"/>
    <xf numFmtId="0" fontId="0" fillId="0" borderId="0" xfId="0" applyAlignment="1">
      <alignment horizontal="center"/>
    </xf>
    <xf numFmtId="0" fontId="14" fillId="0" borderId="0" xfId="0" applyFont="1" applyAlignment="1">
      <alignment horizontal="left" vertical="center" wrapText="1"/>
    </xf>
    <xf numFmtId="0" fontId="16" fillId="0" borderId="0" xfId="0" applyFont="1" applyAlignment="1">
      <alignment horizontal="left" vertical="center" wrapText="1"/>
    </xf>
    <xf numFmtId="0" fontId="6" fillId="0" borderId="0" xfId="0" applyFont="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5"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18" fillId="0" borderId="0" xfId="0" applyFont="1" applyAlignment="1">
      <alignment horizontal="left" vertical="center" wrapText="1"/>
    </xf>
    <xf numFmtId="0" fontId="10" fillId="0" borderId="5" xfId="0" applyFont="1" applyBorder="1" applyAlignment="1">
      <alignment horizontal="left"/>
    </xf>
    <xf numFmtId="0" fontId="10" fillId="0" borderId="6" xfId="0" applyFont="1" applyBorder="1" applyAlignment="1">
      <alignment horizontal="left"/>
    </xf>
    <xf numFmtId="0" fontId="1" fillId="0" borderId="5" xfId="0" applyFont="1" applyBorder="1" applyAlignment="1">
      <alignment horizontal="left"/>
    </xf>
    <xf numFmtId="0" fontId="1" fillId="0" borderId="6" xfId="0" applyFont="1" applyBorder="1" applyAlignment="1">
      <alignment horizontal="left"/>
    </xf>
    <xf numFmtId="0" fontId="13" fillId="0" borderId="0" xfId="0" applyFont="1" applyAlignment="1">
      <alignment horizontal="left" vertical="center"/>
    </xf>
    <xf numFmtId="37" fontId="4" fillId="0" borderId="1" xfId="1"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7"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Fill="1" applyAlignment="1">
      <alignment horizontal="left" vertical="top" wrapText="1"/>
    </xf>
    <xf numFmtId="0" fontId="7" fillId="0" borderId="0" xfId="0" applyFont="1" applyFill="1" applyAlignment="1">
      <alignment vertical="center" wrapText="1"/>
    </xf>
    <xf numFmtId="0" fontId="9" fillId="0" borderId="0" xfId="0" applyFont="1" applyFill="1" applyAlignment="1">
      <alignment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1" fillId="0" borderId="0" xfId="0" applyFont="1" applyFill="1" applyAlignment="1">
      <alignment vertical="center" wrapText="1"/>
    </xf>
    <xf numFmtId="0" fontId="13" fillId="0" borderId="0" xfId="0" applyFont="1" applyFill="1" applyAlignment="1">
      <alignment horizontal="left" vertical="center" wrapText="1"/>
    </xf>
    <xf numFmtId="0" fontId="27" fillId="0" borderId="0" xfId="0" applyFont="1" applyFill="1" applyAlignment="1">
      <alignment horizontal="left" vertical="center" wrapText="1"/>
    </xf>
    <xf numFmtId="0" fontId="1" fillId="0" borderId="0" xfId="0" applyFont="1" applyFill="1" applyAlignment="1">
      <alignment horizontal="left" vertical="center"/>
    </xf>
    <xf numFmtId="165" fontId="13" fillId="0" borderId="0" xfId="2" applyFont="1" applyAlignment="1">
      <alignment horizontal="left" vertical="top" wrapText="1"/>
    </xf>
    <xf numFmtId="0" fontId="21" fillId="0" borderId="1" xfId="0" applyFont="1" applyBorder="1" applyAlignment="1">
      <alignment horizontal="center" vertical="center" wrapText="1"/>
    </xf>
    <xf numFmtId="0" fontId="2" fillId="0" borderId="0" xfId="0" applyFont="1" applyAlignment="1">
      <alignment horizontal="left" vertical="top" wrapText="1"/>
    </xf>
    <xf numFmtId="0" fontId="4" fillId="0" borderId="1" xfId="0" applyFont="1" applyBorder="1" applyAlignment="1">
      <alignment vertical="center" wrapText="1"/>
    </xf>
  </cellXfs>
  <cellStyles count="3">
    <cellStyle name="Comma" xfId="1" builtinId="3"/>
    <cellStyle name="Normal" xfId="0" builtinId="0"/>
    <cellStyle name="Normal_SSI Burden Estimate BML 060710" xfId="2" xr:uid="{D47F1247-2FB1-4984-9657-057A2EE928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Confer.ERG\Downloads\Calculation%20Template%20-%20NEW_2-18-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s>
    <sheetDataSet>
      <sheetData sheetId="0">
        <row r="17">
          <cell r="C17">
            <v>1</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CF042-43B3-4C2D-82FB-1F85F5608388}">
  <dimension ref="A1:B7"/>
  <sheetViews>
    <sheetView tabSelected="1" workbookViewId="0">
      <selection activeCell="B7" sqref="B7"/>
    </sheetView>
  </sheetViews>
  <sheetFormatPr defaultRowHeight="14.5" x14ac:dyDescent="0.35"/>
  <cols>
    <col min="1" max="1" width="26.81640625" bestFit="1" customWidth="1"/>
    <col min="2" max="2" width="11.54296875" bestFit="1" customWidth="1"/>
  </cols>
  <sheetData>
    <row r="1" spans="1:2" x14ac:dyDescent="0.35">
      <c r="A1" s="85" t="s">
        <v>154</v>
      </c>
      <c r="B1" s="85"/>
    </row>
    <row r="2" spans="1:2" x14ac:dyDescent="0.35">
      <c r="A2" t="s">
        <v>153</v>
      </c>
      <c r="B2" s="82">
        <f>'Table 1'!K41</f>
        <v>37.80940303414588</v>
      </c>
    </row>
    <row r="3" spans="1:2" x14ac:dyDescent="0.35">
      <c r="A3" t="s">
        <v>85</v>
      </c>
      <c r="B3">
        <f>Respondents!F8</f>
        <v>130</v>
      </c>
    </row>
    <row r="4" spans="1:2" x14ac:dyDescent="0.35">
      <c r="A4" t="s">
        <v>152</v>
      </c>
      <c r="B4" s="81">
        <f>'Table 1'!F41</f>
        <v>16100</v>
      </c>
    </row>
    <row r="5" spans="1:2" x14ac:dyDescent="0.35">
      <c r="A5" t="s">
        <v>151</v>
      </c>
      <c r="B5" s="80">
        <f>'Table 1'!I43</f>
        <v>10000000</v>
      </c>
    </row>
    <row r="6" spans="1:2" x14ac:dyDescent="0.35">
      <c r="A6" t="s">
        <v>150</v>
      </c>
      <c r="B6" s="80">
        <f>'Capital O&amp;M'!I12</f>
        <v>8020000</v>
      </c>
    </row>
    <row r="7" spans="1:2" x14ac:dyDescent="0.35">
      <c r="A7" t="s">
        <v>83</v>
      </c>
      <c r="B7" s="79">
        <f>Responses!E11</f>
        <v>425.82</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0"/>
  <sheetViews>
    <sheetView topLeftCell="A18" workbookViewId="0">
      <selection activeCell="I42" sqref="I42"/>
    </sheetView>
  </sheetViews>
  <sheetFormatPr defaultRowHeight="14.5" x14ac:dyDescent="0.35"/>
  <cols>
    <col min="1" max="1" width="44.1796875" customWidth="1"/>
    <col min="2" max="9" width="11.81640625" customWidth="1"/>
    <col min="11" max="11" width="9.453125" customWidth="1"/>
    <col min="12" max="12" width="12.1796875" customWidth="1"/>
    <col min="14" max="14" width="13.453125" customWidth="1"/>
    <col min="15" max="15" width="17.81640625" customWidth="1"/>
  </cols>
  <sheetData>
    <row r="1" spans="1:15" x14ac:dyDescent="0.35">
      <c r="A1" s="57" t="s">
        <v>0</v>
      </c>
      <c r="B1" s="24"/>
      <c r="C1" s="24"/>
      <c r="D1" s="24"/>
      <c r="E1" s="24"/>
      <c r="F1" s="24"/>
      <c r="G1" s="24"/>
      <c r="H1" s="24"/>
      <c r="I1" s="24"/>
    </row>
    <row r="2" spans="1:15" x14ac:dyDescent="0.35">
      <c r="A2" s="24"/>
      <c r="B2" s="24"/>
      <c r="C2" s="24"/>
      <c r="D2" s="24"/>
      <c r="E2" s="24"/>
      <c r="F2" s="24">
        <v>123.94</v>
      </c>
      <c r="G2" s="24">
        <v>157.61000000000001</v>
      </c>
      <c r="H2" s="24">
        <v>62.52</v>
      </c>
      <c r="I2" s="24"/>
    </row>
    <row r="3" spans="1:15" x14ac:dyDescent="0.35">
      <c r="A3" s="89" t="s">
        <v>1</v>
      </c>
      <c r="B3" s="9" t="s">
        <v>2</v>
      </c>
      <c r="C3" s="9" t="s">
        <v>3</v>
      </c>
      <c r="D3" s="9" t="s">
        <v>4</v>
      </c>
      <c r="E3" s="9" t="s">
        <v>5</v>
      </c>
      <c r="F3" s="9" t="s">
        <v>6</v>
      </c>
      <c r="G3" s="9" t="s">
        <v>7</v>
      </c>
      <c r="H3" s="9" t="s">
        <v>8</v>
      </c>
      <c r="I3" s="9" t="s">
        <v>9</v>
      </c>
    </row>
    <row r="4" spans="1:15" ht="65" x14ac:dyDescent="0.35">
      <c r="A4" s="90"/>
      <c r="B4" s="9" t="s">
        <v>10</v>
      </c>
      <c r="C4" s="9" t="s">
        <v>11</v>
      </c>
      <c r="D4" s="9" t="s">
        <v>26</v>
      </c>
      <c r="E4" s="9" t="s">
        <v>30</v>
      </c>
      <c r="F4" s="9" t="s">
        <v>27</v>
      </c>
      <c r="G4" s="9" t="s">
        <v>28</v>
      </c>
      <c r="H4" s="9" t="s">
        <v>29</v>
      </c>
      <c r="I4" s="9" t="s">
        <v>31</v>
      </c>
      <c r="K4" s="28" t="s">
        <v>49</v>
      </c>
      <c r="L4" s="28" t="s">
        <v>50</v>
      </c>
      <c r="M4" s="28" t="s">
        <v>51</v>
      </c>
      <c r="N4" s="36" t="s">
        <v>66</v>
      </c>
      <c r="O4" s="36" t="s">
        <v>67</v>
      </c>
    </row>
    <row r="5" spans="1:15" x14ac:dyDescent="0.35">
      <c r="A5" s="2" t="s">
        <v>12</v>
      </c>
      <c r="B5" s="1" t="s">
        <v>13</v>
      </c>
      <c r="C5" s="11"/>
      <c r="D5" s="11"/>
      <c r="E5" s="11"/>
      <c r="F5" s="11"/>
      <c r="G5" s="11"/>
      <c r="H5" s="11"/>
      <c r="I5" s="4"/>
      <c r="K5" s="27" t="s">
        <v>52</v>
      </c>
      <c r="L5" s="27">
        <v>92</v>
      </c>
      <c r="M5" s="27">
        <v>106</v>
      </c>
      <c r="N5" s="37" t="s">
        <v>68</v>
      </c>
      <c r="O5" s="37" t="s">
        <v>68</v>
      </c>
    </row>
    <row r="6" spans="1:15" x14ac:dyDescent="0.35">
      <c r="A6" s="2" t="s">
        <v>14</v>
      </c>
      <c r="B6" s="1" t="s">
        <v>13</v>
      </c>
      <c r="C6" s="11"/>
      <c r="D6" s="11"/>
      <c r="E6" s="11"/>
      <c r="F6" s="11"/>
      <c r="G6" s="11"/>
      <c r="H6" s="11"/>
      <c r="I6" s="4"/>
      <c r="K6" s="27" t="s">
        <v>53</v>
      </c>
      <c r="L6" s="27">
        <v>104</v>
      </c>
      <c r="M6" s="27">
        <v>138</v>
      </c>
      <c r="N6" s="37" t="s">
        <v>68</v>
      </c>
      <c r="O6" s="37" t="s">
        <v>68</v>
      </c>
    </row>
    <row r="7" spans="1:15" x14ac:dyDescent="0.35">
      <c r="A7" s="2" t="s">
        <v>15</v>
      </c>
      <c r="B7" s="11"/>
      <c r="C7" s="11"/>
      <c r="D7" s="11"/>
      <c r="E7" s="48"/>
      <c r="F7" s="11"/>
      <c r="G7" s="11"/>
      <c r="H7" s="11"/>
      <c r="I7" s="4"/>
      <c r="K7" s="27" t="s">
        <v>54</v>
      </c>
      <c r="L7" s="27">
        <v>96</v>
      </c>
      <c r="M7" s="27">
        <v>231</v>
      </c>
      <c r="N7" s="37">
        <v>25</v>
      </c>
      <c r="O7" s="38">
        <f>(M7/L7)*N7</f>
        <v>60.15625</v>
      </c>
    </row>
    <row r="8" spans="1:15" ht="15.5" x14ac:dyDescent="0.35">
      <c r="A8" s="23" t="s">
        <v>61</v>
      </c>
      <c r="B8" s="1">
        <v>2</v>
      </c>
      <c r="C8" s="1">
        <v>1</v>
      </c>
      <c r="D8" s="1">
        <f>B8*C8</f>
        <v>2</v>
      </c>
      <c r="E8" s="47">
        <v>130</v>
      </c>
      <c r="F8" s="1">
        <f>D8*E8</f>
        <v>260</v>
      </c>
      <c r="G8" s="16">
        <f>F8*0.05</f>
        <v>13</v>
      </c>
      <c r="H8" s="16">
        <f>F8*0.1</f>
        <v>26</v>
      </c>
      <c r="I8" s="5">
        <f>F8*$F$2+G8*$G$2+H8*$H$2</f>
        <v>35898.85</v>
      </c>
    </row>
    <row r="9" spans="1:15" x14ac:dyDescent="0.35">
      <c r="A9" s="23" t="s">
        <v>70</v>
      </c>
      <c r="B9" s="11"/>
      <c r="C9" s="11"/>
      <c r="D9" s="11"/>
      <c r="E9" s="48"/>
      <c r="F9" s="11"/>
      <c r="G9" s="11"/>
      <c r="H9" s="11"/>
      <c r="I9" s="14"/>
      <c r="L9" s="58" t="s">
        <v>89</v>
      </c>
      <c r="M9">
        <f>SUM(M5:M7)</f>
        <v>475</v>
      </c>
    </row>
    <row r="10" spans="1:15" ht="15.5" x14ac:dyDescent="0.35">
      <c r="A10" s="26" t="s">
        <v>71</v>
      </c>
      <c r="B10" s="21">
        <v>40</v>
      </c>
      <c r="C10" s="21">
        <v>1</v>
      </c>
      <c r="D10" s="21">
        <f t="shared" ref="D10:D13" si="0">B10*C10</f>
        <v>40</v>
      </c>
      <c r="E10" s="33">
        <v>0</v>
      </c>
      <c r="F10" s="21">
        <f t="shared" ref="F10:F13" si="1">D10*E10</f>
        <v>0</v>
      </c>
      <c r="G10" s="21">
        <f t="shared" ref="G10:G13" si="2">F10*0.05</f>
        <v>0</v>
      </c>
      <c r="H10" s="21">
        <f t="shared" ref="H10:H13" si="3">F10*0.1</f>
        <v>0</v>
      </c>
      <c r="I10" s="35">
        <f t="shared" ref="I10:I13" si="4">F10*$F$2+G10*$G$2+H10*$H$2</f>
        <v>0</v>
      </c>
      <c r="J10" s="50"/>
    </row>
    <row r="11" spans="1:15" ht="15.5" x14ac:dyDescent="0.35">
      <c r="A11" s="34" t="s">
        <v>92</v>
      </c>
      <c r="B11" s="21">
        <v>40</v>
      </c>
      <c r="C11" s="21">
        <v>1</v>
      </c>
      <c r="D11" s="21">
        <f t="shared" si="0"/>
        <v>40</v>
      </c>
      <c r="E11" s="45">
        <f>$M$5/3+$M$5*0.1</f>
        <v>45.933333333333337</v>
      </c>
      <c r="F11" s="31">
        <f t="shared" ref="F11" si="5">D11*E11</f>
        <v>1837.3333333333335</v>
      </c>
      <c r="G11" s="31">
        <f t="shared" ref="G11" si="6">F11*0.05</f>
        <v>91.866666666666674</v>
      </c>
      <c r="H11" s="31">
        <f t="shared" ref="H11" si="7">F11*0.1</f>
        <v>183.73333333333335</v>
      </c>
      <c r="I11" s="35">
        <f t="shared" ref="I11" si="8">F11*$F$2+G11*$G$2+H11*$H$2</f>
        <v>253685.20666666669</v>
      </c>
      <c r="L11" s="43" t="s">
        <v>161</v>
      </c>
    </row>
    <row r="12" spans="1:15" ht="15.5" x14ac:dyDescent="0.35">
      <c r="A12" s="34" t="s">
        <v>95</v>
      </c>
      <c r="B12" s="21">
        <v>40</v>
      </c>
      <c r="C12" s="21">
        <v>1</v>
      </c>
      <c r="D12" s="21">
        <f t="shared" ref="D12" si="9">B12*C12</f>
        <v>40</v>
      </c>
      <c r="E12" s="46">
        <v>0</v>
      </c>
      <c r="F12" s="30">
        <f t="shared" ref="F12" si="10">D12*E12</f>
        <v>0</v>
      </c>
      <c r="G12" s="30">
        <f t="shared" ref="G12" si="11">F12*0.05</f>
        <v>0</v>
      </c>
      <c r="H12" s="30">
        <f t="shared" ref="H12" si="12">F12*0.1</f>
        <v>0</v>
      </c>
      <c r="I12" s="35">
        <f t="shared" ref="I12" si="13">F12*$F$2+G12*$G$2+H12*$H$2</f>
        <v>0</v>
      </c>
      <c r="J12" s="51"/>
      <c r="L12" s="51"/>
    </row>
    <row r="13" spans="1:15" ht="15.5" x14ac:dyDescent="0.35">
      <c r="A13" s="34" t="s">
        <v>63</v>
      </c>
      <c r="B13" s="21">
        <v>40</v>
      </c>
      <c r="C13" s="21">
        <v>1</v>
      </c>
      <c r="D13" s="21">
        <f t="shared" si="0"/>
        <v>40</v>
      </c>
      <c r="E13" s="33">
        <v>0</v>
      </c>
      <c r="F13" s="21">
        <f t="shared" si="1"/>
        <v>0</v>
      </c>
      <c r="G13" s="21">
        <f t="shared" si="2"/>
        <v>0</v>
      </c>
      <c r="H13" s="21">
        <f t="shared" si="3"/>
        <v>0</v>
      </c>
      <c r="I13" s="35">
        <f t="shared" si="4"/>
        <v>0</v>
      </c>
    </row>
    <row r="14" spans="1:15" ht="15.5" x14ac:dyDescent="0.35">
      <c r="A14" s="34" t="s">
        <v>97</v>
      </c>
      <c r="B14" s="21">
        <v>40</v>
      </c>
      <c r="C14" s="21">
        <v>1</v>
      </c>
      <c r="D14" s="21">
        <f t="shared" ref="D14" si="14">B14*C14</f>
        <v>40</v>
      </c>
      <c r="E14" s="39">
        <f>O7</f>
        <v>60.15625</v>
      </c>
      <c r="F14" s="39">
        <f>D14*E14</f>
        <v>2406.25</v>
      </c>
      <c r="G14" s="39">
        <f t="shared" ref="G14" si="15">F14*0.05</f>
        <v>120.3125</v>
      </c>
      <c r="H14" s="39">
        <f t="shared" ref="H14" si="16">F14*0.1</f>
        <v>240.625</v>
      </c>
      <c r="I14" s="35">
        <f t="shared" ref="I14" si="17">F14*$F$2+G14*$G$2+H14*$H$2</f>
        <v>332236.953125</v>
      </c>
    </row>
    <row r="15" spans="1:15" x14ac:dyDescent="0.35">
      <c r="A15" s="26" t="s">
        <v>16</v>
      </c>
      <c r="B15" s="21" t="s">
        <v>17</v>
      </c>
      <c r="C15" s="21"/>
      <c r="D15" s="21"/>
      <c r="E15" s="21"/>
      <c r="F15" s="21"/>
      <c r="G15" s="21"/>
      <c r="H15" s="21"/>
      <c r="I15" s="40"/>
    </row>
    <row r="16" spans="1:15" x14ac:dyDescent="0.35">
      <c r="A16" s="26" t="s">
        <v>18</v>
      </c>
      <c r="B16" s="21" t="s">
        <v>17</v>
      </c>
      <c r="C16" s="21"/>
      <c r="D16" s="21"/>
      <c r="E16" s="21"/>
      <c r="F16" s="21"/>
      <c r="G16" s="21"/>
      <c r="H16" s="21"/>
      <c r="I16" s="40"/>
    </row>
    <row r="17" spans="1:10" x14ac:dyDescent="0.35">
      <c r="A17" s="26" t="s">
        <v>19</v>
      </c>
      <c r="B17" s="21"/>
      <c r="C17" s="21"/>
      <c r="D17" s="21"/>
      <c r="E17" s="21"/>
      <c r="F17" s="21"/>
      <c r="G17" s="21"/>
      <c r="H17" s="21"/>
      <c r="I17" s="40"/>
    </row>
    <row r="18" spans="1:10" x14ac:dyDescent="0.35">
      <c r="A18" s="34" t="s">
        <v>57</v>
      </c>
      <c r="B18" s="21">
        <v>2</v>
      </c>
      <c r="C18" s="21">
        <v>1</v>
      </c>
      <c r="D18" s="21">
        <f t="shared" ref="D18:D19" si="18">B18*C18</f>
        <v>2</v>
      </c>
      <c r="E18" s="21">
        <v>0</v>
      </c>
      <c r="F18" s="21">
        <f t="shared" ref="F18:F19" si="19">D18*E18</f>
        <v>0</v>
      </c>
      <c r="G18" s="21">
        <f t="shared" ref="G18:G19" si="20">F18*0.05</f>
        <v>0</v>
      </c>
      <c r="H18" s="21">
        <f t="shared" ref="H18:H19" si="21">F18*0.1</f>
        <v>0</v>
      </c>
      <c r="I18" s="35">
        <f t="shared" ref="I18:I19" si="22">F18*$F$2+G18*$G$2+H18*$H$2</f>
        <v>0</v>
      </c>
    </row>
    <row r="19" spans="1:10" x14ac:dyDescent="0.35">
      <c r="A19" s="34" t="s">
        <v>58</v>
      </c>
      <c r="B19" s="21">
        <v>2</v>
      </c>
      <c r="C19" s="21">
        <v>1</v>
      </c>
      <c r="D19" s="21">
        <f t="shared" si="18"/>
        <v>2</v>
      </c>
      <c r="E19" s="21">
        <v>0</v>
      </c>
      <c r="F19" s="21">
        <f t="shared" si="19"/>
        <v>0</v>
      </c>
      <c r="G19" s="21">
        <f t="shared" si="20"/>
        <v>0</v>
      </c>
      <c r="H19" s="21">
        <f t="shared" si="21"/>
        <v>0</v>
      </c>
      <c r="I19" s="35">
        <f t="shared" si="22"/>
        <v>0</v>
      </c>
    </row>
    <row r="20" spans="1:10" x14ac:dyDescent="0.35">
      <c r="A20" s="34" t="s">
        <v>59</v>
      </c>
      <c r="B20" s="21" t="s">
        <v>13</v>
      </c>
      <c r="C20" s="21"/>
      <c r="D20" s="21"/>
      <c r="E20" s="21"/>
      <c r="F20" s="21"/>
      <c r="G20" s="21"/>
      <c r="H20" s="21"/>
      <c r="I20" s="41"/>
    </row>
    <row r="21" spans="1:10" ht="15.5" x14ac:dyDescent="0.35">
      <c r="A21" s="34" t="s">
        <v>72</v>
      </c>
      <c r="B21" s="21">
        <v>2</v>
      </c>
      <c r="C21" s="21">
        <v>1</v>
      </c>
      <c r="D21" s="21">
        <f t="shared" ref="D21:D24" si="23">B21*C21</f>
        <v>2</v>
      </c>
      <c r="E21" s="33">
        <v>0</v>
      </c>
      <c r="F21" s="21">
        <f t="shared" ref="F21:F24" si="24">D21*E21</f>
        <v>0</v>
      </c>
      <c r="G21" s="31">
        <f t="shared" ref="G21:G24" si="25">F21*0.05</f>
        <v>0</v>
      </c>
      <c r="H21" s="31">
        <f t="shared" ref="H21:H24" si="26">F21*0.1</f>
        <v>0</v>
      </c>
      <c r="I21" s="35">
        <f t="shared" ref="I21:I24" si="27">F21*$F$2+G21*$G$2+H21*$H$2</f>
        <v>0</v>
      </c>
      <c r="J21" s="51"/>
    </row>
    <row r="22" spans="1:10" ht="15.5" x14ac:dyDescent="0.35">
      <c r="A22" s="34" t="s">
        <v>93</v>
      </c>
      <c r="B22" s="21">
        <v>2</v>
      </c>
      <c r="C22" s="21">
        <v>1</v>
      </c>
      <c r="D22" s="21">
        <f t="shared" ref="D22" si="28">B22*C22</f>
        <v>2</v>
      </c>
      <c r="E22" s="45">
        <f>E11</f>
        <v>45.933333333333337</v>
      </c>
      <c r="F22" s="39">
        <f t="shared" si="24"/>
        <v>91.866666666666674</v>
      </c>
      <c r="G22" s="39">
        <f t="shared" si="25"/>
        <v>4.5933333333333337</v>
      </c>
      <c r="H22" s="39">
        <f t="shared" si="26"/>
        <v>9.1866666666666674</v>
      </c>
      <c r="I22" s="35">
        <f t="shared" si="27"/>
        <v>12684.260333333332</v>
      </c>
    </row>
    <row r="23" spans="1:10" ht="15.5" x14ac:dyDescent="0.35">
      <c r="A23" s="34" t="s">
        <v>96</v>
      </c>
      <c r="B23" s="21">
        <v>2</v>
      </c>
      <c r="C23" s="21">
        <v>1</v>
      </c>
      <c r="D23" s="21">
        <f t="shared" ref="D23" si="29">B23*C23</f>
        <v>2</v>
      </c>
      <c r="E23" s="46">
        <f>E12</f>
        <v>0</v>
      </c>
      <c r="F23" s="39">
        <f t="shared" si="24"/>
        <v>0</v>
      </c>
      <c r="G23" s="39">
        <f t="shared" si="25"/>
        <v>0</v>
      </c>
      <c r="H23" s="39">
        <f t="shared" si="26"/>
        <v>0</v>
      </c>
      <c r="I23" s="35">
        <f t="shared" si="27"/>
        <v>0</v>
      </c>
      <c r="J23" s="51"/>
    </row>
    <row r="24" spans="1:10" ht="15.5" x14ac:dyDescent="0.35">
      <c r="A24" s="34" t="s">
        <v>64</v>
      </c>
      <c r="B24" s="21">
        <v>4</v>
      </c>
      <c r="C24" s="21">
        <v>1</v>
      </c>
      <c r="D24" s="21">
        <f t="shared" si="23"/>
        <v>4</v>
      </c>
      <c r="E24" s="21">
        <v>0</v>
      </c>
      <c r="F24" s="21">
        <f t="shared" si="24"/>
        <v>0</v>
      </c>
      <c r="G24" s="21">
        <f t="shared" si="25"/>
        <v>0</v>
      </c>
      <c r="H24" s="21">
        <f t="shared" si="26"/>
        <v>0</v>
      </c>
      <c r="I24" s="35">
        <f t="shared" si="27"/>
        <v>0</v>
      </c>
    </row>
    <row r="25" spans="1:10" x14ac:dyDescent="0.35">
      <c r="A25" s="34" t="s">
        <v>60</v>
      </c>
      <c r="B25" s="21" t="s">
        <v>13</v>
      </c>
      <c r="C25" s="21"/>
      <c r="D25" s="21"/>
      <c r="E25" s="21"/>
      <c r="F25" s="21"/>
      <c r="G25" s="21"/>
      <c r="H25" s="21"/>
      <c r="I25" s="40"/>
    </row>
    <row r="26" spans="1:10" ht="15.5" x14ac:dyDescent="0.35">
      <c r="A26" s="34" t="s">
        <v>65</v>
      </c>
      <c r="B26" s="21" t="s">
        <v>17</v>
      </c>
      <c r="C26" s="21"/>
      <c r="D26" s="21"/>
      <c r="E26" s="21"/>
      <c r="F26" s="21"/>
      <c r="G26" s="21"/>
      <c r="H26" s="21"/>
      <c r="I26" s="40"/>
    </row>
    <row r="27" spans="1:10" ht="15.5" x14ac:dyDescent="0.35">
      <c r="A27" s="25" t="s">
        <v>99</v>
      </c>
      <c r="B27" s="1">
        <v>10</v>
      </c>
      <c r="C27" s="1">
        <v>2</v>
      </c>
      <c r="D27" s="1">
        <f>B27*C27</f>
        <v>20</v>
      </c>
      <c r="E27" s="1">
        <v>130</v>
      </c>
      <c r="F27" s="1">
        <f>D27*E27</f>
        <v>2600</v>
      </c>
      <c r="G27" s="1">
        <f t="shared" ref="G27" si="30">F27*0.05</f>
        <v>130</v>
      </c>
      <c r="H27" s="1">
        <f>F27*0.1</f>
        <v>260</v>
      </c>
      <c r="I27" s="5">
        <f>F27*$F$2+G27*$G$2+H27*$H$2</f>
        <v>358988.5</v>
      </c>
    </row>
    <row r="28" spans="1:10" x14ac:dyDescent="0.35">
      <c r="A28" s="7" t="s">
        <v>20</v>
      </c>
      <c r="B28" s="3"/>
      <c r="C28" s="3"/>
      <c r="D28" s="3"/>
      <c r="E28" s="3"/>
      <c r="F28" s="91">
        <f>SUM(F8:H27)</f>
        <v>8274.7674999999999</v>
      </c>
      <c r="G28" s="92"/>
      <c r="H28" s="93"/>
      <c r="I28" s="17">
        <f>SUM(I8:I27)</f>
        <v>993493.77012499992</v>
      </c>
    </row>
    <row r="29" spans="1:10" x14ac:dyDescent="0.35">
      <c r="A29" s="2" t="s">
        <v>21</v>
      </c>
      <c r="B29" s="3"/>
      <c r="C29" s="3"/>
      <c r="D29" s="3"/>
      <c r="E29" s="3"/>
      <c r="F29" s="3"/>
      <c r="G29" s="3"/>
      <c r="H29" s="3"/>
      <c r="I29" s="4"/>
    </row>
    <row r="30" spans="1:10" x14ac:dyDescent="0.35">
      <c r="A30" s="23" t="s">
        <v>62</v>
      </c>
      <c r="B30" s="1" t="s">
        <v>22</v>
      </c>
      <c r="C30" s="11"/>
      <c r="D30" s="11"/>
      <c r="E30" s="11"/>
      <c r="F30" s="11"/>
      <c r="G30" s="11"/>
      <c r="H30" s="11"/>
      <c r="I30" s="4"/>
    </row>
    <row r="31" spans="1:10" x14ac:dyDescent="0.35">
      <c r="A31" s="23" t="s">
        <v>55</v>
      </c>
      <c r="B31" s="1" t="s">
        <v>17</v>
      </c>
      <c r="C31" s="11"/>
      <c r="D31" s="11"/>
      <c r="E31" s="11"/>
      <c r="F31" s="11"/>
      <c r="G31" s="11"/>
      <c r="H31" s="11"/>
      <c r="I31" s="4"/>
    </row>
    <row r="32" spans="1:10" x14ac:dyDescent="0.35">
      <c r="A32" s="23" t="s">
        <v>56</v>
      </c>
      <c r="B32" s="1" t="s">
        <v>17</v>
      </c>
      <c r="C32" s="11"/>
      <c r="D32" s="11"/>
      <c r="E32" s="11"/>
      <c r="F32" s="11"/>
      <c r="G32" s="11"/>
      <c r="H32" s="11"/>
      <c r="I32" s="4"/>
    </row>
    <row r="33" spans="1:12" ht="15.5" x14ac:dyDescent="0.35">
      <c r="A33" s="23" t="s">
        <v>100</v>
      </c>
      <c r="B33" s="1" t="s">
        <v>13</v>
      </c>
      <c r="C33" s="11"/>
      <c r="D33" s="11"/>
      <c r="E33" s="11"/>
      <c r="F33" s="11"/>
      <c r="G33" s="11"/>
      <c r="H33" s="11"/>
      <c r="I33" s="4"/>
    </row>
    <row r="34" spans="1:12" ht="15.5" x14ac:dyDescent="0.35">
      <c r="A34" s="23" t="s">
        <v>104</v>
      </c>
      <c r="B34" s="11"/>
      <c r="C34" s="11"/>
      <c r="D34" s="11"/>
      <c r="E34" s="11"/>
      <c r="F34" s="11"/>
      <c r="G34" s="11"/>
      <c r="H34" s="11"/>
      <c r="I34" s="4"/>
    </row>
    <row r="35" spans="1:12" ht="15.5" x14ac:dyDescent="0.35">
      <c r="A35" s="25" t="s">
        <v>107</v>
      </c>
      <c r="B35" s="1">
        <v>1</v>
      </c>
      <c r="C35" s="1">
        <v>52</v>
      </c>
      <c r="D35" s="1">
        <f t="shared" ref="D35:D38" si="31">B35*C35</f>
        <v>52</v>
      </c>
      <c r="E35" s="1">
        <v>130</v>
      </c>
      <c r="F35" s="1">
        <f t="shared" ref="F35:F36" si="32">D35*E35</f>
        <v>6760</v>
      </c>
      <c r="G35" s="1">
        <f t="shared" ref="G35:G38" si="33">F35*0.05</f>
        <v>338</v>
      </c>
      <c r="H35" s="1">
        <f t="shared" ref="H35:H36" si="34">F35*0.1</f>
        <v>676</v>
      </c>
      <c r="I35" s="5">
        <f t="shared" ref="I35:I36" si="35">F35*$F$2+G35*$G$2+H35*$H$2</f>
        <v>933370.10000000009</v>
      </c>
    </row>
    <row r="36" spans="1:12" ht="15.5" x14ac:dyDescent="0.35">
      <c r="A36" s="26" t="s">
        <v>109</v>
      </c>
      <c r="B36" s="1">
        <v>4</v>
      </c>
      <c r="C36" s="1">
        <v>1</v>
      </c>
      <c r="D36" s="1">
        <f t="shared" si="31"/>
        <v>4</v>
      </c>
      <c r="E36" s="47">
        <v>0</v>
      </c>
      <c r="F36" s="1">
        <f t="shared" si="32"/>
        <v>0</v>
      </c>
      <c r="G36" s="1">
        <f t="shared" si="33"/>
        <v>0</v>
      </c>
      <c r="H36" s="1">
        <f t="shared" si="34"/>
        <v>0</v>
      </c>
      <c r="I36" s="5">
        <f t="shared" si="35"/>
        <v>0</v>
      </c>
      <c r="J36" s="51"/>
    </row>
    <row r="37" spans="1:12" ht="26" x14ac:dyDescent="0.35">
      <c r="A37" s="23" t="s">
        <v>23</v>
      </c>
      <c r="B37" s="1" t="s">
        <v>13</v>
      </c>
      <c r="C37" s="11"/>
      <c r="D37" s="11"/>
      <c r="E37" s="11"/>
      <c r="F37" s="11"/>
      <c r="G37" s="1">
        <f t="shared" si="33"/>
        <v>0</v>
      </c>
      <c r="H37" s="11"/>
      <c r="I37" s="14"/>
    </row>
    <row r="38" spans="1:12" ht="15.5" x14ac:dyDescent="0.35">
      <c r="A38" s="23" t="s">
        <v>106</v>
      </c>
      <c r="B38" s="1">
        <v>0.25</v>
      </c>
      <c r="C38" s="1">
        <v>1</v>
      </c>
      <c r="D38" s="1">
        <f t="shared" si="31"/>
        <v>0.25</v>
      </c>
      <c r="E38" s="1">
        <v>130</v>
      </c>
      <c r="F38" s="1">
        <f>D38*E38</f>
        <v>32.5</v>
      </c>
      <c r="G38" s="16">
        <f t="shared" si="33"/>
        <v>1.625</v>
      </c>
      <c r="H38" s="16">
        <f>F38*0.1</f>
        <v>3.25</v>
      </c>
      <c r="I38" s="5">
        <v>3459.07</v>
      </c>
    </row>
    <row r="39" spans="1:12" x14ac:dyDescent="0.35">
      <c r="A39" s="23" t="s">
        <v>24</v>
      </c>
      <c r="B39" s="1" t="s">
        <v>13</v>
      </c>
      <c r="C39" s="3"/>
      <c r="D39" s="3"/>
      <c r="E39" s="3"/>
      <c r="F39" s="3"/>
      <c r="G39" s="3"/>
      <c r="H39" s="3"/>
      <c r="I39" s="4"/>
    </row>
    <row r="40" spans="1:12" ht="25.5" customHeight="1" x14ac:dyDescent="0.35">
      <c r="A40" s="94" t="s">
        <v>25</v>
      </c>
      <c r="B40" s="95"/>
      <c r="C40" s="95"/>
      <c r="D40" s="95"/>
      <c r="E40" s="96"/>
      <c r="F40" s="91">
        <f>SUM(F35:H38)</f>
        <v>7811.375</v>
      </c>
      <c r="G40" s="92"/>
      <c r="H40" s="93"/>
      <c r="I40" s="10">
        <f>SUM(I35:I38)</f>
        <v>936829.17</v>
      </c>
    </row>
    <row r="41" spans="1:12" ht="25.5" customHeight="1" x14ac:dyDescent="0.35">
      <c r="A41" s="94" t="s">
        <v>111</v>
      </c>
      <c r="B41" s="95"/>
      <c r="C41" s="95"/>
      <c r="D41" s="95"/>
      <c r="E41" s="96"/>
      <c r="F41" s="91">
        <f>ROUND(SUM(F40,F28),-2)</f>
        <v>16100</v>
      </c>
      <c r="G41" s="92"/>
      <c r="H41" s="93"/>
      <c r="I41" s="10">
        <f>ROUND(SUM(I40,I28),-4)</f>
        <v>1930000</v>
      </c>
      <c r="K41" s="49">
        <f>F41/Responses!E11</f>
        <v>37.80940303414588</v>
      </c>
      <c r="L41" t="s">
        <v>69</v>
      </c>
    </row>
    <row r="42" spans="1:12" s="19" customFormat="1" ht="15" x14ac:dyDescent="0.3">
      <c r="A42" s="98" t="s">
        <v>155</v>
      </c>
      <c r="B42" s="98"/>
      <c r="C42" s="98"/>
      <c r="D42" s="98"/>
      <c r="E42" s="98"/>
      <c r="F42" s="98"/>
      <c r="G42" s="98"/>
      <c r="H42" s="99"/>
      <c r="I42" s="18">
        <f>'Capital O&amp;M'!I12</f>
        <v>8020000</v>
      </c>
      <c r="J42" s="44"/>
    </row>
    <row r="43" spans="1:12" s="20" customFormat="1" ht="15" x14ac:dyDescent="0.3">
      <c r="A43" s="98" t="s">
        <v>156</v>
      </c>
      <c r="B43" s="100"/>
      <c r="C43" s="100"/>
      <c r="D43" s="100"/>
      <c r="E43" s="100"/>
      <c r="F43" s="100"/>
      <c r="G43" s="100"/>
      <c r="H43" s="101"/>
      <c r="I43" s="18">
        <f>ROUND(SUM(I41:I42),-5)</f>
        <v>10000000</v>
      </c>
    </row>
    <row r="45" spans="1:12" x14ac:dyDescent="0.35">
      <c r="A45" s="88" t="s">
        <v>32</v>
      </c>
      <c r="B45" s="88"/>
      <c r="C45" s="88"/>
      <c r="D45" s="88"/>
      <c r="E45" s="88"/>
      <c r="F45" s="88"/>
      <c r="G45" s="88"/>
      <c r="H45" s="88"/>
      <c r="I45" s="88"/>
    </row>
    <row r="46" spans="1:12" ht="35.25" customHeight="1" x14ac:dyDescent="0.35">
      <c r="A46" s="86" t="s">
        <v>157</v>
      </c>
      <c r="B46" s="86"/>
      <c r="C46" s="86"/>
      <c r="D46" s="86"/>
      <c r="E46" s="86"/>
      <c r="F46" s="86"/>
      <c r="G46" s="86"/>
      <c r="H46" s="86"/>
      <c r="I46" s="86"/>
    </row>
    <row r="47" spans="1:12" ht="57.65" customHeight="1" x14ac:dyDescent="0.35">
      <c r="A47" s="86" t="s">
        <v>90</v>
      </c>
      <c r="B47" s="87"/>
      <c r="C47" s="87"/>
      <c r="D47" s="87"/>
      <c r="E47" s="87"/>
      <c r="F47" s="87"/>
      <c r="G47" s="87"/>
      <c r="H47" s="87"/>
      <c r="I47" s="87"/>
    </row>
    <row r="48" spans="1:12" ht="17.25" customHeight="1" x14ac:dyDescent="0.35">
      <c r="A48" s="102" t="s">
        <v>158</v>
      </c>
      <c r="B48" s="102"/>
      <c r="C48" s="102"/>
      <c r="D48" s="102"/>
      <c r="E48" s="102"/>
      <c r="F48" s="102"/>
      <c r="G48" s="102"/>
      <c r="H48" s="102"/>
      <c r="I48" s="102"/>
    </row>
    <row r="49" spans="1:10" ht="21" customHeight="1" x14ac:dyDescent="0.35">
      <c r="A49" s="86" t="s">
        <v>78</v>
      </c>
      <c r="B49" s="87"/>
      <c r="C49" s="87"/>
      <c r="D49" s="87"/>
      <c r="E49" s="87"/>
      <c r="F49" s="87"/>
      <c r="G49" s="87"/>
      <c r="H49" s="87"/>
      <c r="I49" s="87"/>
    </row>
    <row r="50" spans="1:10" x14ac:dyDescent="0.35">
      <c r="A50" s="86" t="s">
        <v>79</v>
      </c>
      <c r="B50" s="87"/>
      <c r="C50" s="87"/>
      <c r="D50" s="87"/>
      <c r="E50" s="87"/>
      <c r="F50" s="87"/>
      <c r="G50" s="87"/>
      <c r="H50" s="87"/>
      <c r="I50" s="87"/>
      <c r="J50" s="42"/>
    </row>
    <row r="51" spans="1:10" ht="57" customHeight="1" x14ac:dyDescent="0.35">
      <c r="A51" s="86" t="s">
        <v>159</v>
      </c>
      <c r="B51" s="87"/>
      <c r="C51" s="87"/>
      <c r="D51" s="87"/>
      <c r="E51" s="87"/>
      <c r="F51" s="87"/>
      <c r="G51" s="87"/>
      <c r="H51" s="87"/>
      <c r="I51" s="87"/>
    </row>
    <row r="52" spans="1:10" ht="31.5" customHeight="1" x14ac:dyDescent="0.35">
      <c r="A52" s="86" t="s">
        <v>94</v>
      </c>
      <c r="B52" s="87"/>
      <c r="C52" s="87"/>
      <c r="D52" s="87"/>
      <c r="E52" s="87"/>
      <c r="F52" s="87"/>
      <c r="G52" s="87"/>
      <c r="H52" s="87"/>
      <c r="I52" s="87"/>
    </row>
    <row r="53" spans="1:10" ht="46.5" customHeight="1" x14ac:dyDescent="0.35">
      <c r="A53" s="86" t="s">
        <v>160</v>
      </c>
      <c r="B53" s="87"/>
      <c r="C53" s="87"/>
      <c r="D53" s="87"/>
      <c r="E53" s="87"/>
      <c r="F53" s="87"/>
      <c r="G53" s="87"/>
      <c r="H53" s="87"/>
      <c r="I53" s="87"/>
    </row>
    <row r="54" spans="1:10" x14ac:dyDescent="0.35">
      <c r="A54" s="86" t="s">
        <v>98</v>
      </c>
      <c r="B54" s="87"/>
      <c r="C54" s="87"/>
      <c r="D54" s="87"/>
      <c r="E54" s="87"/>
      <c r="F54" s="87"/>
      <c r="G54" s="87"/>
      <c r="H54" s="87"/>
      <c r="I54" s="87"/>
    </row>
    <row r="55" spans="1:10" x14ac:dyDescent="0.35">
      <c r="A55" s="86" t="s">
        <v>101</v>
      </c>
      <c r="B55" s="87"/>
      <c r="C55" s="87"/>
      <c r="D55" s="87"/>
      <c r="E55" s="87"/>
      <c r="F55" s="87"/>
      <c r="G55" s="87"/>
      <c r="H55" s="87"/>
      <c r="I55" s="87"/>
    </row>
    <row r="56" spans="1:10" ht="45.75" customHeight="1" x14ac:dyDescent="0.35">
      <c r="A56" s="86" t="s">
        <v>102</v>
      </c>
      <c r="B56" s="87"/>
      <c r="C56" s="87"/>
      <c r="D56" s="87"/>
      <c r="E56" s="87"/>
      <c r="F56" s="87"/>
      <c r="G56" s="87"/>
      <c r="H56" s="87"/>
      <c r="I56" s="87"/>
    </row>
    <row r="57" spans="1:10" x14ac:dyDescent="0.35">
      <c r="A57" s="86" t="s">
        <v>103</v>
      </c>
      <c r="B57" s="87"/>
      <c r="C57" s="87"/>
      <c r="D57" s="87"/>
      <c r="E57" s="87"/>
      <c r="F57" s="87"/>
      <c r="G57" s="87"/>
      <c r="H57" s="87"/>
      <c r="I57" s="87"/>
    </row>
    <row r="58" spans="1:10" x14ac:dyDescent="0.35">
      <c r="A58" s="86" t="s">
        <v>105</v>
      </c>
      <c r="B58" s="87"/>
      <c r="C58" s="87"/>
      <c r="D58" s="87"/>
      <c r="E58" s="87"/>
      <c r="F58" s="87"/>
      <c r="G58" s="87"/>
      <c r="H58" s="87"/>
      <c r="I58" s="87"/>
    </row>
    <row r="59" spans="1:10" ht="32.25" customHeight="1" x14ac:dyDescent="0.35">
      <c r="A59" s="86" t="s">
        <v>108</v>
      </c>
      <c r="B59" s="97"/>
      <c r="C59" s="97"/>
      <c r="D59" s="97"/>
      <c r="E59" s="97"/>
      <c r="F59" s="97"/>
      <c r="G59" s="97"/>
      <c r="H59" s="97"/>
      <c r="I59" s="97"/>
      <c r="J59" s="42"/>
    </row>
    <row r="60" spans="1:10" x14ac:dyDescent="0.35">
      <c r="A60" s="86" t="s">
        <v>110</v>
      </c>
      <c r="B60" s="97"/>
      <c r="C60" s="97"/>
      <c r="D60" s="97"/>
      <c r="E60" s="97"/>
      <c r="F60" s="97"/>
      <c r="G60" s="97"/>
      <c r="H60" s="97"/>
      <c r="I60" s="97"/>
    </row>
  </sheetData>
  <mergeCells count="24">
    <mergeCell ref="A60:I60"/>
    <mergeCell ref="A42:H42"/>
    <mergeCell ref="A43:H43"/>
    <mergeCell ref="A55:I55"/>
    <mergeCell ref="A56:I56"/>
    <mergeCell ref="A57:I57"/>
    <mergeCell ref="A58:I58"/>
    <mergeCell ref="A51:I51"/>
    <mergeCell ref="A46:I46"/>
    <mergeCell ref="A47:I47"/>
    <mergeCell ref="A49:I49"/>
    <mergeCell ref="A50:I50"/>
    <mergeCell ref="A54:I54"/>
    <mergeCell ref="A48:I48"/>
    <mergeCell ref="A52:I52"/>
    <mergeCell ref="A59:I59"/>
    <mergeCell ref="A53:I53"/>
    <mergeCell ref="A45:I45"/>
    <mergeCell ref="A3:A4"/>
    <mergeCell ref="F28:H28"/>
    <mergeCell ref="F40:H40"/>
    <mergeCell ref="F41:H41"/>
    <mergeCell ref="A40:E40"/>
    <mergeCell ref="A41:E41"/>
  </mergeCells>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8"/>
  <sheetViews>
    <sheetView topLeftCell="A4" workbookViewId="0">
      <selection activeCell="A28" sqref="A28:I28"/>
    </sheetView>
  </sheetViews>
  <sheetFormatPr defaultRowHeight="14.5" x14ac:dyDescent="0.35"/>
  <cols>
    <col min="1" max="1" width="41.81640625" customWidth="1"/>
    <col min="2" max="9" width="12.7265625" customWidth="1"/>
    <col min="11" max="11" width="13.26953125" customWidth="1"/>
    <col min="12" max="12" width="14.7265625" customWidth="1"/>
    <col min="13" max="13" width="12.453125" customWidth="1"/>
  </cols>
  <sheetData>
    <row r="1" spans="1:13" x14ac:dyDescent="0.35">
      <c r="A1" s="83" t="s">
        <v>33</v>
      </c>
    </row>
    <row r="2" spans="1:13" x14ac:dyDescent="0.35">
      <c r="F2">
        <v>52.37</v>
      </c>
      <c r="G2">
        <v>70.56</v>
      </c>
      <c r="H2">
        <v>28.34</v>
      </c>
    </row>
    <row r="3" spans="1:13" x14ac:dyDescent="0.35">
      <c r="A3" s="104" t="s">
        <v>34</v>
      </c>
      <c r="B3" s="9" t="s">
        <v>2</v>
      </c>
      <c r="C3" s="9" t="s">
        <v>3</v>
      </c>
      <c r="D3" s="9" t="s">
        <v>4</v>
      </c>
      <c r="E3" s="9" t="s">
        <v>5</v>
      </c>
      <c r="F3" s="9" t="s">
        <v>6</v>
      </c>
      <c r="G3" s="9" t="s">
        <v>7</v>
      </c>
      <c r="H3" s="9" t="s">
        <v>8</v>
      </c>
      <c r="I3" s="9" t="s">
        <v>9</v>
      </c>
    </row>
    <row r="4" spans="1:13" ht="61.5" customHeight="1" x14ac:dyDescent="0.35">
      <c r="A4" s="105"/>
      <c r="B4" s="9" t="s">
        <v>35</v>
      </c>
      <c r="C4" s="9" t="s">
        <v>36</v>
      </c>
      <c r="D4" s="9" t="s">
        <v>46</v>
      </c>
      <c r="E4" s="9" t="s">
        <v>37</v>
      </c>
      <c r="F4" s="9" t="s">
        <v>27</v>
      </c>
      <c r="G4" s="9" t="s">
        <v>28</v>
      </c>
      <c r="H4" s="9" t="s">
        <v>47</v>
      </c>
      <c r="I4" s="9" t="s">
        <v>48</v>
      </c>
      <c r="K4" s="28" t="s">
        <v>49</v>
      </c>
      <c r="L4" s="28" t="s">
        <v>50</v>
      </c>
      <c r="M4" s="28" t="s">
        <v>51</v>
      </c>
    </row>
    <row r="5" spans="1:13" x14ac:dyDescent="0.35">
      <c r="A5" s="6" t="s">
        <v>38</v>
      </c>
      <c r="B5" s="1"/>
      <c r="C5" s="1"/>
      <c r="D5" s="1"/>
      <c r="E5" s="1"/>
      <c r="F5" s="1"/>
      <c r="G5" s="1"/>
      <c r="H5" s="1"/>
      <c r="I5" s="4"/>
      <c r="K5" s="27" t="s">
        <v>52</v>
      </c>
      <c r="L5" s="27">
        <v>92</v>
      </c>
      <c r="M5" s="27">
        <v>106</v>
      </c>
    </row>
    <row r="6" spans="1:13" x14ac:dyDescent="0.35">
      <c r="A6" s="2" t="s">
        <v>39</v>
      </c>
      <c r="B6" s="1" t="s">
        <v>13</v>
      </c>
      <c r="C6" s="1"/>
      <c r="D6" s="1"/>
      <c r="E6" s="1"/>
      <c r="F6" s="1"/>
      <c r="G6" s="1"/>
      <c r="H6" s="1"/>
      <c r="I6" s="4"/>
      <c r="K6" s="27" t="s">
        <v>53</v>
      </c>
      <c r="L6" s="27">
        <v>104</v>
      </c>
      <c r="M6" s="27">
        <v>138</v>
      </c>
    </row>
    <row r="7" spans="1:13" x14ac:dyDescent="0.35">
      <c r="A7" s="2" t="s">
        <v>40</v>
      </c>
      <c r="B7" s="1" t="s">
        <v>13</v>
      </c>
      <c r="C7" s="1"/>
      <c r="D7" s="1"/>
      <c r="E7" s="1"/>
      <c r="F7" s="1"/>
      <c r="G7" s="1"/>
      <c r="H7" s="1"/>
      <c r="I7" s="4"/>
      <c r="K7" s="27" t="s">
        <v>54</v>
      </c>
      <c r="L7" s="27">
        <v>96</v>
      </c>
      <c r="M7" s="27">
        <v>231</v>
      </c>
    </row>
    <row r="8" spans="1:13" x14ac:dyDescent="0.35">
      <c r="A8" s="2" t="s">
        <v>41</v>
      </c>
      <c r="B8" s="1" t="s">
        <v>13</v>
      </c>
      <c r="C8" s="1"/>
      <c r="D8" s="6"/>
      <c r="E8" s="6"/>
      <c r="F8" s="6"/>
      <c r="G8" s="6"/>
      <c r="H8" s="6"/>
      <c r="I8" s="6"/>
    </row>
    <row r="9" spans="1:13" ht="15.5" x14ac:dyDescent="0.35">
      <c r="A9" s="2" t="s">
        <v>74</v>
      </c>
      <c r="B9" s="1">
        <v>2</v>
      </c>
      <c r="C9" s="1">
        <v>1</v>
      </c>
      <c r="D9" s="1">
        <f>B9*C9</f>
        <v>2</v>
      </c>
      <c r="E9" s="33">
        <f>'Table 1'!E21</f>
        <v>0</v>
      </c>
      <c r="F9" s="1">
        <f>D9*E9</f>
        <v>0</v>
      </c>
      <c r="G9" s="22">
        <f>F9*0.05</f>
        <v>0</v>
      </c>
      <c r="H9" s="22">
        <f>F9*0.1</f>
        <v>0</v>
      </c>
      <c r="I9" s="14">
        <f>SUM(F9*$F$2+G9*$G$2+H9*$H$2)</f>
        <v>0</v>
      </c>
    </row>
    <row r="10" spans="1:13" ht="15.5" x14ac:dyDescent="0.35">
      <c r="A10" s="29" t="s">
        <v>75</v>
      </c>
      <c r="B10" s="21">
        <v>2</v>
      </c>
      <c r="C10" s="21">
        <v>1</v>
      </c>
      <c r="D10" s="21">
        <f t="shared" ref="D10" si="0">B10*C10</f>
        <v>2</v>
      </c>
      <c r="E10" s="45">
        <f>'Table 1'!E22</f>
        <v>45.933333333333337</v>
      </c>
      <c r="F10" s="31">
        <f t="shared" ref="F10" si="1">D10*E10</f>
        <v>91.866666666666674</v>
      </c>
      <c r="G10" s="31">
        <f t="shared" ref="G10" si="2">F10*0.05</f>
        <v>4.5933333333333337</v>
      </c>
      <c r="H10" s="31">
        <f t="shared" ref="H10" si="3">F10*0.1</f>
        <v>9.1866666666666674</v>
      </c>
      <c r="I10" s="32">
        <f t="shared" ref="I10" si="4">SUM(F10*$F$2+G10*$G$2+H10*$H$2)</f>
        <v>5395.5130666666664</v>
      </c>
    </row>
    <row r="11" spans="1:13" ht="15.5" x14ac:dyDescent="0.35">
      <c r="A11" s="29" t="s">
        <v>76</v>
      </c>
      <c r="B11" s="21">
        <v>2</v>
      </c>
      <c r="C11" s="21">
        <v>1</v>
      </c>
      <c r="D11" s="21">
        <f t="shared" ref="D11" si="5">B11*C11</f>
        <v>2</v>
      </c>
      <c r="E11" s="46">
        <f>'Table 1'!E23</f>
        <v>0</v>
      </c>
      <c r="F11" s="39">
        <f t="shared" ref="F11" si="6">D11*E11</f>
        <v>0</v>
      </c>
      <c r="G11" s="39">
        <f t="shared" ref="G11" si="7">F11*0.05</f>
        <v>0</v>
      </c>
      <c r="H11" s="39">
        <f t="shared" ref="H11" si="8">F11*0.1</f>
        <v>0</v>
      </c>
      <c r="I11" s="40">
        <f t="shared" ref="I11" si="9">SUM(F11*$F$2+G11*$G$2+H11*$H$2)</f>
        <v>0</v>
      </c>
    </row>
    <row r="12" spans="1:13" ht="15.5" x14ac:dyDescent="0.35">
      <c r="A12" s="2" t="s">
        <v>112</v>
      </c>
      <c r="B12" s="1">
        <v>2</v>
      </c>
      <c r="C12" s="1">
        <v>1</v>
      </c>
      <c r="D12" s="1">
        <f t="shared" ref="D12:D15" si="10">B12*C12</f>
        <v>2</v>
      </c>
      <c r="E12" s="1">
        <v>0</v>
      </c>
      <c r="F12" s="1">
        <f t="shared" ref="F12:F14" si="11">D12*E12</f>
        <v>0</v>
      </c>
      <c r="G12" s="1">
        <f t="shared" ref="G12:G14" si="12">F12*0.05</f>
        <v>0</v>
      </c>
      <c r="H12" s="1">
        <f t="shared" ref="H12:H14" si="13">F12*0.1</f>
        <v>0</v>
      </c>
      <c r="I12" s="14">
        <f t="shared" ref="I12:I14" si="14">SUM(F12*$F$2+G12*$G$2+H12*$H$2)</f>
        <v>0</v>
      </c>
    </row>
    <row r="13" spans="1:13" ht="28.5" x14ac:dyDescent="0.35">
      <c r="A13" s="2" t="s">
        <v>42</v>
      </c>
      <c r="B13" s="1">
        <v>4</v>
      </c>
      <c r="C13" s="1">
        <v>1</v>
      </c>
      <c r="D13" s="1">
        <f t="shared" si="10"/>
        <v>4</v>
      </c>
      <c r="E13" s="22">
        <v>0</v>
      </c>
      <c r="F13" s="22">
        <f t="shared" si="11"/>
        <v>0</v>
      </c>
      <c r="G13" s="22">
        <f t="shared" si="12"/>
        <v>0</v>
      </c>
      <c r="H13" s="22">
        <f t="shared" si="13"/>
        <v>0</v>
      </c>
      <c r="I13" s="14">
        <f t="shared" si="14"/>
        <v>0</v>
      </c>
    </row>
    <row r="14" spans="1:13" x14ac:dyDescent="0.35">
      <c r="A14" s="2" t="s">
        <v>43</v>
      </c>
      <c r="B14" s="1">
        <v>8</v>
      </c>
      <c r="C14" s="1">
        <v>1</v>
      </c>
      <c r="D14" s="1">
        <f t="shared" si="10"/>
        <v>8</v>
      </c>
      <c r="E14" s="21">
        <v>0</v>
      </c>
      <c r="F14" s="1">
        <f t="shared" si="11"/>
        <v>0</v>
      </c>
      <c r="G14" s="1">
        <f t="shared" si="12"/>
        <v>0</v>
      </c>
      <c r="H14" s="1">
        <f t="shared" si="13"/>
        <v>0</v>
      </c>
      <c r="I14" s="14">
        <f t="shared" si="14"/>
        <v>0</v>
      </c>
    </row>
    <row r="15" spans="1:13" ht="15.5" x14ac:dyDescent="0.35">
      <c r="A15" s="29" t="s">
        <v>113</v>
      </c>
      <c r="B15" s="21">
        <v>8</v>
      </c>
      <c r="C15" s="21">
        <v>1</v>
      </c>
      <c r="D15" s="21">
        <f t="shared" si="10"/>
        <v>8</v>
      </c>
      <c r="E15" s="21">
        <v>60</v>
      </c>
      <c r="F15" s="1">
        <f t="shared" ref="F15" si="15">D15*E15</f>
        <v>480</v>
      </c>
      <c r="G15" s="1">
        <f t="shared" ref="G15" si="16">F15*0.05</f>
        <v>24</v>
      </c>
      <c r="H15" s="1">
        <f t="shared" ref="H15" si="17">F15*0.1</f>
        <v>48</v>
      </c>
      <c r="I15" s="13">
        <f t="shared" ref="I15" si="18">SUM(F15*$F$2+G15*$G$2+H15*$H$2)</f>
        <v>28191.359999999997</v>
      </c>
      <c r="J15" s="51"/>
    </row>
    <row r="16" spans="1:13" x14ac:dyDescent="0.35">
      <c r="A16" s="2" t="s">
        <v>44</v>
      </c>
      <c r="B16" s="1" t="s">
        <v>13</v>
      </c>
      <c r="C16" s="1"/>
      <c r="D16" s="1"/>
      <c r="E16" s="1"/>
      <c r="F16" s="1"/>
      <c r="G16" s="1"/>
      <c r="H16" s="1"/>
      <c r="I16" s="4"/>
    </row>
    <row r="17" spans="1:10" ht="15.5" x14ac:dyDescent="0.35">
      <c r="A17" s="2" t="s">
        <v>115</v>
      </c>
      <c r="B17" s="1">
        <v>2</v>
      </c>
      <c r="C17" s="1">
        <v>2</v>
      </c>
      <c r="D17" s="1">
        <f t="shared" ref="D17:D18" si="19">B17*C17</f>
        <v>4</v>
      </c>
      <c r="E17" s="1">
        <v>130</v>
      </c>
      <c r="F17" s="1">
        <f t="shared" ref="F17:F18" si="20">D17*E17</f>
        <v>520</v>
      </c>
      <c r="G17" s="1">
        <f t="shared" ref="G17:G18" si="21">F17*0.05</f>
        <v>26</v>
      </c>
      <c r="H17" s="1">
        <f t="shared" ref="H17:H18" si="22">F17*0.1</f>
        <v>52</v>
      </c>
      <c r="I17" s="13">
        <f t="shared" ref="I17:I18" si="23">SUM(F17*$F$2+G17*$G$2+H17*$H$2)</f>
        <v>30540.639999999999</v>
      </c>
    </row>
    <row r="18" spans="1:10" x14ac:dyDescent="0.35">
      <c r="A18" s="2" t="s">
        <v>45</v>
      </c>
      <c r="B18" s="1">
        <v>4</v>
      </c>
      <c r="C18" s="1">
        <v>1</v>
      </c>
      <c r="D18" s="1">
        <f t="shared" si="19"/>
        <v>4</v>
      </c>
      <c r="E18" s="1">
        <v>0</v>
      </c>
      <c r="F18" s="1">
        <f t="shared" si="20"/>
        <v>0</v>
      </c>
      <c r="G18" s="1">
        <f t="shared" si="21"/>
        <v>0</v>
      </c>
      <c r="H18" s="1">
        <f t="shared" si="22"/>
        <v>0</v>
      </c>
      <c r="I18" s="14">
        <f t="shared" si="23"/>
        <v>0</v>
      </c>
    </row>
    <row r="19" spans="1:10" ht="28" x14ac:dyDescent="0.35">
      <c r="A19" s="8" t="s">
        <v>116</v>
      </c>
      <c r="B19" s="9"/>
      <c r="C19" s="9"/>
      <c r="D19" s="9"/>
      <c r="E19" s="9"/>
      <c r="F19" s="103">
        <f>ROUND(SUM(F9:H18),-1)</f>
        <v>1260</v>
      </c>
      <c r="G19" s="103"/>
      <c r="H19" s="103"/>
      <c r="I19" s="15">
        <f>ROUND(SUM(I9:I18),-2)</f>
        <v>64100</v>
      </c>
    </row>
    <row r="21" spans="1:10" x14ac:dyDescent="0.35">
      <c r="A21" s="12" t="s">
        <v>32</v>
      </c>
    </row>
    <row r="22" spans="1:10" ht="45.75" customHeight="1" x14ac:dyDescent="0.35">
      <c r="A22" s="106" t="s">
        <v>91</v>
      </c>
      <c r="B22" s="106"/>
      <c r="C22" s="106"/>
      <c r="D22" s="106"/>
      <c r="E22" s="106"/>
      <c r="F22" s="106"/>
      <c r="G22" s="106"/>
      <c r="H22" s="106"/>
      <c r="I22" s="106"/>
    </row>
    <row r="23" spans="1:10" ht="18.75" customHeight="1" x14ac:dyDescent="0.35">
      <c r="A23" s="86" t="s">
        <v>73</v>
      </c>
      <c r="B23" s="87"/>
      <c r="C23" s="87"/>
      <c r="D23" s="87"/>
      <c r="E23" s="87"/>
      <c r="F23" s="87"/>
      <c r="G23" s="87"/>
      <c r="H23" s="87"/>
      <c r="I23" s="87"/>
    </row>
    <row r="24" spans="1:10" ht="57" customHeight="1" x14ac:dyDescent="0.35">
      <c r="A24" s="86" t="s">
        <v>163</v>
      </c>
      <c r="B24" s="87"/>
      <c r="C24" s="87"/>
      <c r="D24" s="87"/>
      <c r="E24" s="87"/>
      <c r="F24" s="87"/>
      <c r="G24" s="87"/>
      <c r="H24" s="87"/>
      <c r="I24" s="87"/>
    </row>
    <row r="25" spans="1:10" ht="35.25" customHeight="1" x14ac:dyDescent="0.35">
      <c r="A25" s="86" t="s">
        <v>77</v>
      </c>
      <c r="B25" s="87"/>
      <c r="C25" s="87"/>
      <c r="D25" s="87"/>
      <c r="E25" s="87"/>
      <c r="F25" s="87"/>
      <c r="G25" s="87"/>
      <c r="H25" s="87"/>
      <c r="I25" s="87"/>
    </row>
    <row r="26" spans="1:10" ht="31.5" customHeight="1" x14ac:dyDescent="0.35">
      <c r="A26" s="86" t="s">
        <v>162</v>
      </c>
      <c r="B26" s="86"/>
      <c r="C26" s="86"/>
      <c r="D26" s="86"/>
      <c r="E26" s="86"/>
      <c r="F26" s="86"/>
      <c r="G26" s="86"/>
      <c r="H26" s="86"/>
      <c r="I26" s="86"/>
      <c r="J26" s="42"/>
    </row>
    <row r="27" spans="1:10" ht="15" customHeight="1" x14ac:dyDescent="0.35">
      <c r="A27" s="86" t="s">
        <v>114</v>
      </c>
      <c r="B27" s="87"/>
      <c r="C27" s="87"/>
      <c r="D27" s="87"/>
      <c r="E27" s="87"/>
      <c r="F27" s="87"/>
      <c r="G27" s="87"/>
      <c r="H27" s="87"/>
      <c r="I27" s="87"/>
    </row>
    <row r="28" spans="1:10" x14ac:dyDescent="0.35">
      <c r="A28" s="86" t="s">
        <v>117</v>
      </c>
      <c r="B28" s="97"/>
      <c r="C28" s="97"/>
      <c r="D28" s="97"/>
      <c r="E28" s="97"/>
      <c r="F28" s="97"/>
      <c r="G28" s="97"/>
      <c r="H28" s="97"/>
      <c r="I28" s="97"/>
    </row>
  </sheetData>
  <mergeCells count="9">
    <mergeCell ref="A28:I28"/>
    <mergeCell ref="F19:H19"/>
    <mergeCell ref="A3:A4"/>
    <mergeCell ref="A27:I27"/>
    <mergeCell ref="A22:I22"/>
    <mergeCell ref="A23:I23"/>
    <mergeCell ref="A24:I24"/>
    <mergeCell ref="A25:I25"/>
    <mergeCell ref="A26:I2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2DB28-B626-41C8-9DD4-C20CE50F0816}">
  <dimension ref="A1:I23"/>
  <sheetViews>
    <sheetView topLeftCell="A6" zoomScaleNormal="100" workbookViewId="0">
      <selection activeCell="A21" sqref="A21:G21"/>
    </sheetView>
  </sheetViews>
  <sheetFormatPr defaultColWidth="22" defaultRowHeight="13" x14ac:dyDescent="0.3"/>
  <cols>
    <col min="1" max="1" width="22" style="20"/>
    <col min="2" max="2" width="17.54296875" style="20" customWidth="1"/>
    <col min="3" max="3" width="17.26953125" style="20" customWidth="1"/>
    <col min="4" max="4" width="22" style="20"/>
    <col min="5" max="5" width="19.81640625" style="20" customWidth="1"/>
    <col min="6" max="7" width="16.81640625" style="20" customWidth="1"/>
    <col min="8" max="8" width="6" style="20" customWidth="1"/>
    <col min="9" max="16384" width="22" style="20"/>
  </cols>
  <sheetData>
    <row r="1" spans="1:9" x14ac:dyDescent="0.3">
      <c r="A1" s="69"/>
      <c r="B1" s="68"/>
      <c r="C1" s="68"/>
    </row>
    <row r="2" spans="1:9" x14ac:dyDescent="0.3">
      <c r="A2" s="112" t="s">
        <v>120</v>
      </c>
      <c r="B2" s="112"/>
      <c r="C2" s="112"/>
      <c r="D2" s="112"/>
      <c r="E2" s="112"/>
      <c r="F2" s="112"/>
      <c r="G2" s="113"/>
      <c r="H2" s="56"/>
    </row>
    <row r="3" spans="1:9" x14ac:dyDescent="0.3">
      <c r="A3" s="67" t="s">
        <v>2</v>
      </c>
      <c r="B3" s="67" t="s">
        <v>3</v>
      </c>
      <c r="C3" s="67" t="s">
        <v>4</v>
      </c>
      <c r="D3" s="67" t="s">
        <v>5</v>
      </c>
      <c r="E3" s="67" t="s">
        <v>6</v>
      </c>
      <c r="F3" s="67" t="s">
        <v>7</v>
      </c>
      <c r="G3" s="67" t="s">
        <v>8</v>
      </c>
      <c r="H3" s="56"/>
    </row>
    <row r="4" spans="1:9" ht="46.5" customHeight="1" x14ac:dyDescent="0.3">
      <c r="A4" s="67" t="s">
        <v>80</v>
      </c>
      <c r="B4" s="67" t="s">
        <v>81</v>
      </c>
      <c r="C4" s="67" t="s">
        <v>121</v>
      </c>
      <c r="D4" s="67" t="s">
        <v>119</v>
      </c>
      <c r="E4" s="67" t="s">
        <v>82</v>
      </c>
      <c r="F4" s="67" t="s">
        <v>122</v>
      </c>
      <c r="G4" s="67" t="s">
        <v>118</v>
      </c>
      <c r="H4" s="56"/>
    </row>
    <row r="5" spans="1:9" ht="36.75" customHeight="1" x14ac:dyDescent="0.3">
      <c r="A5" s="66" t="s">
        <v>123</v>
      </c>
      <c r="B5" s="62">
        <v>95700</v>
      </c>
      <c r="C5" s="21">
        <v>0</v>
      </c>
      <c r="D5" s="65">
        <f>B5*C5</f>
        <v>0</v>
      </c>
      <c r="E5" s="65">
        <v>28600</v>
      </c>
      <c r="F5" s="11">
        <v>23</v>
      </c>
      <c r="G5" s="65">
        <f t="shared" ref="G5:G11" si="0">F5*E5</f>
        <v>657800</v>
      </c>
      <c r="H5" s="52"/>
    </row>
    <row r="6" spans="1:9" ht="36.75" customHeight="1" x14ac:dyDescent="0.3">
      <c r="A6" s="3" t="s">
        <v>124</v>
      </c>
      <c r="B6" s="65">
        <v>18900</v>
      </c>
      <c r="C6" s="11">
        <v>0</v>
      </c>
      <c r="D6" s="65">
        <f>B6*C6</f>
        <v>0</v>
      </c>
      <c r="E6" s="65">
        <v>25350</v>
      </c>
      <c r="F6" s="11">
        <v>69</v>
      </c>
      <c r="G6" s="65">
        <f t="shared" si="0"/>
        <v>1749150</v>
      </c>
      <c r="H6" s="52"/>
    </row>
    <row r="7" spans="1:9" ht="36.75" customHeight="1" x14ac:dyDescent="0.3">
      <c r="A7" s="3" t="s">
        <v>125</v>
      </c>
      <c r="B7" s="65">
        <v>0</v>
      </c>
      <c r="C7" s="11">
        <v>0</v>
      </c>
      <c r="D7" s="65">
        <f>B7*C7</f>
        <v>0</v>
      </c>
      <c r="E7" s="65">
        <v>17940</v>
      </c>
      <c r="F7" s="11">
        <v>138</v>
      </c>
      <c r="G7" s="65">
        <f t="shared" si="0"/>
        <v>2475720</v>
      </c>
      <c r="H7" s="55"/>
    </row>
    <row r="8" spans="1:9" ht="36.75" customHeight="1" x14ac:dyDescent="0.3">
      <c r="A8" s="64" t="s">
        <v>126</v>
      </c>
      <c r="B8" s="62">
        <v>74000</v>
      </c>
      <c r="C8" s="39">
        <v>0</v>
      </c>
      <c r="D8" s="62">
        <f>C8*B8</f>
        <v>0</v>
      </c>
      <c r="E8" s="65">
        <v>26000</v>
      </c>
      <c r="F8" s="11">
        <v>71</v>
      </c>
      <c r="G8" s="65">
        <f t="shared" si="0"/>
        <v>1846000</v>
      </c>
      <c r="H8" s="63"/>
    </row>
    <row r="9" spans="1:9" ht="36.75" customHeight="1" x14ac:dyDescent="0.3">
      <c r="A9" s="64" t="s">
        <v>127</v>
      </c>
      <c r="B9" s="62">
        <v>150000</v>
      </c>
      <c r="C9" s="39">
        <v>0</v>
      </c>
      <c r="D9" s="62">
        <f>C9*B9</f>
        <v>0</v>
      </c>
      <c r="E9" s="62">
        <v>34840</v>
      </c>
      <c r="F9" s="21">
        <v>25</v>
      </c>
      <c r="G9" s="62">
        <f t="shared" si="0"/>
        <v>871000</v>
      </c>
    </row>
    <row r="10" spans="1:9" ht="36.75" customHeight="1" x14ac:dyDescent="0.3">
      <c r="A10" s="64" t="s">
        <v>128</v>
      </c>
      <c r="B10" s="62">
        <v>0</v>
      </c>
      <c r="C10" s="39">
        <v>0</v>
      </c>
      <c r="D10" s="62">
        <f>C10*B10</f>
        <v>0</v>
      </c>
      <c r="E10" s="62">
        <v>9200</v>
      </c>
      <c r="F10" s="21">
        <v>45.9</v>
      </c>
      <c r="G10" s="62">
        <f t="shared" si="0"/>
        <v>422280</v>
      </c>
    </row>
    <row r="11" spans="1:9" ht="36.75" customHeight="1" x14ac:dyDescent="0.3">
      <c r="A11" s="64" t="s">
        <v>129</v>
      </c>
      <c r="B11" s="62">
        <v>0</v>
      </c>
      <c r="C11" s="39">
        <v>0</v>
      </c>
      <c r="D11" s="62">
        <f>C11*B11</f>
        <v>0</v>
      </c>
      <c r="E11" s="62">
        <v>10000</v>
      </c>
      <c r="F11" s="21">
        <v>0</v>
      </c>
      <c r="G11" s="62">
        <f t="shared" si="0"/>
        <v>0</v>
      </c>
    </row>
    <row r="12" spans="1:9" ht="46.5" customHeight="1" x14ac:dyDescent="0.3">
      <c r="A12" s="61" t="s">
        <v>130</v>
      </c>
      <c r="B12" s="11"/>
      <c r="C12" s="11"/>
      <c r="D12" s="60">
        <f>ROUND(SUM(D5:D11), -3)</f>
        <v>0</v>
      </c>
      <c r="E12" s="11"/>
      <c r="F12" s="11"/>
      <c r="G12" s="60">
        <f>ROUND(SUM(G5:G11), -4)</f>
        <v>8020000</v>
      </c>
      <c r="I12" s="59">
        <f>D12+G12</f>
        <v>8020000</v>
      </c>
    </row>
    <row r="13" spans="1:9" ht="11.25" customHeight="1" x14ac:dyDescent="0.3">
      <c r="A13" s="54"/>
      <c r="B13" s="53"/>
      <c r="C13" s="53"/>
      <c r="D13" s="55"/>
      <c r="E13" s="53"/>
      <c r="F13" s="53"/>
      <c r="G13" s="55"/>
    </row>
    <row r="14" spans="1:9" ht="20.5" customHeight="1" x14ac:dyDescent="0.3">
      <c r="A14" s="110" t="s">
        <v>167</v>
      </c>
      <c r="B14" s="111"/>
      <c r="C14" s="111"/>
      <c r="D14" s="111"/>
      <c r="E14" s="111"/>
      <c r="F14" s="111"/>
      <c r="G14" s="111"/>
      <c r="H14" s="84"/>
    </row>
    <row r="15" spans="1:9" ht="23.5" customHeight="1" x14ac:dyDescent="0.3">
      <c r="A15" s="114" t="s">
        <v>168</v>
      </c>
      <c r="B15" s="111"/>
      <c r="C15" s="111"/>
      <c r="D15" s="111"/>
      <c r="E15" s="111"/>
      <c r="F15" s="111"/>
      <c r="G15" s="111"/>
    </row>
    <row r="16" spans="1:9" ht="22.5" customHeight="1" x14ac:dyDescent="0.3">
      <c r="A16" s="109" t="s">
        <v>169</v>
      </c>
      <c r="B16" s="109"/>
      <c r="C16" s="109"/>
      <c r="D16" s="109"/>
      <c r="E16" s="109"/>
      <c r="F16" s="109"/>
      <c r="G16" s="109"/>
    </row>
    <row r="17" spans="1:7" ht="19.149999999999999" customHeight="1" x14ac:dyDescent="0.3">
      <c r="A17" s="115" t="s">
        <v>170</v>
      </c>
      <c r="B17" s="116"/>
      <c r="C17" s="116"/>
      <c r="D17" s="116"/>
      <c r="E17" s="116"/>
      <c r="F17" s="116"/>
      <c r="G17" s="116"/>
    </row>
    <row r="18" spans="1:7" ht="21" customHeight="1" x14ac:dyDescent="0.3">
      <c r="A18" s="117" t="s">
        <v>171</v>
      </c>
      <c r="B18" s="117"/>
      <c r="C18" s="117"/>
      <c r="D18" s="117"/>
      <c r="E18" s="117"/>
      <c r="F18" s="117"/>
      <c r="G18" s="117"/>
    </row>
    <row r="19" spans="1:7" ht="75.650000000000006" customHeight="1" x14ac:dyDescent="0.3">
      <c r="A19" s="107" t="s">
        <v>172</v>
      </c>
      <c r="B19" s="107"/>
      <c r="C19" s="107"/>
      <c r="D19" s="107"/>
      <c r="E19" s="107"/>
      <c r="F19" s="107"/>
      <c r="G19" s="107"/>
    </row>
    <row r="20" spans="1:7" ht="46.9" customHeight="1" x14ac:dyDescent="0.3">
      <c r="A20" s="107" t="s">
        <v>173</v>
      </c>
      <c r="B20" s="107"/>
      <c r="C20" s="107"/>
      <c r="D20" s="107"/>
      <c r="E20" s="107"/>
      <c r="F20" s="107"/>
      <c r="G20" s="107"/>
    </row>
    <row r="21" spans="1:7" ht="20.5" customHeight="1" x14ac:dyDescent="0.3">
      <c r="A21" s="108" t="s">
        <v>174</v>
      </c>
      <c r="B21" s="108"/>
      <c r="C21" s="108"/>
      <c r="D21" s="108"/>
      <c r="E21" s="108"/>
      <c r="F21" s="108"/>
      <c r="G21" s="108"/>
    </row>
    <row r="23" spans="1:7" x14ac:dyDescent="0.3">
      <c r="D23" s="63"/>
    </row>
  </sheetData>
  <mergeCells count="9">
    <mergeCell ref="A20:G20"/>
    <mergeCell ref="A21:G21"/>
    <mergeCell ref="A16:G16"/>
    <mergeCell ref="A14:G14"/>
    <mergeCell ref="A2:G2"/>
    <mergeCell ref="A15:G15"/>
    <mergeCell ref="A17:G17"/>
    <mergeCell ref="A18:G18"/>
    <mergeCell ref="A19:G19"/>
  </mergeCells>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2BD40-615B-4CE4-A268-799EE3781F3A}">
  <dimension ref="A1:F17"/>
  <sheetViews>
    <sheetView topLeftCell="A4" workbookViewId="0">
      <selection activeCell="A17" sqref="A17:E17"/>
    </sheetView>
  </sheetViews>
  <sheetFormatPr defaultRowHeight="14.5" x14ac:dyDescent="0.35"/>
  <cols>
    <col min="1" max="1" width="23.1796875" customWidth="1"/>
    <col min="2" max="2" width="11.81640625" customWidth="1"/>
    <col min="3" max="3" width="12.7265625" customWidth="1"/>
    <col min="4" max="4" width="11.453125" customWidth="1"/>
    <col min="5" max="5" width="14.7265625" customWidth="1"/>
  </cols>
  <sheetData>
    <row r="1" spans="1:6" s="20" customFormat="1" ht="15" x14ac:dyDescent="0.3">
      <c r="A1" s="119" t="s">
        <v>83</v>
      </c>
      <c r="B1" s="119"/>
      <c r="C1" s="119"/>
      <c r="D1" s="119"/>
      <c r="E1" s="119"/>
    </row>
    <row r="2" spans="1:6" s="20" customFormat="1" ht="13" x14ac:dyDescent="0.3">
      <c r="A2" s="1" t="s">
        <v>2</v>
      </c>
      <c r="B2" s="1" t="s">
        <v>3</v>
      </c>
      <c r="C2" s="1" t="s">
        <v>4</v>
      </c>
      <c r="D2" s="1" t="s">
        <v>5</v>
      </c>
      <c r="E2" s="1" t="s">
        <v>6</v>
      </c>
    </row>
    <row r="3" spans="1:6" s="20" customFormat="1" ht="104" x14ac:dyDescent="0.3">
      <c r="A3" s="1" t="s">
        <v>84</v>
      </c>
      <c r="B3" s="1" t="s">
        <v>85</v>
      </c>
      <c r="C3" s="1" t="s">
        <v>86</v>
      </c>
      <c r="D3" s="1" t="s">
        <v>87</v>
      </c>
      <c r="E3" s="1" t="s">
        <v>131</v>
      </c>
    </row>
    <row r="4" spans="1:6" s="20" customFormat="1" ht="28.5" x14ac:dyDescent="0.3">
      <c r="A4" s="3" t="s">
        <v>132</v>
      </c>
      <c r="B4" s="11">
        <v>45.9</v>
      </c>
      <c r="C4" s="11">
        <v>1.1499999999999999</v>
      </c>
      <c r="D4" s="11">
        <v>0</v>
      </c>
      <c r="E4" s="77">
        <f t="shared" ref="E4:E10" si="0">(B4*C4)+D4</f>
        <v>52.784999999999997</v>
      </c>
    </row>
    <row r="5" spans="1:6" s="20" customFormat="1" ht="28.5" x14ac:dyDescent="0.3">
      <c r="A5" s="3" t="s">
        <v>133</v>
      </c>
      <c r="B5" s="11">
        <v>0</v>
      </c>
      <c r="C5" s="11">
        <v>1.1499999999999999</v>
      </c>
      <c r="D5" s="11">
        <v>0</v>
      </c>
      <c r="E5" s="11">
        <f t="shared" si="0"/>
        <v>0</v>
      </c>
    </row>
    <row r="6" spans="1:6" s="20" customFormat="1" ht="28.5" x14ac:dyDescent="0.3">
      <c r="A6" s="3" t="s">
        <v>134</v>
      </c>
      <c r="B6" s="11">
        <v>45.9</v>
      </c>
      <c r="C6" s="11">
        <v>1.1499999999999999</v>
      </c>
      <c r="D6" s="11">
        <v>0</v>
      </c>
      <c r="E6" s="77">
        <f t="shared" si="0"/>
        <v>52.784999999999997</v>
      </c>
    </row>
    <row r="7" spans="1:6" s="20" customFormat="1" ht="28.5" x14ac:dyDescent="0.3">
      <c r="A7" s="3" t="s">
        <v>135</v>
      </c>
      <c r="B7" s="11">
        <v>0</v>
      </c>
      <c r="C7" s="11">
        <v>1.1499999999999999</v>
      </c>
      <c r="D7" s="11">
        <v>0</v>
      </c>
      <c r="E7" s="11">
        <f t="shared" si="0"/>
        <v>0</v>
      </c>
      <c r="F7" s="76"/>
    </row>
    <row r="8" spans="1:6" s="20" customFormat="1" ht="28.5" customHeight="1" x14ac:dyDescent="0.3">
      <c r="A8" s="3" t="s">
        <v>137</v>
      </c>
      <c r="B8" s="75">
        <v>0</v>
      </c>
      <c r="C8" s="11">
        <f>'[1]Table 1'!C17</f>
        <v>1</v>
      </c>
      <c r="D8" s="11">
        <v>0</v>
      </c>
      <c r="E8" s="11">
        <f t="shared" si="0"/>
        <v>0</v>
      </c>
    </row>
    <row r="9" spans="1:6" s="20" customFormat="1" ht="28.5" customHeight="1" x14ac:dyDescent="0.3">
      <c r="A9" s="3" t="s">
        <v>88</v>
      </c>
      <c r="B9" s="39">
        <v>130</v>
      </c>
      <c r="C9" s="11">
        <v>2</v>
      </c>
      <c r="D9" s="11">
        <v>0</v>
      </c>
      <c r="E9" s="11">
        <f t="shared" si="0"/>
        <v>260</v>
      </c>
    </row>
    <row r="10" spans="1:6" s="20" customFormat="1" ht="43.5" customHeight="1" x14ac:dyDescent="0.3">
      <c r="A10" s="3" t="s">
        <v>138</v>
      </c>
      <c r="B10" s="11">
        <v>25</v>
      </c>
      <c r="C10" s="11">
        <v>2.41</v>
      </c>
      <c r="D10" s="11">
        <v>0</v>
      </c>
      <c r="E10" s="75">
        <f t="shared" si="0"/>
        <v>60.25</v>
      </c>
    </row>
    <row r="11" spans="1:6" s="20" customFormat="1" ht="13" x14ac:dyDescent="0.3">
      <c r="A11" s="3"/>
      <c r="B11" s="11"/>
      <c r="C11" s="11"/>
      <c r="D11" s="67" t="s">
        <v>89</v>
      </c>
      <c r="E11" s="74">
        <f>SUM(E4:E10)</f>
        <v>425.82</v>
      </c>
    </row>
    <row r="12" spans="1:6" s="20" customFormat="1" ht="9.75" customHeight="1" x14ac:dyDescent="0.3">
      <c r="A12" s="73"/>
      <c r="B12" s="72"/>
      <c r="C12" s="72"/>
      <c r="D12" s="71"/>
      <c r="E12" s="70"/>
    </row>
    <row r="13" spans="1:6" s="20" customFormat="1" ht="100.15" customHeight="1" x14ac:dyDescent="0.3">
      <c r="A13" s="120" t="s">
        <v>164</v>
      </c>
      <c r="B13" s="120"/>
      <c r="C13" s="120"/>
      <c r="D13" s="120"/>
      <c r="E13" s="120"/>
    </row>
    <row r="14" spans="1:6" s="20" customFormat="1" ht="45.65" customHeight="1" x14ac:dyDescent="0.3">
      <c r="A14" s="120" t="s">
        <v>136</v>
      </c>
      <c r="B14" s="120"/>
      <c r="C14" s="120"/>
      <c r="D14" s="120"/>
      <c r="E14" s="120"/>
    </row>
    <row r="15" spans="1:6" s="20" customFormat="1" ht="34.5" customHeight="1" x14ac:dyDescent="0.3">
      <c r="A15" s="118" t="s">
        <v>165</v>
      </c>
      <c r="B15" s="118"/>
      <c r="C15" s="118"/>
      <c r="D15" s="118"/>
      <c r="E15" s="118"/>
    </row>
    <row r="16" spans="1:6" ht="20.5" customHeight="1" x14ac:dyDescent="0.35">
      <c r="A16" s="118" t="s">
        <v>139</v>
      </c>
      <c r="B16" s="118"/>
      <c r="C16" s="118"/>
      <c r="D16" s="118"/>
      <c r="E16" s="118"/>
    </row>
    <row r="17" spans="1:5" ht="44.5" customHeight="1" x14ac:dyDescent="0.35">
      <c r="A17" s="118" t="s">
        <v>166</v>
      </c>
      <c r="B17" s="118"/>
      <c r="C17" s="118"/>
      <c r="D17" s="118"/>
      <c r="E17" s="118"/>
    </row>
  </sheetData>
  <mergeCells count="6">
    <mergeCell ref="A17:E17"/>
    <mergeCell ref="A1:E1"/>
    <mergeCell ref="A15:E15"/>
    <mergeCell ref="A13:E13"/>
    <mergeCell ref="A14:E14"/>
    <mergeCell ref="A16:E1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BD397-4C84-4404-AB58-E93F7BF93AC6}">
  <dimension ref="A1:F9"/>
  <sheetViews>
    <sheetView workbookViewId="0">
      <selection activeCell="F7" sqref="F7"/>
    </sheetView>
  </sheetViews>
  <sheetFormatPr defaultColWidth="17.7265625" defaultRowHeight="31.9" customHeight="1" x14ac:dyDescent="0.35"/>
  <sheetData>
    <row r="1" spans="1:6" s="20" customFormat="1" ht="31.9" customHeight="1" x14ac:dyDescent="0.3">
      <c r="A1" s="119" t="s">
        <v>85</v>
      </c>
      <c r="B1" s="119"/>
      <c r="C1" s="119"/>
      <c r="D1" s="119"/>
      <c r="E1" s="119"/>
      <c r="F1" s="119"/>
    </row>
    <row r="2" spans="1:6" s="20" customFormat="1" ht="31.9" customHeight="1" x14ac:dyDescent="0.3">
      <c r="A2" s="8"/>
      <c r="B2" s="121" t="s">
        <v>149</v>
      </c>
      <c r="C2" s="121"/>
      <c r="D2" s="8" t="s">
        <v>148</v>
      </c>
      <c r="E2" s="121"/>
      <c r="F2" s="121"/>
    </row>
    <row r="3" spans="1:6" s="20" customFormat="1" ht="31.9" customHeight="1" x14ac:dyDescent="0.3">
      <c r="A3" s="8"/>
      <c r="B3" s="9" t="s">
        <v>2</v>
      </c>
      <c r="C3" s="9" t="s">
        <v>3</v>
      </c>
      <c r="D3" s="9" t="s">
        <v>4</v>
      </c>
      <c r="E3" s="9" t="s">
        <v>5</v>
      </c>
      <c r="F3" s="9" t="s">
        <v>6</v>
      </c>
    </row>
    <row r="4" spans="1:6" s="20" customFormat="1" ht="70.900000000000006" customHeight="1" x14ac:dyDescent="0.3">
      <c r="A4" s="9" t="s">
        <v>147</v>
      </c>
      <c r="B4" s="8" t="s">
        <v>146</v>
      </c>
      <c r="C4" s="8" t="s">
        <v>145</v>
      </c>
      <c r="D4" s="8" t="s">
        <v>144</v>
      </c>
      <c r="E4" s="8" t="s">
        <v>143</v>
      </c>
      <c r="F4" s="8" t="s">
        <v>142</v>
      </c>
    </row>
    <row r="5" spans="1:6" s="20" customFormat="1" ht="31.9" customHeight="1" x14ac:dyDescent="0.3">
      <c r="A5" s="1">
        <v>1</v>
      </c>
      <c r="B5" s="11">
        <v>0</v>
      </c>
      <c r="C5" s="11">
        <v>130</v>
      </c>
      <c r="D5" s="11">
        <v>0</v>
      </c>
      <c r="E5" s="11">
        <v>0</v>
      </c>
      <c r="F5" s="11">
        <f>B5+C5+D5-E5</f>
        <v>130</v>
      </c>
    </row>
    <row r="6" spans="1:6" s="20" customFormat="1" ht="31.9" customHeight="1" x14ac:dyDescent="0.3">
      <c r="A6" s="1">
        <v>2</v>
      </c>
      <c r="B6" s="11">
        <v>0</v>
      </c>
      <c r="C6" s="11">
        <v>130</v>
      </c>
      <c r="D6" s="11">
        <v>0</v>
      </c>
      <c r="E6" s="11">
        <v>0</v>
      </c>
      <c r="F6" s="11">
        <f>B6+C6+D6-E6</f>
        <v>130</v>
      </c>
    </row>
    <row r="7" spans="1:6" s="20" customFormat="1" ht="31.9" customHeight="1" x14ac:dyDescent="0.3">
      <c r="A7" s="1">
        <v>3</v>
      </c>
      <c r="B7" s="11">
        <v>0</v>
      </c>
      <c r="C7" s="11">
        <v>130</v>
      </c>
      <c r="D7" s="11">
        <v>0</v>
      </c>
      <c r="E7" s="11">
        <v>0</v>
      </c>
      <c r="F7" s="11">
        <f>B7+C7+D7-E7</f>
        <v>130</v>
      </c>
    </row>
    <row r="8" spans="1:6" s="20" customFormat="1" ht="31.9" customHeight="1" x14ac:dyDescent="0.3">
      <c r="A8" s="1" t="s">
        <v>141</v>
      </c>
      <c r="B8" s="11">
        <f>AVERAGE(B5:B7)</f>
        <v>0</v>
      </c>
      <c r="C8" s="11">
        <f>AVERAGE(C5:C7)</f>
        <v>130</v>
      </c>
      <c r="D8" s="11">
        <v>0</v>
      </c>
      <c r="E8" s="11">
        <v>0</v>
      </c>
      <c r="F8" s="67">
        <f>AVERAGE(F5:F7)</f>
        <v>130</v>
      </c>
    </row>
    <row r="9" spans="1:6" s="20" customFormat="1" ht="20.5" customHeight="1" x14ac:dyDescent="0.3">
      <c r="A9" s="78" t="s">
        <v>140</v>
      </c>
    </row>
  </sheetData>
  <mergeCells count="3">
    <mergeCell ref="A1:F1"/>
    <mergeCell ref="B2:C2"/>
    <mergeCell ref="E2: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Wrigley, William</cp:lastModifiedBy>
  <dcterms:created xsi:type="dcterms:W3CDTF">2016-07-14T19:40:17Z</dcterms:created>
  <dcterms:modified xsi:type="dcterms:W3CDTF">2022-12-12T13:40:28Z</dcterms:modified>
</cp:coreProperties>
</file>