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kristen_corey_usda_gov/Documents/PR Food Security/Deliverables/OMB/9 PRAO 1st review/Appendices updated_02142022/"/>
    </mc:Choice>
  </mc:AlternateContent>
  <xr:revisionPtr revIDLastSave="63" documentId="8_{0F5C8C95-CF66-4D77-A6F2-6CA89B11F45C}" xr6:coauthVersionLast="47" xr6:coauthVersionMax="47" xr10:uidLastSave="{F2479D42-9983-4053-8DA7-7161062D20EA}"/>
  <bookViews>
    <workbookView xWindow="-120" yWindow="-120" windowWidth="29040" windowHeight="15990" xr2:uid="{00000000-000D-0000-FFFF-FFFF00000000}"/>
  </bookViews>
  <sheets>
    <sheet name="Burden Table" sheetId="5" r:id="rId1"/>
    <sheet name="Burden Table - Detailed OMB" sheetId="1" state="hidden" r:id="rId2"/>
    <sheet name="assumptions" sheetId="3" state="hidden" r:id="rId3"/>
  </sheets>
  <definedNames>
    <definedName name="_xlnm._FilterDatabase" localSheetId="0" hidden="1">'Burden Table'!$B$3:$BA$86</definedName>
    <definedName name="_xlnm.Print_Area" localSheetId="0">'Burden Table'!$B$1:$S$88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8" i="5" l="1"/>
  <c r="R79" i="5"/>
  <c r="K78" i="5"/>
  <c r="M78" i="5" s="1"/>
  <c r="O78" i="5" s="1"/>
  <c r="K79" i="5"/>
  <c r="M79" i="5" s="1"/>
  <c r="O79" i="5" s="1"/>
  <c r="H79" i="5"/>
  <c r="J79" i="5" s="1"/>
  <c r="H78" i="5"/>
  <c r="J78" i="5" s="1"/>
  <c r="R65" i="5"/>
  <c r="H65" i="5"/>
  <c r="J65" i="5" s="1"/>
  <c r="R64" i="5"/>
  <c r="H64" i="5"/>
  <c r="J64" i="5" s="1"/>
  <c r="R72" i="5"/>
  <c r="K72" i="5"/>
  <c r="M72" i="5" s="1"/>
  <c r="O72" i="5" s="1"/>
  <c r="H72" i="5"/>
  <c r="J72" i="5" s="1"/>
  <c r="K7" i="5"/>
  <c r="K6" i="5"/>
  <c r="K5" i="5"/>
  <c r="F51" i="5"/>
  <c r="E51" i="5"/>
  <c r="F37" i="5"/>
  <c r="E37" i="5"/>
  <c r="F21" i="5"/>
  <c r="E21" i="5"/>
  <c r="K21" i="5" s="1"/>
  <c r="R40" i="5"/>
  <c r="K40" i="5"/>
  <c r="M40" i="5" s="1"/>
  <c r="O40" i="5" s="1"/>
  <c r="H40" i="5"/>
  <c r="J40" i="5" s="1"/>
  <c r="R39" i="5"/>
  <c r="K39" i="5"/>
  <c r="M39" i="5" s="1"/>
  <c r="O39" i="5" s="1"/>
  <c r="H39" i="5"/>
  <c r="J39" i="5" s="1"/>
  <c r="R26" i="5"/>
  <c r="K26" i="5"/>
  <c r="M26" i="5" s="1"/>
  <c r="O26" i="5" s="1"/>
  <c r="H26" i="5"/>
  <c r="J26" i="5" s="1"/>
  <c r="R25" i="5"/>
  <c r="K25" i="5"/>
  <c r="M25" i="5" s="1"/>
  <c r="O25" i="5" s="1"/>
  <c r="H25" i="5"/>
  <c r="J25" i="5" s="1"/>
  <c r="K9" i="5"/>
  <c r="H9" i="5"/>
  <c r="J9" i="5" s="1"/>
  <c r="H27" i="5"/>
  <c r="J27" i="5" s="1"/>
  <c r="K27" i="5"/>
  <c r="M27" i="5" s="1"/>
  <c r="O27" i="5" s="1"/>
  <c r="R27" i="5"/>
  <c r="R9" i="5"/>
  <c r="R81" i="5"/>
  <c r="M81" i="5"/>
  <c r="O81" i="5" s="1"/>
  <c r="H81" i="5"/>
  <c r="J81" i="5" s="1"/>
  <c r="R67" i="5"/>
  <c r="M67" i="5"/>
  <c r="O67" i="5" s="1"/>
  <c r="H67" i="5"/>
  <c r="J67" i="5" s="1"/>
  <c r="R41" i="5"/>
  <c r="R42" i="5"/>
  <c r="R43" i="5"/>
  <c r="R44" i="5"/>
  <c r="R45" i="5"/>
  <c r="R28" i="5"/>
  <c r="R29" i="5"/>
  <c r="R30" i="5"/>
  <c r="R31" i="5"/>
  <c r="P78" i="5" l="1"/>
  <c r="S78" i="5" s="1"/>
  <c r="P79" i="5"/>
  <c r="S79" i="5" s="1"/>
  <c r="K65" i="5"/>
  <c r="M65" i="5" s="1"/>
  <c r="O65" i="5" s="1"/>
  <c r="P65" i="5" s="1"/>
  <c r="S65" i="5" s="1"/>
  <c r="K64" i="5"/>
  <c r="M64" i="5" s="1"/>
  <c r="O64" i="5" s="1"/>
  <c r="P64" i="5" s="1"/>
  <c r="S64" i="5" s="1"/>
  <c r="P72" i="5"/>
  <c r="S72" i="5" s="1"/>
  <c r="P27" i="5"/>
  <c r="S27" i="5" s="1"/>
  <c r="M9" i="5"/>
  <c r="O9" i="5" s="1"/>
  <c r="P9" i="5" s="1"/>
  <c r="S9" i="5" s="1"/>
  <c r="P40" i="5"/>
  <c r="S40" i="5" s="1"/>
  <c r="P39" i="5"/>
  <c r="S39" i="5" s="1"/>
  <c r="P26" i="5"/>
  <c r="S26" i="5" s="1"/>
  <c r="P25" i="5"/>
  <c r="S25" i="5" s="1"/>
  <c r="P67" i="5"/>
  <c r="S67" i="5" s="1"/>
  <c r="P81" i="5"/>
  <c r="S81" i="5" s="1"/>
  <c r="R62" i="5"/>
  <c r="I62" i="5"/>
  <c r="H62" i="5"/>
  <c r="K50" i="5"/>
  <c r="M50" i="5" s="1"/>
  <c r="O50" i="5" s="1"/>
  <c r="H50" i="5"/>
  <c r="J50" i="5" s="1"/>
  <c r="K49" i="5"/>
  <c r="M49" i="5" s="1"/>
  <c r="O49" i="5" s="1"/>
  <c r="H49" i="5"/>
  <c r="J49" i="5" s="1"/>
  <c r="K48" i="5"/>
  <c r="M48" i="5" s="1"/>
  <c r="O48" i="5" s="1"/>
  <c r="H48" i="5"/>
  <c r="J48" i="5" s="1"/>
  <c r="K47" i="5"/>
  <c r="M47" i="5" s="1"/>
  <c r="O47" i="5" s="1"/>
  <c r="H47" i="5"/>
  <c r="J47" i="5" s="1"/>
  <c r="K46" i="5"/>
  <c r="M46" i="5" s="1"/>
  <c r="O46" i="5" s="1"/>
  <c r="H46" i="5"/>
  <c r="J46" i="5" s="1"/>
  <c r="K45" i="5"/>
  <c r="M45" i="5" s="1"/>
  <c r="O45" i="5" s="1"/>
  <c r="H45" i="5"/>
  <c r="J45" i="5" s="1"/>
  <c r="K44" i="5"/>
  <c r="M44" i="5" s="1"/>
  <c r="O44" i="5" s="1"/>
  <c r="H44" i="5"/>
  <c r="J44" i="5" s="1"/>
  <c r="K43" i="5"/>
  <c r="M43" i="5" s="1"/>
  <c r="O43" i="5" s="1"/>
  <c r="H43" i="5"/>
  <c r="J43" i="5" s="1"/>
  <c r="K42" i="5"/>
  <c r="M42" i="5" s="1"/>
  <c r="O42" i="5" s="1"/>
  <c r="H42" i="5"/>
  <c r="J42" i="5" s="1"/>
  <c r="K41" i="5"/>
  <c r="M41" i="5" s="1"/>
  <c r="H41" i="5"/>
  <c r="J41" i="5" s="1"/>
  <c r="K36" i="5"/>
  <c r="M36" i="5" s="1"/>
  <c r="O36" i="5" s="1"/>
  <c r="H36" i="5"/>
  <c r="J36" i="5" s="1"/>
  <c r="K35" i="5"/>
  <c r="M35" i="5" s="1"/>
  <c r="O35" i="5" s="1"/>
  <c r="H35" i="5"/>
  <c r="J35" i="5" s="1"/>
  <c r="K34" i="5"/>
  <c r="M34" i="5" s="1"/>
  <c r="O34" i="5" s="1"/>
  <c r="H34" i="5"/>
  <c r="J34" i="5" s="1"/>
  <c r="K33" i="5"/>
  <c r="M33" i="5" s="1"/>
  <c r="O33" i="5" s="1"/>
  <c r="H33" i="5"/>
  <c r="J33" i="5" s="1"/>
  <c r="K32" i="5"/>
  <c r="M32" i="5" s="1"/>
  <c r="O32" i="5" s="1"/>
  <c r="H32" i="5"/>
  <c r="J32" i="5" s="1"/>
  <c r="K31" i="5"/>
  <c r="M31" i="5" s="1"/>
  <c r="O31" i="5" s="1"/>
  <c r="H31" i="5"/>
  <c r="J31" i="5" s="1"/>
  <c r="K30" i="5"/>
  <c r="M30" i="5" s="1"/>
  <c r="O30" i="5" s="1"/>
  <c r="H30" i="5"/>
  <c r="J30" i="5" s="1"/>
  <c r="K29" i="5"/>
  <c r="M29" i="5" s="1"/>
  <c r="O29" i="5" s="1"/>
  <c r="H29" i="5"/>
  <c r="J29" i="5" s="1"/>
  <c r="K28" i="5"/>
  <c r="M28" i="5" s="1"/>
  <c r="O28" i="5" s="1"/>
  <c r="H28" i="5"/>
  <c r="J28" i="5" s="1"/>
  <c r="R32" i="5"/>
  <c r="R33" i="5"/>
  <c r="R34" i="5"/>
  <c r="R35" i="5"/>
  <c r="R36" i="5"/>
  <c r="R12" i="5"/>
  <c r="R13" i="5"/>
  <c r="R14" i="5"/>
  <c r="R15" i="5"/>
  <c r="R16" i="5"/>
  <c r="R17" i="5"/>
  <c r="R18" i="5"/>
  <c r="R19" i="5"/>
  <c r="R20" i="5"/>
  <c r="K11" i="5"/>
  <c r="K12" i="5"/>
  <c r="M12" i="5" s="1"/>
  <c r="O12" i="5" s="1"/>
  <c r="K13" i="5"/>
  <c r="M13" i="5" s="1"/>
  <c r="O13" i="5" s="1"/>
  <c r="K14" i="5"/>
  <c r="M14" i="5" s="1"/>
  <c r="O14" i="5" s="1"/>
  <c r="K15" i="5"/>
  <c r="M15" i="5" s="1"/>
  <c r="O15" i="5" s="1"/>
  <c r="K16" i="5"/>
  <c r="M16" i="5" s="1"/>
  <c r="O16" i="5" s="1"/>
  <c r="K17" i="5"/>
  <c r="M17" i="5" s="1"/>
  <c r="O17" i="5" s="1"/>
  <c r="K18" i="5"/>
  <c r="M18" i="5" s="1"/>
  <c r="O18" i="5" s="1"/>
  <c r="K19" i="5"/>
  <c r="M19" i="5" s="1"/>
  <c r="O19" i="5" s="1"/>
  <c r="K20" i="5"/>
  <c r="M20" i="5" s="1"/>
  <c r="O20" i="5" s="1"/>
  <c r="H11" i="5"/>
  <c r="J11" i="5" s="1"/>
  <c r="H12" i="5"/>
  <c r="J12" i="5" s="1"/>
  <c r="H13" i="5"/>
  <c r="J13" i="5" s="1"/>
  <c r="H14" i="5"/>
  <c r="J14" i="5" s="1"/>
  <c r="H15" i="5"/>
  <c r="J15" i="5" s="1"/>
  <c r="H16" i="5"/>
  <c r="J16" i="5" s="1"/>
  <c r="H17" i="5"/>
  <c r="J17" i="5" s="1"/>
  <c r="H18" i="5"/>
  <c r="J18" i="5" s="1"/>
  <c r="H19" i="5"/>
  <c r="J19" i="5" s="1"/>
  <c r="H20" i="5"/>
  <c r="J20" i="5" s="1"/>
  <c r="J51" i="5" l="1"/>
  <c r="J37" i="5"/>
  <c r="P28" i="5"/>
  <c r="S28" i="5" s="1"/>
  <c r="P30" i="5"/>
  <c r="S30" i="5" s="1"/>
  <c r="H37" i="5"/>
  <c r="M37" i="5"/>
  <c r="O37" i="5"/>
  <c r="O41" i="5"/>
  <c r="O51" i="5" s="1"/>
  <c r="M51" i="5"/>
  <c r="H51" i="5"/>
  <c r="P43" i="5"/>
  <c r="S43" i="5" s="1"/>
  <c r="P45" i="5"/>
  <c r="S45" i="5" s="1"/>
  <c r="P44" i="5"/>
  <c r="S44" i="5" s="1"/>
  <c r="J62" i="5"/>
  <c r="P62" i="5" s="1"/>
  <c r="S62" i="5" s="1"/>
  <c r="P31" i="5"/>
  <c r="S31" i="5" s="1"/>
  <c r="P29" i="5"/>
  <c r="S29" i="5" s="1"/>
  <c r="P42" i="5"/>
  <c r="S42" i="5" s="1"/>
  <c r="P34" i="5"/>
  <c r="S34" i="5" s="1"/>
  <c r="P32" i="5"/>
  <c r="S32" i="5" s="1"/>
  <c r="P36" i="5"/>
  <c r="S36" i="5" s="1"/>
  <c r="P35" i="5"/>
  <c r="S35" i="5" s="1"/>
  <c r="P33" i="5"/>
  <c r="S33" i="5" s="1"/>
  <c r="P17" i="5"/>
  <c r="S17" i="5" s="1"/>
  <c r="P20" i="5"/>
  <c r="P12" i="5"/>
  <c r="S12" i="5" s="1"/>
  <c r="P16" i="5"/>
  <c r="S16" i="5" s="1"/>
  <c r="P15" i="5"/>
  <c r="S15" i="5" s="1"/>
  <c r="P14" i="5"/>
  <c r="S14" i="5" s="1"/>
  <c r="P13" i="5"/>
  <c r="S13" i="5" s="1"/>
  <c r="P19" i="5"/>
  <c r="S19" i="5" s="1"/>
  <c r="P18" i="5"/>
  <c r="S18" i="5" s="1"/>
  <c r="S37" i="5" l="1"/>
  <c r="P41" i="5"/>
  <c r="S41" i="5" s="1"/>
  <c r="R76" i="5"/>
  <c r="R77" i="5"/>
  <c r="R80" i="5"/>
  <c r="R82" i="5"/>
  <c r="R83" i="5"/>
  <c r="R75" i="5"/>
  <c r="R73" i="5"/>
  <c r="R71" i="5"/>
  <c r="R58" i="5"/>
  <c r="R59" i="5"/>
  <c r="R60" i="5"/>
  <c r="R61" i="5"/>
  <c r="R63" i="5"/>
  <c r="R66" i="5"/>
  <c r="R68" i="5"/>
  <c r="R69" i="5"/>
  <c r="R57" i="5"/>
  <c r="R55" i="5"/>
  <c r="R54" i="5"/>
  <c r="R46" i="5"/>
  <c r="R47" i="5"/>
  <c r="R48" i="5"/>
  <c r="R49" i="5"/>
  <c r="R50" i="5"/>
  <c r="R11" i="5"/>
  <c r="R10" i="5"/>
  <c r="R6" i="5"/>
  <c r="R7" i="5"/>
  <c r="R5" i="5"/>
  <c r="F8" i="5"/>
  <c r="E8" i="5"/>
  <c r="M7" i="5"/>
  <c r="O7" i="5" s="1"/>
  <c r="H7" i="5"/>
  <c r="J7" i="5" s="1"/>
  <c r="M6" i="5"/>
  <c r="O6" i="5" s="1"/>
  <c r="H6" i="5"/>
  <c r="J6" i="5" s="1"/>
  <c r="M5" i="5"/>
  <c r="O5" i="5" s="1"/>
  <c r="H5" i="5"/>
  <c r="J5" i="5" s="1"/>
  <c r="O8" i="5" l="1"/>
  <c r="J8" i="5"/>
  <c r="K8" i="5"/>
  <c r="F22" i="5"/>
  <c r="E22" i="5"/>
  <c r="H8" i="5"/>
  <c r="P7" i="5"/>
  <c r="S7" i="5" s="1"/>
  <c r="P6" i="5"/>
  <c r="S6" i="5" s="1"/>
  <c r="P5" i="5"/>
  <c r="S5" i="5" s="1"/>
  <c r="P8" i="5" l="1"/>
  <c r="K22" i="5"/>
  <c r="I8" i="5"/>
  <c r="S8" i="5"/>
  <c r="G8" i="5"/>
  <c r="F56" i="5" l="1"/>
  <c r="E56" i="5"/>
  <c r="K55" i="5"/>
  <c r="M55" i="5" s="1"/>
  <c r="O55" i="5" s="1"/>
  <c r="H55" i="5"/>
  <c r="J55" i="5" s="1"/>
  <c r="K54" i="5"/>
  <c r="M54" i="5" s="1"/>
  <c r="H54" i="5"/>
  <c r="J54" i="5" s="1"/>
  <c r="K56" i="5" l="1"/>
  <c r="J56" i="5"/>
  <c r="M56" i="5"/>
  <c r="H56" i="5"/>
  <c r="G56" i="5" s="1"/>
  <c r="O54" i="5"/>
  <c r="O56" i="5" s="1"/>
  <c r="P55" i="5"/>
  <c r="S55" i="5" s="1"/>
  <c r="M11" i="5"/>
  <c r="O11" i="5" s="1"/>
  <c r="K10" i="5"/>
  <c r="H10" i="5"/>
  <c r="J10" i="5" l="1"/>
  <c r="J21" i="5" s="1"/>
  <c r="H21" i="5"/>
  <c r="L56" i="5"/>
  <c r="N56" i="5"/>
  <c r="M10" i="5"/>
  <c r="M21" i="5" s="1"/>
  <c r="I56" i="5"/>
  <c r="P54" i="5"/>
  <c r="P11" i="5"/>
  <c r="S11" i="5" s="1"/>
  <c r="S20" i="5"/>
  <c r="S54" i="5" l="1"/>
  <c r="S56" i="5" s="1"/>
  <c r="I21" i="5"/>
  <c r="J22" i="5"/>
  <c r="O10" i="5"/>
  <c r="O21" i="5" s="1"/>
  <c r="G21" i="5"/>
  <c r="H22" i="5"/>
  <c r="P56" i="5"/>
  <c r="I58" i="5"/>
  <c r="L21" i="5" l="1"/>
  <c r="M22" i="5"/>
  <c r="D104" i="5" s="1"/>
  <c r="P10" i="5"/>
  <c r="F52" i="5"/>
  <c r="E52" i="5"/>
  <c r="D105" i="5" l="1"/>
  <c r="S10" i="5"/>
  <c r="P21" i="5"/>
  <c r="N21" i="5"/>
  <c r="O22" i="5"/>
  <c r="N22" i="5" s="1"/>
  <c r="G22" i="5"/>
  <c r="I22" i="5"/>
  <c r="K52" i="5"/>
  <c r="E70" i="5"/>
  <c r="E74" i="5"/>
  <c r="F74" i="5"/>
  <c r="E84" i="5"/>
  <c r="K74" i="5" l="1"/>
  <c r="S21" i="5"/>
  <c r="S22" i="5" s="1"/>
  <c r="P22" i="5"/>
  <c r="D106" i="5" s="1"/>
  <c r="E85" i="5"/>
  <c r="L22" i="5"/>
  <c r="E76" i="5"/>
  <c r="F76" i="5" s="1"/>
  <c r="F75" i="5"/>
  <c r="F80" i="5" s="1"/>
  <c r="F84" i="5" s="1"/>
  <c r="K84" i="5" s="1"/>
  <c r="F61" i="5"/>
  <c r="F59" i="5"/>
  <c r="F57" i="5"/>
  <c r="K83" i="5"/>
  <c r="M83" i="5" s="1"/>
  <c r="O83" i="5" s="1"/>
  <c r="H83" i="5"/>
  <c r="J83" i="5" s="1"/>
  <c r="K82" i="5"/>
  <c r="M82" i="5" s="1"/>
  <c r="O82" i="5" s="1"/>
  <c r="H82" i="5"/>
  <c r="J82" i="5" s="1"/>
  <c r="K73" i="5"/>
  <c r="M73" i="5" s="1"/>
  <c r="O73" i="5" s="1"/>
  <c r="H73" i="5"/>
  <c r="J73" i="5" s="1"/>
  <c r="K71" i="5"/>
  <c r="H71" i="5"/>
  <c r="K51" i="5"/>
  <c r="K37" i="5"/>
  <c r="F58" i="5" l="1"/>
  <c r="F66" i="5" s="1"/>
  <c r="F70" i="5" s="1"/>
  <c r="K70" i="5" s="1"/>
  <c r="E86" i="5"/>
  <c r="J71" i="5"/>
  <c r="J74" i="5" s="1"/>
  <c r="H74" i="5"/>
  <c r="G74" i="5" s="1"/>
  <c r="M71" i="5"/>
  <c r="M74" i="5" s="1"/>
  <c r="P82" i="5"/>
  <c r="S82" i="5" s="1"/>
  <c r="P83" i="5"/>
  <c r="S83" i="5" s="1"/>
  <c r="P73" i="5"/>
  <c r="S73" i="5" s="1"/>
  <c r="G37" i="5"/>
  <c r="L37" i="5"/>
  <c r="P47" i="5"/>
  <c r="S47" i="5" s="1"/>
  <c r="P50" i="5"/>
  <c r="S50" i="5" s="1"/>
  <c r="P48" i="5"/>
  <c r="S48" i="5" s="1"/>
  <c r="P46" i="5"/>
  <c r="S46" i="5" s="1"/>
  <c r="P49" i="5"/>
  <c r="S49" i="5" s="1"/>
  <c r="S51" i="5" l="1"/>
  <c r="P51" i="5"/>
  <c r="P37" i="5"/>
  <c r="F85" i="5"/>
  <c r="F86" i="5" s="1"/>
  <c r="L51" i="5"/>
  <c r="M52" i="5"/>
  <c r="G51" i="5"/>
  <c r="H52" i="5"/>
  <c r="O52" i="5"/>
  <c r="J52" i="5"/>
  <c r="O71" i="5"/>
  <c r="O74" i="5" s="1"/>
  <c r="L74" i="5"/>
  <c r="I74" i="5"/>
  <c r="N51" i="5"/>
  <c r="I37" i="5"/>
  <c r="I51" i="5"/>
  <c r="N37" i="5"/>
  <c r="G52" i="5" l="1"/>
  <c r="D108" i="5"/>
  <c r="D107" i="5"/>
  <c r="S52" i="5"/>
  <c r="N74" i="5"/>
  <c r="P74" i="5"/>
  <c r="P52" i="5"/>
  <c r="D109" i="5" s="1"/>
  <c r="I52" i="5"/>
  <c r="N52" i="5"/>
  <c r="L52" i="5"/>
  <c r="P71" i="5"/>
  <c r="S71" i="5" s="1"/>
  <c r="I59" i="5"/>
  <c r="I61" i="5"/>
  <c r="S74" i="5" l="1"/>
  <c r="I80" i="5"/>
  <c r="I63" i="5"/>
  <c r="I77" i="5" s="1"/>
  <c r="I76" i="5" l="1"/>
  <c r="I75" i="5" s="1"/>
  <c r="H61" i="5" l="1"/>
  <c r="K61" i="5"/>
  <c r="M61" i="5" s="1"/>
  <c r="O61" i="5" s="1"/>
  <c r="K63" i="5"/>
  <c r="M63" i="5" s="1"/>
  <c r="O63" i="5" s="1"/>
  <c r="H63" i="5"/>
  <c r="J63" i="5" s="1"/>
  <c r="H66" i="5"/>
  <c r="J66" i="5" s="1"/>
  <c r="K66" i="5"/>
  <c r="H80" i="5"/>
  <c r="J80" i="5" s="1"/>
  <c r="K80" i="5"/>
  <c r="H68" i="5"/>
  <c r="J68" i="5" s="1"/>
  <c r="K68" i="5"/>
  <c r="M68" i="5" s="1"/>
  <c r="O68" i="5" s="1"/>
  <c r="H69" i="5"/>
  <c r="J69" i="5" s="1"/>
  <c r="K69" i="5"/>
  <c r="M69" i="5" s="1"/>
  <c r="O69" i="5" s="1"/>
  <c r="K85" i="5" l="1"/>
  <c r="M66" i="5"/>
  <c r="O66" i="5" s="1"/>
  <c r="P66" i="5" s="1"/>
  <c r="S66" i="5" s="1"/>
  <c r="P68" i="5"/>
  <c r="S68" i="5" s="1"/>
  <c r="P69" i="5"/>
  <c r="S69" i="5" s="1"/>
  <c r="M80" i="5"/>
  <c r="O80" i="5" s="1"/>
  <c r="P80" i="5" s="1"/>
  <c r="S80" i="5" s="1"/>
  <c r="K76" i="5"/>
  <c r="M76" i="5" s="1"/>
  <c r="H58" i="5"/>
  <c r="J58" i="5" s="1"/>
  <c r="H75" i="5"/>
  <c r="P63" i="5"/>
  <c r="S63" i="5" s="1"/>
  <c r="J61" i="5"/>
  <c r="K75" i="5"/>
  <c r="M75" i="5" s="1"/>
  <c r="H57" i="5"/>
  <c r="O75" i="5" l="1"/>
  <c r="J57" i="5"/>
  <c r="H76" i="5"/>
  <c r="J76" i="5" s="1"/>
  <c r="H77" i="5"/>
  <c r="K58" i="5"/>
  <c r="M58" i="5" s="1"/>
  <c r="O58" i="5" s="1"/>
  <c r="P58" i="5" s="1"/>
  <c r="S58" i="5" s="1"/>
  <c r="O76" i="5"/>
  <c r="H59" i="5"/>
  <c r="K59" i="5"/>
  <c r="M59" i="5" s="1"/>
  <c r="J75" i="5"/>
  <c r="P61" i="5"/>
  <c r="S61" i="5" s="1"/>
  <c r="K57" i="5"/>
  <c r="M57" i="5" s="1"/>
  <c r="H84" i="5" l="1"/>
  <c r="G84" i="5" s="1"/>
  <c r="O57" i="5"/>
  <c r="P75" i="5"/>
  <c r="S75" i="5" s="1"/>
  <c r="K77" i="5"/>
  <c r="J77" i="5"/>
  <c r="J84" i="5" s="1"/>
  <c r="O59" i="5"/>
  <c r="J59" i="5"/>
  <c r="P76" i="5"/>
  <c r="S76" i="5" s="1"/>
  <c r="H60" i="5"/>
  <c r="H70" i="5" s="1"/>
  <c r="H85" i="5" l="1"/>
  <c r="M77" i="5"/>
  <c r="M84" i="5" s="1"/>
  <c r="L84" i="5" s="1"/>
  <c r="K86" i="5"/>
  <c r="D98" i="5" s="1"/>
  <c r="I84" i="5"/>
  <c r="G70" i="5"/>
  <c r="P57" i="5"/>
  <c r="S57" i="5" s="1"/>
  <c r="P59" i="5"/>
  <c r="S59" i="5" s="1"/>
  <c r="J60" i="5"/>
  <c r="J70" i="5" s="1"/>
  <c r="J85" i="5" s="1"/>
  <c r="K60" i="5"/>
  <c r="M60" i="5" s="1"/>
  <c r="M70" i="5" s="1"/>
  <c r="H86" i="5" l="1"/>
  <c r="M85" i="5"/>
  <c r="L85" i="5" s="1"/>
  <c r="O77" i="5"/>
  <c r="O84" i="5" s="1"/>
  <c r="J86" i="5"/>
  <c r="I70" i="5"/>
  <c r="L70" i="5"/>
  <c r="G85" i="5"/>
  <c r="O60" i="5"/>
  <c r="O70" i="5" s="1"/>
  <c r="G86" i="5" l="1"/>
  <c r="I86" i="5"/>
  <c r="D110" i="5"/>
  <c r="D111" i="5"/>
  <c r="P77" i="5"/>
  <c r="S77" i="5" s="1"/>
  <c r="S84" i="5" s="1"/>
  <c r="M86" i="5"/>
  <c r="D100" i="5" s="1"/>
  <c r="O85" i="5"/>
  <c r="O86" i="5" s="1"/>
  <c r="P70" i="5"/>
  <c r="N84" i="5"/>
  <c r="P84" i="5"/>
  <c r="I85" i="5"/>
  <c r="N70" i="5"/>
  <c r="P60" i="5"/>
  <c r="S60" i="5" s="1"/>
  <c r="D99" i="5" l="1"/>
  <c r="L86" i="5"/>
  <c r="P86" i="5"/>
  <c r="D102" i="5" s="1"/>
  <c r="D101" i="5" s="1"/>
  <c r="N86" i="5"/>
  <c r="P85" i="5"/>
  <c r="D112" i="5" s="1"/>
  <c r="N85" i="5"/>
  <c r="S70" i="5"/>
  <c r="S85" i="5" s="1"/>
  <c r="S86" i="5" s="1"/>
  <c r="K53" i="3" l="1"/>
  <c r="K7" i="3"/>
  <c r="K6" i="3"/>
  <c r="I37" i="1"/>
  <c r="I12" i="1"/>
  <c r="I49" i="1"/>
  <c r="I48" i="1"/>
  <c r="I40" i="1"/>
  <c r="I39" i="1"/>
  <c r="I24" i="1"/>
  <c r="I23" i="1"/>
  <c r="I17" i="1"/>
  <c r="I16" i="1"/>
  <c r="I15" i="1"/>
  <c r="I14" i="1"/>
  <c r="F31" i="1"/>
  <c r="E31" i="1"/>
  <c r="F51" i="1"/>
  <c r="E51" i="1"/>
  <c r="F42" i="1"/>
  <c r="E42" i="1"/>
  <c r="I47" i="1"/>
  <c r="I38" i="1"/>
  <c r="I22" i="1"/>
  <c r="I46" i="1"/>
  <c r="H46" i="1"/>
  <c r="I45" i="1"/>
  <c r="H45" i="1"/>
  <c r="I44" i="1"/>
  <c r="H44" i="1"/>
  <c r="I50" i="1"/>
  <c r="H50" i="1"/>
  <c r="H49" i="1"/>
  <c r="H48" i="1"/>
  <c r="H47" i="1"/>
  <c r="I41" i="1"/>
  <c r="H41" i="1"/>
  <c r="H40" i="1"/>
  <c r="H39" i="1"/>
  <c r="J39" i="1" s="1"/>
  <c r="H38" i="1"/>
  <c r="M41" i="1"/>
  <c r="O41" i="1" s="1"/>
  <c r="M40" i="1"/>
  <c r="O40" i="1" s="1"/>
  <c r="M39" i="1"/>
  <c r="O39" i="1" s="1"/>
  <c r="M38" i="1"/>
  <c r="O38" i="1" s="1"/>
  <c r="M37" i="1"/>
  <c r="O37" i="1" s="1"/>
  <c r="H37" i="1"/>
  <c r="I36" i="1"/>
  <c r="H36" i="1"/>
  <c r="I35" i="1"/>
  <c r="H35" i="1"/>
  <c r="I34" i="1"/>
  <c r="H34" i="1"/>
  <c r="I33" i="1"/>
  <c r="H30" i="1"/>
  <c r="J30" i="1" s="1"/>
  <c r="K30" i="1"/>
  <c r="M30" i="1" s="1"/>
  <c r="O30" i="1" s="1"/>
  <c r="I29" i="1"/>
  <c r="I28" i="1"/>
  <c r="I27" i="1"/>
  <c r="I26" i="1"/>
  <c r="I25" i="1"/>
  <c r="H25" i="1"/>
  <c r="K25" i="1"/>
  <c r="M25" i="1"/>
  <c r="O25" i="1" s="1"/>
  <c r="H24" i="1"/>
  <c r="K24" i="1"/>
  <c r="M24" i="1" s="1"/>
  <c r="O24" i="1" s="1"/>
  <c r="H23" i="1"/>
  <c r="J23" i="1" s="1"/>
  <c r="K26" i="1"/>
  <c r="M26" i="1" s="1"/>
  <c r="O26" i="1" s="1"/>
  <c r="K23" i="1"/>
  <c r="M23" i="1" s="1"/>
  <c r="O23" i="1" s="1"/>
  <c r="K22" i="1"/>
  <c r="M22" i="1" s="1"/>
  <c r="O22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M17" i="1" s="1"/>
  <c r="O17" i="1" s="1"/>
  <c r="K16" i="1"/>
  <c r="M16" i="1" s="1"/>
  <c r="K15" i="1"/>
  <c r="M15" i="1" s="1"/>
  <c r="O15" i="1" s="1"/>
  <c r="K14" i="1"/>
  <c r="M14" i="1" s="1"/>
  <c r="O14" i="1" s="1"/>
  <c r="K13" i="1"/>
  <c r="M13" i="1" s="1"/>
  <c r="O13" i="1" s="1"/>
  <c r="K12" i="1"/>
  <c r="M12" i="1" s="1"/>
  <c r="O12" i="1" s="1"/>
  <c r="K11" i="1"/>
  <c r="M11" i="1" s="1"/>
  <c r="O11" i="1" s="1"/>
  <c r="K10" i="1"/>
  <c r="K9" i="1"/>
  <c r="M9" i="1" s="1"/>
  <c r="K8" i="1"/>
  <c r="M8" i="1" s="1"/>
  <c r="K7" i="1"/>
  <c r="K6" i="1"/>
  <c r="M6" i="1" s="1"/>
  <c r="K5" i="1"/>
  <c r="H22" i="1"/>
  <c r="H21" i="1"/>
  <c r="I21" i="1"/>
  <c r="I20" i="1"/>
  <c r="H20" i="1"/>
  <c r="I19" i="1"/>
  <c r="H19" i="1"/>
  <c r="I18" i="1"/>
  <c r="H18" i="1"/>
  <c r="H17" i="1"/>
  <c r="H16" i="1"/>
  <c r="J16" i="1" s="1"/>
  <c r="I13" i="1"/>
  <c r="J37" i="1"/>
  <c r="I11" i="1"/>
  <c r="I10" i="1"/>
  <c r="N10" i="1"/>
  <c r="N9" i="1"/>
  <c r="N8" i="1"/>
  <c r="I9" i="1"/>
  <c r="I8" i="1"/>
  <c r="N7" i="1"/>
  <c r="N6" i="1"/>
  <c r="N5" i="1"/>
  <c r="I7" i="1"/>
  <c r="H15" i="1"/>
  <c r="H14" i="1"/>
  <c r="J14" i="1" s="1"/>
  <c r="H13" i="1"/>
  <c r="H12" i="1"/>
  <c r="J12" i="1" s="1"/>
  <c r="H11" i="1"/>
  <c r="H10" i="1"/>
  <c r="H9" i="1"/>
  <c r="H8" i="1"/>
  <c r="H7" i="1"/>
  <c r="H6" i="1"/>
  <c r="M10" i="1"/>
  <c r="O10" i="1" s="1"/>
  <c r="M7" i="1"/>
  <c r="O7" i="1" s="1"/>
  <c r="I6" i="1"/>
  <c r="I5" i="1"/>
  <c r="N4" i="1"/>
  <c r="I4" i="1"/>
  <c r="K4" i="1"/>
  <c r="M4" i="1" s="1"/>
  <c r="H4" i="1"/>
  <c r="K44" i="1"/>
  <c r="M44" i="1" s="1"/>
  <c r="O44" i="1" s="1"/>
  <c r="K34" i="1"/>
  <c r="M34" i="1" s="1"/>
  <c r="O34" i="1" s="1"/>
  <c r="M33" i="1"/>
  <c r="O33" i="1" s="1"/>
  <c r="J46" i="1"/>
  <c r="H5" i="1"/>
  <c r="K27" i="1"/>
  <c r="M27" i="1" s="1"/>
  <c r="O27" i="1" s="1"/>
  <c r="H27" i="1"/>
  <c r="J27" i="1" s="1"/>
  <c r="K45" i="1"/>
  <c r="M45" i="1" s="1"/>
  <c r="O45" i="1" s="1"/>
  <c r="K35" i="1"/>
  <c r="M35" i="1" s="1"/>
  <c r="O35" i="1" s="1"/>
  <c r="K46" i="1"/>
  <c r="M46" i="1" s="1"/>
  <c r="O46" i="1" s="1"/>
  <c r="K36" i="1"/>
  <c r="M36" i="1" s="1"/>
  <c r="O36" i="1" s="1"/>
  <c r="H33" i="1"/>
  <c r="K28" i="1"/>
  <c r="M28" i="1" s="1"/>
  <c r="O28" i="1" s="1"/>
  <c r="H26" i="1"/>
  <c r="J26" i="1" s="1"/>
  <c r="M5" i="1"/>
  <c r="K29" i="1"/>
  <c r="M29" i="1" s="1"/>
  <c r="O29" i="1" s="1"/>
  <c r="H29" i="1"/>
  <c r="H28" i="1"/>
  <c r="J22" i="1" l="1"/>
  <c r="J29" i="1"/>
  <c r="J48" i="1"/>
  <c r="P48" i="1" s="1"/>
  <c r="R48" i="1" s="1"/>
  <c r="J21" i="1"/>
  <c r="J15" i="1"/>
  <c r="J5" i="1"/>
  <c r="J10" i="1"/>
  <c r="O8" i="1"/>
  <c r="O5" i="1"/>
  <c r="P5" i="1" s="1"/>
  <c r="R5" i="1" s="1"/>
  <c r="P14" i="1"/>
  <c r="R14" i="1" s="1"/>
  <c r="J13" i="1"/>
  <c r="J40" i="1"/>
  <c r="P40" i="1" s="1"/>
  <c r="R40" i="1" s="1"/>
  <c r="J9" i="1"/>
  <c r="J19" i="1"/>
  <c r="P19" i="1" s="1"/>
  <c r="R19" i="1" s="1"/>
  <c r="J41" i="1"/>
  <c r="P41" i="1" s="1"/>
  <c r="R41" i="1" s="1"/>
  <c r="F52" i="1"/>
  <c r="J47" i="1"/>
  <c r="P47" i="1" s="1"/>
  <c r="R47" i="1" s="1"/>
  <c r="J33" i="1"/>
  <c r="P37" i="1"/>
  <c r="R37" i="1" s="1"/>
  <c r="O4" i="1"/>
  <c r="J17" i="1"/>
  <c r="P17" i="1" s="1"/>
  <c r="R17" i="1" s="1"/>
  <c r="P39" i="1"/>
  <c r="R39" i="1" s="1"/>
  <c r="J28" i="1"/>
  <c r="P28" i="1" s="1"/>
  <c r="R28" i="1" s="1"/>
  <c r="J6" i="1"/>
  <c r="J18" i="1"/>
  <c r="P18" i="1" s="1"/>
  <c r="R18" i="1" s="1"/>
  <c r="J20" i="1"/>
  <c r="O9" i="1"/>
  <c r="P13" i="1"/>
  <c r="R13" i="1" s="1"/>
  <c r="J50" i="1"/>
  <c r="P50" i="1" s="1"/>
  <c r="R50" i="1" s="1"/>
  <c r="J45" i="1"/>
  <c r="P45" i="1" s="1"/>
  <c r="R45" i="1" s="1"/>
  <c r="J7" i="1"/>
  <c r="P7" i="1" s="1"/>
  <c r="R7" i="1" s="1"/>
  <c r="O6" i="1"/>
  <c r="P6" i="1" s="1"/>
  <c r="R6" i="1" s="1"/>
  <c r="P23" i="1"/>
  <c r="R23" i="1" s="1"/>
  <c r="P21" i="1"/>
  <c r="R21" i="1" s="1"/>
  <c r="P10" i="1"/>
  <c r="R10" i="1" s="1"/>
  <c r="P46" i="1"/>
  <c r="R46" i="1" s="1"/>
  <c r="J8" i="1"/>
  <c r="J11" i="1"/>
  <c r="P11" i="1" s="1"/>
  <c r="R11" i="1" s="1"/>
  <c r="J34" i="1"/>
  <c r="J36" i="1"/>
  <c r="P36" i="1" s="1"/>
  <c r="R36" i="1" s="1"/>
  <c r="J44" i="1"/>
  <c r="J49" i="1"/>
  <c r="P49" i="1" s="1"/>
  <c r="R49" i="1" s="1"/>
  <c r="J4" i="1"/>
  <c r="P15" i="1"/>
  <c r="R15" i="1" s="1"/>
  <c r="P22" i="1"/>
  <c r="R22" i="1" s="1"/>
  <c r="E52" i="1"/>
  <c r="K42" i="1"/>
  <c r="P12" i="1"/>
  <c r="R12" i="1" s="1"/>
  <c r="P20" i="1"/>
  <c r="R20" i="1" s="1"/>
  <c r="J35" i="1"/>
  <c r="J38" i="1"/>
  <c r="P38" i="1" s="1"/>
  <c r="R38" i="1" s="1"/>
  <c r="H51" i="1"/>
  <c r="G51" i="1" s="1"/>
  <c r="O16" i="1"/>
  <c r="P16" i="1" s="1"/>
  <c r="R16" i="1" s="1"/>
  <c r="M31" i="1"/>
  <c r="M42" i="1" s="1"/>
  <c r="P27" i="1"/>
  <c r="R27" i="1" s="1"/>
  <c r="P33" i="1"/>
  <c r="R33" i="1" s="1"/>
  <c r="P29" i="1"/>
  <c r="R29" i="1" s="1"/>
  <c r="P9" i="1"/>
  <c r="R9" i="1" s="1"/>
  <c r="P26" i="1"/>
  <c r="R26" i="1" s="1"/>
  <c r="H31" i="1"/>
  <c r="P35" i="1"/>
  <c r="R35" i="1" s="1"/>
  <c r="P30" i="1"/>
  <c r="R30" i="1" s="1"/>
  <c r="O51" i="1"/>
  <c r="H42" i="1"/>
  <c r="G42" i="1" s="1"/>
  <c r="M51" i="1"/>
  <c r="J24" i="1"/>
  <c r="J25" i="1"/>
  <c r="P25" i="1" s="1"/>
  <c r="R25" i="1" s="1"/>
  <c r="P8" i="1" l="1"/>
  <c r="R8" i="1" s="1"/>
  <c r="J51" i="1"/>
  <c r="I51" i="1" s="1"/>
  <c r="J42" i="1"/>
  <c r="P42" i="1" s="1"/>
  <c r="O31" i="1"/>
  <c r="P44" i="1"/>
  <c r="R44" i="1" s="1"/>
  <c r="R51" i="1" s="1"/>
  <c r="P34" i="1"/>
  <c r="R34" i="1" s="1"/>
  <c r="P4" i="1"/>
  <c r="R4" i="1" s="1"/>
  <c r="R31" i="1" s="1"/>
  <c r="M52" i="1"/>
  <c r="P24" i="1"/>
  <c r="R24" i="1" s="1"/>
  <c r="J31" i="1"/>
  <c r="H52" i="1"/>
  <c r="G52" i="1" s="1"/>
  <c r="G31" i="1"/>
  <c r="R42" i="1"/>
  <c r="I42" i="1"/>
  <c r="P51" i="1" l="1"/>
  <c r="P31" i="1"/>
  <c r="O52" i="1"/>
  <c r="R52" i="1"/>
  <c r="P52" i="1"/>
  <c r="J52" i="1"/>
  <c r="I31" i="1"/>
  <c r="P53" i="1" l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Trippe</author>
  </authors>
  <commentList>
    <comment ref="E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F3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4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F4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E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F5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sharedStrings.xml><?xml version="1.0" encoding="utf-8"?>
<sst xmlns="http://schemas.openxmlformats.org/spreadsheetml/2006/main" count="407" uniqueCount="241">
  <si>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</si>
  <si>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</si>
  <si>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</si>
  <si>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</si>
  <si>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</si>
  <si>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</si>
  <si>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</si>
  <si>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</si>
  <si>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</si>
  <si>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</si>
  <si>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</si>
  <si>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</si>
  <si>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</si>
  <si>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</si>
  <si>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Hourly Wage Rate</t>
  </si>
  <si>
    <t>Total Annualized Cost of Respondent Burden</t>
  </si>
  <si>
    <t>State Government</t>
  </si>
  <si>
    <t>-</t>
  </si>
  <si>
    <t>Local Government</t>
  </si>
  <si>
    <t>Data Collection assumptions</t>
  </si>
  <si>
    <t>2 Local Directors per state: 1 hour each</t>
  </si>
  <si>
    <t>2 Eligibility workers per state : 1 hour each</t>
  </si>
  <si>
    <t>2 E&amp;T State or intake worker per state: 1 hour each</t>
  </si>
  <si>
    <t>Total individuals</t>
  </si>
  <si>
    <t>Total time</t>
  </si>
  <si>
    <t>Total files</t>
  </si>
  <si>
    <t>Notes</t>
  </si>
  <si>
    <t xml:space="preserve">Email to schedule advance call </t>
  </si>
  <si>
    <t>Advance call to discuss study, answer any questions</t>
  </si>
  <si>
    <t>Thank-you email</t>
  </si>
  <si>
    <t>Instructions and list of variables for caseload administrative data</t>
  </si>
  <si>
    <t>Follow-up consultative call to discuss request and data elements</t>
  </si>
  <si>
    <t>Prepare 1-month test file</t>
  </si>
  <si>
    <t>Call to discuss 1-month test file and data issues</t>
  </si>
  <si>
    <t>Submit administrative data file</t>
  </si>
  <si>
    <t>Revise and re-submit data file as needed</t>
  </si>
  <si>
    <t xml:space="preserve">E&amp;T Provider </t>
  </si>
  <si>
    <t>Thank-you emails to 3 E&amp;T staff</t>
  </si>
  <si>
    <t>Instructions and list of variables for E&amp;T administrative data</t>
  </si>
  <si>
    <t>State, Local, and Tribal government</t>
  </si>
  <si>
    <t xml:space="preserve">State E&amp;T Provider </t>
  </si>
  <si>
    <t>State E&amp;T Provider Database administrator</t>
  </si>
  <si>
    <t>Group mapping exercise with 5 local staff</t>
  </si>
  <si>
    <t xml:space="preserve">Thank-you email </t>
  </si>
  <si>
    <t xml:space="preserve">Business or Other For Profit </t>
  </si>
  <si>
    <t>Business or Other For Profit</t>
  </si>
  <si>
    <t>Not For Profit Sub-Total</t>
  </si>
  <si>
    <t>Business or Other For Profit Sub-Total</t>
  </si>
  <si>
    <t>Not for Profit</t>
  </si>
  <si>
    <t>Instruments and Activities</t>
  </si>
  <si>
    <t>Advance letter</t>
  </si>
  <si>
    <t>Study information sheet</t>
  </si>
  <si>
    <t>State SNAP Staff</t>
  </si>
  <si>
    <t>Local SNAP Office Staff</t>
  </si>
  <si>
    <t>Local SNAP Office staff</t>
  </si>
  <si>
    <t>Pretest interviews with 2 staff at one E&amp;T provider</t>
  </si>
  <si>
    <t xml:space="preserve">Pretest with 1 E&amp;T database staff </t>
  </si>
  <si>
    <t>Pretest for State data</t>
  </si>
  <si>
    <t>State/Local/Tribal Government Sub-Total</t>
  </si>
  <si>
    <r>
      <t xml:space="preserve">Local SNAP Office staff: Average hourly earnings of </t>
    </r>
    <r>
      <rPr>
        <b/>
        <sz val="11"/>
        <color theme="1"/>
        <rFont val="Calibri"/>
        <family val="2"/>
        <scheme val="minor"/>
      </rPr>
      <t xml:space="preserve">Community and Social Service Specialists </t>
    </r>
    <r>
      <rPr>
        <sz val="11"/>
        <color theme="1"/>
        <rFont val="Calibri"/>
        <family val="2"/>
        <scheme val="minor"/>
      </rPr>
      <t>(21-10099): $21.89</t>
    </r>
  </si>
  <si>
    <r>
      <t xml:space="preserve">E&amp;T Provider staff: Average hourly earnings of </t>
    </r>
    <r>
      <rPr>
        <b/>
        <sz val="11"/>
        <color theme="1"/>
        <rFont val="Calibri"/>
        <family val="2"/>
        <scheme val="minor"/>
      </rPr>
      <t xml:space="preserve">Social and Community Service Managers </t>
    </r>
    <r>
      <rPr>
        <sz val="11"/>
        <color theme="1"/>
        <rFont val="Calibri"/>
        <family val="2"/>
        <scheme val="minor"/>
      </rPr>
      <t>(11-9151): $34.07</t>
    </r>
  </si>
  <si>
    <r>
      <t xml:space="preserve">State and E&amp;T Database administrators: Average hourly earnings of </t>
    </r>
    <r>
      <rPr>
        <b/>
        <sz val="11"/>
        <color theme="1"/>
        <rFont val="Calibri"/>
        <family val="2"/>
        <scheme val="minor"/>
      </rPr>
      <t>D</t>
    </r>
    <r>
      <rPr>
        <b/>
        <sz val="8"/>
        <color rgb="FF000000"/>
        <rFont val="Times New Roman"/>
        <family val="1"/>
      </rPr>
      <t>atabase Administrators</t>
    </r>
    <r>
      <rPr>
        <sz val="8"/>
        <color rgb="FF000000"/>
        <rFont val="Times New Roman"/>
        <family val="1"/>
      </rPr>
      <t xml:space="preserve"> (15-1141): $41.89</t>
    </r>
  </si>
  <si>
    <r>
      <t xml:space="preserve">State SNAP Staff: average hourly earnings of workers </t>
    </r>
    <r>
      <rPr>
        <sz val="8"/>
        <color rgb="FF000000"/>
        <rFont val="Times New Roman"/>
        <family val="1"/>
      </rPr>
      <t>in</t>
    </r>
    <r>
      <rPr>
        <b/>
        <sz val="8"/>
        <color rgb="FF000000"/>
        <rFont val="Times New Roman"/>
        <family val="1"/>
      </rPr>
      <t xml:space="preserve"> Management Occupations</t>
    </r>
    <r>
      <rPr>
        <sz val="8"/>
        <color rgb="FF000000"/>
        <rFont val="Times New Roman"/>
        <family val="1"/>
      </rPr>
      <t xml:space="preserve"> (11-0000): $56.74</t>
    </r>
  </si>
  <si>
    <t>**  Source: Bureau of Labor Statistics; May 2016 National Occupational Employment and Wage Estimates; https://www.bls.gov/oes/2016/may/oes_nat.htm</t>
  </si>
  <si>
    <t>State Database Administrator</t>
  </si>
  <si>
    <t>State Database administrator</t>
  </si>
  <si>
    <t xml:space="preserve">Submit administrative data file </t>
  </si>
  <si>
    <t>Business E&amp;T Provider Database administrator</t>
  </si>
  <si>
    <t>Not for Profit E&amp;T Provider Database administrator</t>
  </si>
  <si>
    <t>Pretest with SNAP director and E&amp;T manager in pretest State</t>
  </si>
  <si>
    <t>Pretest in one local office with 2 staff</t>
  </si>
  <si>
    <t xml:space="preserve">Not For Profit </t>
  </si>
  <si>
    <t>2 Local SNAP offices per State: (3 interviews, 1 hour each; 1 mapping for 5 staff, 1.5 hours each) * 2 local offices</t>
  </si>
  <si>
    <t>Email to schedule in-person semi-structured interviews</t>
  </si>
  <si>
    <t>In-person semi-structured interviews with SNAP Directors and E&amp;T Managers</t>
  </si>
  <si>
    <t>In-person semi-structured interviews with 3 E&amp;T provider staff</t>
  </si>
  <si>
    <t>Thank-you emails to 3 E&amp;T provider staff</t>
  </si>
  <si>
    <t>Email to schedule semi-structured interviews with State E&amp;T provider staff</t>
  </si>
  <si>
    <t>In-person semi-structured interviews with 3 staff in 2 sites over 6 States</t>
  </si>
  <si>
    <t>Email to schedule in-person semi-structured interviews and mapping exercise in 2 separate sites over 6 states</t>
  </si>
  <si>
    <t>Email to schedule semi-structured interviews with For Profit E&amp;T provider staff</t>
  </si>
  <si>
    <t>Email to schedule semi-structured interviews with Not For Profit E&amp;T provider staff</t>
  </si>
  <si>
    <t>One-month test file per state: 4 hours each</t>
  </si>
  <si>
    <t xml:space="preserve">Total </t>
  </si>
  <si>
    <t xml:space="preserve">2 observations per state: 1 staff and 1 client each for 1 hour </t>
  </si>
  <si>
    <t>Observations have one staff person and one client and last 1 hour. Staff person did not participate in interviews. Client hours are accounted for below (rows 54 on)</t>
  </si>
  <si>
    <t>Client Observations</t>
  </si>
  <si>
    <t>Total Repsondents</t>
  </si>
  <si>
    <t>Total Time</t>
  </si>
  <si>
    <t>Local Office</t>
  </si>
  <si>
    <t>2 local offices and one observation in each office with one client</t>
  </si>
  <si>
    <t>State E&amp;T provider</t>
  </si>
  <si>
    <t>One observation in each location with one client</t>
  </si>
  <si>
    <t>Not for profit provider</t>
  </si>
  <si>
    <t>For Profit Provider</t>
  </si>
  <si>
    <t>Total</t>
  </si>
  <si>
    <t>Individuals</t>
  </si>
  <si>
    <t>Total:</t>
  </si>
  <si>
    <t>Site visits to Four States</t>
  </si>
  <si>
    <t>State SNAP Agency: 1 interviews, 1.5 hours</t>
  </si>
  <si>
    <t>1 SNAP Director per State: 1.5 hour</t>
  </si>
  <si>
    <t>1 State E&amp;T Director per State:  1.5 hour</t>
  </si>
  <si>
    <t>2 Group mapping exercises per state: 5 staff each for 2 hours each</t>
  </si>
  <si>
    <t>Assumes 1 one-on-one director interview and 2 group interviews with one eligibiltiy and one E&amp;T worker at each local office</t>
  </si>
  <si>
    <t>Assumes each observation has one eligibility worker and one client. Eligibility worker not in interview. Client burden accounted for in individual row</t>
  </si>
  <si>
    <t>2 E&amp;T Providers per State (3 interviews, 1 hour each) * 3 E&amp;T providers; (assume 3 nonprofit, 2 for profit, 3 state/local E&amp;T provider total)</t>
  </si>
  <si>
    <t xml:space="preserve">3 Nonprofit </t>
  </si>
  <si>
    <t>2 For Profit</t>
  </si>
  <si>
    <t>3 state/local</t>
  </si>
  <si>
    <t>2 E&amp;T provider directors per state: 1 hour each</t>
  </si>
  <si>
    <t>3 Nonprofit</t>
  </si>
  <si>
    <t>4 E&amp;T provider case managers per state: 1 hour each</t>
  </si>
  <si>
    <t>4 E&amp;T provider career advisors per state: 1 hour each</t>
  </si>
  <si>
    <t>Assumes 2 one-on-one interviews with directors per state. Assumes 2 two-on-one interviews with case manages and career advisors per state</t>
  </si>
  <si>
    <t>2 E&amp;T Observations per state: 1 hour each</t>
  </si>
  <si>
    <t>Administrative SNAP data from 4 States</t>
  </si>
  <si>
    <t>1 State caseload data file per state: 8 hours each</t>
  </si>
  <si>
    <t>Assume 2 of the 4 states need to resubmit: 2 hour each</t>
  </si>
  <si>
    <t>UI Wage Data from 4 States</t>
  </si>
  <si>
    <t>Total Files</t>
  </si>
  <si>
    <t>DUAs with 4 : 8 hours each</t>
  </si>
  <si>
    <t>1 UI wage data file per State: 10 hour each</t>
  </si>
  <si>
    <t>Assumes each mapping exercise has 5 individuals</t>
  </si>
  <si>
    <t>Type of Respondent</t>
  </si>
  <si>
    <t>Number of Respondents</t>
  </si>
  <si>
    <t>Frequency of Response</t>
  </si>
  <si>
    <t>Total Annual Responses</t>
  </si>
  <si>
    <t>Hours per Response</t>
  </si>
  <si>
    <t>Annual Burden (Hours)</t>
  </si>
  <si>
    <t>Number of 
Nonrespondents</t>
  </si>
  <si>
    <t>Grand Total Annual Burden Estimate (Hours)</t>
  </si>
  <si>
    <t>Nonresponsive</t>
  </si>
  <si>
    <t>Table 1. Total Public Burden Hours and Respondent Costs</t>
  </si>
  <si>
    <t>Business or other for profit subtotal (unique)</t>
  </si>
  <si>
    <t>Area probability participant subtotal (unique)</t>
  </si>
  <si>
    <t>Area probability sample</t>
  </si>
  <si>
    <t>ASSUMPTIONS</t>
  </si>
  <si>
    <t xml:space="preserve">These will be for those who have not completed the survey and the ADSEF file includes a  phone number </t>
  </si>
  <si>
    <t xml:space="preserve">In-depth interview </t>
  </si>
  <si>
    <t>Public agencies, such as human services, education, and healthcare: average hourly earnings of workers in Management Occupations (11-0000): $60.81</t>
  </si>
  <si>
    <t>Low-income individuals/NAP participants: Federal minimum wage rate $7.25</t>
  </si>
  <si>
    <t>U.S. Department of Labor, Wage and Hour Division. (2021). State Minimum Wage Laws. https://www.dol.gov/agencies/whd/minimum-wage/state#pr</t>
  </si>
  <si>
    <t>Sources:</t>
  </si>
  <si>
    <t>Note:</t>
  </si>
  <si>
    <t>78% of those recruited will participate</t>
  </si>
  <si>
    <t>Local organization recruitment</t>
  </si>
  <si>
    <t>Local organization recruitment subtotal (unique)</t>
  </si>
  <si>
    <t>NAP sample</t>
  </si>
  <si>
    <t>NAP sample subtotal (unique)</t>
  </si>
  <si>
    <t>All Individuals subtotal (unique)</t>
  </si>
  <si>
    <t>Survey of health and community well-being</t>
  </si>
  <si>
    <t>Those who are recruited will participate in all subsequent activities</t>
  </si>
  <si>
    <t>29% of those who are invited will complete the survey</t>
  </si>
  <si>
    <t>Most surveys will be hand-offs, 20% will not be opened (mostly mail dropoffs); burden is assumed to be 5 minutes; please adjust per guidance from Anitza</t>
  </si>
  <si>
    <t>&lt; 1% will schedule inbound calls</t>
  </si>
  <si>
    <t>Everyone who has scheduled a call will receive a call; 1% will complete it</t>
  </si>
  <si>
    <t>12% of those who get the survey invitation letter will read the letter</t>
  </si>
  <si>
    <t>Reminder postcard sent to everyone; 3% will read it</t>
  </si>
  <si>
    <t>90% of those who are invited will require follow-up; 9% will read it</t>
  </si>
  <si>
    <t>95% of those who received the first survey mailing will require second mailing; 6% will read it</t>
  </si>
  <si>
    <t>Second invitation will include number to call to schedule; per sample table, we expect 66 to complete phone survey; assume inbound is 15 calls</t>
  </si>
  <si>
    <t>16% of those invited through phone will complete the IDI</t>
  </si>
  <si>
    <t>Concept map: Summary of prioritization and sorting results</t>
  </si>
  <si>
    <t xml:space="preserve"> Human services, education, and healthcare agency staff</t>
  </si>
  <si>
    <t>Private business and academia staff</t>
  </si>
  <si>
    <t>Advocacy organization, human service provider staff</t>
  </si>
  <si>
    <t>Business and Nonprofit Organizations</t>
  </si>
  <si>
    <t>Nonprofit Organizations</t>
  </si>
  <si>
    <t>Nonprofit organizations subtotal (unique)</t>
  </si>
  <si>
    <t xml:space="preserve">Survey of health and community well-being </t>
  </si>
  <si>
    <t>Concept map: Advance materials for second virtual meeting</t>
  </si>
  <si>
    <t>Pretest: In-depth interview protocol</t>
  </si>
  <si>
    <t>Pretest: Survey instrument</t>
  </si>
  <si>
    <t>Pretest participants</t>
  </si>
  <si>
    <t>ADSEF staff</t>
  </si>
  <si>
    <t>Call with ADSEF</t>
  </si>
  <si>
    <t>Preparations and sending data</t>
  </si>
  <si>
    <t>ADSEF staff subtotal (unique)</t>
  </si>
  <si>
    <t>Human services, education, and healthcare subtotal (unique)</t>
  </si>
  <si>
    <t>Hourly Wage Rate + 33% Benefits</t>
  </si>
  <si>
    <t>Puerto Rico Government</t>
  </si>
  <si>
    <t>Business and nonprofit organizations subtotal (unique)</t>
  </si>
  <si>
    <t>Private businesses, such as agribusiness and food retailers; academia, such as nutritionists, economists, and political scientists: average hourly earnings of Life, physical, and social science occupations (19-0000): $38.15</t>
  </si>
  <si>
    <t>Advocacy organizations, such as neighborhood associations, civic groups, and the faith community; human service providers, such as food banks, workforce development organizations, and community action agencies: average hourly earnings of Community and Social Service Occupations (21-0000): $25.09</t>
  </si>
  <si>
    <t>20% of those invited through in-person recruitment will complete the in-depth interviews</t>
  </si>
  <si>
    <t>Concept map: Recruitment</t>
  </si>
  <si>
    <t>Survey: Recruitment</t>
  </si>
  <si>
    <t>In-depth interview: Recruitment</t>
  </si>
  <si>
    <t>In-depth interview</t>
  </si>
  <si>
    <t>Activity</t>
  </si>
  <si>
    <t>Concept map: Advance materials for first meeting</t>
  </si>
  <si>
    <t>Concept map: First meeting</t>
  </si>
  <si>
    <t>Concept map: Second meeting</t>
  </si>
  <si>
    <t>Preparations and receiving data from ADSEF</t>
  </si>
  <si>
    <t>J.1. Email to ADSEF</t>
  </si>
  <si>
    <t>J.2. Agenda for Meeting with ADSEF</t>
  </si>
  <si>
    <t>J.3. Instructions for Using SFTP Site</t>
  </si>
  <si>
    <t>E.1/E.2. In-depth Interview Protocol</t>
  </si>
  <si>
    <t>C.1-C.2/D.2-D.2. Household Survey Instrument</t>
  </si>
  <si>
    <t>Total Respondent + Nonrespondent:</t>
  </si>
  <si>
    <t>Number of responses per respondent</t>
  </si>
  <si>
    <t>Total responses</t>
  </si>
  <si>
    <t>Estimated time per respondent</t>
  </si>
  <si>
    <t>Total annual burden hours</t>
  </si>
  <si>
    <t>Number of responses per PR govt respt</t>
  </si>
  <si>
    <t>Total PR govt responses</t>
  </si>
  <si>
    <t>Estimated time per PR govt respt</t>
  </si>
  <si>
    <t>Number of responses per business respt</t>
  </si>
  <si>
    <t>Total business responses</t>
  </si>
  <si>
    <t>Estimated time per business respt</t>
  </si>
  <si>
    <t>Number of responses per individual respt</t>
  </si>
  <si>
    <t>Total individual responses</t>
  </si>
  <si>
    <t>Estimated time per individual respt</t>
  </si>
  <si>
    <t>Puerto Rico Government subtotal (unique)</t>
  </si>
  <si>
    <t>Pretest participants subtotal (unique)</t>
  </si>
  <si>
    <t>F.1. Welcome and Scheduling Email</t>
  </si>
  <si>
    <t>F.2. Reminder Email for First Meeting</t>
  </si>
  <si>
    <t>F.3. Advance Material for First Meeting</t>
  </si>
  <si>
    <t>F.4. First Meeting Facilitator Guide</t>
  </si>
  <si>
    <t>F.5. Additional Ideas Email</t>
  </si>
  <si>
    <t>F.6. Instructions for Sorting and Rating Email</t>
  </si>
  <si>
    <t>F.7. Second Meeting Scheduling Email</t>
  </si>
  <si>
    <t>F.8. Reminder Email for Second Meeting</t>
  </si>
  <si>
    <t>F.9. Advance Material for Second Meeting</t>
  </si>
  <si>
    <t>F.10. Second Meeting Facilitator Guide</t>
  </si>
  <si>
    <t>C.1-C.2/D.1-D.2. Household Survey Instrument</t>
  </si>
  <si>
    <t>G.1./G.12. First Survey Invitation Letter for NAP Participant List Sample</t>
  </si>
  <si>
    <t>G.2/G.13. Reminder Postcard for NAP Participant List Sample</t>
  </si>
  <si>
    <t>G.3/G.14. Invitation Letter With Mail Survey for NAP Participant List Sample</t>
  </si>
  <si>
    <t>G.4/G.15. Recording for Inbound Calls to Schedule Survey</t>
  </si>
  <si>
    <t>G.5./G.16. Return Call to Schedule Survey</t>
  </si>
  <si>
    <t>G.6./G.17. Script for Telephone Nonresponse Follow-Up for NAP Participant List Sample</t>
  </si>
  <si>
    <t>G.11/G.22. Thank you Letter for Survey Participants</t>
  </si>
  <si>
    <t>Phone Script for In-Depth Interview Recruitment: EITHER: I.1./I.4. Voicemail Script for In-Depth Interview Recruitment OR I.2./I.5. Script for Answered Call</t>
  </si>
  <si>
    <t>G.7/G.18. Invitation Letter for Area Probability Sample (In-Person Delivery) (includes time to read G.8/G.19. Script for Data Collectors for Area Probability Sample (In-Person Delivery))</t>
  </si>
  <si>
    <t>K.1. Concept Mapping Recruitment Email</t>
  </si>
  <si>
    <t xml:space="preserve">K.2. Concept Mapping Informed Consent </t>
  </si>
  <si>
    <t>I.3./I.6. Study Announcement for Local Community Partners</t>
  </si>
  <si>
    <t>G.9./G.20. Text for Website (Home Page)</t>
  </si>
  <si>
    <t xml:space="preserve">G.10./G.21. FAQ Document </t>
  </si>
  <si>
    <t>U.S. Department of Labor, U.S. Bureau of Labor Statistics. (2021). Occupational Employment and Wage Statistics: May 2021 Occupation Profiles. https://www.bls.gov/oes/current/oes_stru.htm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</si>
</sst>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&quot;$&quot;* #,##0_);_(&quot;$&quot;* \(#,##0\);_(&quot;$&quot;* &quot;-&quot;??_);_(@_)"/>
    <numFmt numFmtId="168" formatCode="&quot;$&quot;#,##0"/>
    <numFmt numFmtId="169" formatCode="&quot;$&quot;#,##0.00"/>
    <numFmt numFmtId="170" formatCode="0.0000"/>
    <numFmt numFmtId="171" formatCode="0.00000000"/>
    <numFmt numFmtId="172" formatCode="_(* #,##0.0000_);_(* \(#,##0.0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61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textRotation="90" wrapText="1"/>
    </xf>
    <xf numFmtId="0" fontId="2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/>
    <xf numFmtId="0" fontId="3" fillId="0" borderId="7" xfId="0" applyFont="1" applyFill="1" applyBorder="1" applyAlignment="1">
      <alignment wrapText="1"/>
    </xf>
    <xf numFmtId="0" fontId="2" fillId="0" borderId="9" xfId="0" applyFont="1" applyFill="1" applyBorder="1" applyAlignment="1">
      <alignment wrapText="1" readingOrder="1"/>
    </xf>
    <xf numFmtId="0" fontId="2" fillId="0" borderId="10" xfId="0" applyFont="1" applyFill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 readingOrder="1"/>
    </xf>
    <xf numFmtId="3" fontId="3" fillId="0" borderId="15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textRotation="90" wrapText="1" readingOrder="1"/>
    </xf>
    <xf numFmtId="0" fontId="1" fillId="0" borderId="8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 readingOrder="1"/>
    </xf>
    <xf numFmtId="3" fontId="3" fillId="0" borderId="18" xfId="0" applyNumberFormat="1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3" fontId="3" fillId="0" borderId="7" xfId="0" applyNumberFormat="1" applyFont="1" applyFill="1" applyBorder="1" applyAlignment="1">
      <alignment wrapText="1"/>
    </xf>
    <xf numFmtId="3" fontId="3" fillId="0" borderId="8" xfId="0" applyNumberFormat="1" applyFont="1" applyFill="1" applyBorder="1" applyAlignment="1">
      <alignment horizontal="right" wrapText="1"/>
    </xf>
    <xf numFmtId="0" fontId="2" fillId="0" borderId="20" xfId="0" applyFont="1" applyFill="1" applyBorder="1" applyAlignment="1">
      <alignment horizontal="center" wrapText="1" readingOrder="1"/>
    </xf>
    <xf numFmtId="0" fontId="3" fillId="0" borderId="21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3" fillId="0" borderId="24" xfId="0" applyFont="1" applyFill="1" applyBorder="1" applyAlignment="1"/>
    <xf numFmtId="0" fontId="0" fillId="0" borderId="4" xfId="0" applyFont="1" applyFill="1" applyBorder="1" applyAlignment="1"/>
    <xf numFmtId="44" fontId="3" fillId="0" borderId="7" xfId="1" applyFont="1" applyBorder="1" applyAlignment="1">
      <alignment horizontal="center"/>
    </xf>
    <xf numFmtId="44" fontId="3" fillId="0" borderId="8" xfId="0" applyNumberFormat="1" applyFont="1" applyFill="1" applyBorder="1" applyAlignment="1"/>
    <xf numFmtId="0" fontId="5" fillId="0" borderId="12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3" fontId="3" fillId="2" borderId="0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164" fontId="3" fillId="2" borderId="30" xfId="0" applyNumberFormat="1" applyFont="1" applyFill="1" applyBorder="1" applyAlignment="1">
      <alignment horizontal="right" wrapText="1"/>
    </xf>
    <xf numFmtId="3" fontId="3" fillId="2" borderId="31" xfId="0" applyNumberFormat="1" applyFont="1" applyFill="1" applyBorder="1" applyAlignment="1">
      <alignment horizontal="right" wrapText="1"/>
    </xf>
    <xf numFmtId="3" fontId="3" fillId="2" borderId="32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right" wrapText="1"/>
    </xf>
    <xf numFmtId="44" fontId="3" fillId="2" borderId="26" xfId="1" applyFont="1" applyFill="1" applyBorder="1" applyAlignment="1">
      <alignment horizontal="center"/>
    </xf>
    <xf numFmtId="0" fontId="2" fillId="0" borderId="27" xfId="0" applyFont="1" applyFill="1" applyBorder="1" applyAlignment="1">
      <alignment textRotation="90" wrapText="1"/>
    </xf>
    <xf numFmtId="0" fontId="2" fillId="0" borderId="28" xfId="0" applyFont="1" applyFill="1" applyBorder="1" applyAlignment="1">
      <alignment wrapText="1"/>
    </xf>
    <xf numFmtId="0" fontId="2" fillId="0" borderId="28" xfId="0" applyFont="1" applyFill="1" applyBorder="1" applyAlignment="1">
      <alignment horizontal="left" wrapText="1"/>
    </xf>
    <xf numFmtId="164" fontId="2" fillId="0" borderId="28" xfId="0" applyNumberFormat="1" applyFont="1" applyFill="1" applyBorder="1" applyAlignment="1">
      <alignment horizontal="center" wrapText="1"/>
    </xf>
    <xf numFmtId="3" fontId="2" fillId="0" borderId="28" xfId="0" applyNumberFormat="1" applyFont="1" applyFill="1" applyBorder="1" applyAlignment="1">
      <alignment wrapText="1"/>
    </xf>
    <xf numFmtId="0" fontId="0" fillId="0" borderId="27" xfId="0" applyFont="1" applyFill="1" applyBorder="1" applyAlignment="1"/>
    <xf numFmtId="0" fontId="2" fillId="0" borderId="29" xfId="0" applyFont="1" applyFill="1" applyBorder="1" applyAlignment="1">
      <alignment wrapText="1"/>
    </xf>
    <xf numFmtId="3" fontId="2" fillId="0" borderId="3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1" fillId="0" borderId="43" xfId="0" applyFont="1" applyFill="1" applyBorder="1" applyAlignment="1">
      <alignment wrapText="1"/>
    </xf>
    <xf numFmtId="3" fontId="3" fillId="0" borderId="44" xfId="0" applyNumberFormat="1" applyFont="1" applyFill="1" applyBorder="1" applyAlignment="1">
      <alignment wrapText="1"/>
    </xf>
    <xf numFmtId="3" fontId="3" fillId="0" borderId="25" xfId="0" applyNumberFormat="1" applyFont="1" applyFill="1" applyBorder="1" applyAlignment="1">
      <alignment wrapText="1"/>
    </xf>
    <xf numFmtId="0" fontId="3" fillId="0" borderId="42" xfId="0" applyFont="1" applyFill="1" applyBorder="1" applyAlignment="1">
      <alignment horizontal="center" wrapText="1"/>
    </xf>
    <xf numFmtId="3" fontId="3" fillId="0" borderId="42" xfId="0" applyNumberFormat="1" applyFont="1" applyFill="1" applyBorder="1" applyAlignment="1">
      <alignment horizontal="right" wrapText="1"/>
    </xf>
    <xf numFmtId="2" fontId="3" fillId="0" borderId="42" xfId="0" applyNumberFormat="1" applyFont="1" applyFill="1" applyBorder="1" applyAlignment="1">
      <alignment horizontal="right" wrapText="1"/>
    </xf>
    <xf numFmtId="3" fontId="3" fillId="0" borderId="45" xfId="0" applyNumberFormat="1" applyFont="1" applyFill="1" applyBorder="1" applyAlignment="1">
      <alignment wrapText="1"/>
    </xf>
    <xf numFmtId="0" fontId="3" fillId="0" borderId="46" xfId="0" applyFont="1" applyFill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8" fillId="0" borderId="37" xfId="0" applyFont="1" applyBorder="1" applyAlignment="1">
      <alignment vertical="center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21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/>
    <xf numFmtId="44" fontId="3" fillId="0" borderId="7" xfId="1" applyFont="1" applyFill="1" applyBorder="1" applyAlignment="1"/>
    <xf numFmtId="167" fontId="3" fillId="0" borderId="8" xfId="0" applyNumberFormat="1" applyFont="1" applyFill="1" applyBorder="1" applyAlignment="1"/>
    <xf numFmtId="166" fontId="3" fillId="0" borderId="24" xfId="0" applyNumberFormat="1" applyFont="1" applyFill="1" applyBorder="1" applyAlignment="1"/>
    <xf numFmtId="1" fontId="3" fillId="0" borderId="24" xfId="0" applyNumberFormat="1" applyFont="1" applyFill="1" applyBorder="1" applyAlignment="1"/>
    <xf numFmtId="167" fontId="0" fillId="2" borderId="31" xfId="0" applyNumberFormat="1" applyFont="1" applyFill="1" applyBorder="1" applyAlignment="1"/>
    <xf numFmtId="1" fontId="3" fillId="2" borderId="30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3" fontId="0" fillId="0" borderId="0" xfId="0" applyNumberFormat="1" applyFont="1" applyFill="1" applyAlignment="1"/>
    <xf numFmtId="1" fontId="3" fillId="2" borderId="33" xfId="0" applyNumberFormat="1" applyFont="1" applyFill="1" applyBorder="1" applyAlignment="1"/>
    <xf numFmtId="168" fontId="2" fillId="0" borderId="3" xfId="0" applyNumberFormat="1" applyFont="1" applyFill="1" applyBorder="1" applyAlignment="1">
      <alignment wrapText="1"/>
    </xf>
    <xf numFmtId="0" fontId="2" fillId="4" borderId="9" xfId="0" applyFont="1" applyFill="1" applyBorder="1" applyAlignment="1">
      <alignment horizontal="center" wrapText="1" readingOrder="1"/>
    </xf>
    <xf numFmtId="0" fontId="2" fillId="4" borderId="10" xfId="0" applyFont="1" applyFill="1" applyBorder="1" applyAlignment="1">
      <alignment horizontal="center" wrapText="1" readingOrder="1"/>
    </xf>
    <xf numFmtId="0" fontId="2" fillId="4" borderId="11" xfId="0" applyFont="1" applyFill="1" applyBorder="1" applyAlignment="1">
      <alignment horizontal="center" wrapText="1" readingOrder="1"/>
    </xf>
    <xf numFmtId="1" fontId="3" fillId="0" borderId="47" xfId="0" applyNumberFormat="1" applyFont="1" applyFill="1" applyBorder="1" applyAlignment="1"/>
    <xf numFmtId="3" fontId="3" fillId="2" borderId="2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165" fontId="3" fillId="2" borderId="31" xfId="0" applyNumberFormat="1" applyFont="1" applyFill="1" applyBorder="1" applyAlignment="1">
      <alignment horizontal="right" wrapText="1"/>
    </xf>
    <xf numFmtId="165" fontId="2" fillId="0" borderId="3" xfId="0" applyNumberFormat="1" applyFont="1" applyFill="1" applyBorder="1" applyAlignment="1">
      <alignment wrapText="1"/>
    </xf>
    <xf numFmtId="165" fontId="3" fillId="2" borderId="30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wrapText="1"/>
    </xf>
    <xf numFmtId="166" fontId="3" fillId="2" borderId="30" xfId="0" applyNumberFormat="1" applyFont="1" applyFill="1" applyBorder="1" applyAlignment="1">
      <alignment horizontal="right" wrapText="1"/>
    </xf>
    <xf numFmtId="165" fontId="3" fillId="0" borderId="42" xfId="0" applyNumberFormat="1" applyFont="1" applyFill="1" applyBorder="1" applyAlignment="1">
      <alignment horizontal="right" wrapText="1"/>
    </xf>
    <xf numFmtId="166" fontId="2" fillId="0" borderId="3" xfId="0" applyNumberFormat="1" applyFont="1" applyFill="1" applyBorder="1" applyAlignment="1">
      <alignment wrapText="1"/>
    </xf>
    <xf numFmtId="166" fontId="3" fillId="0" borderId="8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readingOrder="1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0" fillId="0" borderId="2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Alignment="1">
      <alignment horizontal="left"/>
    </xf>
    <xf numFmtId="0" fontId="16" fillId="6" borderId="0" xfId="0" applyFont="1" applyFill="1" applyAlignment="1"/>
    <xf numFmtId="0" fontId="18" fillId="7" borderId="0" xfId="0" applyFont="1" applyFill="1" applyAlignment="1">
      <alignment vertical="center"/>
    </xf>
    <xf numFmtId="0" fontId="0" fillId="0" borderId="0" xfId="0" applyFont="1" applyFill="1" applyAlignment="1">
      <alignment horizontal="right"/>
    </xf>
    <xf numFmtId="0" fontId="16" fillId="5" borderId="0" xfId="0" applyFont="1" applyFill="1" applyAlignment="1"/>
    <xf numFmtId="166" fontId="0" fillId="0" borderId="32" xfId="0" applyNumberFormat="1" applyFont="1" applyFill="1" applyBorder="1" applyAlignment="1"/>
    <xf numFmtId="3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>
      <alignment horizontal="right" wrapText="1"/>
    </xf>
    <xf numFmtId="0" fontId="0" fillId="0" borderId="48" xfId="0" applyFont="1" applyFill="1" applyBorder="1" applyAlignment="1">
      <alignment horizontal="right"/>
    </xf>
    <xf numFmtId="166" fontId="0" fillId="0" borderId="48" xfId="0" applyNumberFormat="1" applyFont="1" applyFill="1" applyBorder="1" applyAlignment="1">
      <alignment horizontal="right"/>
    </xf>
    <xf numFmtId="3" fontId="16" fillId="0" borderId="48" xfId="0" applyNumberFormat="1" applyFont="1" applyFill="1" applyBorder="1" applyAlignment="1">
      <alignment horizontal="right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6" fillId="0" borderId="0" xfId="0" applyFont="1"/>
    <xf numFmtId="0" fontId="0" fillId="0" borderId="0" xfId="0" applyAlignment="1">
      <alignment horizontal="left" indent="2"/>
    </xf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37" xfId="0" applyBorder="1" applyAlignment="1"/>
    <xf numFmtId="0" fontId="0" fillId="0" borderId="67" xfId="0" applyBorder="1"/>
    <xf numFmtId="0" fontId="6" fillId="0" borderId="0" xfId="0" applyFont="1" applyAlignment="1">
      <alignment horizontal="left" indent="2"/>
    </xf>
    <xf numFmtId="0" fontId="0" fillId="0" borderId="0" xfId="0" applyFill="1"/>
    <xf numFmtId="0" fontId="19" fillId="0" borderId="50" xfId="0" applyFont="1" applyBorder="1" applyAlignment="1"/>
    <xf numFmtId="166" fontId="0" fillId="0" borderId="0" xfId="0" applyNumberFormat="1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 applyAlignment="1">
      <alignment vertical="center"/>
    </xf>
    <xf numFmtId="1" fontId="19" fillId="0" borderId="50" xfId="0" applyNumberFormat="1" applyFont="1" applyBorder="1" applyAlignment="1"/>
    <xf numFmtId="1" fontId="0" fillId="0" borderId="48" xfId="0" applyNumberFormat="1" applyFont="1" applyFill="1" applyBorder="1" applyAlignment="1">
      <alignment horizontal="right"/>
    </xf>
    <xf numFmtId="1" fontId="0" fillId="0" borderId="0" xfId="0" applyNumberFormat="1" applyFont="1" applyFill="1" applyAlignment="1"/>
    <xf numFmtId="1" fontId="0" fillId="0" borderId="0" xfId="0" applyNumberFormat="1" applyFont="1" applyFill="1" applyBorder="1" applyAlignment="1"/>
    <xf numFmtId="1" fontId="0" fillId="0" borderId="2" xfId="0" applyNumberFormat="1" applyFont="1" applyFill="1" applyBorder="1" applyAlignment="1"/>
    <xf numFmtId="43" fontId="0" fillId="0" borderId="0" xfId="3" applyNumberFormat="1" applyFont="1" applyFill="1" applyBorder="1" applyAlignment="1"/>
    <xf numFmtId="169" fontId="19" fillId="0" borderId="50" xfId="0" applyNumberFormat="1" applyFont="1" applyBorder="1" applyAlignment="1"/>
    <xf numFmtId="169" fontId="0" fillId="0" borderId="0" xfId="0" applyNumberFormat="1" applyFont="1" applyFill="1" applyAlignment="1">
      <alignment horizontal="right"/>
    </xf>
    <xf numFmtId="169" fontId="0" fillId="0" borderId="0" xfId="0" applyNumberFormat="1" applyFont="1" applyFill="1" applyAlignment="1"/>
    <xf numFmtId="0" fontId="16" fillId="0" borderId="75" xfId="0" applyFont="1" applyFill="1" applyBorder="1" applyAlignment="1"/>
    <xf numFmtId="0" fontId="21" fillId="0" borderId="0" xfId="0" applyFont="1" applyFill="1" applyAlignment="1"/>
    <xf numFmtId="0" fontId="16" fillId="0" borderId="0" xfId="0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0" fillId="0" borderId="0" xfId="0" applyFont="1" applyFill="1" applyAlignment="1"/>
    <xf numFmtId="1" fontId="2" fillId="0" borderId="89" xfId="0" applyNumberFormat="1" applyFont="1" applyFill="1" applyBorder="1" applyAlignment="1">
      <alignment horizontal="center" vertical="center" wrapText="1" readingOrder="1"/>
    </xf>
    <xf numFmtId="0" fontId="2" fillId="0" borderId="90" xfId="0" applyFont="1" applyFill="1" applyBorder="1" applyAlignment="1">
      <alignment horizontal="center" vertical="center" wrapText="1" readingOrder="1"/>
    </xf>
    <xf numFmtId="0" fontId="2" fillId="0" borderId="100" xfId="0" applyFont="1" applyFill="1" applyBorder="1" applyAlignment="1">
      <alignment horizontal="center" vertical="center" wrapText="1" readingOrder="1"/>
    </xf>
    <xf numFmtId="0" fontId="2" fillId="0" borderId="89" xfId="0" applyFont="1" applyFill="1" applyBorder="1" applyAlignment="1">
      <alignment horizontal="center" vertical="center" wrapText="1" readingOrder="1"/>
    </xf>
    <xf numFmtId="166" fontId="2" fillId="0" borderId="100" xfId="0" applyNumberFormat="1" applyFont="1" applyFill="1" applyBorder="1" applyAlignment="1">
      <alignment horizontal="center" vertical="center" wrapText="1" readingOrder="1"/>
    </xf>
    <xf numFmtId="1" fontId="3" fillId="0" borderId="62" xfId="0" applyNumberFormat="1" applyFont="1" applyFill="1" applyBorder="1" applyAlignment="1">
      <alignment horizontal="right" vertical="center" wrapText="1"/>
    </xf>
    <xf numFmtId="169" fontId="3" fillId="0" borderId="62" xfId="1" applyNumberFormat="1" applyFont="1" applyFill="1" applyBorder="1" applyAlignment="1">
      <alignment horizontal="right" vertical="center"/>
    </xf>
    <xf numFmtId="169" fontId="3" fillId="0" borderId="69" xfId="0" applyNumberFormat="1" applyFont="1" applyFill="1" applyBorder="1" applyAlignment="1">
      <alignment horizontal="right" vertical="center"/>
    </xf>
    <xf numFmtId="1" fontId="3" fillId="0" borderId="56" xfId="0" applyNumberFormat="1" applyFont="1" applyFill="1" applyBorder="1" applyAlignment="1">
      <alignment horizontal="right" vertical="center" wrapText="1"/>
    </xf>
    <xf numFmtId="169" fontId="3" fillId="0" borderId="56" xfId="1" applyNumberFormat="1" applyFont="1" applyFill="1" applyBorder="1" applyAlignment="1">
      <alignment horizontal="right" vertical="center"/>
    </xf>
    <xf numFmtId="169" fontId="3" fillId="0" borderId="70" xfId="0" applyNumberFormat="1" applyFont="1" applyFill="1" applyBorder="1" applyAlignment="1">
      <alignment horizontal="right" vertical="center"/>
    </xf>
    <xf numFmtId="1" fontId="3" fillId="0" borderId="58" xfId="0" applyNumberFormat="1" applyFont="1" applyFill="1" applyBorder="1" applyAlignment="1">
      <alignment horizontal="right" vertical="center" wrapText="1"/>
    </xf>
    <xf numFmtId="169" fontId="3" fillId="0" borderId="58" xfId="1" applyNumberFormat="1" applyFont="1" applyFill="1" applyBorder="1" applyAlignment="1">
      <alignment horizontal="right" vertical="center"/>
    </xf>
    <xf numFmtId="169" fontId="3" fillId="0" borderId="83" xfId="0" applyNumberFormat="1" applyFont="1" applyFill="1" applyBorder="1" applyAlignment="1">
      <alignment horizontal="right" vertical="center"/>
    </xf>
    <xf numFmtId="1" fontId="3" fillId="0" borderId="54" xfId="0" applyNumberFormat="1" applyFont="1" applyFill="1" applyBorder="1" applyAlignment="1">
      <alignment horizontal="right" vertical="center" wrapText="1"/>
    </xf>
    <xf numFmtId="169" fontId="3" fillId="0" borderId="54" xfId="1" applyNumberFormat="1" applyFont="1" applyFill="1" applyBorder="1" applyAlignment="1">
      <alignment horizontal="right" vertical="center"/>
    </xf>
    <xf numFmtId="1" fontId="3" fillId="0" borderId="88" xfId="0" applyNumberFormat="1" applyFont="1" applyFill="1" applyBorder="1" applyAlignment="1">
      <alignment horizontal="right" vertical="center" wrapText="1"/>
    </xf>
    <xf numFmtId="1" fontId="3" fillId="0" borderId="61" xfId="0" applyNumberFormat="1" applyFont="1" applyFill="1" applyBorder="1" applyAlignment="1">
      <alignment horizontal="right" vertical="center" wrapText="1"/>
    </xf>
    <xf numFmtId="1" fontId="3" fillId="0" borderId="54" xfId="0" applyNumberFormat="1" applyFont="1" applyFill="1" applyBorder="1" applyAlignment="1">
      <alignment vertical="center"/>
    </xf>
    <xf numFmtId="169" fontId="3" fillId="0" borderId="76" xfId="1" applyNumberFormat="1" applyFont="1" applyFill="1" applyBorder="1" applyAlignment="1">
      <alignment horizontal="right" vertical="center"/>
    </xf>
    <xf numFmtId="1" fontId="3" fillId="0" borderId="65" xfId="0" applyNumberFormat="1" applyFont="1" applyFill="1" applyBorder="1" applyAlignment="1">
      <alignment horizontal="right" vertical="center" wrapText="1"/>
    </xf>
    <xf numFmtId="169" fontId="3" fillId="0" borderId="65" xfId="1" applyNumberFormat="1" applyFont="1" applyFill="1" applyBorder="1" applyAlignment="1">
      <alignment horizontal="right" vertical="center"/>
    </xf>
    <xf numFmtId="0" fontId="3" fillId="0" borderId="60" xfId="0" applyFont="1" applyFill="1" applyBorder="1" applyAlignment="1">
      <alignment vertical="center"/>
    </xf>
    <xf numFmtId="169" fontId="3" fillId="0" borderId="78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left" vertical="center" wrapText="1"/>
    </xf>
    <xf numFmtId="1" fontId="3" fillId="0" borderId="87" xfId="0" applyNumberFormat="1" applyFont="1" applyFill="1" applyBorder="1" applyAlignment="1">
      <alignment horizontal="right" vertical="center" wrapText="1"/>
    </xf>
    <xf numFmtId="0" fontId="3" fillId="0" borderId="80" xfId="0" applyFont="1" applyFill="1" applyBorder="1" applyAlignment="1">
      <alignment vertical="center"/>
    </xf>
    <xf numFmtId="1" fontId="2" fillId="6" borderId="98" xfId="0" applyNumberFormat="1" applyFont="1" applyFill="1" applyBorder="1" applyAlignment="1">
      <alignment horizontal="right" vertical="center" wrapText="1"/>
    </xf>
    <xf numFmtId="1" fontId="2" fillId="6" borderId="37" xfId="0" applyNumberFormat="1" applyFont="1" applyFill="1" applyBorder="1" applyAlignment="1">
      <alignment horizontal="right" vertical="center" wrapText="1"/>
    </xf>
    <xf numFmtId="1" fontId="2" fillId="2" borderId="97" xfId="0" applyNumberFormat="1" applyFont="1" applyFill="1" applyBorder="1" applyAlignment="1">
      <alignment horizontal="right" vertical="center" wrapText="1"/>
    </xf>
    <xf numFmtId="169" fontId="2" fillId="2" borderId="96" xfId="1" applyNumberFormat="1" applyFont="1" applyFill="1" applyBorder="1" applyAlignment="1">
      <alignment horizontal="right" vertical="center"/>
    </xf>
    <xf numFmtId="1" fontId="2" fillId="0" borderId="98" xfId="0" applyNumberFormat="1" applyFont="1" applyFill="1" applyBorder="1" applyAlignment="1">
      <alignment horizontal="right" vertical="center" wrapText="1"/>
    </xf>
    <xf numFmtId="1" fontId="2" fillId="0" borderId="50" xfId="0" applyNumberFormat="1" applyFont="1" applyFill="1" applyBorder="1" applyAlignment="1">
      <alignment horizontal="right" vertical="center" wrapText="1"/>
    </xf>
    <xf numFmtId="1" fontId="2" fillId="0" borderId="94" xfId="0" applyNumberFormat="1" applyFont="1" applyFill="1" applyBorder="1" applyAlignment="1">
      <alignment horizontal="right" vertical="center" wrapText="1"/>
    </xf>
    <xf numFmtId="1" fontId="2" fillId="0" borderId="37" xfId="0" applyNumberFormat="1" applyFont="1" applyFill="1" applyBorder="1" applyAlignment="1">
      <alignment horizontal="right" vertical="center" wrapText="1"/>
    </xf>
    <xf numFmtId="1" fontId="2" fillId="0" borderId="96" xfId="0" applyNumberFormat="1" applyFont="1" applyFill="1" applyBorder="1" applyAlignment="1">
      <alignment horizontal="right" vertical="center" wrapText="1"/>
    </xf>
    <xf numFmtId="169" fontId="3" fillId="0" borderId="99" xfId="0" applyNumberFormat="1" applyFont="1" applyFill="1" applyBorder="1" applyAlignment="1">
      <alignment horizontal="right" vertical="center"/>
    </xf>
    <xf numFmtId="169" fontId="2" fillId="0" borderId="98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/>
    <xf numFmtId="0" fontId="16" fillId="0" borderId="33" xfId="0" applyFont="1" applyFill="1" applyBorder="1" applyAlignment="1"/>
    <xf numFmtId="0" fontId="16" fillId="0" borderId="0" xfId="0" applyFont="1" applyFill="1" applyAlignment="1"/>
    <xf numFmtId="1" fontId="3" fillId="0" borderId="79" xfId="0" applyNumberFormat="1" applyFont="1" applyFill="1" applyBorder="1" applyAlignment="1">
      <alignment horizontal="right" vertical="center" wrapText="1"/>
    </xf>
    <xf numFmtId="1" fontId="3" fillId="0" borderId="59" xfId="0" applyNumberFormat="1" applyFont="1" applyFill="1" applyBorder="1" applyAlignment="1">
      <alignment horizontal="right" vertical="center" wrapText="1"/>
    </xf>
    <xf numFmtId="1" fontId="3" fillId="0" borderId="70" xfId="0" applyNumberFormat="1" applyFont="1" applyFill="1" applyBorder="1" applyAlignment="1">
      <alignment horizontal="right" vertical="center" wrapText="1"/>
    </xf>
    <xf numFmtId="1" fontId="3" fillId="0" borderId="82" xfId="0" applyNumberFormat="1" applyFont="1" applyFill="1" applyBorder="1" applyAlignment="1">
      <alignment horizontal="right" vertical="center" wrapText="1"/>
    </xf>
    <xf numFmtId="1" fontId="3" fillId="0" borderId="77" xfId="0" applyNumberFormat="1" applyFont="1" applyFill="1" applyBorder="1" applyAlignment="1">
      <alignment horizontal="right" vertical="center" wrapText="1"/>
    </xf>
    <xf numFmtId="1" fontId="3" fillId="0" borderId="88" xfId="0" applyNumberFormat="1" applyFont="1" applyFill="1" applyBorder="1" applyAlignment="1">
      <alignment horizontal="right" vertical="center" wrapText="1"/>
    </xf>
    <xf numFmtId="1" fontId="3" fillId="0" borderId="61" xfId="0" applyNumberFormat="1" applyFont="1" applyFill="1" applyBorder="1" applyAlignment="1">
      <alignment horizontal="right" vertical="center" wrapText="1"/>
    </xf>
    <xf numFmtId="1" fontId="3" fillId="0" borderId="66" xfId="0" applyNumberFormat="1" applyFont="1" applyFill="1" applyBorder="1" applyAlignment="1">
      <alignment horizontal="right" vertical="center" wrapText="1"/>
    </xf>
    <xf numFmtId="1" fontId="23" fillId="0" borderId="72" xfId="0" applyNumberFormat="1" applyFont="1" applyFill="1" applyBorder="1" applyAlignment="1">
      <alignment horizontal="right" vertical="center" wrapText="1"/>
    </xf>
    <xf numFmtId="0" fontId="3" fillId="0" borderId="83" xfId="0" applyFont="1" applyFill="1" applyBorder="1" applyAlignment="1">
      <alignment vertical="center"/>
    </xf>
    <xf numFmtId="2" fontId="2" fillId="6" borderId="96" xfId="0" applyNumberFormat="1" applyFont="1" applyFill="1" applyBorder="1" applyAlignment="1">
      <alignment horizontal="right" vertical="center" wrapText="1"/>
    </xf>
    <xf numFmtId="1" fontId="23" fillId="0" borderId="63" xfId="0" applyNumberFormat="1" applyFont="1" applyFill="1" applyBorder="1" applyAlignment="1">
      <alignment horizontal="right" vertical="center" wrapText="1"/>
    </xf>
    <xf numFmtId="1" fontId="23" fillId="0" borderId="65" xfId="0" applyNumberFormat="1" applyFont="1" applyFill="1" applyBorder="1" applyAlignment="1">
      <alignment horizontal="right" vertical="center" wrapText="1"/>
    </xf>
    <xf numFmtId="1" fontId="23" fillId="0" borderId="56" xfId="0" applyNumberFormat="1" applyFont="1" applyFill="1" applyBorder="1" applyAlignment="1">
      <alignment vertical="center"/>
    </xf>
    <xf numFmtId="1" fontId="23" fillId="0" borderId="55" xfId="0" applyNumberFormat="1" applyFont="1" applyFill="1" applyBorder="1" applyAlignment="1">
      <alignment horizontal="right" vertical="center" wrapText="1"/>
    </xf>
    <xf numFmtId="1" fontId="23" fillId="0" borderId="62" xfId="0" applyNumberFormat="1" applyFont="1" applyFill="1" applyBorder="1" applyAlignment="1">
      <alignment vertical="center"/>
    </xf>
    <xf numFmtId="1" fontId="23" fillId="0" borderId="55" xfId="0" applyNumberFormat="1" applyFont="1" applyFill="1" applyBorder="1" applyAlignment="1">
      <alignment vertical="center"/>
    </xf>
    <xf numFmtId="0" fontId="23" fillId="0" borderId="62" xfId="0" applyFont="1" applyFill="1" applyBorder="1" applyAlignment="1">
      <alignment vertical="center"/>
    </xf>
    <xf numFmtId="0" fontId="23" fillId="0" borderId="76" xfId="0" applyFont="1" applyFill="1" applyBorder="1" applyAlignment="1">
      <alignment vertical="center"/>
    </xf>
    <xf numFmtId="1" fontId="23" fillId="0" borderId="56" xfId="0" applyNumberFormat="1" applyFont="1" applyFill="1" applyBorder="1" applyAlignment="1">
      <alignment horizontal="right" vertical="center" wrapText="1"/>
    </xf>
    <xf numFmtId="1" fontId="23" fillId="0" borderId="65" xfId="0" applyNumberFormat="1" applyFont="1" applyFill="1" applyBorder="1" applyAlignment="1">
      <alignment vertical="center"/>
    </xf>
    <xf numFmtId="1" fontId="23" fillId="0" borderId="62" xfId="0" applyNumberFormat="1" applyFont="1" applyFill="1" applyBorder="1" applyAlignment="1">
      <alignment horizontal="right" vertical="center" wrapText="1"/>
    </xf>
    <xf numFmtId="0" fontId="23" fillId="0" borderId="56" xfId="0" applyFont="1" applyFill="1" applyBorder="1" applyAlignment="1">
      <alignment vertical="center"/>
    </xf>
    <xf numFmtId="1" fontId="23" fillId="0" borderId="71" xfId="0" applyNumberFormat="1" applyFont="1" applyFill="1" applyBorder="1" applyAlignment="1">
      <alignment horizontal="right" vertical="center" wrapText="1"/>
    </xf>
    <xf numFmtId="1" fontId="23" fillId="0" borderId="93" xfId="0" applyNumberFormat="1" applyFont="1" applyFill="1" applyBorder="1" applyAlignment="1">
      <alignment horizontal="right" vertical="center" wrapText="1"/>
    </xf>
    <xf numFmtId="1" fontId="23" fillId="0" borderId="58" xfId="0" applyNumberFormat="1" applyFont="1" applyFill="1" applyBorder="1" applyAlignment="1">
      <alignment horizontal="right" vertical="center" wrapText="1"/>
    </xf>
    <xf numFmtId="0" fontId="23" fillId="0" borderId="58" xfId="0" applyFont="1" applyFill="1" applyBorder="1" applyAlignment="1">
      <alignment vertical="center"/>
    </xf>
    <xf numFmtId="1" fontId="23" fillId="0" borderId="57" xfId="0" applyNumberFormat="1" applyFont="1" applyFill="1" applyBorder="1" applyAlignment="1">
      <alignment horizontal="right" vertical="center" wrapText="1"/>
    </xf>
    <xf numFmtId="1" fontId="23" fillId="0" borderId="54" xfId="0" applyNumberFormat="1" applyFont="1" applyFill="1" applyBorder="1" applyAlignment="1">
      <alignment horizontal="right" vertical="center" wrapText="1"/>
    </xf>
    <xf numFmtId="0" fontId="23" fillId="0" borderId="54" xfId="0" applyFont="1" applyFill="1" applyBorder="1" applyAlignment="1">
      <alignment vertical="center"/>
    </xf>
    <xf numFmtId="1" fontId="23" fillId="0" borderId="53" xfId="0" applyNumberFormat="1" applyFont="1" applyFill="1" applyBorder="1" applyAlignment="1">
      <alignment horizontal="right" vertical="center" wrapText="1"/>
    </xf>
    <xf numFmtId="0" fontId="23" fillId="0" borderId="57" xfId="0" applyFont="1" applyFill="1" applyBorder="1" applyAlignment="1">
      <alignment vertical="center"/>
    </xf>
    <xf numFmtId="1" fontId="23" fillId="0" borderId="54" xfId="0" applyNumberFormat="1" applyFont="1" applyFill="1" applyBorder="1" applyAlignment="1">
      <alignment vertical="center"/>
    </xf>
    <xf numFmtId="1" fontId="23" fillId="0" borderId="64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 applyBorder="1" applyAlignment="1">
      <alignment horizontal="right" vertical="center" wrapText="1"/>
    </xf>
    <xf numFmtId="169" fontId="2" fillId="2" borderId="101" xfId="0" applyNumberFormat="1" applyFont="1" applyFill="1" applyBorder="1" applyAlignment="1">
      <alignment horizontal="right" vertical="center"/>
    </xf>
    <xf numFmtId="169" fontId="2" fillId="8" borderId="96" xfId="1" applyNumberFormat="1" applyFont="1" applyFill="1" applyBorder="1" applyAlignment="1">
      <alignment horizontal="right" vertical="center"/>
    </xf>
    <xf numFmtId="1" fontId="2" fillId="8" borderId="99" xfId="0" applyNumberFormat="1" applyFont="1" applyFill="1" applyBorder="1" applyAlignment="1">
      <alignment horizontal="right" vertical="center" wrapText="1"/>
    </xf>
    <xf numFmtId="1" fontId="2" fillId="8" borderId="96" xfId="0" applyNumberFormat="1" applyFont="1" applyFill="1" applyBorder="1" applyAlignment="1">
      <alignment horizontal="right" vertical="center" wrapText="1"/>
    </xf>
    <xf numFmtId="169" fontId="2" fillId="8" borderId="98" xfId="0" applyNumberFormat="1" applyFont="1" applyFill="1" applyBorder="1" applyAlignment="1">
      <alignment horizontal="right" vertical="center"/>
    </xf>
    <xf numFmtId="2" fontId="2" fillId="8" borderId="97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>
      <alignment vertical="center"/>
    </xf>
    <xf numFmtId="1" fontId="2" fillId="8" borderId="98" xfId="0" applyNumberFormat="1" applyFont="1" applyFill="1" applyBorder="1" applyAlignment="1">
      <alignment horizontal="right" vertical="center" wrapText="1"/>
    </xf>
    <xf numFmtId="170" fontId="3" fillId="0" borderId="61" xfId="0" applyNumberFormat="1" applyFont="1" applyFill="1" applyBorder="1" applyAlignment="1">
      <alignment horizontal="right" vertical="center" wrapText="1"/>
    </xf>
    <xf numFmtId="170" fontId="23" fillId="0" borderId="65" xfId="0" applyNumberFormat="1" applyFont="1" applyFill="1" applyBorder="1" applyAlignment="1">
      <alignment horizontal="right" vertical="center" wrapText="1"/>
    </xf>
    <xf numFmtId="170" fontId="23" fillId="0" borderId="62" xfId="0" applyNumberFormat="1" applyFont="1" applyFill="1" applyBorder="1" applyAlignment="1">
      <alignment horizontal="right" vertical="center" wrapText="1"/>
    </xf>
    <xf numFmtId="170" fontId="23" fillId="0" borderId="58" xfId="0" applyNumberFormat="1" applyFont="1" applyFill="1" applyBorder="1" applyAlignment="1">
      <alignment horizontal="right" vertical="center" wrapText="1"/>
    </xf>
    <xf numFmtId="170" fontId="3" fillId="0" borderId="65" xfId="0" applyNumberFormat="1" applyFont="1" applyFill="1" applyBorder="1" applyAlignment="1">
      <alignment horizontal="right" vertical="center" wrapText="1"/>
    </xf>
    <xf numFmtId="170" fontId="3" fillId="0" borderId="56" xfId="0" applyNumberFormat="1" applyFont="1" applyFill="1" applyBorder="1" applyAlignment="1">
      <alignment horizontal="right" vertical="center" wrapText="1"/>
    </xf>
    <xf numFmtId="170" fontId="3" fillId="0" borderId="58" xfId="0" applyNumberFormat="1" applyFont="1" applyFill="1" applyBorder="1" applyAlignment="1">
      <alignment horizontal="right" vertical="center" wrapText="1"/>
    </xf>
    <xf numFmtId="170" fontId="23" fillId="0" borderId="54" xfId="0" applyNumberFormat="1" applyFont="1" applyFill="1" applyBorder="1" applyAlignment="1">
      <alignment horizontal="right" vertical="center" wrapText="1"/>
    </xf>
    <xf numFmtId="170" fontId="23" fillId="0" borderId="54" xfId="0" applyNumberFormat="1" applyFont="1" applyFill="1" applyBorder="1" applyAlignment="1">
      <alignment vertical="center"/>
    </xf>
    <xf numFmtId="170" fontId="23" fillId="0" borderId="62" xfId="0" applyNumberFormat="1" applyFont="1" applyFill="1" applyBorder="1" applyAlignment="1">
      <alignment vertical="center"/>
    </xf>
    <xf numFmtId="170" fontId="3" fillId="0" borderId="54" xfId="0" applyNumberFormat="1" applyFont="1" applyFill="1" applyBorder="1" applyAlignment="1">
      <alignment horizontal="right" vertical="center" wrapText="1"/>
    </xf>
    <xf numFmtId="170" fontId="23" fillId="0" borderId="56" xfId="0" applyNumberFormat="1" applyFont="1" applyFill="1" applyBorder="1" applyAlignment="1">
      <alignment horizontal="right" vertical="center" wrapText="1"/>
    </xf>
    <xf numFmtId="1" fontId="3" fillId="0" borderId="56" xfId="0" applyNumberFormat="1" applyFont="1" applyBorder="1" applyAlignment="1">
      <alignment horizontal="right" vertical="center" wrapText="1"/>
    </xf>
    <xf numFmtId="170" fontId="2" fillId="2" borderId="96" xfId="0" applyNumberFormat="1" applyFont="1" applyFill="1" applyBorder="1" applyAlignment="1">
      <alignment horizontal="right" vertical="center" wrapText="1"/>
    </xf>
    <xf numFmtId="1" fontId="3" fillId="0" borderId="103" xfId="0" applyNumberFormat="1" applyFont="1" applyBorder="1" applyAlignment="1">
      <alignment horizontal="right" vertical="center" wrapText="1"/>
    </xf>
    <xf numFmtId="1" fontId="3" fillId="0" borderId="104" xfId="0" applyNumberFormat="1" applyFont="1" applyBorder="1" applyAlignment="1">
      <alignment horizontal="right" vertical="center" wrapText="1"/>
    </xf>
    <xf numFmtId="1" fontId="3" fillId="0" borderId="105" xfId="0" applyNumberFormat="1" applyFont="1" applyBorder="1" applyAlignment="1">
      <alignment horizontal="right" vertical="center" wrapText="1"/>
    </xf>
    <xf numFmtId="0" fontId="25" fillId="0" borderId="0" xfId="0" applyFont="1" applyFill="1" applyAlignment="1"/>
    <xf numFmtId="1" fontId="2" fillId="8" borderId="53" xfId="0" applyNumberFormat="1" applyFont="1" applyFill="1" applyBorder="1" applyAlignment="1">
      <alignment horizontal="right" vertical="center" wrapText="1"/>
    </xf>
    <xf numFmtId="2" fontId="2" fillId="8" borderId="54" xfId="0" applyNumberFormat="1" applyFont="1" applyFill="1" applyBorder="1" applyAlignment="1">
      <alignment horizontal="right" vertical="center" wrapText="1"/>
    </xf>
    <xf numFmtId="1" fontId="2" fillId="8" borderId="54" xfId="0" applyNumberFormat="1" applyFont="1" applyFill="1" applyBorder="1" applyAlignment="1">
      <alignment horizontal="right" vertical="center" wrapText="1"/>
    </xf>
    <xf numFmtId="170" fontId="2" fillId="8" borderId="54" xfId="0" applyNumberFormat="1" applyFont="1" applyFill="1" applyBorder="1" applyAlignment="1">
      <alignment horizontal="right" vertical="center" wrapText="1"/>
    </xf>
    <xf numFmtId="169" fontId="2" fillId="8" borderId="54" xfId="1" applyNumberFormat="1" applyFont="1" applyFill="1" applyBorder="1" applyAlignment="1">
      <alignment horizontal="right" vertical="center"/>
    </xf>
    <xf numFmtId="169" fontId="2" fillId="8" borderId="86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/>
    <xf numFmtId="1" fontId="26" fillId="8" borderId="79" xfId="0" applyNumberFormat="1" applyFont="1" applyFill="1" applyBorder="1" applyAlignment="1">
      <alignment horizontal="right" vertical="center" wrapText="1"/>
    </xf>
    <xf numFmtId="1" fontId="2" fillId="8" borderId="71" xfId="0" applyNumberFormat="1" applyFont="1" applyFill="1" applyBorder="1" applyAlignment="1">
      <alignment horizontal="right" vertical="center" wrapText="1"/>
    </xf>
    <xf numFmtId="2" fontId="2" fillId="8" borderId="62" xfId="0" applyNumberFormat="1" applyFont="1" applyFill="1" applyBorder="1" applyAlignment="1">
      <alignment horizontal="right" vertical="center" wrapText="1"/>
    </xf>
    <xf numFmtId="1" fontId="2" fillId="8" borderId="79" xfId="0" applyNumberFormat="1" applyFont="1" applyFill="1" applyBorder="1" applyAlignment="1">
      <alignment horizontal="right" vertical="center" wrapText="1"/>
    </xf>
    <xf numFmtId="2" fontId="2" fillId="8" borderId="56" xfId="0" applyNumberFormat="1" applyFont="1" applyFill="1" applyBorder="1" applyAlignment="1">
      <alignment horizontal="right" vertical="center" wrapText="1"/>
    </xf>
    <xf numFmtId="1" fontId="2" fillId="8" borderId="76" xfId="0" applyNumberFormat="1" applyFont="1" applyFill="1" applyBorder="1" applyAlignment="1">
      <alignment horizontal="right" vertical="center" wrapText="1"/>
    </xf>
    <xf numFmtId="170" fontId="2" fillId="8" borderId="62" xfId="0" applyNumberFormat="1" applyFont="1" applyFill="1" applyBorder="1" applyAlignment="1">
      <alignment horizontal="right" vertical="center" wrapText="1"/>
    </xf>
    <xf numFmtId="1" fontId="2" fillId="8" borderId="93" xfId="0" applyNumberFormat="1" applyFont="1" applyFill="1" applyBorder="1" applyAlignment="1">
      <alignment horizontal="right" vertical="center" wrapText="1"/>
    </xf>
    <xf numFmtId="2" fontId="2" fillId="8" borderId="58" xfId="0" applyNumberFormat="1" applyFont="1" applyFill="1" applyBorder="1" applyAlignment="1">
      <alignment horizontal="right" vertical="center" wrapText="1"/>
    </xf>
    <xf numFmtId="1" fontId="2" fillId="8" borderId="58" xfId="0" applyNumberFormat="1" applyFont="1" applyFill="1" applyBorder="1" applyAlignment="1">
      <alignment horizontal="right" vertical="center" wrapText="1"/>
    </xf>
    <xf numFmtId="1" fontId="2" fillId="8" borderId="57" xfId="0" applyNumberFormat="1" applyFont="1" applyFill="1" applyBorder="1" applyAlignment="1">
      <alignment horizontal="right" vertical="center" wrapText="1"/>
    </xf>
    <xf numFmtId="170" fontId="2" fillId="8" borderId="58" xfId="0" applyNumberFormat="1" applyFont="1" applyFill="1" applyBorder="1" applyAlignment="1">
      <alignment horizontal="right" vertical="center" wrapText="1"/>
    </xf>
    <xf numFmtId="171" fontId="2" fillId="0" borderId="90" xfId="0" applyNumberFormat="1" applyFont="1" applyFill="1" applyBorder="1" applyAlignment="1">
      <alignment horizontal="right" vertical="center" wrapText="1"/>
    </xf>
    <xf numFmtId="170" fontId="2" fillId="0" borderId="94" xfId="0" applyNumberFormat="1" applyFont="1" applyFill="1" applyBorder="1" applyAlignment="1">
      <alignment horizontal="right" vertical="center" wrapText="1"/>
    </xf>
    <xf numFmtId="170" fontId="2" fillId="0" borderId="98" xfId="0" applyNumberFormat="1" applyFont="1" applyFill="1" applyBorder="1" applyAlignment="1">
      <alignment horizontal="right" vertical="center" wrapText="1"/>
    </xf>
    <xf numFmtId="170" fontId="2" fillId="0" borderId="95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171" fontId="3" fillId="0" borderId="0" xfId="0" applyNumberFormat="1" applyFont="1" applyFill="1" applyBorder="1" applyAlignment="1">
      <alignment horizontal="right" wrapText="1"/>
    </xf>
    <xf numFmtId="172" fontId="3" fillId="0" borderId="0" xfId="3" applyNumberFormat="1" applyFont="1" applyFill="1" applyBorder="1" applyAlignment="1"/>
    <xf numFmtId="170" fontId="3" fillId="0" borderId="56" xfId="0" applyNumberFormat="1" applyFont="1" applyBorder="1" applyAlignment="1">
      <alignment horizontal="right" vertical="center" wrapText="1"/>
    </xf>
    <xf numFmtId="170" fontId="2" fillId="8" borderId="96" xfId="0" applyNumberFormat="1" applyFont="1" applyFill="1" applyBorder="1" applyAlignment="1">
      <alignment horizontal="right" vertical="center" wrapText="1"/>
    </xf>
    <xf numFmtId="1" fontId="26" fillId="8" borderId="98" xfId="0" applyNumberFormat="1" applyFont="1" applyFill="1" applyBorder="1" applyAlignment="1">
      <alignment horizontal="right" vertical="center" wrapText="1"/>
    </xf>
    <xf numFmtId="1" fontId="2" fillId="2" borderId="67" xfId="0" applyNumberFormat="1" applyFont="1" applyFill="1" applyBorder="1" applyAlignment="1">
      <alignment horizontal="right" vertical="center" wrapText="1"/>
    </xf>
    <xf numFmtId="1" fontId="23" fillId="2" borderId="39" xfId="0" applyNumberFormat="1" applyFont="1" applyFill="1" applyBorder="1" applyAlignment="1">
      <alignment horizontal="right" vertical="center" wrapText="1"/>
    </xf>
    <xf numFmtId="0" fontId="23" fillId="2" borderId="90" xfId="0" applyFont="1" applyFill="1" applyBorder="1" applyAlignment="1">
      <alignment horizontal="right" vertical="center" wrapText="1"/>
    </xf>
    <xf numFmtId="170" fontId="23" fillId="2" borderId="90" xfId="0" applyNumberFormat="1" applyFont="1" applyFill="1" applyBorder="1" applyAlignment="1">
      <alignment horizontal="right" vertical="center" wrapText="1"/>
    </xf>
    <xf numFmtId="2" fontId="23" fillId="2" borderId="100" xfId="0" applyNumberFormat="1" applyFont="1" applyFill="1" applyBorder="1" applyAlignment="1">
      <alignment horizontal="right" vertical="center" wrapText="1"/>
    </xf>
    <xf numFmtId="169" fontId="23" fillId="2" borderId="100" xfId="0" applyNumberFormat="1" applyFont="1" applyFill="1" applyBorder="1" applyAlignment="1">
      <alignment horizontal="right" vertical="center" wrapText="1"/>
    </xf>
    <xf numFmtId="0" fontId="23" fillId="0" borderId="107" xfId="0" applyFont="1" applyBorder="1" applyAlignment="1">
      <alignment horizontal="right" vertical="center" wrapText="1"/>
    </xf>
    <xf numFmtId="0" fontId="23" fillId="0" borderId="59" xfId="0" applyFont="1" applyBorder="1" applyAlignment="1">
      <alignment horizontal="right" vertical="center" wrapText="1"/>
    </xf>
    <xf numFmtId="0" fontId="23" fillId="0" borderId="66" xfId="0" applyFont="1" applyBorder="1" applyAlignment="1">
      <alignment horizontal="right" vertical="center" wrapText="1"/>
    </xf>
    <xf numFmtId="0" fontId="23" fillId="0" borderId="60" xfId="0" applyFont="1" applyBorder="1" applyAlignment="1">
      <alignment horizontal="right" vertical="center" wrapText="1"/>
    </xf>
    <xf numFmtId="0" fontId="23" fillId="0" borderId="56" xfId="0" applyFont="1" applyBorder="1" applyAlignment="1">
      <alignment horizontal="right" vertical="center" wrapText="1"/>
    </xf>
    <xf numFmtId="0" fontId="23" fillId="0" borderId="108" xfId="0" applyFont="1" applyBorder="1" applyAlignment="1">
      <alignment horizontal="right" vertical="center" wrapText="1"/>
    </xf>
    <xf numFmtId="8" fontId="23" fillId="0" borderId="56" xfId="0" applyNumberFormat="1" applyFont="1" applyBorder="1" applyAlignment="1">
      <alignment horizontal="right" vertical="center" wrapText="1"/>
    </xf>
    <xf numFmtId="0" fontId="23" fillId="0" borderId="73" xfId="0" applyFont="1" applyBorder="1" applyAlignment="1">
      <alignment horizontal="right" vertical="center" wrapText="1"/>
    </xf>
    <xf numFmtId="0" fontId="23" fillId="0" borderId="65" xfId="0" applyFont="1" applyBorder="1" applyAlignment="1">
      <alignment horizontal="right" vertical="center" wrapText="1"/>
    </xf>
    <xf numFmtId="1" fontId="3" fillId="0" borderId="65" xfId="0" applyNumberFormat="1" applyFont="1" applyBorder="1" applyAlignment="1">
      <alignment horizontal="right" vertical="center" wrapText="1"/>
    </xf>
    <xf numFmtId="8" fontId="23" fillId="0" borderId="65" xfId="0" applyNumberFormat="1" applyFont="1" applyBorder="1" applyAlignment="1">
      <alignment horizontal="right" vertical="center" wrapText="1"/>
    </xf>
    <xf numFmtId="2" fontId="3" fillId="0" borderId="107" xfId="0" applyNumberFormat="1" applyFont="1" applyBorder="1" applyAlignment="1">
      <alignment horizontal="right" vertical="center" wrapText="1"/>
    </xf>
    <xf numFmtId="0" fontId="23" fillId="0" borderId="77" xfId="0" applyFont="1" applyFill="1" applyBorder="1" applyAlignment="1">
      <alignment horizontal="left" vertical="center" wrapText="1"/>
    </xf>
    <xf numFmtId="0" fontId="23" fillId="0" borderId="110" xfId="0" applyFont="1" applyBorder="1" applyAlignment="1">
      <alignment horizontal="right" vertical="center" wrapText="1"/>
    </xf>
    <xf numFmtId="2" fontId="3" fillId="0" borderId="109" xfId="0" applyNumberFormat="1" applyFont="1" applyBorder="1" applyAlignment="1">
      <alignment horizontal="right" vertical="center" wrapText="1"/>
    </xf>
    <xf numFmtId="2" fontId="3" fillId="0" borderId="110" xfId="0" applyNumberFormat="1" applyFont="1" applyBorder="1" applyAlignment="1">
      <alignment horizontal="right" vertical="center"/>
    </xf>
    <xf numFmtId="0" fontId="23" fillId="8" borderId="67" xfId="0" applyFont="1" applyFill="1" applyBorder="1" applyAlignment="1">
      <alignment horizontal="right" vertical="center" wrapText="1"/>
    </xf>
    <xf numFmtId="0" fontId="23" fillId="8" borderId="96" xfId="0" applyFont="1" applyFill="1" applyBorder="1" applyAlignment="1">
      <alignment horizontal="right" vertical="center" wrapText="1"/>
    </xf>
    <xf numFmtId="1" fontId="3" fillId="8" borderId="96" xfId="0" applyNumberFormat="1" applyFont="1" applyFill="1" applyBorder="1" applyAlignment="1">
      <alignment horizontal="right" vertical="center" wrapText="1"/>
    </xf>
    <xf numFmtId="2" fontId="3" fillId="8" borderId="99" xfId="0" applyNumberFormat="1" applyFont="1" applyFill="1" applyBorder="1" applyAlignment="1">
      <alignment horizontal="right" vertical="center"/>
    </xf>
    <xf numFmtId="8" fontId="23" fillId="8" borderId="96" xfId="0" applyNumberFormat="1" applyFont="1" applyFill="1" applyBorder="1" applyAlignment="1">
      <alignment horizontal="right" vertical="center" wrapText="1"/>
    </xf>
    <xf numFmtId="169" fontId="3" fillId="8" borderId="98" xfId="0" applyNumberFormat="1" applyFont="1" applyFill="1" applyBorder="1" applyAlignment="1">
      <alignment horizontal="right" vertical="center"/>
    </xf>
    <xf numFmtId="1" fontId="3" fillId="8" borderId="67" xfId="0" applyNumberFormat="1" applyFont="1" applyFill="1" applyBorder="1" applyAlignment="1">
      <alignment horizontal="right" vertical="center" wrapText="1"/>
    </xf>
    <xf numFmtId="1" fontId="3" fillId="8" borderId="37" xfId="0" applyNumberFormat="1" applyFont="1" applyFill="1" applyBorder="1" applyAlignment="1">
      <alignment horizontal="right" vertical="center" wrapText="1"/>
    </xf>
    <xf numFmtId="170" fontId="3" fillId="8" borderId="96" xfId="0" applyNumberFormat="1" applyFont="1" applyFill="1" applyBorder="1" applyAlignment="1">
      <alignment horizontal="right" vertical="center" wrapText="1"/>
    </xf>
    <xf numFmtId="1" fontId="3" fillId="8" borderId="99" xfId="0" applyNumberFormat="1" applyFont="1" applyFill="1" applyBorder="1" applyAlignment="1">
      <alignment horizontal="right" vertical="center" wrapText="1"/>
    </xf>
    <xf numFmtId="169" fontId="3" fillId="8" borderId="96" xfId="1" applyNumberFormat="1" applyFont="1" applyFill="1" applyBorder="1" applyAlignment="1">
      <alignment horizontal="right" vertical="center"/>
    </xf>
    <xf numFmtId="0" fontId="23" fillId="8" borderId="37" xfId="0" applyFont="1" applyFill="1" applyBorder="1" applyAlignment="1">
      <alignment horizontal="right" vertical="center" wrapText="1"/>
    </xf>
    <xf numFmtId="2" fontId="3" fillId="8" borderId="98" xfId="0" applyNumberFormat="1" applyFont="1" applyFill="1" applyBorder="1" applyAlignment="1">
      <alignment horizontal="right" vertical="center" wrapText="1"/>
    </xf>
    <xf numFmtId="0" fontId="23" fillId="8" borderId="95" xfId="0" applyFont="1" applyFill="1" applyBorder="1" applyAlignment="1">
      <alignment horizontal="right" vertical="center" wrapText="1"/>
    </xf>
    <xf numFmtId="1" fontId="23" fillId="2" borderId="100" xfId="0" applyNumberFormat="1" applyFont="1" applyFill="1" applyBorder="1" applyAlignment="1">
      <alignment horizontal="right" vertical="center" wrapText="1"/>
    </xf>
    <xf numFmtId="1" fontId="23" fillId="2" borderId="90" xfId="0" applyNumberFormat="1" applyFont="1" applyFill="1" applyBorder="1" applyAlignment="1">
      <alignment horizontal="right" vertical="center" wrapText="1"/>
    </xf>
    <xf numFmtId="1" fontId="23" fillId="2" borderId="89" xfId="0" applyNumberFormat="1" applyFont="1" applyFill="1" applyBorder="1" applyAlignment="1">
      <alignment horizontal="right" vertical="center" wrapText="1"/>
    </xf>
    <xf numFmtId="8" fontId="23" fillId="0" borderId="59" xfId="0" applyNumberFormat="1" applyFont="1" applyBorder="1" applyAlignment="1">
      <alignment horizontal="right" vertical="center" wrapText="1"/>
    </xf>
    <xf numFmtId="8" fontId="23" fillId="8" borderId="97" xfId="0" applyNumberFormat="1" applyFont="1" applyFill="1" applyBorder="1" applyAlignment="1">
      <alignment horizontal="right" vertical="center" wrapText="1"/>
    </xf>
    <xf numFmtId="169" fontId="3" fillId="0" borderId="79" xfId="1" applyNumberFormat="1" applyFont="1" applyFill="1" applyBorder="1" applyAlignment="1">
      <alignment horizontal="right" vertical="center"/>
    </xf>
    <xf numFmtId="169" fontId="3" fillId="0" borderId="59" xfId="1" applyNumberFormat="1" applyFont="1" applyFill="1" applyBorder="1" applyAlignment="1">
      <alignment horizontal="right" vertical="center"/>
    </xf>
    <xf numFmtId="169" fontId="3" fillId="8" borderId="97" xfId="1" applyNumberFormat="1" applyFont="1" applyFill="1" applyBorder="1" applyAlignment="1">
      <alignment horizontal="right" vertical="center"/>
    </xf>
    <xf numFmtId="0" fontId="23" fillId="2" borderId="94" xfId="0" applyFont="1" applyFill="1" applyBorder="1" applyAlignment="1">
      <alignment horizontal="right" vertical="center" wrapText="1"/>
    </xf>
    <xf numFmtId="169" fontId="3" fillId="0" borderId="77" xfId="1" applyNumberFormat="1" applyFont="1" applyFill="1" applyBorder="1" applyAlignment="1">
      <alignment horizontal="right" vertical="center"/>
    </xf>
    <xf numFmtId="169" fontId="3" fillId="0" borderId="87" xfId="1" applyNumberFormat="1" applyFont="1" applyFill="1" applyBorder="1" applyAlignment="1">
      <alignment horizontal="right" vertical="center"/>
    </xf>
    <xf numFmtId="169" fontId="2" fillId="8" borderId="97" xfId="1" applyNumberFormat="1" applyFont="1" applyFill="1" applyBorder="1" applyAlignment="1">
      <alignment horizontal="right" vertical="center"/>
    </xf>
    <xf numFmtId="169" fontId="2" fillId="8" borderId="85" xfId="1" applyNumberFormat="1" applyFont="1" applyFill="1" applyBorder="1" applyAlignment="1">
      <alignment horizontal="right" vertical="center"/>
    </xf>
    <xf numFmtId="169" fontId="2" fillId="2" borderId="97" xfId="1" applyNumberFormat="1" applyFont="1" applyFill="1" applyBorder="1" applyAlignment="1">
      <alignment horizontal="right" vertical="center"/>
    </xf>
    <xf numFmtId="169" fontId="3" fillId="0" borderId="67" xfId="0" applyNumberFormat="1" applyFont="1" applyFill="1" applyBorder="1" applyAlignment="1">
      <alignment horizontal="right" vertical="center"/>
    </xf>
    <xf numFmtId="0" fontId="23" fillId="0" borderId="56" xfId="0" applyFont="1" applyFill="1" applyBorder="1" applyAlignment="1">
      <alignment horizontal="left" vertical="center" wrapText="1"/>
    </xf>
    <xf numFmtId="169" fontId="3" fillId="0" borderId="91" xfId="0" applyNumberFormat="1" applyFont="1" applyFill="1" applyBorder="1" applyAlignment="1">
      <alignment horizontal="right" vertical="center"/>
    </xf>
    <xf numFmtId="169" fontId="3" fillId="0" borderId="68" xfId="0" applyNumberFormat="1" applyFont="1" applyFill="1" applyBorder="1" applyAlignment="1">
      <alignment horizontal="right" vertical="center"/>
    </xf>
    <xf numFmtId="169" fontId="2" fillId="8" borderId="99" xfId="1" applyNumberFormat="1" applyFont="1" applyFill="1" applyBorder="1" applyAlignment="1">
      <alignment horizontal="right" vertical="center"/>
    </xf>
    <xf numFmtId="169" fontId="2" fillId="8" borderId="67" xfId="1" applyNumberFormat="1" applyFont="1" applyFill="1" applyBorder="1" applyAlignment="1">
      <alignment horizontal="right" vertical="center"/>
    </xf>
    <xf numFmtId="169" fontId="2" fillId="8" borderId="98" xfId="0" applyNumberFormat="1" applyFont="1" applyFill="1" applyBorder="1" applyAlignment="1">
      <alignment vertical="center"/>
    </xf>
    <xf numFmtId="170" fontId="2" fillId="0" borderId="90" xfId="0" applyNumberFormat="1" applyFont="1" applyFill="1" applyBorder="1" applyAlignment="1">
      <alignment horizontal="right" vertical="center" wrapText="1"/>
    </xf>
    <xf numFmtId="170" fontId="2" fillId="0" borderId="96" xfId="0" applyNumberFormat="1" applyFont="1" applyFill="1" applyBorder="1" applyAlignment="1">
      <alignment horizontal="right" vertical="center" wrapText="1"/>
    </xf>
    <xf numFmtId="2" fontId="23" fillId="0" borderId="69" xfId="0" applyNumberFormat="1" applyFont="1" applyFill="1" applyBorder="1" applyAlignment="1">
      <alignment horizontal="right" vertical="center" wrapText="1"/>
    </xf>
    <xf numFmtId="2" fontId="23" fillId="0" borderId="83" xfId="0" applyNumberFormat="1" applyFont="1" applyFill="1" applyBorder="1" applyAlignment="1">
      <alignment horizontal="right" vertical="center" wrapText="1"/>
    </xf>
    <xf numFmtId="2" fontId="2" fillId="8" borderId="86" xfId="0" applyNumberFormat="1" applyFont="1" applyFill="1" applyBorder="1" applyAlignment="1">
      <alignment horizontal="right" vertical="center" wrapText="1"/>
    </xf>
    <xf numFmtId="169" fontId="2" fillId="2" borderId="98" xfId="1" applyNumberFormat="1" applyFont="1" applyFill="1" applyBorder="1" applyAlignment="1">
      <alignment horizontal="right" vertical="center" wrapText="1"/>
    </xf>
    <xf numFmtId="0" fontId="3" fillId="0" borderId="74" xfId="0" applyFont="1" applyFill="1" applyBorder="1" applyAlignment="1">
      <alignment vertical="center"/>
    </xf>
    <xf numFmtId="2" fontId="3" fillId="0" borderId="59" xfId="0" applyNumberFormat="1" applyFont="1" applyFill="1" applyBorder="1" applyAlignment="1">
      <alignment vertical="center" wrapText="1"/>
    </xf>
    <xf numFmtId="0" fontId="23" fillId="0" borderId="62" xfId="0" applyFont="1" applyFill="1" applyBorder="1" applyAlignment="1">
      <alignment horizontal="left" vertical="center" wrapText="1"/>
    </xf>
    <xf numFmtId="2" fontId="1" fillId="0" borderId="56" xfId="0" applyNumberFormat="1" applyFont="1" applyFill="1" applyBorder="1" applyAlignment="1">
      <alignment horizontal="left" vertical="center" wrapText="1"/>
    </xf>
    <xf numFmtId="0" fontId="23" fillId="0" borderId="76" xfId="0" applyFont="1" applyFill="1" applyBorder="1" applyAlignment="1">
      <alignment horizontal="left" vertical="center" wrapText="1"/>
    </xf>
    <xf numFmtId="2" fontId="1" fillId="0" borderId="76" xfId="0" applyNumberFormat="1" applyFont="1" applyFill="1" applyBorder="1" applyAlignment="1">
      <alignment horizontal="left" vertical="center" wrapText="1"/>
    </xf>
    <xf numFmtId="2" fontId="1" fillId="0" borderId="65" xfId="0" applyNumberFormat="1" applyFont="1" applyFill="1" applyBorder="1" applyAlignment="1">
      <alignment horizontal="left" vertical="center" wrapText="1"/>
    </xf>
    <xf numFmtId="2" fontId="1" fillId="0" borderId="62" xfId="0" applyNumberFormat="1" applyFont="1" applyFill="1" applyBorder="1" applyAlignment="1">
      <alignment horizontal="left" vertical="center" wrapText="1"/>
    </xf>
    <xf numFmtId="2" fontId="1" fillId="0" borderId="58" xfId="0" applyNumberFormat="1" applyFont="1" applyFill="1" applyBorder="1" applyAlignment="1">
      <alignment horizontal="left" vertical="center" wrapText="1"/>
    </xf>
    <xf numFmtId="2" fontId="1" fillId="0" borderId="61" xfId="0" applyNumberFormat="1" applyFont="1" applyFill="1" applyBorder="1" applyAlignment="1">
      <alignment horizontal="left" vertical="center" wrapText="1"/>
    </xf>
    <xf numFmtId="0" fontId="23" fillId="0" borderId="65" xfId="0" applyFont="1" applyFill="1" applyBorder="1" applyAlignment="1">
      <alignment horizontal="left" vertical="center" wrapText="1"/>
    </xf>
    <xf numFmtId="0" fontId="23" fillId="0" borderId="58" xfId="0" applyFont="1" applyFill="1" applyBorder="1" applyAlignment="1">
      <alignment horizontal="left" vertical="center" wrapText="1"/>
    </xf>
    <xf numFmtId="1" fontId="23" fillId="0" borderId="63" xfId="0" applyNumberFormat="1" applyFont="1" applyFill="1" applyBorder="1" applyAlignment="1">
      <alignment vertical="center"/>
    </xf>
    <xf numFmtId="170" fontId="3" fillId="0" borderId="0" xfId="0" applyNumberFormat="1" applyFont="1" applyFill="1" applyBorder="1" applyAlignment="1"/>
    <xf numFmtId="164" fontId="23" fillId="2" borderId="90" xfId="0" applyNumberFormat="1" applyFont="1" applyFill="1" applyBorder="1" applyAlignment="1">
      <alignment horizontal="right" vertical="center" wrapText="1"/>
    </xf>
    <xf numFmtId="0" fontId="3" fillId="0" borderId="101" xfId="0" applyFont="1" applyFill="1" applyBorder="1" applyAlignment="1">
      <alignment vertical="center"/>
    </xf>
    <xf numFmtId="1" fontId="2" fillId="8" borderId="95" xfId="0" applyNumberFormat="1" applyFont="1" applyFill="1" applyBorder="1" applyAlignment="1">
      <alignment horizontal="right" vertical="center" wrapText="1"/>
    </xf>
    <xf numFmtId="2" fontId="2" fillId="8" borderId="98" xfId="0" applyNumberFormat="1" applyFont="1" applyFill="1" applyBorder="1" applyAlignment="1">
      <alignment horizontal="right" vertical="center" wrapText="1"/>
    </xf>
    <xf numFmtId="2" fontId="3" fillId="0" borderId="58" xfId="0" applyNumberFormat="1" applyFont="1" applyBorder="1" applyAlignment="1">
      <alignment vertical="center" wrapText="1"/>
    </xf>
    <xf numFmtId="1" fontId="2" fillId="2" borderId="37" xfId="0" applyNumberFormat="1" applyFont="1" applyFill="1" applyBorder="1" applyAlignment="1">
      <alignment horizontal="right" vertical="center" wrapText="1"/>
    </xf>
    <xf numFmtId="2" fontId="2" fillId="2" borderId="98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3" fillId="0" borderId="0" xfId="0" applyFont="1"/>
    <xf numFmtId="0" fontId="3" fillId="0" borderId="46" xfId="0" applyFont="1" applyBorder="1"/>
    <xf numFmtId="1" fontId="3" fillId="0" borderId="45" xfId="0" applyNumberFormat="1" applyFont="1" applyBorder="1" applyAlignment="1">
      <alignment horizontal="right"/>
    </xf>
    <xf numFmtId="0" fontId="3" fillId="0" borderId="2" xfId="0" applyFont="1" applyBorder="1"/>
    <xf numFmtId="171" fontId="3" fillId="0" borderId="32" xfId="0" applyNumberFormat="1" applyFont="1" applyBorder="1"/>
    <xf numFmtId="1" fontId="3" fillId="0" borderId="32" xfId="0" applyNumberFormat="1" applyFont="1" applyBorder="1"/>
    <xf numFmtId="0" fontId="3" fillId="0" borderId="111" xfId="0" applyFont="1" applyBorder="1"/>
    <xf numFmtId="169" fontId="0" fillId="0" borderId="0" xfId="0" applyNumberFormat="1"/>
    <xf numFmtId="171" fontId="3" fillId="0" borderId="45" xfId="0" applyNumberFormat="1" applyFont="1" applyBorder="1"/>
    <xf numFmtId="171" fontId="3" fillId="0" borderId="112" xfId="0" applyNumberFormat="1" applyFont="1" applyBorder="1"/>
    <xf numFmtId="0" fontId="3" fillId="0" borderId="0" xfId="0" applyFont="1" applyBorder="1"/>
    <xf numFmtId="169" fontId="0" fillId="0" borderId="0" xfId="0" applyNumberFormat="1" applyBorder="1"/>
    <xf numFmtId="169" fontId="3" fillId="0" borderId="0" xfId="0" applyNumberFormat="1" applyFont="1" applyBorder="1"/>
    <xf numFmtId="0" fontId="0" fillId="0" borderId="0" xfId="0" applyBorder="1"/>
    <xf numFmtId="0" fontId="23" fillId="0" borderId="80" xfId="0" applyFont="1" applyFill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right" vertical="center" wrapText="1"/>
    </xf>
    <xf numFmtId="1" fontId="3" fillId="0" borderId="76" xfId="0" applyNumberFormat="1" applyFont="1" applyFill="1" applyBorder="1" applyAlignment="1">
      <alignment horizontal="right" vertical="center" wrapText="1"/>
    </xf>
    <xf numFmtId="170" fontId="3" fillId="0" borderId="76" xfId="0" applyNumberFormat="1" applyFont="1" applyFill="1" applyBorder="1" applyAlignment="1">
      <alignment horizontal="right" vertical="center" wrapText="1"/>
    </xf>
    <xf numFmtId="1" fontId="3" fillId="0" borderId="107" xfId="0" applyNumberFormat="1" applyFont="1" applyBorder="1" applyAlignment="1">
      <alignment horizontal="right" vertical="center" wrapText="1"/>
    </xf>
    <xf numFmtId="1" fontId="3" fillId="0" borderId="109" xfId="0" applyNumberFormat="1" applyFont="1" applyBorder="1" applyAlignment="1">
      <alignment horizontal="right" vertical="center" wrapText="1"/>
    </xf>
    <xf numFmtId="1" fontId="3" fillId="8" borderId="98" xfId="0" applyNumberFormat="1" applyFont="1" applyFill="1" applyBorder="1" applyAlignment="1">
      <alignment horizontal="right" vertical="center" wrapText="1"/>
    </xf>
    <xf numFmtId="2" fontId="3" fillId="0" borderId="78" xfId="0" applyNumberFormat="1" applyFont="1" applyFill="1" applyBorder="1" applyAlignment="1">
      <alignment horizontal="right" vertical="center" wrapText="1"/>
    </xf>
    <xf numFmtId="2" fontId="3" fillId="0" borderId="83" xfId="0" applyNumberFormat="1" applyFont="1" applyFill="1" applyBorder="1" applyAlignment="1">
      <alignment horizontal="right" vertical="center" wrapText="1"/>
    </xf>
    <xf numFmtId="2" fontId="3" fillId="0" borderId="70" xfId="0" applyNumberFormat="1" applyFont="1" applyFill="1" applyBorder="1" applyAlignment="1">
      <alignment horizontal="right" vertical="center" wrapText="1"/>
    </xf>
    <xf numFmtId="1" fontId="3" fillId="0" borderId="78" xfId="0" applyNumberFormat="1" applyFont="1" applyFill="1" applyBorder="1" applyAlignment="1">
      <alignment horizontal="right" vertical="center" wrapText="1"/>
    </xf>
    <xf numFmtId="1" fontId="3" fillId="0" borderId="83" xfId="0" applyNumberFormat="1" applyFont="1" applyFill="1" applyBorder="1" applyAlignment="1">
      <alignment horizontal="right" vertical="center" wrapText="1"/>
    </xf>
    <xf numFmtId="170" fontId="23" fillId="0" borderId="56" xfId="0" applyNumberFormat="1" applyFont="1" applyBorder="1" applyAlignment="1">
      <alignment horizontal="right" vertical="center" wrapText="1"/>
    </xf>
    <xf numFmtId="170" fontId="23" fillId="0" borderId="65" xfId="0" applyNumberFormat="1" applyFont="1" applyBorder="1" applyAlignment="1">
      <alignment horizontal="right" vertical="center" wrapText="1"/>
    </xf>
    <xf numFmtId="170" fontId="23" fillId="8" borderId="96" xfId="0" applyNumberFormat="1" applyFont="1" applyFill="1" applyBorder="1" applyAlignment="1">
      <alignment horizontal="right" vertical="center" wrapText="1"/>
    </xf>
    <xf numFmtId="170" fontId="3" fillId="0" borderId="58" xfId="0" applyNumberFormat="1" applyFont="1" applyBorder="1" applyAlignment="1">
      <alignment horizontal="right" vertical="center" wrapText="1"/>
    </xf>
    <xf numFmtId="2" fontId="3" fillId="0" borderId="59" xfId="0" applyNumberFormat="1" applyFont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2" fontId="3" fillId="0" borderId="68" xfId="0" applyNumberFormat="1" applyFont="1" applyFill="1" applyBorder="1" applyAlignment="1">
      <alignment horizontal="right" vertical="center" wrapText="1"/>
    </xf>
    <xf numFmtId="2" fontId="23" fillId="0" borderId="78" xfId="0" applyNumberFormat="1" applyFont="1" applyFill="1" applyBorder="1" applyAlignment="1">
      <alignment horizontal="right" vertical="center" wrapText="1"/>
    </xf>
    <xf numFmtId="2" fontId="23" fillId="0" borderId="70" xfId="0" applyNumberFormat="1" applyFont="1" applyFill="1" applyBorder="1" applyAlignment="1">
      <alignment horizontal="right" vertical="center" wrapText="1"/>
    </xf>
    <xf numFmtId="2" fontId="23" fillId="0" borderId="86" xfId="0" applyNumberFormat="1" applyFont="1" applyFill="1" applyBorder="1" applyAlignment="1">
      <alignment horizontal="right" vertical="center" wrapText="1"/>
    </xf>
    <xf numFmtId="2" fontId="2" fillId="8" borderId="101" xfId="0" applyNumberFormat="1" applyFont="1" applyFill="1" applyBorder="1" applyAlignment="1">
      <alignment horizontal="right" vertical="center" wrapText="1"/>
    </xf>
    <xf numFmtId="2" fontId="23" fillId="0" borderId="68" xfId="0" applyNumberFormat="1" applyFont="1" applyFill="1" applyBorder="1" applyAlignment="1">
      <alignment horizontal="right" vertical="center" wrapText="1"/>
    </xf>
    <xf numFmtId="170" fontId="2" fillId="2" borderId="97" xfId="0" applyNumberFormat="1" applyFont="1" applyFill="1" applyBorder="1" applyAlignment="1">
      <alignment horizontal="right" vertical="center" wrapText="1"/>
    </xf>
    <xf numFmtId="2" fontId="3" fillId="0" borderId="86" xfId="0" applyNumberFormat="1" applyFont="1" applyFill="1" applyBorder="1" applyAlignment="1">
      <alignment horizontal="right" vertical="center" wrapText="1"/>
    </xf>
    <xf numFmtId="2" fontId="3" fillId="0" borderId="91" xfId="0" applyNumberFormat="1" applyFont="1" applyFill="1" applyBorder="1" applyAlignment="1">
      <alignment horizontal="right" vertical="center" wrapText="1"/>
    </xf>
    <xf numFmtId="2" fontId="2" fillId="8" borderId="69" xfId="0" applyNumberFormat="1" applyFont="1" applyFill="1" applyBorder="1" applyAlignment="1">
      <alignment horizontal="right" vertical="center" wrapText="1"/>
    </xf>
    <xf numFmtId="2" fontId="2" fillId="8" borderId="83" xfId="0" applyNumberFormat="1" applyFont="1" applyFill="1" applyBorder="1" applyAlignment="1">
      <alignment horizontal="right" vertical="center" wrapText="1"/>
    </xf>
    <xf numFmtId="2" fontId="3" fillId="0" borderId="60" xfId="0" applyNumberFormat="1" applyFont="1" applyBorder="1" applyAlignment="1">
      <alignment horizontal="right" vertical="center"/>
    </xf>
    <xf numFmtId="2" fontId="3" fillId="0" borderId="80" xfId="0" applyNumberFormat="1" applyFont="1" applyBorder="1" applyAlignment="1">
      <alignment horizontal="right" vertical="center"/>
    </xf>
    <xf numFmtId="2" fontId="3" fillId="0" borderId="74" xfId="0" applyNumberFormat="1" applyFont="1" applyBorder="1" applyAlignment="1">
      <alignment horizontal="right" vertical="center"/>
    </xf>
    <xf numFmtId="2" fontId="23" fillId="2" borderId="106" xfId="0" applyNumberFormat="1" applyFont="1" applyFill="1" applyBorder="1" applyAlignment="1">
      <alignment horizontal="right" vertical="center" wrapText="1"/>
    </xf>
    <xf numFmtId="2" fontId="3" fillId="0" borderId="55" xfId="0" applyNumberFormat="1" applyFont="1" applyFill="1" applyBorder="1" applyAlignment="1">
      <alignment horizontal="right" vertical="center"/>
    </xf>
    <xf numFmtId="2" fontId="3" fillId="0" borderId="60" xfId="0" applyNumberFormat="1" applyFont="1" applyFill="1" applyBorder="1" applyAlignment="1">
      <alignment horizontal="right" vertical="center"/>
    </xf>
    <xf numFmtId="2" fontId="3" fillId="0" borderId="73" xfId="0" applyNumberFormat="1" applyFont="1" applyFill="1" applyBorder="1" applyAlignment="1">
      <alignment horizontal="right" vertical="center"/>
    </xf>
    <xf numFmtId="2" fontId="2" fillId="8" borderId="95" xfId="0" applyNumberFormat="1" applyFont="1" applyFill="1" applyBorder="1" applyAlignment="1">
      <alignment horizontal="right" vertical="center"/>
    </xf>
    <xf numFmtId="2" fontId="3" fillId="0" borderId="80" xfId="0" applyNumberFormat="1" applyFont="1" applyFill="1" applyBorder="1" applyAlignment="1">
      <alignment horizontal="right" vertical="center"/>
    </xf>
    <xf numFmtId="2" fontId="3" fillId="0" borderId="74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right" vertical="center"/>
    </xf>
    <xf numFmtId="2" fontId="2" fillId="2" borderId="37" xfId="0" applyNumberFormat="1" applyFont="1" applyFill="1" applyBorder="1" applyAlignment="1">
      <alignment horizontal="right" vertical="center"/>
    </xf>
    <xf numFmtId="2" fontId="2" fillId="8" borderId="84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2" fontId="2" fillId="8" borderId="95" xfId="0" applyNumberFormat="1" applyFont="1" applyFill="1" applyBorder="1" applyAlignment="1">
      <alignment horizontal="right" vertical="center" wrapText="1"/>
    </xf>
    <xf numFmtId="2" fontId="2" fillId="2" borderId="37" xfId="0" applyNumberFormat="1" applyFont="1" applyFill="1" applyBorder="1" applyAlignment="1">
      <alignment horizontal="right" vertical="center" wrapText="1"/>
    </xf>
    <xf numFmtId="169" fontId="3" fillId="0" borderId="68" xfId="0" applyNumberFormat="1" applyFont="1" applyBorder="1" applyAlignment="1">
      <alignment horizontal="right" vertical="center"/>
    </xf>
    <xf numFmtId="1" fontId="3" fillId="0" borderId="53" xfId="0" applyNumberFormat="1" applyFont="1" applyBorder="1" applyAlignment="1">
      <alignment horizontal="right" vertical="center" wrapText="1"/>
    </xf>
    <xf numFmtId="1" fontId="3" fillId="0" borderId="54" xfId="0" applyNumberFormat="1" applyFont="1" applyBorder="1" applyAlignment="1">
      <alignment horizontal="right" vertical="center" wrapText="1"/>
    </xf>
    <xf numFmtId="170" fontId="3" fillId="0" borderId="54" xfId="0" applyNumberFormat="1" applyFont="1" applyBorder="1" applyAlignment="1">
      <alignment horizontal="right" vertical="center" wrapText="1"/>
    </xf>
    <xf numFmtId="2" fontId="3" fillId="0" borderId="86" xfId="0" applyNumberFormat="1" applyFont="1" applyBorder="1" applyAlignment="1">
      <alignment horizontal="right" vertical="center" wrapText="1"/>
    </xf>
    <xf numFmtId="1" fontId="3" fillId="0" borderId="55" xfId="0" applyNumberFormat="1" applyFont="1" applyBorder="1" applyAlignment="1">
      <alignment horizontal="right" vertical="center" wrapText="1"/>
    </xf>
    <xf numFmtId="2" fontId="3" fillId="0" borderId="70" xfId="0" applyNumberFormat="1" applyFont="1" applyBorder="1" applyAlignment="1">
      <alignment horizontal="right" vertical="center" wrapText="1"/>
    </xf>
    <xf numFmtId="1" fontId="3" fillId="0" borderId="70" xfId="0" applyNumberFormat="1" applyFont="1" applyBorder="1" applyAlignment="1">
      <alignment horizontal="right" vertical="center" wrapText="1"/>
    </xf>
    <xf numFmtId="1" fontId="3" fillId="0" borderId="57" xfId="0" applyNumberFormat="1" applyFont="1" applyBorder="1" applyAlignment="1">
      <alignment horizontal="right" vertical="center" wrapText="1"/>
    </xf>
    <xf numFmtId="1" fontId="3" fillId="0" borderId="58" xfId="0" applyNumberFormat="1" applyFont="1" applyBorder="1" applyAlignment="1">
      <alignment horizontal="right" vertical="center" wrapText="1"/>
    </xf>
    <xf numFmtId="1" fontId="3" fillId="0" borderId="83" xfId="0" applyNumberFormat="1" applyFont="1" applyBorder="1" applyAlignment="1">
      <alignment horizontal="right" vertical="center" wrapText="1"/>
    </xf>
    <xf numFmtId="2" fontId="3" fillId="0" borderId="83" xfId="0" applyNumberFormat="1" applyFont="1" applyBorder="1" applyAlignment="1">
      <alignment horizontal="right" vertical="center" wrapText="1"/>
    </xf>
    <xf numFmtId="169" fontId="3" fillId="0" borderId="86" xfId="0" applyNumberFormat="1" applyFont="1" applyBorder="1" applyAlignment="1">
      <alignment horizontal="right" vertical="center"/>
    </xf>
    <xf numFmtId="169" fontId="3" fillId="0" borderId="70" xfId="0" applyNumberFormat="1" applyFont="1" applyBorder="1" applyAlignment="1">
      <alignment horizontal="right" vertical="center"/>
    </xf>
    <xf numFmtId="169" fontId="3" fillId="0" borderId="69" xfId="0" applyNumberFormat="1" applyFont="1" applyBorder="1" applyAlignment="1">
      <alignment horizontal="right" vertical="center"/>
    </xf>
    <xf numFmtId="169" fontId="3" fillId="0" borderId="100" xfId="0" applyNumberFormat="1" applyFont="1" applyBorder="1" applyAlignment="1">
      <alignment horizontal="right" vertical="center"/>
    </xf>
    <xf numFmtId="2" fontId="3" fillId="0" borderId="53" xfId="0" applyNumberFormat="1" applyFont="1" applyBorder="1" applyAlignment="1">
      <alignment horizontal="right" vertical="center"/>
    </xf>
    <xf numFmtId="2" fontId="3" fillId="0" borderId="55" xfId="0" applyNumberFormat="1" applyFont="1" applyBorder="1" applyAlignment="1">
      <alignment horizontal="right" vertical="center"/>
    </xf>
    <xf numFmtId="2" fontId="3" fillId="0" borderId="57" xfId="0" applyNumberFormat="1" applyFont="1" applyFill="1" applyBorder="1" applyAlignment="1">
      <alignment horizontal="right" vertical="center"/>
    </xf>
    <xf numFmtId="2" fontId="23" fillId="0" borderId="65" xfId="0" applyNumberFormat="1" applyFont="1" applyFill="1" applyBorder="1" applyAlignment="1">
      <alignment horizontal="left" vertical="center" wrapText="1"/>
    </xf>
    <xf numFmtId="2" fontId="23" fillId="0" borderId="76" xfId="0" applyNumberFormat="1" applyFont="1" applyFill="1" applyBorder="1" applyAlignment="1">
      <alignment horizontal="left" vertical="center" wrapText="1"/>
    </xf>
    <xf numFmtId="171" fontId="2" fillId="0" borderId="99" xfId="0" applyNumberFormat="1" applyFont="1" applyFill="1" applyBorder="1" applyAlignment="1">
      <alignment horizontal="right" vertical="center" wrapText="1"/>
    </xf>
    <xf numFmtId="0" fontId="23" fillId="0" borderId="5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169" fontId="16" fillId="0" borderId="0" xfId="0" applyNumberFormat="1" applyFont="1" applyFill="1" applyAlignment="1"/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2" fontId="2" fillId="8" borderId="37" xfId="0" applyNumberFormat="1" applyFont="1" applyFill="1" applyBorder="1" applyAlignment="1">
      <alignment horizontal="left" vertical="center" wrapText="1"/>
    </xf>
    <xf numFmtId="2" fontId="2" fillId="8" borderId="67" xfId="0" applyNumberFormat="1" applyFont="1" applyFill="1" applyBorder="1" applyAlignment="1">
      <alignment horizontal="left" vertical="center" wrapText="1"/>
    </xf>
    <xf numFmtId="2" fontId="2" fillId="8" borderId="99" xfId="0" applyNumberFormat="1" applyFont="1" applyFill="1" applyBorder="1" applyAlignment="1">
      <alignment horizontal="left" vertical="center" wrapText="1"/>
    </xf>
    <xf numFmtId="2" fontId="3" fillId="0" borderId="88" xfId="0" applyNumberFormat="1" applyFont="1" applyFill="1" applyBorder="1" applyAlignment="1">
      <alignment horizontal="center" vertical="center" wrapText="1"/>
    </xf>
    <xf numFmtId="2" fontId="3" fillId="0" borderId="89" xfId="0" applyNumberFormat="1" applyFont="1" applyFill="1" applyBorder="1" applyAlignment="1">
      <alignment horizontal="center" vertical="center" wrapText="1"/>
    </xf>
    <xf numFmtId="2" fontId="3" fillId="0" borderId="64" xfId="0" applyNumberFormat="1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2" fontId="3" fillId="0" borderId="61" xfId="0" applyNumberFormat="1" applyFont="1" applyFill="1" applyBorder="1" applyAlignment="1">
      <alignment horizontal="left" vertical="center" wrapText="1"/>
    </xf>
    <xf numFmtId="2" fontId="3" fillId="0" borderId="76" xfId="0" applyNumberFormat="1" applyFont="1" applyFill="1" applyBorder="1" applyAlignment="1">
      <alignment horizontal="left" vertical="center" wrapText="1"/>
    </xf>
    <xf numFmtId="2" fontId="3" fillId="0" borderId="62" xfId="0" applyNumberFormat="1" applyFont="1" applyFill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2" fontId="18" fillId="9" borderId="37" xfId="0" applyNumberFormat="1" applyFont="1" applyFill="1" applyBorder="1" applyAlignment="1">
      <alignment horizontal="center" vertical="center" wrapText="1"/>
    </xf>
    <xf numFmtId="2" fontId="18" fillId="9" borderId="67" xfId="0" applyNumberFormat="1" applyFont="1" applyFill="1" applyBorder="1" applyAlignment="1">
      <alignment horizontal="center" vertical="center" wrapText="1"/>
    </xf>
    <xf numFmtId="2" fontId="18" fillId="9" borderId="92" xfId="0" applyNumberFormat="1" applyFont="1" applyFill="1" applyBorder="1" applyAlignment="1">
      <alignment horizontal="center" vertical="center" wrapText="1"/>
    </xf>
    <xf numFmtId="2" fontId="2" fillId="2" borderId="37" xfId="0" applyNumberFormat="1" applyFont="1" applyFill="1" applyBorder="1" applyAlignment="1">
      <alignment horizontal="left" vertical="center" wrapText="1"/>
    </xf>
    <xf numFmtId="2" fontId="2" fillId="2" borderId="67" xfId="0" applyNumberFormat="1" applyFont="1" applyFill="1" applyBorder="1" applyAlignment="1">
      <alignment horizontal="left" vertical="center" wrapText="1"/>
    </xf>
    <xf numFmtId="2" fontId="2" fillId="2" borderId="99" xfId="0" applyNumberFormat="1" applyFont="1" applyFill="1" applyBorder="1" applyAlignment="1">
      <alignment horizontal="left" vertical="center" wrapText="1"/>
    </xf>
    <xf numFmtId="2" fontId="3" fillId="0" borderId="65" xfId="0" applyNumberFormat="1" applyFont="1" applyBorder="1" applyAlignment="1">
      <alignment vertical="center" wrapText="1"/>
    </xf>
    <xf numFmtId="2" fontId="3" fillId="0" borderId="76" xfId="0" applyNumberFormat="1" applyFont="1" applyBorder="1" applyAlignment="1">
      <alignment vertical="center" wrapText="1"/>
    </xf>
    <xf numFmtId="2" fontId="3" fillId="0" borderId="62" xfId="0" applyNumberFormat="1" applyFont="1" applyBorder="1" applyAlignment="1">
      <alignment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left" vertical="center" wrapText="1"/>
    </xf>
    <xf numFmtId="0" fontId="23" fillId="0" borderId="104" xfId="0" applyFont="1" applyFill="1" applyBorder="1" applyAlignment="1">
      <alignment horizontal="left" vertical="center" wrapText="1"/>
    </xf>
    <xf numFmtId="0" fontId="23" fillId="0" borderId="87" xfId="0" applyFont="1" applyFill="1" applyBorder="1" applyAlignment="1">
      <alignment horizontal="left" vertical="center" wrapText="1"/>
    </xf>
    <xf numFmtId="0" fontId="23" fillId="0" borderId="79" xfId="0" applyFont="1" applyFill="1" applyBorder="1" applyAlignment="1">
      <alignment horizontal="left" vertical="center" wrapText="1"/>
    </xf>
    <xf numFmtId="0" fontId="2" fillId="0" borderId="102" xfId="0" applyFont="1" applyFill="1" applyBorder="1" applyAlignment="1">
      <alignment horizontal="center" vertical="center" wrapText="1" readingOrder="1"/>
    </xf>
    <xf numFmtId="0" fontId="3" fillId="0" borderId="106" xfId="0" applyFont="1" applyBorder="1" applyAlignment="1">
      <alignment horizontal="center" vertical="center" wrapText="1"/>
    </xf>
    <xf numFmtId="0" fontId="17" fillId="9" borderId="37" xfId="0" applyFont="1" applyFill="1" applyBorder="1" applyAlignment="1">
      <alignment horizontal="center" vertical="center" wrapText="1"/>
    </xf>
    <xf numFmtId="0" fontId="17" fillId="9" borderId="67" xfId="0" applyFont="1" applyFill="1" applyBorder="1" applyAlignment="1">
      <alignment horizontal="center" vertical="center" wrapText="1"/>
    </xf>
    <xf numFmtId="0" fontId="17" fillId="9" borderId="92" xfId="0" applyFont="1" applyFill="1" applyBorder="1" applyAlignment="1">
      <alignment horizontal="center" vertical="center" wrapText="1"/>
    </xf>
    <xf numFmtId="0" fontId="26" fillId="2" borderId="67" xfId="0" applyFont="1" applyFill="1" applyBorder="1" applyAlignment="1">
      <alignment horizontal="left" vertical="center" wrapText="1"/>
    </xf>
    <xf numFmtId="0" fontId="26" fillId="2" borderId="99" xfId="0" applyFont="1" applyFill="1" applyBorder="1" applyAlignment="1">
      <alignment horizontal="left" vertical="center" wrapText="1"/>
    </xf>
    <xf numFmtId="0" fontId="23" fillId="0" borderId="102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 readingOrder="1"/>
    </xf>
    <xf numFmtId="0" fontId="2" fillId="0" borderId="100" xfId="0" applyFont="1" applyFill="1" applyBorder="1" applyAlignment="1">
      <alignment horizontal="center" vertical="center" wrapText="1" readingOrder="1"/>
    </xf>
    <xf numFmtId="0" fontId="2" fillId="0" borderId="61" xfId="0" applyFont="1" applyFill="1" applyBorder="1" applyAlignment="1">
      <alignment horizontal="center" vertical="center" wrapText="1" readingOrder="1"/>
    </xf>
    <xf numFmtId="0" fontId="2" fillId="0" borderId="90" xfId="0" applyFont="1" applyFill="1" applyBorder="1" applyAlignment="1">
      <alignment horizontal="center" vertical="center" wrapText="1" readingOrder="1"/>
    </xf>
    <xf numFmtId="169" fontId="2" fillId="0" borderId="68" xfId="0" applyNumberFormat="1" applyFont="1" applyBorder="1" applyAlignment="1">
      <alignment horizontal="center" vertical="center" wrapText="1" readingOrder="1"/>
    </xf>
    <xf numFmtId="169" fontId="2" fillId="0" borderId="91" xfId="0" applyNumberFormat="1" applyFont="1" applyBorder="1" applyAlignment="1">
      <alignment horizontal="center" vertical="center" wrapText="1" readingOrder="1"/>
    </xf>
    <xf numFmtId="1" fontId="2" fillId="0" borderId="68" xfId="0" applyNumberFormat="1" applyFont="1" applyFill="1" applyBorder="1" applyAlignment="1">
      <alignment horizontal="center" vertical="center" wrapText="1" readingOrder="1"/>
    </xf>
    <xf numFmtId="1" fontId="2" fillId="0" borderId="100" xfId="0" applyNumberFormat="1" applyFont="1" applyFill="1" applyBorder="1" applyAlignment="1">
      <alignment horizontal="center" vertical="center" wrapText="1" readingOrder="1"/>
    </xf>
    <xf numFmtId="169" fontId="2" fillId="0" borderId="61" xfId="0" applyNumberFormat="1" applyFont="1" applyBorder="1" applyAlignment="1">
      <alignment horizontal="center" vertical="center" wrapText="1" readingOrder="1"/>
    </xf>
    <xf numFmtId="169" fontId="2" fillId="0" borderId="90" xfId="0" applyNumberFormat="1" applyFont="1" applyBorder="1" applyAlignment="1">
      <alignment horizontal="center" vertical="center" wrapText="1" readingOrder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 readingOrder="1"/>
    </xf>
    <xf numFmtId="0" fontId="3" fillId="0" borderId="80" xfId="0" applyFont="1" applyBorder="1" applyAlignment="1">
      <alignment horizontal="center" vertical="center" wrapText="1"/>
    </xf>
    <xf numFmtId="169" fontId="2" fillId="0" borderId="76" xfId="0" applyNumberFormat="1" applyFont="1" applyBorder="1" applyAlignment="1">
      <alignment horizontal="center" vertical="center" wrapText="1" readingOrder="1"/>
    </xf>
    <xf numFmtId="2" fontId="2" fillId="0" borderId="67" xfId="0" applyNumberFormat="1" applyFont="1" applyFill="1" applyBorder="1" applyAlignment="1">
      <alignment horizontal="left" vertical="center" wrapText="1"/>
    </xf>
    <xf numFmtId="2" fontId="2" fillId="0" borderId="99" xfId="0" applyNumberFormat="1" applyFont="1" applyFill="1" applyBorder="1" applyAlignment="1">
      <alignment horizontal="left" vertical="center" wrapText="1"/>
    </xf>
    <xf numFmtId="2" fontId="2" fillId="8" borderId="67" xfId="0" applyNumberFormat="1" applyFont="1" applyFill="1" applyBorder="1" applyAlignment="1">
      <alignment vertical="center" wrapText="1"/>
    </xf>
    <xf numFmtId="2" fontId="2" fillId="8" borderId="99" xfId="0" applyNumberFormat="1" applyFont="1" applyFill="1" applyBorder="1" applyAlignment="1">
      <alignment vertical="center" wrapText="1"/>
    </xf>
    <xf numFmtId="2" fontId="17" fillId="7" borderId="37" xfId="0" applyNumberFormat="1" applyFont="1" applyFill="1" applyBorder="1" applyAlignment="1">
      <alignment horizontal="center" vertical="center" wrapText="1"/>
    </xf>
    <xf numFmtId="2" fontId="17" fillId="7" borderId="67" xfId="0" applyNumberFormat="1" applyFont="1" applyFill="1" applyBorder="1" applyAlignment="1">
      <alignment horizontal="center" vertical="center" wrapText="1"/>
    </xf>
    <xf numFmtId="2" fontId="17" fillId="7" borderId="92" xfId="0" applyNumberFormat="1" applyFont="1" applyFill="1" applyBorder="1" applyAlignment="1">
      <alignment horizontal="center" vertical="center" wrapText="1"/>
    </xf>
    <xf numFmtId="1" fontId="2" fillId="9" borderId="37" xfId="0" applyNumberFormat="1" applyFont="1" applyFill="1" applyBorder="1" applyAlignment="1">
      <alignment horizontal="center" vertical="center" wrapText="1"/>
    </xf>
    <xf numFmtId="1" fontId="2" fillId="9" borderId="67" xfId="0" applyNumberFormat="1" applyFont="1" applyFill="1" applyBorder="1" applyAlignment="1">
      <alignment horizontal="center" vertical="center" wrapText="1"/>
    </xf>
    <xf numFmtId="1" fontId="2" fillId="9" borderId="92" xfId="0" applyNumberFormat="1" applyFont="1" applyFill="1" applyBorder="1" applyAlignment="1">
      <alignment horizontal="center" vertical="center" wrapText="1"/>
    </xf>
    <xf numFmtId="2" fontId="3" fillId="0" borderId="49" xfId="0" applyNumberFormat="1" applyFont="1" applyFill="1" applyBorder="1" applyAlignment="1">
      <alignment horizontal="center" vertical="center" wrapText="1"/>
    </xf>
    <xf numFmtId="2" fontId="3" fillId="0" borderId="101" xfId="0" applyNumberFormat="1" applyFont="1" applyFill="1" applyBorder="1" applyAlignment="1">
      <alignment horizontal="center" vertical="center" wrapText="1"/>
    </xf>
    <xf numFmtId="2" fontId="3" fillId="0" borderId="113" xfId="0" applyNumberFormat="1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101" xfId="0" applyFont="1" applyFill="1" applyBorder="1" applyAlignment="1">
      <alignment horizontal="center" vertical="center" wrapText="1"/>
    </xf>
    <xf numFmtId="0" fontId="23" fillId="0" borderId="113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left" vertical="center"/>
    </xf>
    <xf numFmtId="2" fontId="2" fillId="8" borderId="37" xfId="0" applyNumberFormat="1" applyFont="1" applyFill="1" applyBorder="1" applyAlignment="1">
      <alignment vertical="center" wrapText="1"/>
    </xf>
    <xf numFmtId="2" fontId="1" fillId="3" borderId="48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1" fillId="3" borderId="5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wrapText="1"/>
    </xf>
    <xf numFmtId="0" fontId="13" fillId="4" borderId="48" xfId="0" applyFont="1" applyFill="1" applyBorder="1" applyAlignment="1">
      <alignment horizontal="center" wrapText="1"/>
    </xf>
    <xf numFmtId="0" fontId="13" fillId="4" borderId="49" xfId="0" applyFont="1" applyFill="1" applyBorder="1" applyAlignment="1">
      <alignment horizont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0" fillId="0" borderId="0" xfId="2" applyAlignment="1">
      <alignment vertical="center" wrapText="1"/>
    </xf>
    <xf numFmtId="0" fontId="13" fillId="4" borderId="33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ls.gov/oes/current/oes_nat.ht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A145"/>
  <sheetViews>
    <sheetView tabSelected="1" zoomScale="80" zoomScaleNormal="80" zoomScaleSheetLayoutView="76" workbookViewId="0">
      <pane ySplit="3" topLeftCell="A4" activePane="bottomLeft" state="frozen"/>
      <selection pane="bottomLeft" activeCell="F5" sqref="F5"/>
    </sheetView>
  </sheetViews>
  <sheetFormatPr defaultColWidth="9.1796875" defaultRowHeight="14.5" x14ac:dyDescent="0.35"/>
  <cols>
    <col min="1" max="1" width="11.54296875" style="114" customWidth="1"/>
    <col min="2" max="2" width="13.54296875" style="114" customWidth="1"/>
    <col min="3" max="3" width="28.1796875" style="114" customWidth="1"/>
    <col min="4" max="4" width="38.1796875" style="6" customWidth="1"/>
    <col min="5" max="5" width="7.81640625" style="144" customWidth="1"/>
    <col min="6" max="6" width="13.1796875" style="146" customWidth="1"/>
    <col min="7" max="7" width="13.81640625" style="113" customWidth="1"/>
    <col min="8" max="8" width="10.1796875" style="113" customWidth="1"/>
    <col min="9" max="9" width="13.26953125" style="113" customWidth="1"/>
    <col min="10" max="10" width="11.54296875" style="113" customWidth="1"/>
    <col min="11" max="11" width="13" style="112" customWidth="1"/>
    <col min="12" max="12" width="12" style="113" customWidth="1"/>
    <col min="13" max="13" width="10.1796875" style="113" customWidth="1"/>
    <col min="14" max="14" width="11.7265625" style="113" customWidth="1"/>
    <col min="15" max="15" width="8.81640625" style="119" customWidth="1"/>
    <col min="16" max="16" width="11.81640625" style="6" customWidth="1"/>
    <col min="17" max="18" width="9.1796875" style="150" customWidth="1"/>
    <col min="19" max="19" width="13.1796875" style="150" customWidth="1"/>
    <col min="20" max="20" width="9.1796875" style="6" customWidth="1"/>
    <col min="21" max="21" width="79.1796875" style="6" customWidth="1"/>
    <col min="22" max="16384" width="9.1796875" style="6"/>
  </cols>
  <sheetData>
    <row r="1" spans="1:21" ht="19" thickBot="1" x14ac:dyDescent="0.5">
      <c r="A1" s="138" t="s">
        <v>132</v>
      </c>
      <c r="C1" s="138"/>
      <c r="D1" s="138"/>
      <c r="E1" s="142"/>
      <c r="F1" s="142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48"/>
      <c r="R1" s="148"/>
      <c r="S1" s="148"/>
      <c r="T1" s="140"/>
    </row>
    <row r="2" spans="1:21" s="110" customFormat="1" ht="25.4" customHeight="1" x14ac:dyDescent="0.35">
      <c r="A2" s="500" t="s">
        <v>12</v>
      </c>
      <c r="B2" s="490" t="s">
        <v>123</v>
      </c>
      <c r="C2" s="502" t="s">
        <v>189</v>
      </c>
      <c r="D2" s="502" t="s">
        <v>1</v>
      </c>
      <c r="E2" s="506" t="s">
        <v>5</v>
      </c>
      <c r="F2" s="510" t="s">
        <v>2</v>
      </c>
      <c r="G2" s="511"/>
      <c r="H2" s="511"/>
      <c r="I2" s="511"/>
      <c r="J2" s="512"/>
      <c r="K2" s="510" t="s">
        <v>131</v>
      </c>
      <c r="L2" s="511"/>
      <c r="M2" s="511"/>
      <c r="N2" s="511"/>
      <c r="O2" s="512"/>
      <c r="P2" s="513" t="s">
        <v>130</v>
      </c>
      <c r="Q2" s="508" t="s">
        <v>14</v>
      </c>
      <c r="R2" s="508" t="s">
        <v>179</v>
      </c>
      <c r="S2" s="504" t="s">
        <v>15</v>
      </c>
      <c r="U2" s="110" t="s">
        <v>136</v>
      </c>
    </row>
    <row r="3" spans="1:21" s="108" customFormat="1" ht="49.5" customHeight="1" thickBot="1" x14ac:dyDescent="0.4">
      <c r="A3" s="501"/>
      <c r="B3" s="491"/>
      <c r="C3" s="503"/>
      <c r="D3" s="503"/>
      <c r="E3" s="507"/>
      <c r="F3" s="157" t="s">
        <v>124</v>
      </c>
      <c r="G3" s="158" t="s">
        <v>125</v>
      </c>
      <c r="H3" s="158" t="s">
        <v>126</v>
      </c>
      <c r="I3" s="158" t="s">
        <v>127</v>
      </c>
      <c r="J3" s="159" t="s">
        <v>128</v>
      </c>
      <c r="K3" s="160" t="s">
        <v>129</v>
      </c>
      <c r="L3" s="158" t="s">
        <v>125</v>
      </c>
      <c r="M3" s="158" t="s">
        <v>126</v>
      </c>
      <c r="N3" s="158" t="s">
        <v>127</v>
      </c>
      <c r="O3" s="161" t="s">
        <v>128</v>
      </c>
      <c r="P3" s="514"/>
      <c r="Q3" s="515"/>
      <c r="R3" s="509"/>
      <c r="S3" s="505"/>
    </row>
    <row r="4" spans="1:21" s="109" customFormat="1" ht="26.15" customHeight="1" thickBot="1" x14ac:dyDescent="0.4">
      <c r="A4" s="492" t="s">
        <v>180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4"/>
    </row>
    <row r="5" spans="1:21" s="109" customFormat="1" ht="26.15" customHeight="1" x14ac:dyDescent="0.35">
      <c r="A5" s="529" t="s">
        <v>180</v>
      </c>
      <c r="B5" s="497" t="s">
        <v>174</v>
      </c>
      <c r="C5" s="307" t="s">
        <v>193</v>
      </c>
      <c r="D5" s="356" t="s">
        <v>194</v>
      </c>
      <c r="E5" s="295">
        <v>1</v>
      </c>
      <c r="F5" s="298">
        <v>1</v>
      </c>
      <c r="G5" s="299">
        <v>2</v>
      </c>
      <c r="H5" s="253">
        <f t="shared" ref="H5:H7" si="0">F5*G5</f>
        <v>2</v>
      </c>
      <c r="I5" s="400">
        <v>8.3500000000000005E-2</v>
      </c>
      <c r="J5" s="404">
        <f t="shared" ref="J5:J7" si="1">I5*H5</f>
        <v>0.16700000000000001</v>
      </c>
      <c r="K5" s="300">
        <f t="shared" ref="K5:K10" si="2">E5-F5</f>
        <v>0</v>
      </c>
      <c r="L5" s="299">
        <v>0</v>
      </c>
      <c r="M5" s="253">
        <f t="shared" ref="M5:M7" si="3">K5*L5</f>
        <v>0</v>
      </c>
      <c r="N5" s="299">
        <v>0</v>
      </c>
      <c r="O5" s="392">
        <f t="shared" ref="O5:O7" si="4">M5*N5</f>
        <v>0</v>
      </c>
      <c r="P5" s="417">
        <f t="shared" ref="P5:P6" si="5">O5+J5</f>
        <v>0.16700000000000001</v>
      </c>
      <c r="Q5" s="301">
        <v>49.68</v>
      </c>
      <c r="R5" s="328">
        <f>Q5*1.33</f>
        <v>66.074399999999997</v>
      </c>
      <c r="S5" s="445">
        <f>R5*P5</f>
        <v>11.0344248</v>
      </c>
    </row>
    <row r="6" spans="1:21" s="109" customFormat="1" ht="26.15" customHeight="1" x14ac:dyDescent="0.35">
      <c r="A6" s="530"/>
      <c r="B6" s="498"/>
      <c r="C6" s="340" t="s">
        <v>175</v>
      </c>
      <c r="D6" s="362" t="s">
        <v>195</v>
      </c>
      <c r="E6" s="296">
        <v>1</v>
      </c>
      <c r="F6" s="300">
        <v>1</v>
      </c>
      <c r="G6" s="299">
        <v>2</v>
      </c>
      <c r="H6" s="253">
        <f t="shared" si="0"/>
        <v>2</v>
      </c>
      <c r="I6" s="400">
        <v>0.75</v>
      </c>
      <c r="J6" s="306">
        <f t="shared" si="1"/>
        <v>1.5</v>
      </c>
      <c r="K6" s="298">
        <f t="shared" si="2"/>
        <v>0</v>
      </c>
      <c r="L6" s="299">
        <v>0</v>
      </c>
      <c r="M6" s="253">
        <f t="shared" si="3"/>
        <v>0</v>
      </c>
      <c r="N6" s="299">
        <v>0</v>
      </c>
      <c r="O6" s="392">
        <f t="shared" si="4"/>
        <v>0</v>
      </c>
      <c r="P6" s="417">
        <f t="shared" si="5"/>
        <v>1.5</v>
      </c>
      <c r="Q6" s="301">
        <v>49.68</v>
      </c>
      <c r="R6" s="328">
        <f t="shared" ref="R6:R7" si="6">Q6*1.33</f>
        <v>66.074399999999997</v>
      </c>
      <c r="S6" s="446">
        <f t="shared" ref="S6:S7" si="7">R6*P6</f>
        <v>99.111599999999996</v>
      </c>
    </row>
    <row r="7" spans="1:21" s="109" customFormat="1" ht="26.15" customHeight="1" thickBot="1" x14ac:dyDescent="0.4">
      <c r="A7" s="530"/>
      <c r="B7" s="499"/>
      <c r="C7" s="307" t="s">
        <v>176</v>
      </c>
      <c r="D7" s="363" t="s">
        <v>196</v>
      </c>
      <c r="E7" s="297">
        <v>1</v>
      </c>
      <c r="F7" s="308">
        <v>1</v>
      </c>
      <c r="G7" s="303">
        <v>2</v>
      </c>
      <c r="H7" s="304">
        <f t="shared" si="0"/>
        <v>2</v>
      </c>
      <c r="I7" s="401">
        <v>40</v>
      </c>
      <c r="J7" s="309">
        <f t="shared" si="1"/>
        <v>80</v>
      </c>
      <c r="K7" s="302">
        <f t="shared" si="2"/>
        <v>0</v>
      </c>
      <c r="L7" s="303">
        <v>0</v>
      </c>
      <c r="M7" s="304">
        <f t="shared" si="3"/>
        <v>0</v>
      </c>
      <c r="N7" s="303">
        <v>0</v>
      </c>
      <c r="O7" s="393">
        <f t="shared" si="4"/>
        <v>0</v>
      </c>
      <c r="P7" s="310">
        <f>O7+J7</f>
        <v>80</v>
      </c>
      <c r="Q7" s="305">
        <v>49.68</v>
      </c>
      <c r="R7" s="328">
        <f t="shared" si="6"/>
        <v>66.074399999999997</v>
      </c>
      <c r="S7" s="446">
        <f t="shared" si="7"/>
        <v>5285.9519999999993</v>
      </c>
    </row>
    <row r="8" spans="1:21" s="109" customFormat="1" ht="26.15" customHeight="1" thickBot="1" x14ac:dyDescent="0.4">
      <c r="A8" s="530"/>
      <c r="B8" s="518" t="s">
        <v>177</v>
      </c>
      <c r="C8" s="518"/>
      <c r="D8" s="519"/>
      <c r="E8" s="311">
        <f>E5</f>
        <v>1</v>
      </c>
      <c r="F8" s="322">
        <f>F5</f>
        <v>1</v>
      </c>
      <c r="G8" s="312">
        <f>H8/F8</f>
        <v>6</v>
      </c>
      <c r="H8" s="313">
        <f>SUM(H5:H7)</f>
        <v>6</v>
      </c>
      <c r="I8" s="402">
        <f>J8/H8</f>
        <v>13.611166666666668</v>
      </c>
      <c r="J8" s="323">
        <f>SUM(J5:J7)</f>
        <v>81.667000000000002</v>
      </c>
      <c r="K8" s="324">
        <f t="shared" si="2"/>
        <v>0</v>
      </c>
      <c r="L8" s="312">
        <v>0</v>
      </c>
      <c r="M8" s="313">
        <v>0</v>
      </c>
      <c r="N8" s="312">
        <v>0</v>
      </c>
      <c r="O8" s="394">
        <f>SUM(O5:O7)</f>
        <v>0</v>
      </c>
      <c r="P8" s="314">
        <f>O8+J8</f>
        <v>81.667000000000002</v>
      </c>
      <c r="Q8" s="315" t="s">
        <v>17</v>
      </c>
      <c r="R8" s="329" t="s">
        <v>17</v>
      </c>
      <c r="S8" s="316">
        <f>SUM(S5:S7)</f>
        <v>5396.0980247999996</v>
      </c>
    </row>
    <row r="9" spans="1:21" s="109" customFormat="1" ht="26.15" customHeight="1" x14ac:dyDescent="0.3">
      <c r="A9" s="530"/>
      <c r="B9" s="483" t="s">
        <v>163</v>
      </c>
      <c r="C9" s="486" t="s">
        <v>185</v>
      </c>
      <c r="D9" s="388" t="s">
        <v>235</v>
      </c>
      <c r="E9" s="389">
        <v>18</v>
      </c>
      <c r="F9" s="434">
        <v>14</v>
      </c>
      <c r="G9" s="435">
        <v>1</v>
      </c>
      <c r="H9" s="435">
        <f>F9*G9</f>
        <v>14</v>
      </c>
      <c r="I9" s="436">
        <v>0.15029999999999999</v>
      </c>
      <c r="J9" s="437">
        <f>I9*H9</f>
        <v>2.1041999999999996</v>
      </c>
      <c r="K9" s="434">
        <f t="shared" si="2"/>
        <v>4</v>
      </c>
      <c r="L9" s="435">
        <v>1</v>
      </c>
      <c r="M9" s="435">
        <f>K9*L9</f>
        <v>4</v>
      </c>
      <c r="N9" s="436">
        <v>0.1002</v>
      </c>
      <c r="O9" s="437">
        <f t="shared" ref="O9:O20" si="8">M9*N9</f>
        <v>0.40079999999999999</v>
      </c>
      <c r="P9" s="418">
        <f>O9+J9</f>
        <v>2.5049999999999994</v>
      </c>
      <c r="Q9" s="176">
        <v>60.81</v>
      </c>
      <c r="R9" s="334">
        <f>Q9*1.33</f>
        <v>80.877300000000005</v>
      </c>
      <c r="S9" s="433">
        <f>R9*P9</f>
        <v>202.59763649999996</v>
      </c>
      <c r="U9" s="156" t="s">
        <v>144</v>
      </c>
    </row>
    <row r="10" spans="1:21" s="109" customFormat="1" ht="26.15" customHeight="1" x14ac:dyDescent="0.3">
      <c r="A10" s="530"/>
      <c r="B10" s="484"/>
      <c r="C10" s="487"/>
      <c r="D10" s="354" t="s">
        <v>236</v>
      </c>
      <c r="E10" s="256">
        <v>18</v>
      </c>
      <c r="F10" s="438">
        <v>14</v>
      </c>
      <c r="G10" s="253">
        <v>1</v>
      </c>
      <c r="H10" s="253">
        <f>F10*G10</f>
        <v>14</v>
      </c>
      <c r="I10" s="286">
        <v>0.1002</v>
      </c>
      <c r="J10" s="439">
        <f>I10*H10</f>
        <v>1.4028</v>
      </c>
      <c r="K10" s="438">
        <f t="shared" si="2"/>
        <v>4</v>
      </c>
      <c r="L10" s="253">
        <v>1</v>
      </c>
      <c r="M10" s="253">
        <f>K10*L10</f>
        <v>4</v>
      </c>
      <c r="N10" s="286">
        <v>0.1002</v>
      </c>
      <c r="O10" s="439">
        <f t="shared" si="8"/>
        <v>0.40079999999999999</v>
      </c>
      <c r="P10" s="419">
        <f>O10+J10</f>
        <v>1.8036000000000001</v>
      </c>
      <c r="Q10" s="163">
        <v>60.81</v>
      </c>
      <c r="R10" s="330">
        <f>Q10*1.33</f>
        <v>80.877300000000005</v>
      </c>
      <c r="S10" s="447">
        <f>R10*P10</f>
        <v>145.87029828000001</v>
      </c>
      <c r="U10" s="156" t="s">
        <v>144</v>
      </c>
    </row>
    <row r="11" spans="1:21" s="109" customFormat="1" ht="26.15" customHeight="1" x14ac:dyDescent="0.3">
      <c r="A11" s="530"/>
      <c r="B11" s="484"/>
      <c r="C11" s="480" t="s">
        <v>190</v>
      </c>
      <c r="D11" s="355" t="s">
        <v>215</v>
      </c>
      <c r="E11" s="255">
        <v>14</v>
      </c>
      <c r="F11" s="438">
        <v>14</v>
      </c>
      <c r="G11" s="253">
        <v>1</v>
      </c>
      <c r="H11" s="253">
        <f t="shared" ref="H11:H20" si="9">F11*G11</f>
        <v>14</v>
      </c>
      <c r="I11" s="286">
        <v>0.16700000000000001</v>
      </c>
      <c r="J11" s="439">
        <f t="shared" ref="J11:J20" si="10">I11*H11</f>
        <v>2.3380000000000001</v>
      </c>
      <c r="K11" s="438">
        <f t="shared" ref="K11:K20" si="11">E11-F11</f>
        <v>0</v>
      </c>
      <c r="L11" s="253">
        <v>0</v>
      </c>
      <c r="M11" s="253">
        <f t="shared" ref="M11:M20" si="12">K11*L11</f>
        <v>0</v>
      </c>
      <c r="N11" s="253">
        <v>0</v>
      </c>
      <c r="O11" s="440">
        <f t="shared" si="8"/>
        <v>0</v>
      </c>
      <c r="P11" s="417">
        <f t="shared" ref="P11:P22" si="13">O11+J11</f>
        <v>2.3380000000000001</v>
      </c>
      <c r="Q11" s="166">
        <v>60.81</v>
      </c>
      <c r="R11" s="330">
        <f t="shared" ref="R11:R20" si="14">Q11*1.33</f>
        <v>80.877300000000005</v>
      </c>
      <c r="S11" s="447">
        <f t="shared" ref="S11:S20" si="15">R11*P11</f>
        <v>189.0911274</v>
      </c>
      <c r="U11" s="156" t="s">
        <v>151</v>
      </c>
    </row>
    <row r="12" spans="1:21" s="109" customFormat="1" ht="26.15" customHeight="1" x14ac:dyDescent="0.3">
      <c r="A12" s="530"/>
      <c r="B12" s="484"/>
      <c r="C12" s="481"/>
      <c r="D12" s="355" t="s">
        <v>216</v>
      </c>
      <c r="E12" s="255">
        <v>14</v>
      </c>
      <c r="F12" s="438">
        <v>14</v>
      </c>
      <c r="G12" s="253">
        <v>1</v>
      </c>
      <c r="H12" s="253">
        <f t="shared" si="9"/>
        <v>14</v>
      </c>
      <c r="I12" s="286">
        <v>8.3500000000000005E-2</v>
      </c>
      <c r="J12" s="439">
        <f t="shared" si="10"/>
        <v>1.169</v>
      </c>
      <c r="K12" s="438">
        <f t="shared" si="11"/>
        <v>0</v>
      </c>
      <c r="L12" s="253">
        <v>0</v>
      </c>
      <c r="M12" s="253">
        <f t="shared" si="12"/>
        <v>0</v>
      </c>
      <c r="N12" s="253">
        <v>0</v>
      </c>
      <c r="O12" s="440">
        <f t="shared" si="8"/>
        <v>0</v>
      </c>
      <c r="P12" s="417">
        <f t="shared" si="13"/>
        <v>1.169</v>
      </c>
      <c r="Q12" s="166">
        <v>60.81</v>
      </c>
      <c r="R12" s="330">
        <f t="shared" si="14"/>
        <v>80.877300000000005</v>
      </c>
      <c r="S12" s="447">
        <f t="shared" si="15"/>
        <v>94.545563700000002</v>
      </c>
      <c r="U12" s="156"/>
    </row>
    <row r="13" spans="1:21" s="109" customFormat="1" ht="26.15" customHeight="1" x14ac:dyDescent="0.3">
      <c r="A13" s="530"/>
      <c r="B13" s="484"/>
      <c r="C13" s="481"/>
      <c r="D13" s="355" t="s">
        <v>217</v>
      </c>
      <c r="E13" s="255">
        <v>14</v>
      </c>
      <c r="F13" s="438">
        <v>14</v>
      </c>
      <c r="G13" s="253">
        <v>1</v>
      </c>
      <c r="H13" s="253">
        <f t="shared" si="9"/>
        <v>14</v>
      </c>
      <c r="I13" s="286">
        <v>1.25</v>
      </c>
      <c r="J13" s="439">
        <f t="shared" si="10"/>
        <v>17.5</v>
      </c>
      <c r="K13" s="438">
        <f t="shared" si="11"/>
        <v>0</v>
      </c>
      <c r="L13" s="253">
        <v>0</v>
      </c>
      <c r="M13" s="253">
        <f t="shared" si="12"/>
        <v>0</v>
      </c>
      <c r="N13" s="253">
        <v>0</v>
      </c>
      <c r="O13" s="440">
        <f t="shared" si="8"/>
        <v>0</v>
      </c>
      <c r="P13" s="417">
        <f t="shared" si="13"/>
        <v>17.5</v>
      </c>
      <c r="Q13" s="166">
        <v>60.81</v>
      </c>
      <c r="R13" s="330">
        <f t="shared" si="14"/>
        <v>80.877300000000005</v>
      </c>
      <c r="S13" s="447">
        <f t="shared" si="15"/>
        <v>1415.35275</v>
      </c>
      <c r="U13" s="156"/>
    </row>
    <row r="14" spans="1:21" s="109" customFormat="1" ht="26.15" customHeight="1" x14ac:dyDescent="0.3">
      <c r="A14" s="530"/>
      <c r="B14" s="484"/>
      <c r="C14" s="480" t="s">
        <v>191</v>
      </c>
      <c r="D14" s="355" t="s">
        <v>218</v>
      </c>
      <c r="E14" s="255">
        <v>14</v>
      </c>
      <c r="F14" s="438">
        <v>14</v>
      </c>
      <c r="G14" s="253">
        <v>1</v>
      </c>
      <c r="H14" s="253">
        <f t="shared" si="9"/>
        <v>14</v>
      </c>
      <c r="I14" s="286">
        <v>1.5</v>
      </c>
      <c r="J14" s="439">
        <f t="shared" si="10"/>
        <v>21</v>
      </c>
      <c r="K14" s="438">
        <f t="shared" si="11"/>
        <v>0</v>
      </c>
      <c r="L14" s="253">
        <v>0</v>
      </c>
      <c r="M14" s="253">
        <f t="shared" si="12"/>
        <v>0</v>
      </c>
      <c r="N14" s="253">
        <v>0</v>
      </c>
      <c r="O14" s="440">
        <f t="shared" si="8"/>
        <v>0</v>
      </c>
      <c r="P14" s="417">
        <f t="shared" si="13"/>
        <v>21</v>
      </c>
      <c r="Q14" s="166">
        <v>60.81</v>
      </c>
      <c r="R14" s="330">
        <f t="shared" si="14"/>
        <v>80.877300000000005</v>
      </c>
      <c r="S14" s="447">
        <f t="shared" si="15"/>
        <v>1698.4233000000002</v>
      </c>
      <c r="U14" s="156"/>
    </row>
    <row r="15" spans="1:21" s="109" customFormat="1" ht="26.15" customHeight="1" x14ac:dyDescent="0.35">
      <c r="A15" s="530"/>
      <c r="B15" s="484"/>
      <c r="C15" s="482"/>
      <c r="D15" s="355" t="s">
        <v>219</v>
      </c>
      <c r="E15" s="255">
        <v>14</v>
      </c>
      <c r="F15" s="438">
        <v>14</v>
      </c>
      <c r="G15" s="253">
        <v>1</v>
      </c>
      <c r="H15" s="253">
        <f t="shared" si="9"/>
        <v>14</v>
      </c>
      <c r="I15" s="286">
        <v>0.5</v>
      </c>
      <c r="J15" s="439">
        <f t="shared" si="10"/>
        <v>7</v>
      </c>
      <c r="K15" s="438">
        <f t="shared" si="11"/>
        <v>0</v>
      </c>
      <c r="L15" s="253">
        <v>0</v>
      </c>
      <c r="M15" s="253">
        <f t="shared" si="12"/>
        <v>0</v>
      </c>
      <c r="N15" s="253">
        <v>0</v>
      </c>
      <c r="O15" s="440">
        <f t="shared" si="8"/>
        <v>0</v>
      </c>
      <c r="P15" s="417">
        <f t="shared" si="13"/>
        <v>7</v>
      </c>
      <c r="Q15" s="166">
        <v>60.81</v>
      </c>
      <c r="R15" s="330">
        <f t="shared" si="14"/>
        <v>80.877300000000005</v>
      </c>
      <c r="S15" s="447">
        <f t="shared" si="15"/>
        <v>566.14110000000005</v>
      </c>
    </row>
    <row r="16" spans="1:21" s="109" customFormat="1" ht="26.15" customHeight="1" x14ac:dyDescent="0.35">
      <c r="A16" s="530"/>
      <c r="B16" s="484"/>
      <c r="C16" s="353" t="s">
        <v>162</v>
      </c>
      <c r="D16" s="355" t="s">
        <v>220</v>
      </c>
      <c r="E16" s="255">
        <v>14</v>
      </c>
      <c r="F16" s="438">
        <v>14</v>
      </c>
      <c r="G16" s="253">
        <v>1</v>
      </c>
      <c r="H16" s="253">
        <f t="shared" si="9"/>
        <v>14</v>
      </c>
      <c r="I16" s="286">
        <v>1</v>
      </c>
      <c r="J16" s="439">
        <f t="shared" si="10"/>
        <v>14</v>
      </c>
      <c r="K16" s="438">
        <f t="shared" si="11"/>
        <v>0</v>
      </c>
      <c r="L16" s="253">
        <v>0</v>
      </c>
      <c r="M16" s="253">
        <f t="shared" si="12"/>
        <v>0</v>
      </c>
      <c r="N16" s="253">
        <v>0</v>
      </c>
      <c r="O16" s="440">
        <f t="shared" si="8"/>
        <v>0</v>
      </c>
      <c r="P16" s="417">
        <f t="shared" si="13"/>
        <v>14</v>
      </c>
      <c r="Q16" s="166">
        <v>60.81</v>
      </c>
      <c r="R16" s="330">
        <f t="shared" si="14"/>
        <v>80.877300000000005</v>
      </c>
      <c r="S16" s="447">
        <f t="shared" si="15"/>
        <v>1132.2822000000001</v>
      </c>
    </row>
    <row r="17" spans="1:53" s="109" customFormat="1" ht="26.15" customHeight="1" x14ac:dyDescent="0.35">
      <c r="A17" s="530"/>
      <c r="B17" s="484"/>
      <c r="C17" s="480" t="s">
        <v>170</v>
      </c>
      <c r="D17" s="354" t="s">
        <v>221</v>
      </c>
      <c r="E17" s="255">
        <v>14</v>
      </c>
      <c r="F17" s="438">
        <v>14</v>
      </c>
      <c r="G17" s="253">
        <v>1</v>
      </c>
      <c r="H17" s="253">
        <f t="shared" si="9"/>
        <v>14</v>
      </c>
      <c r="I17" s="286">
        <v>0.16700000000000001</v>
      </c>
      <c r="J17" s="439">
        <f t="shared" si="10"/>
        <v>2.3380000000000001</v>
      </c>
      <c r="K17" s="438">
        <f t="shared" si="11"/>
        <v>0</v>
      </c>
      <c r="L17" s="253">
        <v>0</v>
      </c>
      <c r="M17" s="253">
        <f t="shared" si="12"/>
        <v>0</v>
      </c>
      <c r="N17" s="253">
        <v>0</v>
      </c>
      <c r="O17" s="440">
        <f t="shared" si="8"/>
        <v>0</v>
      </c>
      <c r="P17" s="417">
        <f t="shared" si="13"/>
        <v>2.3380000000000001</v>
      </c>
      <c r="Q17" s="166">
        <v>60.81</v>
      </c>
      <c r="R17" s="330">
        <f t="shared" si="14"/>
        <v>80.877300000000005</v>
      </c>
      <c r="S17" s="447">
        <f t="shared" si="15"/>
        <v>189.0911274</v>
      </c>
    </row>
    <row r="18" spans="1:53" s="109" customFormat="1" ht="26.15" customHeight="1" x14ac:dyDescent="0.35">
      <c r="A18" s="530"/>
      <c r="B18" s="484"/>
      <c r="C18" s="481"/>
      <c r="D18" s="356" t="s">
        <v>222</v>
      </c>
      <c r="E18" s="255">
        <v>14</v>
      </c>
      <c r="F18" s="438">
        <v>14</v>
      </c>
      <c r="G18" s="253">
        <v>1</v>
      </c>
      <c r="H18" s="253">
        <f t="shared" si="9"/>
        <v>14</v>
      </c>
      <c r="I18" s="286">
        <v>8.3500000000000005E-2</v>
      </c>
      <c r="J18" s="439">
        <f t="shared" si="10"/>
        <v>1.169</v>
      </c>
      <c r="K18" s="438">
        <f t="shared" si="11"/>
        <v>0</v>
      </c>
      <c r="L18" s="253">
        <v>0</v>
      </c>
      <c r="M18" s="253">
        <f t="shared" si="12"/>
        <v>0</v>
      </c>
      <c r="N18" s="253">
        <v>0</v>
      </c>
      <c r="O18" s="440">
        <f t="shared" si="8"/>
        <v>0</v>
      </c>
      <c r="P18" s="417">
        <f t="shared" si="13"/>
        <v>1.169</v>
      </c>
      <c r="Q18" s="166">
        <v>60.81</v>
      </c>
      <c r="R18" s="330">
        <f t="shared" si="14"/>
        <v>80.877300000000005</v>
      </c>
      <c r="S18" s="447">
        <f t="shared" si="15"/>
        <v>94.545563700000002</v>
      </c>
    </row>
    <row r="19" spans="1:53" s="109" customFormat="1" ht="26.15" customHeight="1" x14ac:dyDescent="0.35">
      <c r="A19" s="530"/>
      <c r="B19" s="484"/>
      <c r="C19" s="481"/>
      <c r="D19" s="340" t="s">
        <v>223</v>
      </c>
      <c r="E19" s="255">
        <v>14</v>
      </c>
      <c r="F19" s="438">
        <v>14</v>
      </c>
      <c r="G19" s="253">
        <v>1</v>
      </c>
      <c r="H19" s="253">
        <f t="shared" si="9"/>
        <v>14</v>
      </c>
      <c r="I19" s="286">
        <v>1.25</v>
      </c>
      <c r="J19" s="439">
        <f t="shared" si="10"/>
        <v>17.5</v>
      </c>
      <c r="K19" s="438">
        <f t="shared" si="11"/>
        <v>0</v>
      </c>
      <c r="L19" s="253">
        <v>0</v>
      </c>
      <c r="M19" s="253">
        <f t="shared" si="12"/>
        <v>0</v>
      </c>
      <c r="N19" s="253">
        <v>0</v>
      </c>
      <c r="O19" s="440">
        <f t="shared" si="8"/>
        <v>0</v>
      </c>
      <c r="P19" s="417">
        <f t="shared" si="13"/>
        <v>17.5</v>
      </c>
      <c r="Q19" s="166">
        <v>60.81</v>
      </c>
      <c r="R19" s="330">
        <f t="shared" si="14"/>
        <v>80.877300000000005</v>
      </c>
      <c r="S19" s="447">
        <f t="shared" si="15"/>
        <v>1415.35275</v>
      </c>
    </row>
    <row r="20" spans="1:53" s="109" customFormat="1" ht="26.15" customHeight="1" thickBot="1" x14ac:dyDescent="0.4">
      <c r="A20" s="530"/>
      <c r="B20" s="485"/>
      <c r="C20" s="370" t="s">
        <v>192</v>
      </c>
      <c r="D20" s="356" t="s">
        <v>224</v>
      </c>
      <c r="E20" s="257">
        <v>14</v>
      </c>
      <c r="F20" s="441">
        <v>14</v>
      </c>
      <c r="G20" s="442">
        <v>1</v>
      </c>
      <c r="H20" s="442">
        <f t="shared" si="9"/>
        <v>14</v>
      </c>
      <c r="I20" s="403">
        <v>1.5</v>
      </c>
      <c r="J20" s="444">
        <f t="shared" si="10"/>
        <v>21</v>
      </c>
      <c r="K20" s="441">
        <f t="shared" si="11"/>
        <v>0</v>
      </c>
      <c r="L20" s="442">
        <v>0</v>
      </c>
      <c r="M20" s="442">
        <f t="shared" si="12"/>
        <v>0</v>
      </c>
      <c r="N20" s="442">
        <v>0</v>
      </c>
      <c r="O20" s="443">
        <f t="shared" si="8"/>
        <v>0</v>
      </c>
      <c r="P20" s="417">
        <f t="shared" si="13"/>
        <v>21</v>
      </c>
      <c r="Q20" s="166">
        <v>60.81</v>
      </c>
      <c r="R20" s="330">
        <f t="shared" si="14"/>
        <v>80.877300000000005</v>
      </c>
      <c r="S20" s="448">
        <f t="shared" si="15"/>
        <v>1698.4233000000002</v>
      </c>
    </row>
    <row r="21" spans="1:53" s="109" customFormat="1" ht="26.15" customHeight="1" thickBot="1" x14ac:dyDescent="0.4">
      <c r="A21" s="531"/>
      <c r="B21" s="518" t="s">
        <v>178</v>
      </c>
      <c r="C21" s="518"/>
      <c r="D21" s="519"/>
      <c r="E21" s="317">
        <f>E9</f>
        <v>18</v>
      </c>
      <c r="F21" s="318">
        <f>F9</f>
        <v>14</v>
      </c>
      <c r="G21" s="313">
        <f>H21/F21</f>
        <v>12</v>
      </c>
      <c r="H21" s="313">
        <f>SUM(H9:H20)</f>
        <v>168</v>
      </c>
      <c r="I21" s="319">
        <f>J21/H21</f>
        <v>0.6459583333333333</v>
      </c>
      <c r="J21" s="323">
        <f>SUM(J9:J20)</f>
        <v>108.52099999999999</v>
      </c>
      <c r="K21" s="320">
        <f>E21-F21</f>
        <v>4</v>
      </c>
      <c r="L21" s="313">
        <f>M21/K21</f>
        <v>2</v>
      </c>
      <c r="M21" s="313">
        <f>SUM(M9:M20)</f>
        <v>8</v>
      </c>
      <c r="N21" s="319">
        <f>O21/M21</f>
        <v>0.1002</v>
      </c>
      <c r="O21" s="323">
        <f>SUM(O9:O20)</f>
        <v>0.80159999999999998</v>
      </c>
      <c r="P21" s="314">
        <f t="shared" si="13"/>
        <v>109.32259999999998</v>
      </c>
      <c r="Q21" s="321" t="s">
        <v>17</v>
      </c>
      <c r="R21" s="332" t="s">
        <v>17</v>
      </c>
      <c r="S21" s="316">
        <f>SUM(S9:S20)</f>
        <v>8841.7167169800014</v>
      </c>
    </row>
    <row r="22" spans="1:53" s="239" customFormat="1" ht="26.15" customHeight="1" thickBot="1" x14ac:dyDescent="0.4">
      <c r="A22" s="495" t="s">
        <v>213</v>
      </c>
      <c r="B22" s="495"/>
      <c r="C22" s="495"/>
      <c r="D22" s="496"/>
      <c r="E22" s="325">
        <f>E8+E21</f>
        <v>19</v>
      </c>
      <c r="F22" s="290">
        <f>F8+F21</f>
        <v>15</v>
      </c>
      <c r="G22" s="366">
        <f>H22/F22</f>
        <v>11.6</v>
      </c>
      <c r="H22" s="326">
        <f>H8+H21</f>
        <v>174</v>
      </c>
      <c r="I22" s="292">
        <f>J22/H22</f>
        <v>1.0930344827586207</v>
      </c>
      <c r="J22" s="293">
        <f>J8+J21</f>
        <v>190.18799999999999</v>
      </c>
      <c r="K22" s="327">
        <f>E22-F22</f>
        <v>4</v>
      </c>
      <c r="L22" s="291">
        <f>M22/K22</f>
        <v>2</v>
      </c>
      <c r="M22" s="326">
        <f>M8+M21</f>
        <v>8</v>
      </c>
      <c r="N22" s="292">
        <f>O22/M22</f>
        <v>0.1002</v>
      </c>
      <c r="O22" s="293">
        <f>O8+O21</f>
        <v>0.80159999999999998</v>
      </c>
      <c r="P22" s="420">
        <f t="shared" si="13"/>
        <v>190.9896</v>
      </c>
      <c r="Q22" s="291" t="s">
        <v>17</v>
      </c>
      <c r="R22" s="333" t="s">
        <v>17</v>
      </c>
      <c r="S22" s="294">
        <f>S8+S21</f>
        <v>14237.814741780001</v>
      </c>
    </row>
    <row r="23" spans="1:53" s="118" customFormat="1" ht="26.15" customHeight="1" thickBot="1" x14ac:dyDescent="0.35">
      <c r="A23" s="523" t="s">
        <v>166</v>
      </c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5"/>
      <c r="T23" s="197"/>
      <c r="U23" s="156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</row>
    <row r="24" spans="1:53" s="116" customFormat="1" ht="26.15" customHeight="1" thickBot="1" x14ac:dyDescent="0.35">
      <c r="A24" s="520" t="s">
        <v>45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  <c r="Q24" s="521"/>
      <c r="R24" s="521"/>
      <c r="S24" s="522"/>
      <c r="T24" s="111"/>
      <c r="U24" s="156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41"/>
      <c r="AV24" s="141"/>
      <c r="AW24" s="141"/>
      <c r="AX24" s="141"/>
      <c r="AY24" s="141"/>
      <c r="AZ24" s="141"/>
      <c r="BA24" s="141"/>
    </row>
    <row r="25" spans="1:53" s="109" customFormat="1" ht="26.15" customHeight="1" x14ac:dyDescent="0.3">
      <c r="A25" s="529" t="s">
        <v>45</v>
      </c>
      <c r="B25" s="534" t="s">
        <v>164</v>
      </c>
      <c r="C25" s="488" t="s">
        <v>185</v>
      </c>
      <c r="D25" s="388" t="s">
        <v>235</v>
      </c>
      <c r="E25" s="389">
        <v>18</v>
      </c>
      <c r="F25" s="434">
        <v>14</v>
      </c>
      <c r="G25" s="435">
        <v>1</v>
      </c>
      <c r="H25" s="435">
        <f>F25*G25</f>
        <v>14</v>
      </c>
      <c r="I25" s="436">
        <v>0.15029999999999999</v>
      </c>
      <c r="J25" s="437">
        <f>I25*H25</f>
        <v>2.1041999999999996</v>
      </c>
      <c r="K25" s="434">
        <f>E25-F25</f>
        <v>4</v>
      </c>
      <c r="L25" s="435">
        <v>1</v>
      </c>
      <c r="M25" s="435">
        <f>K25*L25</f>
        <v>4</v>
      </c>
      <c r="N25" s="436">
        <v>0.1002</v>
      </c>
      <c r="O25" s="437">
        <f t="shared" ref="O25:O26" si="16">M25*N25</f>
        <v>0.40079999999999999</v>
      </c>
      <c r="P25" s="449">
        <f>O25+J25</f>
        <v>2.5049999999999994</v>
      </c>
      <c r="Q25" s="172">
        <v>60.81</v>
      </c>
      <c r="R25" s="172">
        <f>Q25*1.33</f>
        <v>80.877300000000005</v>
      </c>
      <c r="S25" s="445">
        <f>R25*P25</f>
        <v>202.59763649999996</v>
      </c>
      <c r="U25" s="156" t="s">
        <v>144</v>
      </c>
    </row>
    <row r="26" spans="1:53" s="109" customFormat="1" ht="26.15" customHeight="1" x14ac:dyDescent="0.3">
      <c r="A26" s="530"/>
      <c r="B26" s="535"/>
      <c r="C26" s="489"/>
      <c r="D26" s="354" t="s">
        <v>236</v>
      </c>
      <c r="E26" s="256">
        <v>18</v>
      </c>
      <c r="F26" s="438">
        <v>14</v>
      </c>
      <c r="G26" s="253">
        <v>1</v>
      </c>
      <c r="H26" s="253">
        <f>F26*G26</f>
        <v>14</v>
      </c>
      <c r="I26" s="286">
        <v>0.1002</v>
      </c>
      <c r="J26" s="439">
        <f>I26*H26</f>
        <v>1.4028</v>
      </c>
      <c r="K26" s="438">
        <f>E26-F26</f>
        <v>4</v>
      </c>
      <c r="L26" s="253">
        <v>1</v>
      </c>
      <c r="M26" s="253">
        <f>K26*L26</f>
        <v>4</v>
      </c>
      <c r="N26" s="286">
        <v>0.1002</v>
      </c>
      <c r="O26" s="439">
        <f t="shared" si="16"/>
        <v>0.40079999999999999</v>
      </c>
      <c r="P26" s="450">
        <f>O26+J26</f>
        <v>1.8036000000000001</v>
      </c>
      <c r="Q26" s="166">
        <v>60.81</v>
      </c>
      <c r="R26" s="166">
        <f>Q26*1.33</f>
        <v>80.877300000000005</v>
      </c>
      <c r="S26" s="446">
        <f>R26*P26</f>
        <v>145.87029828000001</v>
      </c>
      <c r="U26" s="156" t="s">
        <v>144</v>
      </c>
    </row>
    <row r="27" spans="1:53" s="197" customFormat="1" ht="26.15" customHeight="1" x14ac:dyDescent="0.3">
      <c r="A27" s="530"/>
      <c r="B27" s="535"/>
      <c r="C27" s="480" t="s">
        <v>190</v>
      </c>
      <c r="D27" s="355" t="s">
        <v>215</v>
      </c>
      <c r="E27" s="255">
        <v>14</v>
      </c>
      <c r="F27" s="438">
        <v>14</v>
      </c>
      <c r="G27" s="253">
        <v>1</v>
      </c>
      <c r="H27" s="253">
        <f t="shared" ref="H27:H36" si="17">F27*G27</f>
        <v>14</v>
      </c>
      <c r="I27" s="286">
        <v>0.16700000000000001</v>
      </c>
      <c r="J27" s="439">
        <f t="shared" ref="J27:J36" si="18">I27*H27</f>
        <v>2.3380000000000001</v>
      </c>
      <c r="K27" s="438">
        <f t="shared" ref="K27:K36" si="19">E27-F27</f>
        <v>0</v>
      </c>
      <c r="L27" s="253">
        <v>0</v>
      </c>
      <c r="M27" s="253">
        <f t="shared" ref="M27:M36" si="20">K27*L27</f>
        <v>0</v>
      </c>
      <c r="N27" s="253">
        <v>0</v>
      </c>
      <c r="O27" s="440">
        <f t="shared" ref="O27:O36" si="21">M27*N27</f>
        <v>0</v>
      </c>
      <c r="P27" s="421">
        <f t="shared" ref="P27:P31" si="22">O27+J27</f>
        <v>2.3380000000000001</v>
      </c>
      <c r="Q27" s="166">
        <v>38.15</v>
      </c>
      <c r="R27" s="166">
        <f t="shared" ref="R27:R31" si="23">Q27*1.33</f>
        <v>50.7395</v>
      </c>
      <c r="S27" s="167">
        <f t="shared" ref="S27:S31" si="24">R27*P27</f>
        <v>118.628951</v>
      </c>
      <c r="U27" s="156"/>
    </row>
    <row r="28" spans="1:53" s="197" customFormat="1" ht="26.15" customHeight="1" x14ac:dyDescent="0.3">
      <c r="A28" s="530"/>
      <c r="B28" s="535"/>
      <c r="C28" s="481"/>
      <c r="D28" s="355" t="s">
        <v>216</v>
      </c>
      <c r="E28" s="255">
        <v>14</v>
      </c>
      <c r="F28" s="438">
        <v>14</v>
      </c>
      <c r="G28" s="253">
        <v>1</v>
      </c>
      <c r="H28" s="253">
        <f t="shared" si="17"/>
        <v>14</v>
      </c>
      <c r="I28" s="286">
        <v>8.3500000000000005E-2</v>
      </c>
      <c r="J28" s="439">
        <f t="shared" si="18"/>
        <v>1.169</v>
      </c>
      <c r="K28" s="438">
        <f t="shared" si="19"/>
        <v>0</v>
      </c>
      <c r="L28" s="253">
        <v>0</v>
      </c>
      <c r="M28" s="253">
        <f t="shared" si="20"/>
        <v>0</v>
      </c>
      <c r="N28" s="253">
        <v>0</v>
      </c>
      <c r="O28" s="440">
        <f t="shared" si="21"/>
        <v>0</v>
      </c>
      <c r="P28" s="421">
        <f t="shared" si="22"/>
        <v>1.169</v>
      </c>
      <c r="Q28" s="166">
        <v>38.15</v>
      </c>
      <c r="R28" s="166">
        <f t="shared" si="23"/>
        <v>50.7395</v>
      </c>
      <c r="S28" s="167">
        <f t="shared" si="24"/>
        <v>59.3144755</v>
      </c>
      <c r="U28" s="156"/>
    </row>
    <row r="29" spans="1:53" s="197" customFormat="1" ht="26.15" customHeight="1" x14ac:dyDescent="0.3">
      <c r="A29" s="530"/>
      <c r="B29" s="535"/>
      <c r="C29" s="482"/>
      <c r="D29" s="355" t="s">
        <v>217</v>
      </c>
      <c r="E29" s="255">
        <v>14</v>
      </c>
      <c r="F29" s="438">
        <v>14</v>
      </c>
      <c r="G29" s="253">
        <v>1</v>
      </c>
      <c r="H29" s="253">
        <f t="shared" si="17"/>
        <v>14</v>
      </c>
      <c r="I29" s="286">
        <v>1.25</v>
      </c>
      <c r="J29" s="439">
        <f t="shared" si="18"/>
        <v>17.5</v>
      </c>
      <c r="K29" s="438">
        <f t="shared" si="19"/>
        <v>0</v>
      </c>
      <c r="L29" s="253">
        <v>0</v>
      </c>
      <c r="M29" s="253">
        <f t="shared" si="20"/>
        <v>0</v>
      </c>
      <c r="N29" s="253">
        <v>0</v>
      </c>
      <c r="O29" s="440">
        <f t="shared" si="21"/>
        <v>0</v>
      </c>
      <c r="P29" s="421">
        <f t="shared" si="22"/>
        <v>17.5</v>
      </c>
      <c r="Q29" s="166">
        <v>38.15</v>
      </c>
      <c r="R29" s="166">
        <f t="shared" si="23"/>
        <v>50.7395</v>
      </c>
      <c r="S29" s="167">
        <f t="shared" si="24"/>
        <v>887.94124999999997</v>
      </c>
      <c r="U29" s="156"/>
    </row>
    <row r="30" spans="1:53" s="197" customFormat="1" ht="26.15" customHeight="1" x14ac:dyDescent="0.3">
      <c r="A30" s="530"/>
      <c r="B30" s="535"/>
      <c r="C30" s="481" t="s">
        <v>191</v>
      </c>
      <c r="D30" s="355" t="s">
        <v>218</v>
      </c>
      <c r="E30" s="255">
        <v>14</v>
      </c>
      <c r="F30" s="438">
        <v>14</v>
      </c>
      <c r="G30" s="253">
        <v>1</v>
      </c>
      <c r="H30" s="253">
        <f t="shared" si="17"/>
        <v>14</v>
      </c>
      <c r="I30" s="286">
        <v>1.5</v>
      </c>
      <c r="J30" s="439">
        <f t="shared" si="18"/>
        <v>21</v>
      </c>
      <c r="K30" s="438">
        <f t="shared" si="19"/>
        <v>0</v>
      </c>
      <c r="L30" s="253">
        <v>0</v>
      </c>
      <c r="M30" s="253">
        <f t="shared" si="20"/>
        <v>0</v>
      </c>
      <c r="N30" s="253">
        <v>0</v>
      </c>
      <c r="O30" s="440">
        <f t="shared" si="21"/>
        <v>0</v>
      </c>
      <c r="P30" s="421">
        <f t="shared" si="22"/>
        <v>21</v>
      </c>
      <c r="Q30" s="166">
        <v>38.15</v>
      </c>
      <c r="R30" s="166">
        <f t="shared" si="23"/>
        <v>50.7395</v>
      </c>
      <c r="S30" s="167">
        <f t="shared" si="24"/>
        <v>1065.5295000000001</v>
      </c>
      <c r="U30" s="156"/>
    </row>
    <row r="31" spans="1:53" s="197" customFormat="1" ht="26.15" customHeight="1" x14ac:dyDescent="0.3">
      <c r="A31" s="530"/>
      <c r="B31" s="535"/>
      <c r="C31" s="482"/>
      <c r="D31" s="355" t="s">
        <v>219</v>
      </c>
      <c r="E31" s="255">
        <v>14</v>
      </c>
      <c r="F31" s="438">
        <v>14</v>
      </c>
      <c r="G31" s="253">
        <v>1</v>
      </c>
      <c r="H31" s="253">
        <f t="shared" si="17"/>
        <v>14</v>
      </c>
      <c r="I31" s="286">
        <v>0.5</v>
      </c>
      <c r="J31" s="439">
        <f t="shared" si="18"/>
        <v>7</v>
      </c>
      <c r="K31" s="438">
        <f t="shared" si="19"/>
        <v>0</v>
      </c>
      <c r="L31" s="253">
        <v>0</v>
      </c>
      <c r="M31" s="253">
        <f t="shared" si="20"/>
        <v>0</v>
      </c>
      <c r="N31" s="253">
        <v>0</v>
      </c>
      <c r="O31" s="440">
        <f t="shared" si="21"/>
        <v>0</v>
      </c>
      <c r="P31" s="421">
        <f t="shared" si="22"/>
        <v>7</v>
      </c>
      <c r="Q31" s="166">
        <v>38.15</v>
      </c>
      <c r="R31" s="166">
        <f t="shared" si="23"/>
        <v>50.7395</v>
      </c>
      <c r="S31" s="167">
        <f t="shared" si="24"/>
        <v>355.17649999999998</v>
      </c>
      <c r="U31" s="156"/>
    </row>
    <row r="32" spans="1:53" s="111" customFormat="1" ht="26.15" customHeight="1" x14ac:dyDescent="0.3">
      <c r="A32" s="530"/>
      <c r="B32" s="535"/>
      <c r="C32" s="353" t="s">
        <v>162</v>
      </c>
      <c r="D32" s="355" t="s">
        <v>220</v>
      </c>
      <c r="E32" s="255">
        <v>14</v>
      </c>
      <c r="F32" s="438">
        <v>14</v>
      </c>
      <c r="G32" s="253">
        <v>1</v>
      </c>
      <c r="H32" s="253">
        <f t="shared" si="17"/>
        <v>14</v>
      </c>
      <c r="I32" s="286">
        <v>1</v>
      </c>
      <c r="J32" s="439">
        <f t="shared" si="18"/>
        <v>14</v>
      </c>
      <c r="K32" s="438">
        <f t="shared" si="19"/>
        <v>0</v>
      </c>
      <c r="L32" s="253">
        <v>0</v>
      </c>
      <c r="M32" s="253">
        <f t="shared" si="20"/>
        <v>0</v>
      </c>
      <c r="N32" s="253">
        <v>0</v>
      </c>
      <c r="O32" s="440">
        <f t="shared" si="21"/>
        <v>0</v>
      </c>
      <c r="P32" s="421">
        <f t="shared" ref="P32:P37" si="25">O32+J32</f>
        <v>14</v>
      </c>
      <c r="Q32" s="166">
        <v>38.15</v>
      </c>
      <c r="R32" s="166">
        <f t="shared" ref="R32:R36" si="26">Q32*1.33</f>
        <v>50.7395</v>
      </c>
      <c r="S32" s="167">
        <f t="shared" ref="S32:S36" si="27">R32*P32</f>
        <v>710.35299999999995</v>
      </c>
      <c r="U32" s="156" t="s">
        <v>151</v>
      </c>
    </row>
    <row r="33" spans="1:53" s="197" customFormat="1" ht="26.15" customHeight="1" x14ac:dyDescent="0.3">
      <c r="A33" s="530"/>
      <c r="B33" s="535"/>
      <c r="C33" s="480" t="s">
        <v>170</v>
      </c>
      <c r="D33" s="354" t="s">
        <v>221</v>
      </c>
      <c r="E33" s="255">
        <v>14</v>
      </c>
      <c r="F33" s="438">
        <v>14</v>
      </c>
      <c r="G33" s="253">
        <v>1</v>
      </c>
      <c r="H33" s="253">
        <f t="shared" si="17"/>
        <v>14</v>
      </c>
      <c r="I33" s="286">
        <v>0.16700000000000001</v>
      </c>
      <c r="J33" s="439">
        <f t="shared" si="18"/>
        <v>2.3380000000000001</v>
      </c>
      <c r="K33" s="438">
        <f t="shared" si="19"/>
        <v>0</v>
      </c>
      <c r="L33" s="253">
        <v>0</v>
      </c>
      <c r="M33" s="253">
        <f t="shared" si="20"/>
        <v>0</v>
      </c>
      <c r="N33" s="253">
        <v>0</v>
      </c>
      <c r="O33" s="440">
        <f t="shared" si="21"/>
        <v>0</v>
      </c>
      <c r="P33" s="421">
        <f t="shared" si="25"/>
        <v>2.3380000000000001</v>
      </c>
      <c r="Q33" s="166">
        <v>38.15</v>
      </c>
      <c r="R33" s="166">
        <f t="shared" si="26"/>
        <v>50.7395</v>
      </c>
      <c r="S33" s="167">
        <f t="shared" si="27"/>
        <v>118.628951</v>
      </c>
      <c r="U33" s="156"/>
    </row>
    <row r="34" spans="1:53" s="111" customFormat="1" ht="26.15" customHeight="1" x14ac:dyDescent="0.3">
      <c r="A34" s="530"/>
      <c r="B34" s="535"/>
      <c r="C34" s="481"/>
      <c r="D34" s="356" t="s">
        <v>222</v>
      </c>
      <c r="E34" s="255">
        <v>14</v>
      </c>
      <c r="F34" s="438">
        <v>14</v>
      </c>
      <c r="G34" s="253">
        <v>1</v>
      </c>
      <c r="H34" s="253">
        <f t="shared" si="17"/>
        <v>14</v>
      </c>
      <c r="I34" s="286">
        <v>8.3500000000000005E-2</v>
      </c>
      <c r="J34" s="439">
        <f t="shared" si="18"/>
        <v>1.169</v>
      </c>
      <c r="K34" s="438">
        <f t="shared" si="19"/>
        <v>0</v>
      </c>
      <c r="L34" s="253">
        <v>0</v>
      </c>
      <c r="M34" s="253">
        <f t="shared" si="20"/>
        <v>0</v>
      </c>
      <c r="N34" s="253">
        <v>0</v>
      </c>
      <c r="O34" s="440">
        <f t="shared" si="21"/>
        <v>0</v>
      </c>
      <c r="P34" s="421">
        <f t="shared" si="25"/>
        <v>1.169</v>
      </c>
      <c r="Q34" s="166">
        <v>38.15</v>
      </c>
      <c r="R34" s="166">
        <f t="shared" si="26"/>
        <v>50.7395</v>
      </c>
      <c r="S34" s="167">
        <f t="shared" si="27"/>
        <v>59.3144755</v>
      </c>
      <c r="U34" s="156"/>
    </row>
    <row r="35" spans="1:53" s="111" customFormat="1" ht="26.15" customHeight="1" x14ac:dyDescent="0.3">
      <c r="A35" s="530"/>
      <c r="B35" s="535"/>
      <c r="C35" s="481"/>
      <c r="D35" s="340" t="s">
        <v>223</v>
      </c>
      <c r="E35" s="255">
        <v>14</v>
      </c>
      <c r="F35" s="438">
        <v>14</v>
      </c>
      <c r="G35" s="253">
        <v>1</v>
      </c>
      <c r="H35" s="253">
        <f t="shared" si="17"/>
        <v>14</v>
      </c>
      <c r="I35" s="286">
        <v>1.25</v>
      </c>
      <c r="J35" s="439">
        <f t="shared" si="18"/>
        <v>17.5</v>
      </c>
      <c r="K35" s="438">
        <f t="shared" si="19"/>
        <v>0</v>
      </c>
      <c r="L35" s="253">
        <v>0</v>
      </c>
      <c r="M35" s="253">
        <f t="shared" si="20"/>
        <v>0</v>
      </c>
      <c r="N35" s="253">
        <v>0</v>
      </c>
      <c r="O35" s="440">
        <f t="shared" si="21"/>
        <v>0</v>
      </c>
      <c r="P35" s="421">
        <f t="shared" si="25"/>
        <v>17.5</v>
      </c>
      <c r="Q35" s="166">
        <v>38.15</v>
      </c>
      <c r="R35" s="166">
        <f t="shared" si="26"/>
        <v>50.7395</v>
      </c>
      <c r="S35" s="167">
        <f t="shared" si="27"/>
        <v>887.94124999999997</v>
      </c>
      <c r="U35" s="156"/>
    </row>
    <row r="36" spans="1:53" s="111" customFormat="1" ht="26.15" customHeight="1" thickBot="1" x14ac:dyDescent="0.35">
      <c r="A36" s="530"/>
      <c r="B36" s="536"/>
      <c r="C36" s="370" t="s">
        <v>192</v>
      </c>
      <c r="D36" s="356" t="s">
        <v>224</v>
      </c>
      <c r="E36" s="257">
        <v>14</v>
      </c>
      <c r="F36" s="441">
        <v>14</v>
      </c>
      <c r="G36" s="442">
        <v>1</v>
      </c>
      <c r="H36" s="442">
        <f t="shared" si="17"/>
        <v>14</v>
      </c>
      <c r="I36" s="403">
        <v>1.5</v>
      </c>
      <c r="J36" s="444">
        <f t="shared" si="18"/>
        <v>21</v>
      </c>
      <c r="K36" s="441">
        <f t="shared" si="19"/>
        <v>0</v>
      </c>
      <c r="L36" s="442">
        <v>0</v>
      </c>
      <c r="M36" s="442">
        <f t="shared" si="20"/>
        <v>0</v>
      </c>
      <c r="N36" s="442">
        <v>0</v>
      </c>
      <c r="O36" s="443">
        <f t="shared" si="21"/>
        <v>0</v>
      </c>
      <c r="P36" s="451">
        <f t="shared" si="25"/>
        <v>21</v>
      </c>
      <c r="Q36" s="169">
        <v>38.15</v>
      </c>
      <c r="R36" s="169">
        <f t="shared" si="26"/>
        <v>50.7395</v>
      </c>
      <c r="S36" s="170">
        <f t="shared" si="27"/>
        <v>1065.5295000000001</v>
      </c>
      <c r="U36" s="156"/>
    </row>
    <row r="37" spans="1:53" s="115" customFormat="1" ht="26.15" customHeight="1" thickBot="1" x14ac:dyDescent="0.35">
      <c r="A37" s="530"/>
      <c r="B37" s="533" t="s">
        <v>133</v>
      </c>
      <c r="C37" s="518"/>
      <c r="D37" s="519"/>
      <c r="E37" s="240">
        <f>E25</f>
        <v>18</v>
      </c>
      <c r="F37" s="368">
        <f>F25</f>
        <v>14</v>
      </c>
      <c r="G37" s="236">
        <f>H37/F37</f>
        <v>12</v>
      </c>
      <c r="H37" s="236">
        <f>SUM(H25:H36)</f>
        <v>168</v>
      </c>
      <c r="I37" s="287">
        <f>J37/H37</f>
        <v>0.6459583333333333</v>
      </c>
      <c r="J37" s="369">
        <f>SUM(J25:J36)</f>
        <v>108.52099999999999</v>
      </c>
      <c r="K37" s="368">
        <f t="shared" ref="K37" si="28">E37-F37</f>
        <v>4</v>
      </c>
      <c r="L37" s="236">
        <f>M37/K37</f>
        <v>2</v>
      </c>
      <c r="M37" s="236">
        <f>SUM(M25:M36)</f>
        <v>8</v>
      </c>
      <c r="N37" s="287">
        <f>O37/M37</f>
        <v>0.1002</v>
      </c>
      <c r="O37" s="369">
        <f>SUM(O25:O36)</f>
        <v>0.80159999999999998</v>
      </c>
      <c r="P37" s="424">
        <f t="shared" si="25"/>
        <v>109.32259999999998</v>
      </c>
      <c r="Q37" s="234" t="s">
        <v>17</v>
      </c>
      <c r="R37" s="336" t="s">
        <v>17</v>
      </c>
      <c r="S37" s="237">
        <f>SUM(S25:S36)</f>
        <v>5676.8257877800006</v>
      </c>
      <c r="T37" s="111"/>
      <c r="U37" s="156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</row>
    <row r="38" spans="1:53" s="116" customFormat="1" ht="26.15" customHeight="1" thickBot="1" x14ac:dyDescent="0.35">
      <c r="A38" s="520" t="s">
        <v>167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2"/>
      <c r="T38" s="197"/>
      <c r="U38" s="156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41"/>
      <c r="AV38" s="141"/>
      <c r="AW38" s="141"/>
      <c r="AX38" s="141"/>
      <c r="AY38" s="141"/>
      <c r="AZ38" s="141"/>
      <c r="BA38" s="141"/>
    </row>
    <row r="39" spans="1:53" s="109" customFormat="1" ht="26.15" customHeight="1" x14ac:dyDescent="0.3">
      <c r="A39" s="529" t="s">
        <v>167</v>
      </c>
      <c r="B39" s="534" t="s">
        <v>165</v>
      </c>
      <c r="C39" s="488" t="s">
        <v>185</v>
      </c>
      <c r="D39" s="388" t="s">
        <v>235</v>
      </c>
      <c r="E39" s="389">
        <v>18</v>
      </c>
      <c r="F39" s="434">
        <v>14</v>
      </c>
      <c r="G39" s="435">
        <v>1</v>
      </c>
      <c r="H39" s="435">
        <f>F39*G39</f>
        <v>14</v>
      </c>
      <c r="I39" s="436">
        <v>0.15029999999999999</v>
      </c>
      <c r="J39" s="437">
        <f>I39*H39</f>
        <v>2.1041999999999996</v>
      </c>
      <c r="K39" s="434">
        <f>E39-F39</f>
        <v>4</v>
      </c>
      <c r="L39" s="435">
        <v>1</v>
      </c>
      <c r="M39" s="435">
        <f>K39*L39</f>
        <v>4</v>
      </c>
      <c r="N39" s="436">
        <v>0.1002</v>
      </c>
      <c r="O39" s="437">
        <f t="shared" ref="O39:O40" si="29">M39*N39</f>
        <v>0.40079999999999999</v>
      </c>
      <c r="P39" s="449">
        <f>O39+J39</f>
        <v>2.5049999999999994</v>
      </c>
      <c r="Q39" s="172">
        <v>60.81</v>
      </c>
      <c r="R39" s="172">
        <f>Q39*1.33</f>
        <v>80.877300000000005</v>
      </c>
      <c r="S39" s="445">
        <f>R39*P39</f>
        <v>202.59763649999996</v>
      </c>
      <c r="U39" s="156" t="s">
        <v>144</v>
      </c>
    </row>
    <row r="40" spans="1:53" s="109" customFormat="1" ht="26.15" customHeight="1" x14ac:dyDescent="0.3">
      <c r="A40" s="530"/>
      <c r="B40" s="535"/>
      <c r="C40" s="489"/>
      <c r="D40" s="354" t="s">
        <v>236</v>
      </c>
      <c r="E40" s="256">
        <v>18</v>
      </c>
      <c r="F40" s="438">
        <v>14</v>
      </c>
      <c r="G40" s="253">
        <v>1</v>
      </c>
      <c r="H40" s="253">
        <f>F40*G40</f>
        <v>14</v>
      </c>
      <c r="I40" s="286">
        <v>0.1002</v>
      </c>
      <c r="J40" s="439">
        <f>I40*H40</f>
        <v>1.4028</v>
      </c>
      <c r="K40" s="438">
        <f>E40-F40</f>
        <v>4</v>
      </c>
      <c r="L40" s="253">
        <v>1</v>
      </c>
      <c r="M40" s="253">
        <f>K40*L40</f>
        <v>4</v>
      </c>
      <c r="N40" s="286">
        <v>0.1002</v>
      </c>
      <c r="O40" s="439">
        <f t="shared" si="29"/>
        <v>0.40079999999999999</v>
      </c>
      <c r="P40" s="450">
        <f>O40+J40</f>
        <v>1.8036000000000001</v>
      </c>
      <c r="Q40" s="166">
        <v>60.81</v>
      </c>
      <c r="R40" s="166">
        <f>Q40*1.33</f>
        <v>80.877300000000005</v>
      </c>
      <c r="S40" s="446">
        <f>R40*P40</f>
        <v>145.87029828000001</v>
      </c>
      <c r="U40" s="156" t="s">
        <v>144</v>
      </c>
    </row>
    <row r="41" spans="1:53" s="116" customFormat="1" ht="26.15" customHeight="1" x14ac:dyDescent="0.3">
      <c r="A41" s="530"/>
      <c r="B41" s="535"/>
      <c r="C41" s="480" t="s">
        <v>190</v>
      </c>
      <c r="D41" s="355" t="s">
        <v>215</v>
      </c>
      <c r="E41" s="255">
        <v>14</v>
      </c>
      <c r="F41" s="438">
        <v>14</v>
      </c>
      <c r="G41" s="253">
        <v>1</v>
      </c>
      <c r="H41" s="253">
        <f t="shared" ref="H41:H50" si="30">F41*G41</f>
        <v>14</v>
      </c>
      <c r="I41" s="286">
        <v>0.16700000000000001</v>
      </c>
      <c r="J41" s="439">
        <f t="shared" ref="J41:J50" si="31">I41*H41</f>
        <v>2.3380000000000001</v>
      </c>
      <c r="K41" s="438">
        <f t="shared" ref="K41:K50" si="32">E41-F41</f>
        <v>0</v>
      </c>
      <c r="L41" s="253">
        <v>0</v>
      </c>
      <c r="M41" s="253">
        <f t="shared" ref="M41:M50" si="33">K41*L41</f>
        <v>0</v>
      </c>
      <c r="N41" s="253">
        <v>0</v>
      </c>
      <c r="O41" s="440">
        <f t="shared" ref="O41:O50" si="34">M41*N41</f>
        <v>0</v>
      </c>
      <c r="P41" s="421">
        <f t="shared" ref="P41:P45" si="35">O41+J41</f>
        <v>2.3380000000000001</v>
      </c>
      <c r="Q41" s="166">
        <v>25.09</v>
      </c>
      <c r="R41" s="166">
        <f t="shared" ref="R41:R45" si="36">Q41*1.33</f>
        <v>33.369700000000002</v>
      </c>
      <c r="S41" s="167">
        <f t="shared" ref="S41:S45" si="37">R41*P41</f>
        <v>78.018358600000013</v>
      </c>
      <c r="T41" s="197"/>
      <c r="U41" s="156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41"/>
      <c r="AV41" s="141"/>
      <c r="AW41" s="141"/>
      <c r="AX41" s="141"/>
      <c r="AY41" s="141"/>
      <c r="AZ41" s="141"/>
      <c r="BA41" s="141"/>
    </row>
    <row r="42" spans="1:53" s="116" customFormat="1" ht="26.15" customHeight="1" x14ac:dyDescent="0.3">
      <c r="A42" s="530"/>
      <c r="B42" s="535"/>
      <c r="C42" s="481"/>
      <c r="D42" s="355" t="s">
        <v>216</v>
      </c>
      <c r="E42" s="255">
        <v>14</v>
      </c>
      <c r="F42" s="438">
        <v>14</v>
      </c>
      <c r="G42" s="253">
        <v>1</v>
      </c>
      <c r="H42" s="253">
        <f t="shared" si="30"/>
        <v>14</v>
      </c>
      <c r="I42" s="286">
        <v>8.3500000000000005E-2</v>
      </c>
      <c r="J42" s="439">
        <f t="shared" si="31"/>
        <v>1.169</v>
      </c>
      <c r="K42" s="438">
        <f t="shared" si="32"/>
        <v>0</v>
      </c>
      <c r="L42" s="253">
        <v>0</v>
      </c>
      <c r="M42" s="253">
        <f t="shared" si="33"/>
        <v>0</v>
      </c>
      <c r="N42" s="253">
        <v>0</v>
      </c>
      <c r="O42" s="440">
        <f t="shared" si="34"/>
        <v>0</v>
      </c>
      <c r="P42" s="421">
        <f t="shared" si="35"/>
        <v>1.169</v>
      </c>
      <c r="Q42" s="166">
        <v>25.09</v>
      </c>
      <c r="R42" s="166">
        <f t="shared" si="36"/>
        <v>33.369700000000002</v>
      </c>
      <c r="S42" s="167">
        <f t="shared" si="37"/>
        <v>39.009179300000007</v>
      </c>
      <c r="T42" s="197"/>
      <c r="U42" s="156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41"/>
      <c r="AV42" s="141"/>
      <c r="AW42" s="141"/>
      <c r="AX42" s="141"/>
      <c r="AY42" s="141"/>
      <c r="AZ42" s="141"/>
      <c r="BA42" s="141"/>
    </row>
    <row r="43" spans="1:53" s="116" customFormat="1" ht="26.15" customHeight="1" x14ac:dyDescent="0.3">
      <c r="A43" s="530"/>
      <c r="B43" s="535"/>
      <c r="C43" s="481"/>
      <c r="D43" s="355" t="s">
        <v>217</v>
      </c>
      <c r="E43" s="255">
        <v>14</v>
      </c>
      <c r="F43" s="438">
        <v>14</v>
      </c>
      <c r="G43" s="253">
        <v>1</v>
      </c>
      <c r="H43" s="253">
        <f t="shared" si="30"/>
        <v>14</v>
      </c>
      <c r="I43" s="286">
        <v>1.25</v>
      </c>
      <c r="J43" s="439">
        <f t="shared" si="31"/>
        <v>17.5</v>
      </c>
      <c r="K43" s="438">
        <f t="shared" si="32"/>
        <v>0</v>
      </c>
      <c r="L43" s="253">
        <v>0</v>
      </c>
      <c r="M43" s="253">
        <f t="shared" si="33"/>
        <v>0</v>
      </c>
      <c r="N43" s="253">
        <v>0</v>
      </c>
      <c r="O43" s="440">
        <f t="shared" si="34"/>
        <v>0</v>
      </c>
      <c r="P43" s="421">
        <f t="shared" si="35"/>
        <v>17.5</v>
      </c>
      <c r="Q43" s="166">
        <v>25.09</v>
      </c>
      <c r="R43" s="166">
        <f t="shared" si="36"/>
        <v>33.369700000000002</v>
      </c>
      <c r="S43" s="167">
        <f t="shared" si="37"/>
        <v>583.96974999999998</v>
      </c>
      <c r="T43" s="197"/>
      <c r="U43" s="156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41"/>
      <c r="AV43" s="141"/>
      <c r="AW43" s="141"/>
      <c r="AX43" s="141"/>
      <c r="AY43" s="141"/>
      <c r="AZ43" s="141"/>
      <c r="BA43" s="141"/>
    </row>
    <row r="44" spans="1:53" s="116" customFormat="1" ht="26.15" customHeight="1" x14ac:dyDescent="0.3">
      <c r="A44" s="530"/>
      <c r="B44" s="535"/>
      <c r="C44" s="480" t="s">
        <v>191</v>
      </c>
      <c r="D44" s="355" t="s">
        <v>218</v>
      </c>
      <c r="E44" s="255">
        <v>14</v>
      </c>
      <c r="F44" s="438">
        <v>14</v>
      </c>
      <c r="G44" s="253">
        <v>1</v>
      </c>
      <c r="H44" s="253">
        <f t="shared" si="30"/>
        <v>14</v>
      </c>
      <c r="I44" s="286">
        <v>1.5</v>
      </c>
      <c r="J44" s="439">
        <f t="shared" si="31"/>
        <v>21</v>
      </c>
      <c r="K44" s="438">
        <f t="shared" si="32"/>
        <v>0</v>
      </c>
      <c r="L44" s="253">
        <v>0</v>
      </c>
      <c r="M44" s="253">
        <f t="shared" si="33"/>
        <v>0</v>
      </c>
      <c r="N44" s="253">
        <v>0</v>
      </c>
      <c r="O44" s="440">
        <f t="shared" si="34"/>
        <v>0</v>
      </c>
      <c r="P44" s="421">
        <f t="shared" si="35"/>
        <v>21</v>
      </c>
      <c r="Q44" s="166">
        <v>25.09</v>
      </c>
      <c r="R44" s="166">
        <f t="shared" si="36"/>
        <v>33.369700000000002</v>
      </c>
      <c r="S44" s="167">
        <f t="shared" si="37"/>
        <v>700.76370000000009</v>
      </c>
      <c r="T44" s="197"/>
      <c r="U44" s="156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41"/>
      <c r="AV44" s="141"/>
      <c r="AW44" s="141"/>
      <c r="AX44" s="141"/>
      <c r="AY44" s="141"/>
      <c r="AZ44" s="141"/>
      <c r="BA44" s="141"/>
    </row>
    <row r="45" spans="1:53" s="116" customFormat="1" ht="26.15" customHeight="1" x14ac:dyDescent="0.3">
      <c r="A45" s="530"/>
      <c r="B45" s="535"/>
      <c r="C45" s="482"/>
      <c r="D45" s="355" t="s">
        <v>219</v>
      </c>
      <c r="E45" s="255">
        <v>14</v>
      </c>
      <c r="F45" s="438">
        <v>14</v>
      </c>
      <c r="G45" s="253">
        <v>1</v>
      </c>
      <c r="H45" s="253">
        <f t="shared" si="30"/>
        <v>14</v>
      </c>
      <c r="I45" s="286">
        <v>0.5</v>
      </c>
      <c r="J45" s="439">
        <f t="shared" si="31"/>
        <v>7</v>
      </c>
      <c r="K45" s="438">
        <f t="shared" si="32"/>
        <v>0</v>
      </c>
      <c r="L45" s="253">
        <v>0</v>
      </c>
      <c r="M45" s="253">
        <f t="shared" si="33"/>
        <v>0</v>
      </c>
      <c r="N45" s="253">
        <v>0</v>
      </c>
      <c r="O45" s="440">
        <f t="shared" si="34"/>
        <v>0</v>
      </c>
      <c r="P45" s="421">
        <f t="shared" si="35"/>
        <v>7</v>
      </c>
      <c r="Q45" s="166">
        <v>25.09</v>
      </c>
      <c r="R45" s="166">
        <f t="shared" si="36"/>
        <v>33.369700000000002</v>
      </c>
      <c r="S45" s="167">
        <f t="shared" si="37"/>
        <v>233.58790000000002</v>
      </c>
      <c r="T45" s="197"/>
      <c r="U45" s="156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41"/>
      <c r="AV45" s="141"/>
      <c r="AW45" s="141"/>
      <c r="AX45" s="141"/>
      <c r="AY45" s="141"/>
      <c r="AZ45" s="141"/>
      <c r="BA45" s="141"/>
    </row>
    <row r="46" spans="1:53" s="116" customFormat="1" ht="26.15" customHeight="1" x14ac:dyDescent="0.3">
      <c r="A46" s="530"/>
      <c r="B46" s="535"/>
      <c r="C46" s="353" t="s">
        <v>162</v>
      </c>
      <c r="D46" s="355" t="s">
        <v>220</v>
      </c>
      <c r="E46" s="255">
        <v>14</v>
      </c>
      <c r="F46" s="438">
        <v>14</v>
      </c>
      <c r="G46" s="253">
        <v>1</v>
      </c>
      <c r="H46" s="253">
        <f t="shared" si="30"/>
        <v>14</v>
      </c>
      <c r="I46" s="286">
        <v>1</v>
      </c>
      <c r="J46" s="439">
        <f t="shared" si="31"/>
        <v>14</v>
      </c>
      <c r="K46" s="438">
        <f t="shared" si="32"/>
        <v>0</v>
      </c>
      <c r="L46" s="253">
        <v>0</v>
      </c>
      <c r="M46" s="253">
        <f t="shared" si="33"/>
        <v>0</v>
      </c>
      <c r="N46" s="253">
        <v>0</v>
      </c>
      <c r="O46" s="440">
        <f t="shared" si="34"/>
        <v>0</v>
      </c>
      <c r="P46" s="421">
        <f t="shared" ref="P46:P52" si="38">O46+J46</f>
        <v>14</v>
      </c>
      <c r="Q46" s="166">
        <v>25.09</v>
      </c>
      <c r="R46" s="166">
        <f t="shared" ref="R46:R50" si="39">Q46*1.33</f>
        <v>33.369700000000002</v>
      </c>
      <c r="S46" s="167">
        <f t="shared" ref="S46:S50" si="40">R46*P46</f>
        <v>467.17580000000004</v>
      </c>
      <c r="T46" s="111"/>
      <c r="U46" s="156" t="s">
        <v>151</v>
      </c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41"/>
      <c r="AV46" s="141"/>
      <c r="AW46" s="141"/>
      <c r="AX46" s="141"/>
      <c r="AY46" s="141"/>
      <c r="AZ46" s="141"/>
      <c r="BA46" s="141"/>
    </row>
    <row r="47" spans="1:53" s="111" customFormat="1" ht="26.15" customHeight="1" x14ac:dyDescent="0.3">
      <c r="A47" s="530"/>
      <c r="B47" s="535"/>
      <c r="C47" s="480" t="s">
        <v>170</v>
      </c>
      <c r="D47" s="354" t="s">
        <v>221</v>
      </c>
      <c r="E47" s="255">
        <v>14</v>
      </c>
      <c r="F47" s="438">
        <v>14</v>
      </c>
      <c r="G47" s="253">
        <v>1</v>
      </c>
      <c r="H47" s="253">
        <f t="shared" si="30"/>
        <v>14</v>
      </c>
      <c r="I47" s="286">
        <v>0.16700000000000001</v>
      </c>
      <c r="J47" s="439">
        <f t="shared" si="31"/>
        <v>2.3380000000000001</v>
      </c>
      <c r="K47" s="438">
        <f t="shared" si="32"/>
        <v>0</v>
      </c>
      <c r="L47" s="253">
        <v>0</v>
      </c>
      <c r="M47" s="253">
        <f t="shared" si="33"/>
        <v>0</v>
      </c>
      <c r="N47" s="253">
        <v>0</v>
      </c>
      <c r="O47" s="440">
        <f t="shared" si="34"/>
        <v>0</v>
      </c>
      <c r="P47" s="421">
        <f t="shared" si="38"/>
        <v>2.3380000000000001</v>
      </c>
      <c r="Q47" s="166">
        <v>25.09</v>
      </c>
      <c r="R47" s="166">
        <f t="shared" si="39"/>
        <v>33.369700000000002</v>
      </c>
      <c r="S47" s="167">
        <f t="shared" si="40"/>
        <v>78.018358600000013</v>
      </c>
    </row>
    <row r="48" spans="1:53" s="111" customFormat="1" ht="26.15" customHeight="1" x14ac:dyDescent="0.3">
      <c r="A48" s="530"/>
      <c r="B48" s="535"/>
      <c r="C48" s="481"/>
      <c r="D48" s="356" t="s">
        <v>222</v>
      </c>
      <c r="E48" s="255">
        <v>14</v>
      </c>
      <c r="F48" s="438">
        <v>14</v>
      </c>
      <c r="G48" s="253">
        <v>1</v>
      </c>
      <c r="H48" s="253">
        <f t="shared" si="30"/>
        <v>14</v>
      </c>
      <c r="I48" s="286">
        <v>8.3500000000000005E-2</v>
      </c>
      <c r="J48" s="439">
        <f t="shared" si="31"/>
        <v>1.169</v>
      </c>
      <c r="K48" s="438">
        <f t="shared" si="32"/>
        <v>0</v>
      </c>
      <c r="L48" s="253">
        <v>0</v>
      </c>
      <c r="M48" s="253">
        <f t="shared" si="33"/>
        <v>0</v>
      </c>
      <c r="N48" s="253">
        <v>0</v>
      </c>
      <c r="O48" s="440">
        <f t="shared" si="34"/>
        <v>0</v>
      </c>
      <c r="P48" s="421">
        <f t="shared" si="38"/>
        <v>1.169</v>
      </c>
      <c r="Q48" s="166">
        <v>25.09</v>
      </c>
      <c r="R48" s="166">
        <f t="shared" si="39"/>
        <v>33.369700000000002</v>
      </c>
      <c r="S48" s="167">
        <f t="shared" si="40"/>
        <v>39.009179300000007</v>
      </c>
    </row>
    <row r="49" spans="1:25" s="111" customFormat="1" ht="26.15" customHeight="1" x14ac:dyDescent="0.3">
      <c r="A49" s="530"/>
      <c r="B49" s="535"/>
      <c r="C49" s="481"/>
      <c r="D49" s="340" t="s">
        <v>223</v>
      </c>
      <c r="E49" s="255">
        <v>14</v>
      </c>
      <c r="F49" s="438">
        <v>14</v>
      </c>
      <c r="G49" s="253">
        <v>1</v>
      </c>
      <c r="H49" s="253">
        <f t="shared" si="30"/>
        <v>14</v>
      </c>
      <c r="I49" s="286">
        <v>1.25</v>
      </c>
      <c r="J49" s="439">
        <f t="shared" si="31"/>
        <v>17.5</v>
      </c>
      <c r="K49" s="438">
        <f t="shared" si="32"/>
        <v>0</v>
      </c>
      <c r="L49" s="253">
        <v>0</v>
      </c>
      <c r="M49" s="253">
        <f t="shared" si="33"/>
        <v>0</v>
      </c>
      <c r="N49" s="253">
        <v>0</v>
      </c>
      <c r="O49" s="440">
        <f t="shared" si="34"/>
        <v>0</v>
      </c>
      <c r="P49" s="421">
        <f t="shared" si="38"/>
        <v>17.5</v>
      </c>
      <c r="Q49" s="166">
        <v>25.09</v>
      </c>
      <c r="R49" s="166">
        <f t="shared" si="39"/>
        <v>33.369700000000002</v>
      </c>
      <c r="S49" s="167">
        <f t="shared" si="40"/>
        <v>583.96974999999998</v>
      </c>
    </row>
    <row r="50" spans="1:25" s="111" customFormat="1" ht="26.15" customHeight="1" thickBot="1" x14ac:dyDescent="0.35">
      <c r="A50" s="530"/>
      <c r="B50" s="536"/>
      <c r="C50" s="370" t="s">
        <v>192</v>
      </c>
      <c r="D50" s="356" t="s">
        <v>224</v>
      </c>
      <c r="E50" s="257">
        <v>14</v>
      </c>
      <c r="F50" s="441">
        <v>14</v>
      </c>
      <c r="G50" s="442">
        <v>1</v>
      </c>
      <c r="H50" s="442">
        <f t="shared" si="30"/>
        <v>14</v>
      </c>
      <c r="I50" s="403">
        <v>1.5</v>
      </c>
      <c r="J50" s="444">
        <f t="shared" si="31"/>
        <v>21</v>
      </c>
      <c r="K50" s="441">
        <f t="shared" si="32"/>
        <v>0</v>
      </c>
      <c r="L50" s="442">
        <v>0</v>
      </c>
      <c r="M50" s="442">
        <f t="shared" si="33"/>
        <v>0</v>
      </c>
      <c r="N50" s="442">
        <v>0</v>
      </c>
      <c r="O50" s="443">
        <f t="shared" si="34"/>
        <v>0</v>
      </c>
      <c r="P50" s="451">
        <f t="shared" si="38"/>
        <v>21</v>
      </c>
      <c r="Q50" s="169">
        <v>25.09</v>
      </c>
      <c r="R50" s="169">
        <f t="shared" si="39"/>
        <v>33.369700000000002</v>
      </c>
      <c r="S50" s="170">
        <f t="shared" si="40"/>
        <v>700.76370000000009</v>
      </c>
    </row>
    <row r="51" spans="1:25" s="111" customFormat="1" ht="26.15" customHeight="1" thickBot="1" x14ac:dyDescent="0.35">
      <c r="A51" s="530"/>
      <c r="B51" s="460" t="s">
        <v>168</v>
      </c>
      <c r="C51" s="461"/>
      <c r="D51" s="462"/>
      <c r="E51" s="240">
        <f>E39</f>
        <v>18</v>
      </c>
      <c r="F51" s="235">
        <f>F39</f>
        <v>14</v>
      </c>
      <c r="G51" s="236">
        <f>H51/F51</f>
        <v>12</v>
      </c>
      <c r="H51" s="236">
        <f>SUM(H39:H50)</f>
        <v>168</v>
      </c>
      <c r="I51" s="287">
        <f>J51/H51</f>
        <v>0.6459583333333333</v>
      </c>
      <c r="J51" s="238">
        <f>SUM(J39:J50)</f>
        <v>108.52099999999999</v>
      </c>
      <c r="K51" s="368">
        <f t="shared" ref="K51" si="41">E51-F51</f>
        <v>4</v>
      </c>
      <c r="L51" s="236">
        <f>M51/K51</f>
        <v>2</v>
      </c>
      <c r="M51" s="236">
        <f>SUM(M39:M50)</f>
        <v>8</v>
      </c>
      <c r="N51" s="287">
        <f>O51/M51</f>
        <v>0.1002</v>
      </c>
      <c r="O51" s="238">
        <f>SUM(O39:O50)</f>
        <v>0.80159999999999998</v>
      </c>
      <c r="P51" s="424">
        <f t="shared" si="38"/>
        <v>109.32259999999998</v>
      </c>
      <c r="Q51" s="234" t="s">
        <v>17</v>
      </c>
      <c r="R51" s="336" t="s">
        <v>17</v>
      </c>
      <c r="S51" s="237">
        <f>SUM(S39:S50)</f>
        <v>3852.7536105799995</v>
      </c>
    </row>
    <row r="52" spans="1:25" s="197" customFormat="1" ht="26.15" customHeight="1" thickBot="1" x14ac:dyDescent="0.35">
      <c r="A52" s="477" t="s">
        <v>181</v>
      </c>
      <c r="B52" s="478"/>
      <c r="C52" s="478"/>
      <c r="D52" s="479"/>
      <c r="E52" s="232">
        <f>E37+E51</f>
        <v>36</v>
      </c>
      <c r="F52" s="371">
        <f>F37+F51</f>
        <v>28</v>
      </c>
      <c r="G52" s="186">
        <f>H52/F52</f>
        <v>12</v>
      </c>
      <c r="H52" s="186">
        <f>H51+H37</f>
        <v>336</v>
      </c>
      <c r="I52" s="254">
        <f>J52/H52</f>
        <v>0.6459583333333333</v>
      </c>
      <c r="J52" s="405">
        <f>J51+J37</f>
        <v>217.04199999999997</v>
      </c>
      <c r="K52" s="371">
        <f>E52-F52</f>
        <v>8</v>
      </c>
      <c r="L52" s="186">
        <f>M52/K52</f>
        <v>2</v>
      </c>
      <c r="M52" s="186">
        <f>M51+M37</f>
        <v>16</v>
      </c>
      <c r="N52" s="412">
        <f>O52/M52</f>
        <v>0.1002</v>
      </c>
      <c r="O52" s="372">
        <f>O51+O37</f>
        <v>1.6032</v>
      </c>
      <c r="P52" s="428">
        <f t="shared" si="38"/>
        <v>218.64519999999996</v>
      </c>
      <c r="Q52" s="338" t="s">
        <v>17</v>
      </c>
      <c r="R52" s="187" t="s">
        <v>17</v>
      </c>
      <c r="S52" s="233">
        <f>S51+S37</f>
        <v>9529.5793983599997</v>
      </c>
    </row>
    <row r="53" spans="1:25" s="111" customFormat="1" ht="26.15" customHeight="1" thickBot="1" x14ac:dyDescent="0.35">
      <c r="A53" s="474" t="s">
        <v>96</v>
      </c>
      <c r="B53" s="475"/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  <c r="O53" s="475"/>
      <c r="P53" s="475"/>
      <c r="Q53" s="475"/>
      <c r="R53" s="475"/>
      <c r="S53" s="476"/>
    </row>
    <row r="54" spans="1:25" s="197" customFormat="1" ht="26.15" customHeight="1" x14ac:dyDescent="0.3">
      <c r="A54" s="526" t="s">
        <v>96</v>
      </c>
      <c r="B54" s="463" t="s">
        <v>173</v>
      </c>
      <c r="C54" s="179" t="s">
        <v>171</v>
      </c>
      <c r="D54" s="359" t="s">
        <v>197</v>
      </c>
      <c r="E54" s="198">
        <v>12</v>
      </c>
      <c r="F54" s="206">
        <v>9</v>
      </c>
      <c r="G54" s="219">
        <v>1</v>
      </c>
      <c r="H54" s="220">
        <f>F54*G54</f>
        <v>9</v>
      </c>
      <c r="I54" s="243">
        <v>1.5</v>
      </c>
      <c r="J54" s="348">
        <f t="shared" ref="J54:J55" si="42">H54*I54</f>
        <v>13.5</v>
      </c>
      <c r="K54" s="221">
        <f>E54-F54</f>
        <v>3</v>
      </c>
      <c r="L54" s="162">
        <v>1</v>
      </c>
      <c r="M54" s="165">
        <f>K54*L54</f>
        <v>3</v>
      </c>
      <c r="N54" s="252">
        <v>0.1002</v>
      </c>
      <c r="O54" s="397">
        <f t="shared" ref="O54:O55" si="43">N54*M54</f>
        <v>0.30059999999999998</v>
      </c>
      <c r="P54" s="421">
        <f>O54+J54</f>
        <v>13.800599999999999</v>
      </c>
      <c r="Q54" s="166">
        <v>7.25</v>
      </c>
      <c r="R54" s="331">
        <f>Q54*1.33</f>
        <v>9.6425000000000001</v>
      </c>
      <c r="S54" s="167">
        <f>R54*P54</f>
        <v>133.07228549999999</v>
      </c>
      <c r="T54" s="196"/>
      <c r="U54" s="153"/>
    </row>
    <row r="55" spans="1:25" s="197" customFormat="1" ht="26.15" customHeight="1" thickBot="1" x14ac:dyDescent="0.35">
      <c r="A55" s="527"/>
      <c r="B55" s="464"/>
      <c r="C55" s="181" t="s">
        <v>172</v>
      </c>
      <c r="D55" s="355" t="s">
        <v>225</v>
      </c>
      <c r="E55" s="201">
        <v>12</v>
      </c>
      <c r="F55" s="222">
        <v>8</v>
      </c>
      <c r="G55" s="223">
        <v>1</v>
      </c>
      <c r="H55" s="224">
        <f>F55*G55</f>
        <v>8</v>
      </c>
      <c r="I55" s="244">
        <v>1.5</v>
      </c>
      <c r="J55" s="349">
        <f t="shared" si="42"/>
        <v>12</v>
      </c>
      <c r="K55" s="225">
        <f t="shared" ref="K55" si="44">E55-F55</f>
        <v>4</v>
      </c>
      <c r="L55" s="168">
        <v>1</v>
      </c>
      <c r="M55" s="168">
        <f t="shared" ref="M55" si="45">K55*L55</f>
        <v>4</v>
      </c>
      <c r="N55" s="247">
        <v>0.1002</v>
      </c>
      <c r="O55" s="396">
        <f t="shared" si="43"/>
        <v>0.40079999999999999</v>
      </c>
      <c r="P55" s="427">
        <f t="shared" ref="P55:P56" si="46">O55+J55</f>
        <v>12.4008</v>
      </c>
      <c r="Q55" s="169">
        <v>7.25</v>
      </c>
      <c r="R55" s="331">
        <f>Q55*1.33</f>
        <v>9.6425000000000001</v>
      </c>
      <c r="S55" s="167">
        <f>R55*P55</f>
        <v>119.574714</v>
      </c>
      <c r="U55" s="197" t="s">
        <v>161</v>
      </c>
    </row>
    <row r="56" spans="1:25" s="258" customFormat="1" ht="26.15" customHeight="1" thickBot="1" x14ac:dyDescent="0.35">
      <c r="A56" s="527"/>
      <c r="B56" s="460" t="s">
        <v>214</v>
      </c>
      <c r="C56" s="461"/>
      <c r="D56" s="462"/>
      <c r="E56" s="288">
        <f>SUM(E54:E55)</f>
        <v>24</v>
      </c>
      <c r="F56" s="259">
        <f>SUM(F54:F55)</f>
        <v>17</v>
      </c>
      <c r="G56" s="260">
        <f>H56/F56</f>
        <v>1</v>
      </c>
      <c r="H56" s="261">
        <f>SUM(H54:H55)</f>
        <v>17</v>
      </c>
      <c r="I56" s="262">
        <f>J56/H56</f>
        <v>1.5</v>
      </c>
      <c r="J56" s="350">
        <f>SUM(J54:J55)</f>
        <v>25.5</v>
      </c>
      <c r="K56" s="259">
        <f>E56-F56</f>
        <v>7</v>
      </c>
      <c r="L56" s="260">
        <f>M56/K56</f>
        <v>1</v>
      </c>
      <c r="M56" s="261">
        <f>SUM(M54:M55)</f>
        <v>7</v>
      </c>
      <c r="N56" s="262">
        <f>O56/M56</f>
        <v>0.1002</v>
      </c>
      <c r="O56" s="350">
        <f>SUM(O54:O55)</f>
        <v>0.70140000000000002</v>
      </c>
      <c r="P56" s="424">
        <f t="shared" si="46"/>
        <v>26.2014</v>
      </c>
      <c r="Q56" s="234" t="s">
        <v>17</v>
      </c>
      <c r="R56" s="336" t="s">
        <v>17</v>
      </c>
      <c r="S56" s="237">
        <f>SUM(S54:S55)</f>
        <v>252.64699949999999</v>
      </c>
      <c r="T56" s="265"/>
    </row>
    <row r="57" spans="1:25" s="111" customFormat="1" ht="26.15" customHeight="1" x14ac:dyDescent="0.3">
      <c r="A57" s="527"/>
      <c r="B57" s="463" t="s">
        <v>147</v>
      </c>
      <c r="C57" s="468" t="s">
        <v>186</v>
      </c>
      <c r="D57" s="357" t="s">
        <v>226</v>
      </c>
      <c r="E57" s="202">
        <v>3170</v>
      </c>
      <c r="F57" s="203">
        <f>E57*0.12</f>
        <v>380.4</v>
      </c>
      <c r="G57" s="204">
        <v>1</v>
      </c>
      <c r="H57" s="175">
        <f>F57*G57</f>
        <v>380.4</v>
      </c>
      <c r="I57" s="241">
        <v>5.0099999999999999E-2</v>
      </c>
      <c r="J57" s="406">
        <f>H57*I57</f>
        <v>19.058039999999998</v>
      </c>
      <c r="K57" s="173">
        <f>E57-F57</f>
        <v>2789.6</v>
      </c>
      <c r="L57" s="174">
        <v>1</v>
      </c>
      <c r="M57" s="174">
        <f>K57*L57</f>
        <v>2789.6</v>
      </c>
      <c r="N57" s="241">
        <v>1.67E-2</v>
      </c>
      <c r="O57" s="406">
        <f t="shared" ref="O57:O79" si="47">N57*M57</f>
        <v>46.586320000000001</v>
      </c>
      <c r="P57" s="426">
        <f>O57+J57</f>
        <v>65.644360000000006</v>
      </c>
      <c r="Q57" s="176">
        <v>7.25</v>
      </c>
      <c r="R57" s="334">
        <f>Q57*1.33</f>
        <v>9.6425000000000001</v>
      </c>
      <c r="S57" s="164">
        <f>R57*P57</f>
        <v>632.9757413000001</v>
      </c>
      <c r="U57" s="111" t="s">
        <v>156</v>
      </c>
    </row>
    <row r="58" spans="1:25" s="111" customFormat="1" ht="26.15" customHeight="1" x14ac:dyDescent="0.3">
      <c r="A58" s="527"/>
      <c r="B58" s="465"/>
      <c r="C58" s="469"/>
      <c r="D58" s="358" t="s">
        <v>227</v>
      </c>
      <c r="E58" s="199">
        <v>3170</v>
      </c>
      <c r="F58" s="209">
        <f>(E58-F57)*0.03</f>
        <v>83.687999999999988</v>
      </c>
      <c r="G58" s="210">
        <v>1</v>
      </c>
      <c r="H58" s="211">
        <f>F58*G58</f>
        <v>83.687999999999988</v>
      </c>
      <c r="I58" s="242">
        <f>0.0167</f>
        <v>1.67E-2</v>
      </c>
      <c r="J58" s="407">
        <f t="shared" ref="J58:J65" si="48">H58*I58</f>
        <v>1.3975895999999999</v>
      </c>
      <c r="K58" s="209">
        <f>E58-F58</f>
        <v>3086.3119999999999</v>
      </c>
      <c r="L58" s="177">
        <v>1</v>
      </c>
      <c r="M58" s="177">
        <f>K58*L58</f>
        <v>3086.3119999999999</v>
      </c>
      <c r="N58" s="245">
        <v>1.67E-2</v>
      </c>
      <c r="O58" s="395">
        <f t="shared" ref="O58" si="49">N58*M58</f>
        <v>51.541410399999997</v>
      </c>
      <c r="P58" s="422">
        <f>O58+J58</f>
        <v>52.938999999999993</v>
      </c>
      <c r="Q58" s="178">
        <v>7.25</v>
      </c>
      <c r="R58" s="166">
        <f t="shared" ref="R58:R69" si="50">Q58*1.33</f>
        <v>9.6425000000000001</v>
      </c>
      <c r="S58" s="164">
        <f t="shared" ref="S58:S68" si="51">R58*P58</f>
        <v>510.46430749999996</v>
      </c>
      <c r="U58" s="111" t="s">
        <v>157</v>
      </c>
    </row>
    <row r="59" spans="1:25" s="111" customFormat="1" ht="26.15" customHeight="1" x14ac:dyDescent="0.3">
      <c r="A59" s="527"/>
      <c r="B59" s="465"/>
      <c r="C59" s="469"/>
      <c r="D59" s="358" t="s">
        <v>228</v>
      </c>
      <c r="E59" s="205">
        <v>2705.9119999999998</v>
      </c>
      <c r="F59" s="209">
        <f>E59*0.09</f>
        <v>243.53207999999998</v>
      </c>
      <c r="G59" s="210">
        <v>1</v>
      </c>
      <c r="H59" s="211">
        <f t="shared" ref="H59:H80" si="52">F59*G59</f>
        <v>243.53207999999998</v>
      </c>
      <c r="I59" s="242">
        <f>I57</f>
        <v>5.0099999999999999E-2</v>
      </c>
      <c r="J59" s="407">
        <f t="shared" si="48"/>
        <v>12.200957207999998</v>
      </c>
      <c r="K59" s="209">
        <f t="shared" ref="K59:K80" si="53">E59-F59</f>
        <v>2462.3799199999999</v>
      </c>
      <c r="L59" s="177">
        <v>1</v>
      </c>
      <c r="M59" s="177">
        <f t="shared" ref="M59:M80" si="54">K59*L59</f>
        <v>2462.3799199999999</v>
      </c>
      <c r="N59" s="245">
        <v>1.67E-2</v>
      </c>
      <c r="O59" s="395">
        <f t="shared" si="47"/>
        <v>41.121744663999998</v>
      </c>
      <c r="P59" s="422">
        <f t="shared" ref="P59:P79" si="55">O59+J59</f>
        <v>53.322701871999996</v>
      </c>
      <c r="Q59" s="178">
        <v>7.25</v>
      </c>
      <c r="R59" s="334">
        <f t="shared" si="50"/>
        <v>9.6425000000000001</v>
      </c>
      <c r="S59" s="164">
        <f t="shared" si="51"/>
        <v>514.16415280076001</v>
      </c>
      <c r="U59" s="111" t="s">
        <v>158</v>
      </c>
      <c r="Y59" s="152"/>
    </row>
    <row r="60" spans="1:25" s="111" customFormat="1" ht="26.15" customHeight="1" x14ac:dyDescent="0.3">
      <c r="A60" s="527"/>
      <c r="B60" s="465"/>
      <c r="C60" s="469"/>
      <c r="D60" s="358" t="s">
        <v>228</v>
      </c>
      <c r="E60" s="205">
        <v>2462.3799199999999</v>
      </c>
      <c r="F60" s="212">
        <v>148</v>
      </c>
      <c r="G60" s="210">
        <v>1</v>
      </c>
      <c r="H60" s="213">
        <f t="shared" si="52"/>
        <v>148</v>
      </c>
      <c r="I60" s="242">
        <v>5.0099999999999999E-2</v>
      </c>
      <c r="J60" s="407">
        <f t="shared" si="48"/>
        <v>7.4147999999999996</v>
      </c>
      <c r="K60" s="209">
        <f t="shared" si="53"/>
        <v>2314.3799199999999</v>
      </c>
      <c r="L60" s="177">
        <v>1</v>
      </c>
      <c r="M60" s="177">
        <f t="shared" si="54"/>
        <v>2314.3799199999999</v>
      </c>
      <c r="N60" s="245">
        <v>1.67E-2</v>
      </c>
      <c r="O60" s="395">
        <f t="shared" ref="O60:O65" si="56">N60*M60</f>
        <v>38.650144663999995</v>
      </c>
      <c r="P60" s="423">
        <f t="shared" si="55"/>
        <v>46.064944663999995</v>
      </c>
      <c r="Q60" s="178">
        <v>7.25</v>
      </c>
      <c r="R60" s="178">
        <f t="shared" si="50"/>
        <v>9.6425000000000001</v>
      </c>
      <c r="S60" s="164">
        <f t="shared" si="51"/>
        <v>444.18122892261994</v>
      </c>
      <c r="U60" s="111" t="s">
        <v>159</v>
      </c>
      <c r="Y60" s="152"/>
    </row>
    <row r="61" spans="1:25" s="111" customFormat="1" ht="26.15" customHeight="1" x14ac:dyDescent="0.3">
      <c r="A61" s="527"/>
      <c r="B61" s="465"/>
      <c r="C61" s="469"/>
      <c r="D61" s="358" t="s">
        <v>229</v>
      </c>
      <c r="E61" s="205">
        <v>15</v>
      </c>
      <c r="F61" s="214">
        <f>E61</f>
        <v>15</v>
      </c>
      <c r="G61" s="210">
        <v>1</v>
      </c>
      <c r="H61" s="215">
        <f t="shared" si="52"/>
        <v>15</v>
      </c>
      <c r="I61" s="242">
        <f>I58</f>
        <v>1.67E-2</v>
      </c>
      <c r="J61" s="407">
        <f t="shared" si="48"/>
        <v>0.2505</v>
      </c>
      <c r="K61" s="209">
        <f t="shared" ref="K61" si="57">E61-F61</f>
        <v>0</v>
      </c>
      <c r="L61" s="177">
        <v>0</v>
      </c>
      <c r="M61" s="177">
        <f t="shared" ref="M61" si="58">K61*L61</f>
        <v>0</v>
      </c>
      <c r="N61" s="177">
        <v>0</v>
      </c>
      <c r="O61" s="398">
        <f t="shared" ref="O61" si="59">N61*M61</f>
        <v>0</v>
      </c>
      <c r="P61" s="423">
        <f t="shared" ref="P61" si="60">O61+J61</f>
        <v>0.2505</v>
      </c>
      <c r="Q61" s="178">
        <v>7.25</v>
      </c>
      <c r="R61" s="166">
        <f t="shared" si="50"/>
        <v>9.6425000000000001</v>
      </c>
      <c r="S61" s="164">
        <f t="shared" si="51"/>
        <v>2.41544625</v>
      </c>
      <c r="U61" s="111" t="s">
        <v>160</v>
      </c>
    </row>
    <row r="62" spans="1:25" s="197" customFormat="1" ht="26.15" customHeight="1" x14ac:dyDescent="0.3">
      <c r="A62" s="527"/>
      <c r="B62" s="465"/>
      <c r="C62" s="469"/>
      <c r="D62" s="358" t="s">
        <v>230</v>
      </c>
      <c r="E62" s="205">
        <v>15</v>
      </c>
      <c r="F62" s="364">
        <v>15</v>
      </c>
      <c r="G62" s="210">
        <v>1</v>
      </c>
      <c r="H62" s="215">
        <f t="shared" si="52"/>
        <v>15</v>
      </c>
      <c r="I62" s="242">
        <f>I60</f>
        <v>5.0099999999999999E-2</v>
      </c>
      <c r="J62" s="407">
        <f t="shared" si="48"/>
        <v>0.75149999999999995</v>
      </c>
      <c r="K62" s="209">
        <v>0</v>
      </c>
      <c r="L62" s="177">
        <v>0</v>
      </c>
      <c r="M62" s="177">
        <v>0</v>
      </c>
      <c r="N62" s="177">
        <v>0</v>
      </c>
      <c r="O62" s="398">
        <v>0</v>
      </c>
      <c r="P62" s="423">
        <f t="shared" si="55"/>
        <v>0.75149999999999995</v>
      </c>
      <c r="Q62" s="178">
        <v>7.25</v>
      </c>
      <c r="R62" s="334">
        <f t="shared" si="50"/>
        <v>9.6425000000000001</v>
      </c>
      <c r="S62" s="164">
        <f t="shared" si="51"/>
        <v>7.2463387499999996</v>
      </c>
    </row>
    <row r="63" spans="1:25" s="111" customFormat="1" ht="26.15" customHeight="1" x14ac:dyDescent="0.3">
      <c r="A63" s="527"/>
      <c r="B63" s="465"/>
      <c r="C63" s="469"/>
      <c r="D63" s="358" t="s">
        <v>231</v>
      </c>
      <c r="E63" s="205">
        <v>666</v>
      </c>
      <c r="F63" s="209">
        <v>51</v>
      </c>
      <c r="G63" s="210">
        <v>1</v>
      </c>
      <c r="H63" s="216">
        <f t="shared" si="52"/>
        <v>51</v>
      </c>
      <c r="I63" s="242">
        <f>I57</f>
        <v>5.0099999999999999E-2</v>
      </c>
      <c r="J63" s="407">
        <f t="shared" si="48"/>
        <v>2.5550999999999999</v>
      </c>
      <c r="K63" s="209">
        <f t="shared" si="53"/>
        <v>615</v>
      </c>
      <c r="L63" s="177">
        <v>1</v>
      </c>
      <c r="M63" s="177">
        <f t="shared" si="54"/>
        <v>615</v>
      </c>
      <c r="N63" s="245">
        <v>1.67E-2</v>
      </c>
      <c r="O63" s="395">
        <f t="shared" si="56"/>
        <v>10.2705</v>
      </c>
      <c r="P63" s="423">
        <f t="shared" si="55"/>
        <v>12.8256</v>
      </c>
      <c r="Q63" s="178">
        <v>7.25</v>
      </c>
      <c r="R63" s="334">
        <f t="shared" si="50"/>
        <v>9.6425000000000001</v>
      </c>
      <c r="S63" s="164">
        <f t="shared" si="51"/>
        <v>123.67084799999999</v>
      </c>
      <c r="U63" s="111" t="s">
        <v>137</v>
      </c>
    </row>
    <row r="64" spans="1:25" s="197" customFormat="1" ht="26.15" customHeight="1" x14ac:dyDescent="0.3">
      <c r="A64" s="527"/>
      <c r="B64" s="465"/>
      <c r="C64" s="469"/>
      <c r="D64" s="452" t="s">
        <v>238</v>
      </c>
      <c r="E64" s="200">
        <v>3170</v>
      </c>
      <c r="F64" s="212">
        <v>922</v>
      </c>
      <c r="G64" s="217">
        <v>1</v>
      </c>
      <c r="H64" s="218">
        <f t="shared" ref="H64:H65" si="61">F64*G64</f>
        <v>922</v>
      </c>
      <c r="I64" s="252">
        <v>8.3500000000000005E-2</v>
      </c>
      <c r="J64" s="408">
        <f t="shared" si="48"/>
        <v>76.987000000000009</v>
      </c>
      <c r="K64" s="212">
        <f t="shared" ref="K64:K65" si="62">E64-F64</f>
        <v>2248</v>
      </c>
      <c r="L64" s="165">
        <v>1</v>
      </c>
      <c r="M64" s="177">
        <f t="shared" ref="M64:M65" si="63">K64*L64</f>
        <v>2248</v>
      </c>
      <c r="N64" s="242">
        <v>1.67E-2</v>
      </c>
      <c r="O64" s="395">
        <f t="shared" si="56"/>
        <v>37.541600000000003</v>
      </c>
      <c r="P64" s="423">
        <f t="shared" ref="P64:P65" si="64">O64+J64</f>
        <v>114.52860000000001</v>
      </c>
      <c r="Q64" s="178">
        <v>7.25</v>
      </c>
      <c r="R64" s="178">
        <f t="shared" ref="R64:R65" si="65">Q64*1.33</f>
        <v>9.6425000000000001</v>
      </c>
      <c r="S64" s="164">
        <f t="shared" ref="S64:S65" si="66">R64*P64</f>
        <v>1104.3420255000001</v>
      </c>
    </row>
    <row r="65" spans="1:45" s="197" customFormat="1" ht="26.15" customHeight="1" x14ac:dyDescent="0.3">
      <c r="A65" s="527"/>
      <c r="B65" s="465"/>
      <c r="C65" s="470"/>
      <c r="D65" s="452" t="s">
        <v>239</v>
      </c>
      <c r="E65" s="200">
        <v>3170</v>
      </c>
      <c r="F65" s="212">
        <v>922</v>
      </c>
      <c r="G65" s="217">
        <v>1</v>
      </c>
      <c r="H65" s="218">
        <f t="shared" si="61"/>
        <v>922</v>
      </c>
      <c r="I65" s="252">
        <v>0.1002</v>
      </c>
      <c r="J65" s="408">
        <f t="shared" si="48"/>
        <v>92.384399999999999</v>
      </c>
      <c r="K65" s="212">
        <f t="shared" si="62"/>
        <v>2248</v>
      </c>
      <c r="L65" s="165">
        <v>1</v>
      </c>
      <c r="M65" s="177">
        <f t="shared" si="63"/>
        <v>2248</v>
      </c>
      <c r="N65" s="242">
        <v>1.67E-2</v>
      </c>
      <c r="O65" s="395">
        <f t="shared" si="56"/>
        <v>37.541600000000003</v>
      </c>
      <c r="P65" s="423">
        <f t="shared" si="64"/>
        <v>129.92599999999999</v>
      </c>
      <c r="Q65" s="178">
        <v>7.25</v>
      </c>
      <c r="R65" s="178">
        <f t="shared" si="65"/>
        <v>9.6425000000000001</v>
      </c>
      <c r="S65" s="164">
        <f t="shared" si="66"/>
        <v>1252.8114549999998</v>
      </c>
    </row>
    <row r="66" spans="1:45" s="151" customFormat="1" ht="26.15" customHeight="1" x14ac:dyDescent="0.3">
      <c r="A66" s="527"/>
      <c r="B66" s="465"/>
      <c r="C66" s="532" t="s">
        <v>150</v>
      </c>
      <c r="D66" s="355" t="s">
        <v>198</v>
      </c>
      <c r="E66" s="200">
        <v>3170</v>
      </c>
      <c r="F66" s="212">
        <f>SUM(F57:F61,F63)</f>
        <v>921.62007999999992</v>
      </c>
      <c r="G66" s="217">
        <v>1</v>
      </c>
      <c r="H66" s="218">
        <f t="shared" si="52"/>
        <v>921.62007999999992</v>
      </c>
      <c r="I66" s="252">
        <v>0.66800000000000004</v>
      </c>
      <c r="J66" s="408">
        <f t="shared" ref="J66:J75" si="67">H66*I66</f>
        <v>615.64221343999998</v>
      </c>
      <c r="K66" s="212">
        <f t="shared" si="53"/>
        <v>2248.3799200000003</v>
      </c>
      <c r="L66" s="165">
        <v>1</v>
      </c>
      <c r="M66" s="177">
        <f t="shared" si="54"/>
        <v>2248.3799200000003</v>
      </c>
      <c r="N66" s="242">
        <v>1.67E-2</v>
      </c>
      <c r="O66" s="395">
        <f t="shared" si="47"/>
        <v>37.547944664000006</v>
      </c>
      <c r="P66" s="423">
        <f t="shared" si="55"/>
        <v>653.19015810400003</v>
      </c>
      <c r="Q66" s="178">
        <v>7.25</v>
      </c>
      <c r="R66" s="178">
        <f t="shared" si="50"/>
        <v>9.6425000000000001</v>
      </c>
      <c r="S66" s="164">
        <f t="shared" si="51"/>
        <v>6298.3860995178202</v>
      </c>
      <c r="T66" s="153"/>
      <c r="U66" s="153" t="s">
        <v>152</v>
      </c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</row>
    <row r="67" spans="1:45" s="153" customFormat="1" ht="26.15" customHeight="1" x14ac:dyDescent="0.3">
      <c r="A67" s="527"/>
      <c r="B67" s="465"/>
      <c r="C67" s="467"/>
      <c r="D67" s="359" t="s">
        <v>232</v>
      </c>
      <c r="E67" s="198">
        <v>922</v>
      </c>
      <c r="F67" s="206">
        <v>922</v>
      </c>
      <c r="G67" s="219">
        <v>1</v>
      </c>
      <c r="H67" s="218">
        <f t="shared" si="52"/>
        <v>922</v>
      </c>
      <c r="I67" s="243">
        <v>1.67E-2</v>
      </c>
      <c r="J67" s="408">
        <f t="shared" si="67"/>
        <v>15.397399999999999</v>
      </c>
      <c r="K67" s="221">
        <v>0</v>
      </c>
      <c r="L67" s="162">
        <v>0</v>
      </c>
      <c r="M67" s="177">
        <f t="shared" si="54"/>
        <v>0</v>
      </c>
      <c r="N67" s="210">
        <v>0</v>
      </c>
      <c r="O67" s="398">
        <f t="shared" si="47"/>
        <v>0</v>
      </c>
      <c r="P67" s="423">
        <f t="shared" si="55"/>
        <v>15.397399999999999</v>
      </c>
      <c r="Q67" s="178">
        <v>7.25</v>
      </c>
      <c r="R67" s="178">
        <f t="shared" si="50"/>
        <v>9.6425000000000001</v>
      </c>
      <c r="S67" s="164">
        <f t="shared" si="51"/>
        <v>148.46942949999999</v>
      </c>
    </row>
    <row r="68" spans="1:45" s="111" customFormat="1" ht="52" x14ac:dyDescent="0.3">
      <c r="A68" s="527"/>
      <c r="B68" s="465"/>
      <c r="C68" s="352" t="s">
        <v>187</v>
      </c>
      <c r="D68" s="359" t="s">
        <v>233</v>
      </c>
      <c r="E68" s="198">
        <v>360</v>
      </c>
      <c r="F68" s="206">
        <v>58</v>
      </c>
      <c r="G68" s="219">
        <v>1</v>
      </c>
      <c r="H68" s="220">
        <f>F68*G68</f>
        <v>58</v>
      </c>
      <c r="I68" s="243">
        <v>5.0099999999999999E-2</v>
      </c>
      <c r="J68" s="348">
        <f t="shared" si="67"/>
        <v>2.9057999999999997</v>
      </c>
      <c r="K68" s="221">
        <f>E68-F68</f>
        <v>302</v>
      </c>
      <c r="L68" s="162">
        <v>1</v>
      </c>
      <c r="M68" s="165">
        <f>K68*L68</f>
        <v>302</v>
      </c>
      <c r="N68" s="252">
        <v>1.67E-2</v>
      </c>
      <c r="O68" s="397">
        <f t="shared" ref="O68:O69" si="68">N68*M68</f>
        <v>5.0434000000000001</v>
      </c>
      <c r="P68" s="421">
        <f>O68+J68</f>
        <v>7.9491999999999994</v>
      </c>
      <c r="Q68" s="166">
        <v>7.25</v>
      </c>
      <c r="R68" s="178">
        <f t="shared" si="50"/>
        <v>9.6425000000000001</v>
      </c>
      <c r="S68" s="164">
        <f t="shared" si="51"/>
        <v>76.650160999999997</v>
      </c>
      <c r="T68" s="196"/>
      <c r="U68" s="153"/>
    </row>
    <row r="69" spans="1:45" s="111" customFormat="1" ht="26.15" customHeight="1" thickBot="1" x14ac:dyDescent="0.35">
      <c r="A69" s="527"/>
      <c r="B69" s="464"/>
      <c r="C69" s="181" t="s">
        <v>188</v>
      </c>
      <c r="D69" s="360" t="s">
        <v>197</v>
      </c>
      <c r="E69" s="201">
        <v>58</v>
      </c>
      <c r="F69" s="222">
        <v>58</v>
      </c>
      <c r="G69" s="223">
        <v>1</v>
      </c>
      <c r="H69" s="224">
        <f>F69*G69</f>
        <v>58</v>
      </c>
      <c r="I69" s="244">
        <v>1</v>
      </c>
      <c r="J69" s="349">
        <f t="shared" si="67"/>
        <v>58</v>
      </c>
      <c r="K69" s="225">
        <f t="shared" ref="K69:K70" si="69">E69-F69</f>
        <v>0</v>
      </c>
      <c r="L69" s="168">
        <v>0</v>
      </c>
      <c r="M69" s="168">
        <f t="shared" ref="M69" si="70">K69*L69</f>
        <v>0</v>
      </c>
      <c r="N69" s="168">
        <v>0</v>
      </c>
      <c r="O69" s="399">
        <f t="shared" si="68"/>
        <v>0</v>
      </c>
      <c r="P69" s="427">
        <f t="shared" ref="P69:P70" si="71">O69+J69</f>
        <v>58</v>
      </c>
      <c r="Q69" s="169">
        <v>7.25</v>
      </c>
      <c r="R69" s="169">
        <f t="shared" si="50"/>
        <v>9.6425000000000001</v>
      </c>
      <c r="S69" s="164">
        <f>R69*P69</f>
        <v>559.26499999999999</v>
      </c>
      <c r="U69" s="111" t="s">
        <v>161</v>
      </c>
    </row>
    <row r="70" spans="1:45" s="258" customFormat="1" ht="26.15" customHeight="1" thickBot="1" x14ac:dyDescent="0.35">
      <c r="A70" s="527"/>
      <c r="B70" s="460" t="s">
        <v>148</v>
      </c>
      <c r="C70" s="461"/>
      <c r="D70" s="462"/>
      <c r="E70" s="288">
        <f>E57</f>
        <v>3170</v>
      </c>
      <c r="F70" s="259">
        <f>F66</f>
        <v>921.62007999999992</v>
      </c>
      <c r="G70" s="260">
        <f>H70/F70</f>
        <v>5.1433776920311889</v>
      </c>
      <c r="H70" s="261">
        <f>SUM(H57:H69)</f>
        <v>4740.2401599999994</v>
      </c>
      <c r="I70" s="262">
        <f>J70/H70</f>
        <v>0.1909070573858857</v>
      </c>
      <c r="J70" s="350">
        <f>SUM(J57:J69)</f>
        <v>904.94530024799997</v>
      </c>
      <c r="K70" s="259">
        <f t="shared" si="69"/>
        <v>2248.3799200000003</v>
      </c>
      <c r="L70" s="260">
        <f>M70/K70</f>
        <v>8.1454435689854385</v>
      </c>
      <c r="M70" s="261">
        <f>SUM(M57:M69)</f>
        <v>18314.051759999998</v>
      </c>
      <c r="N70" s="262">
        <f>O70/M70</f>
        <v>1.6700000000000003E-2</v>
      </c>
      <c r="O70" s="350">
        <f>SUM(O57:O69)</f>
        <v>305.84466439200003</v>
      </c>
      <c r="P70" s="429">
        <f t="shared" si="71"/>
        <v>1210.7899646400001</v>
      </c>
      <c r="Q70" s="263" t="s">
        <v>17</v>
      </c>
      <c r="R70" s="337" t="s">
        <v>17</v>
      </c>
      <c r="S70" s="264">
        <f>SUM(S57:S69)</f>
        <v>11675.042234041201</v>
      </c>
      <c r="T70" s="265"/>
    </row>
    <row r="71" spans="1:45" s="111" customFormat="1" ht="52" x14ac:dyDescent="0.3">
      <c r="A71" s="527"/>
      <c r="B71" s="465" t="s">
        <v>145</v>
      </c>
      <c r="C71" s="466" t="s">
        <v>187</v>
      </c>
      <c r="D71" s="359" t="s">
        <v>233</v>
      </c>
      <c r="E71" s="456">
        <v>145</v>
      </c>
      <c r="F71" s="455">
        <v>29</v>
      </c>
      <c r="G71" s="226">
        <v>1</v>
      </c>
      <c r="H71" s="227">
        <f>F71*G71</f>
        <v>29</v>
      </c>
      <c r="I71" s="248">
        <v>5.0099999999999999E-2</v>
      </c>
      <c r="J71" s="409">
        <f t="shared" si="67"/>
        <v>1.4528999999999999</v>
      </c>
      <c r="K71" s="228">
        <f>E71-F71</f>
        <v>116</v>
      </c>
      <c r="L71" s="171">
        <v>1</v>
      </c>
      <c r="M71" s="171">
        <f>K71*L71</f>
        <v>116</v>
      </c>
      <c r="N71" s="251">
        <v>1.67E-2</v>
      </c>
      <c r="O71" s="413">
        <f t="shared" ref="O71:O73" si="72">N71*M71</f>
        <v>1.9372</v>
      </c>
      <c r="P71" s="430">
        <f>O71+J71</f>
        <v>3.3900999999999999</v>
      </c>
      <c r="Q71" s="172">
        <v>7.25</v>
      </c>
      <c r="R71" s="335">
        <f>Q71*1.333</f>
        <v>9.6642499999999991</v>
      </c>
      <c r="S71" s="342">
        <f>R71*P71</f>
        <v>32.762773924999998</v>
      </c>
      <c r="T71" s="153"/>
      <c r="U71" s="111" t="s">
        <v>184</v>
      </c>
    </row>
    <row r="72" spans="1:45" s="197" customFormat="1" ht="26" x14ac:dyDescent="0.3">
      <c r="A72" s="527"/>
      <c r="B72" s="465"/>
      <c r="C72" s="467"/>
      <c r="D72" s="453" t="s">
        <v>237</v>
      </c>
      <c r="E72" s="367">
        <v>145</v>
      </c>
      <c r="F72" s="212">
        <v>29</v>
      </c>
      <c r="G72" s="217">
        <v>1</v>
      </c>
      <c r="H72" s="220">
        <f>F72*G72</f>
        <v>29</v>
      </c>
      <c r="I72" s="252">
        <v>1.67E-2</v>
      </c>
      <c r="J72" s="408">
        <f t="shared" si="67"/>
        <v>0.48430000000000001</v>
      </c>
      <c r="K72" s="231">
        <f>E72-F72</f>
        <v>116</v>
      </c>
      <c r="L72" s="390">
        <v>1</v>
      </c>
      <c r="M72" s="390">
        <f>K72*L72</f>
        <v>116</v>
      </c>
      <c r="N72" s="391">
        <v>1.67E-2</v>
      </c>
      <c r="O72" s="414">
        <f t="shared" si="72"/>
        <v>1.9372</v>
      </c>
      <c r="P72" s="425">
        <f>O72+J72</f>
        <v>2.4215</v>
      </c>
      <c r="Q72" s="176">
        <v>7.25</v>
      </c>
      <c r="R72" s="334">
        <f>Q72*1.333</f>
        <v>9.6642499999999991</v>
      </c>
      <c r="S72" s="341">
        <f>R72*P72</f>
        <v>23.401981374999998</v>
      </c>
      <c r="T72" s="153"/>
    </row>
    <row r="73" spans="1:45" s="111" customFormat="1" ht="26.15" customHeight="1" thickBot="1" x14ac:dyDescent="0.35">
      <c r="A73" s="527"/>
      <c r="B73" s="464"/>
      <c r="C73" s="181" t="s">
        <v>188</v>
      </c>
      <c r="D73" s="360" t="s">
        <v>197</v>
      </c>
      <c r="E73" s="207">
        <v>29</v>
      </c>
      <c r="F73" s="229">
        <v>29</v>
      </c>
      <c r="G73" s="223">
        <v>1</v>
      </c>
      <c r="H73" s="224">
        <f>F73*G73</f>
        <v>29</v>
      </c>
      <c r="I73" s="244">
        <v>1</v>
      </c>
      <c r="J73" s="349">
        <f t="shared" si="67"/>
        <v>29</v>
      </c>
      <c r="K73" s="225">
        <f t="shared" ref="K73:K74" si="73">E73-F73</f>
        <v>0</v>
      </c>
      <c r="L73" s="168">
        <v>0</v>
      </c>
      <c r="M73" s="168">
        <f t="shared" ref="M73" si="74">K73*L73</f>
        <v>0</v>
      </c>
      <c r="N73" s="168">
        <v>0</v>
      </c>
      <c r="O73" s="399">
        <f t="shared" si="72"/>
        <v>0</v>
      </c>
      <c r="P73" s="423">
        <f t="shared" ref="P73:P74" si="75">O73+J73</f>
        <v>29</v>
      </c>
      <c r="Q73" s="178">
        <v>7.25</v>
      </c>
      <c r="R73" s="178">
        <f>Q73*1.333</f>
        <v>9.6642499999999991</v>
      </c>
      <c r="S73" s="180">
        <f>R73*P73</f>
        <v>280.26324999999997</v>
      </c>
      <c r="T73" s="153"/>
    </row>
    <row r="74" spans="1:45" s="258" customFormat="1" ht="26.15" customHeight="1" thickBot="1" x14ac:dyDescent="0.35">
      <c r="A74" s="527"/>
      <c r="B74" s="460" t="s">
        <v>146</v>
      </c>
      <c r="C74" s="461"/>
      <c r="D74" s="462"/>
      <c r="E74" s="266">
        <f>E71</f>
        <v>145</v>
      </c>
      <c r="F74" s="267">
        <f>F71</f>
        <v>29</v>
      </c>
      <c r="G74" s="268">
        <f>H74/F74</f>
        <v>3</v>
      </c>
      <c r="H74" s="269">
        <f>SUM(H71:H73)</f>
        <v>87</v>
      </c>
      <c r="I74" s="272">
        <f>J74/H74</f>
        <v>0.35560000000000003</v>
      </c>
      <c r="J74" s="410">
        <f>SUM(J71:J73)</f>
        <v>30.937200000000001</v>
      </c>
      <c r="K74" s="267">
        <f t="shared" si="73"/>
        <v>116</v>
      </c>
      <c r="L74" s="270">
        <f>M74/K74</f>
        <v>2</v>
      </c>
      <c r="M74" s="271">
        <f>SUM(M71:M73)</f>
        <v>232</v>
      </c>
      <c r="N74" s="272">
        <f>O74/M74</f>
        <v>1.67E-2</v>
      </c>
      <c r="O74" s="415">
        <f>SUM(O71:O73)</f>
        <v>3.8744000000000001</v>
      </c>
      <c r="P74" s="431">
        <f t="shared" si="75"/>
        <v>34.811599999999999</v>
      </c>
      <c r="Q74" s="343" t="s">
        <v>17</v>
      </c>
      <c r="R74" s="344" t="s">
        <v>17</v>
      </c>
      <c r="S74" s="345">
        <f>SUM(S71:S73)</f>
        <v>336.4280053</v>
      </c>
      <c r="T74" s="265"/>
    </row>
    <row r="75" spans="1:45" s="111" customFormat="1" ht="51" customHeight="1" x14ac:dyDescent="0.3">
      <c r="A75" s="527"/>
      <c r="B75" s="463" t="s">
        <v>135</v>
      </c>
      <c r="C75" s="471" t="s">
        <v>186</v>
      </c>
      <c r="D75" s="361" t="s">
        <v>234</v>
      </c>
      <c r="E75" s="182">
        <v>9110</v>
      </c>
      <c r="F75" s="228">
        <f>E75*0.29</f>
        <v>2641.8999999999996</v>
      </c>
      <c r="G75" s="226">
        <v>1</v>
      </c>
      <c r="H75" s="230">
        <f t="shared" si="52"/>
        <v>2641.8999999999996</v>
      </c>
      <c r="I75" s="249">
        <f>I76*10</f>
        <v>0.16699999999999998</v>
      </c>
      <c r="J75" s="411">
        <f t="shared" si="67"/>
        <v>441.19729999999987</v>
      </c>
      <c r="K75" s="228">
        <f t="shared" si="53"/>
        <v>6468.1</v>
      </c>
      <c r="L75" s="171">
        <v>1</v>
      </c>
      <c r="M75" s="171">
        <f t="shared" si="54"/>
        <v>6468.1</v>
      </c>
      <c r="N75" s="251">
        <v>1.67E-2</v>
      </c>
      <c r="O75" s="413">
        <f t="shared" si="47"/>
        <v>108.01727</v>
      </c>
      <c r="P75" s="430">
        <f t="shared" si="55"/>
        <v>549.21456999999987</v>
      </c>
      <c r="Q75" s="172">
        <v>7.25</v>
      </c>
      <c r="R75" s="335">
        <f>Q75*1.33</f>
        <v>9.6425000000000001</v>
      </c>
      <c r="S75" s="342">
        <f>R75*P75</f>
        <v>5295.8014912249992</v>
      </c>
      <c r="U75" s="111" t="s">
        <v>153</v>
      </c>
    </row>
    <row r="76" spans="1:45" s="111" customFormat="1" ht="26.15" customHeight="1" x14ac:dyDescent="0.3">
      <c r="A76" s="527"/>
      <c r="B76" s="465"/>
      <c r="C76" s="472"/>
      <c r="D76" s="358" t="s">
        <v>229</v>
      </c>
      <c r="E76" s="199">
        <f>E75*0.01</f>
        <v>91.100000000000009</v>
      </c>
      <c r="F76" s="212">
        <f>E76</f>
        <v>91.100000000000009</v>
      </c>
      <c r="G76" s="217">
        <v>1</v>
      </c>
      <c r="H76" s="213">
        <f>F76*G76</f>
        <v>91.100000000000009</v>
      </c>
      <c r="I76" s="250">
        <f>I61</f>
        <v>1.67E-2</v>
      </c>
      <c r="J76" s="407">
        <f t="shared" ref="J76:J81" si="76">H76*I76</f>
        <v>1.5213700000000001</v>
      </c>
      <c r="K76" s="212">
        <f>E76-F76</f>
        <v>0</v>
      </c>
      <c r="L76" s="165">
        <v>0</v>
      </c>
      <c r="M76" s="165">
        <f>K76*L76</f>
        <v>0</v>
      </c>
      <c r="N76" s="165">
        <v>0</v>
      </c>
      <c r="O76" s="200">
        <f t="shared" ref="O76" si="77">N76*M76</f>
        <v>0</v>
      </c>
      <c r="P76" s="426">
        <f>O76+J76</f>
        <v>1.5213700000000001</v>
      </c>
      <c r="Q76" s="166">
        <v>7.25</v>
      </c>
      <c r="R76" s="178">
        <f t="shared" ref="R76:R83" si="78">Q76*1.33</f>
        <v>9.6425000000000001</v>
      </c>
      <c r="S76" s="180">
        <f t="shared" ref="S76:S83" si="79">R76*P76</f>
        <v>14.669810225000001</v>
      </c>
      <c r="U76" s="111" t="s">
        <v>154</v>
      </c>
    </row>
    <row r="77" spans="1:45" s="197" customFormat="1" ht="26.15" customHeight="1" x14ac:dyDescent="0.3">
      <c r="A77" s="527"/>
      <c r="B77" s="465"/>
      <c r="C77" s="472"/>
      <c r="D77" s="358" t="s">
        <v>230</v>
      </c>
      <c r="E77" s="205">
        <v>91.100000000000009</v>
      </c>
      <c r="F77" s="209">
        <v>91</v>
      </c>
      <c r="G77" s="210">
        <v>1</v>
      </c>
      <c r="H77" s="211">
        <f t="shared" si="52"/>
        <v>91</v>
      </c>
      <c r="I77" s="250">
        <f>I63</f>
        <v>5.0099999999999999E-2</v>
      </c>
      <c r="J77" s="407">
        <f t="shared" si="76"/>
        <v>4.5590999999999999</v>
      </c>
      <c r="K77" s="209">
        <f t="shared" si="53"/>
        <v>0.10000000000000853</v>
      </c>
      <c r="L77" s="177">
        <v>0</v>
      </c>
      <c r="M77" s="177">
        <f t="shared" si="54"/>
        <v>0</v>
      </c>
      <c r="N77" s="177">
        <v>0</v>
      </c>
      <c r="O77" s="398">
        <f t="shared" si="47"/>
        <v>0</v>
      </c>
      <c r="P77" s="422">
        <f t="shared" si="55"/>
        <v>4.5590999999999999</v>
      </c>
      <c r="Q77" s="178">
        <v>7.25</v>
      </c>
      <c r="R77" s="178">
        <f t="shared" si="78"/>
        <v>9.6425000000000001</v>
      </c>
      <c r="S77" s="180">
        <f>R77*P77</f>
        <v>43.961121749999997</v>
      </c>
      <c r="U77" s="197" t="s">
        <v>155</v>
      </c>
    </row>
    <row r="78" spans="1:45" s="197" customFormat="1" ht="26.15" customHeight="1" x14ac:dyDescent="0.3">
      <c r="A78" s="527"/>
      <c r="B78" s="465"/>
      <c r="C78" s="472"/>
      <c r="D78" s="452" t="s">
        <v>238</v>
      </c>
      <c r="E78" s="205">
        <v>9110</v>
      </c>
      <c r="F78" s="209">
        <v>2732.8999999999996</v>
      </c>
      <c r="G78" s="210">
        <v>1</v>
      </c>
      <c r="H78" s="211">
        <f t="shared" si="52"/>
        <v>2732.8999999999996</v>
      </c>
      <c r="I78" s="250">
        <v>8.3500000000000005E-2</v>
      </c>
      <c r="J78" s="407">
        <f t="shared" si="76"/>
        <v>228.19714999999999</v>
      </c>
      <c r="K78" s="209">
        <f t="shared" si="53"/>
        <v>6377.1</v>
      </c>
      <c r="L78" s="177">
        <v>1</v>
      </c>
      <c r="M78" s="177">
        <f t="shared" si="54"/>
        <v>6377.1</v>
      </c>
      <c r="N78" s="245">
        <v>1.67E-2</v>
      </c>
      <c r="O78" s="395">
        <f t="shared" si="47"/>
        <v>106.49757000000001</v>
      </c>
      <c r="P78" s="422">
        <f t="shared" si="55"/>
        <v>334.69472000000002</v>
      </c>
      <c r="Q78" s="178">
        <v>7.25</v>
      </c>
      <c r="R78" s="178">
        <f t="shared" si="78"/>
        <v>9.6425000000000001</v>
      </c>
      <c r="S78" s="180">
        <f t="shared" ref="S78:S79" si="80">R78*P78</f>
        <v>3227.2938376000002</v>
      </c>
    </row>
    <row r="79" spans="1:45" s="197" customFormat="1" ht="26.15" customHeight="1" x14ac:dyDescent="0.3">
      <c r="A79" s="527"/>
      <c r="B79" s="465"/>
      <c r="C79" s="473"/>
      <c r="D79" s="452" t="s">
        <v>239</v>
      </c>
      <c r="E79" s="205">
        <v>9110</v>
      </c>
      <c r="F79" s="209">
        <v>2732.8999999999996</v>
      </c>
      <c r="G79" s="210">
        <v>1</v>
      </c>
      <c r="H79" s="211">
        <f t="shared" si="52"/>
        <v>2732.8999999999996</v>
      </c>
      <c r="I79" s="250">
        <v>0.1002</v>
      </c>
      <c r="J79" s="407">
        <f t="shared" si="76"/>
        <v>273.83657999999997</v>
      </c>
      <c r="K79" s="209">
        <f t="shared" si="53"/>
        <v>6377.1</v>
      </c>
      <c r="L79" s="177">
        <v>1</v>
      </c>
      <c r="M79" s="177">
        <f t="shared" si="54"/>
        <v>6377.1</v>
      </c>
      <c r="N79" s="245">
        <v>1.67E-2</v>
      </c>
      <c r="O79" s="395">
        <f t="shared" si="47"/>
        <v>106.49757000000001</v>
      </c>
      <c r="P79" s="422">
        <f t="shared" si="55"/>
        <v>380.33414999999997</v>
      </c>
      <c r="Q79" s="178">
        <v>7.25</v>
      </c>
      <c r="R79" s="178">
        <f t="shared" si="78"/>
        <v>9.6425000000000001</v>
      </c>
      <c r="S79" s="180">
        <f t="shared" si="80"/>
        <v>3667.3720413749998</v>
      </c>
    </row>
    <row r="80" spans="1:45" s="111" customFormat="1" ht="26.15" customHeight="1" x14ac:dyDescent="0.3">
      <c r="A80" s="527"/>
      <c r="B80" s="465"/>
      <c r="C80" s="458" t="s">
        <v>169</v>
      </c>
      <c r="D80" s="355" t="s">
        <v>198</v>
      </c>
      <c r="E80" s="199">
        <v>9110</v>
      </c>
      <c r="F80" s="212">
        <f>F77+F75</f>
        <v>2732.8999999999996</v>
      </c>
      <c r="G80" s="217">
        <v>1</v>
      </c>
      <c r="H80" s="211">
        <f t="shared" si="52"/>
        <v>2732.8999999999996</v>
      </c>
      <c r="I80" s="252">
        <f>I66</f>
        <v>0.66800000000000004</v>
      </c>
      <c r="J80" s="408">
        <f t="shared" si="76"/>
        <v>1825.5771999999999</v>
      </c>
      <c r="K80" s="212">
        <f t="shared" si="53"/>
        <v>6377.1</v>
      </c>
      <c r="L80" s="165">
        <v>1</v>
      </c>
      <c r="M80" s="165">
        <f t="shared" si="54"/>
        <v>6377.1</v>
      </c>
      <c r="N80" s="252">
        <v>1.67E-2</v>
      </c>
      <c r="O80" s="397">
        <f>N80*M80</f>
        <v>106.49757000000001</v>
      </c>
      <c r="P80" s="422">
        <f>O80+J80</f>
        <v>1932.0747699999999</v>
      </c>
      <c r="Q80" s="166">
        <v>7.25</v>
      </c>
      <c r="R80" s="178">
        <f t="shared" si="78"/>
        <v>9.6425000000000001</v>
      </c>
      <c r="S80" s="180">
        <f t="shared" si="79"/>
        <v>18630.030969725001</v>
      </c>
      <c r="T80" s="153"/>
    </row>
    <row r="81" spans="1:21" s="197" customFormat="1" ht="26.15" customHeight="1" x14ac:dyDescent="0.3">
      <c r="A81" s="527"/>
      <c r="B81" s="465"/>
      <c r="C81" s="459"/>
      <c r="D81" s="359" t="s">
        <v>232</v>
      </c>
      <c r="E81" s="198">
        <v>2733</v>
      </c>
      <c r="F81" s="206">
        <v>2733</v>
      </c>
      <c r="G81" s="219">
        <v>1</v>
      </c>
      <c r="H81" s="218">
        <f t="shared" ref="H81" si="81">F81*G81</f>
        <v>2733</v>
      </c>
      <c r="I81" s="243">
        <v>1.67E-2</v>
      </c>
      <c r="J81" s="408">
        <f t="shared" si="76"/>
        <v>45.641100000000002</v>
      </c>
      <c r="K81" s="221">
        <v>0</v>
      </c>
      <c r="L81" s="162">
        <v>0</v>
      </c>
      <c r="M81" s="177">
        <f t="shared" ref="M81" si="82">K81*L81</f>
        <v>0</v>
      </c>
      <c r="N81" s="210">
        <v>0</v>
      </c>
      <c r="O81" s="398">
        <f t="shared" ref="O81" si="83">N81*M81</f>
        <v>0</v>
      </c>
      <c r="P81" s="423">
        <f t="shared" ref="P81" si="84">O81+J81</f>
        <v>45.641100000000002</v>
      </c>
      <c r="Q81" s="178">
        <v>7.25</v>
      </c>
      <c r="R81" s="178">
        <f t="shared" si="78"/>
        <v>9.6425000000000001</v>
      </c>
      <c r="S81" s="167">
        <f t="shared" si="79"/>
        <v>440.09430675000004</v>
      </c>
      <c r="T81" s="153"/>
    </row>
    <row r="82" spans="1:21" s="111" customFormat="1" ht="52" x14ac:dyDescent="0.3">
      <c r="A82" s="527"/>
      <c r="B82" s="465"/>
      <c r="C82" s="352" t="s">
        <v>187</v>
      </c>
      <c r="D82" s="359" t="s">
        <v>233</v>
      </c>
      <c r="E82" s="199">
        <v>360</v>
      </c>
      <c r="F82" s="231">
        <v>57</v>
      </c>
      <c r="G82" s="219">
        <v>1</v>
      </c>
      <c r="H82" s="220">
        <f>F82*G82</f>
        <v>57</v>
      </c>
      <c r="I82" s="243">
        <v>5.0099999999999999E-2</v>
      </c>
      <c r="J82" s="348">
        <f>H82*I82</f>
        <v>2.8557000000000001</v>
      </c>
      <c r="K82" s="221">
        <f>E82-F82</f>
        <v>303</v>
      </c>
      <c r="L82" s="162">
        <v>1</v>
      </c>
      <c r="M82" s="165">
        <f>K82*L82</f>
        <v>303</v>
      </c>
      <c r="N82" s="246">
        <v>1.67E-2</v>
      </c>
      <c r="O82" s="397">
        <f t="shared" ref="O82:O83" si="85">N82*M82</f>
        <v>5.0601000000000003</v>
      </c>
      <c r="P82" s="421">
        <f>O82+J82</f>
        <v>7.9158000000000008</v>
      </c>
      <c r="Q82" s="166">
        <v>7.25</v>
      </c>
      <c r="R82" s="178">
        <f t="shared" si="78"/>
        <v>9.6425000000000001</v>
      </c>
      <c r="S82" s="180">
        <f t="shared" si="79"/>
        <v>76.328101500000002</v>
      </c>
    </row>
    <row r="83" spans="1:21" s="111" customFormat="1" ht="26.15" customHeight="1" thickBot="1" x14ac:dyDescent="0.35">
      <c r="A83" s="527"/>
      <c r="B83" s="464"/>
      <c r="C83" s="183" t="s">
        <v>138</v>
      </c>
      <c r="D83" s="360" t="s">
        <v>197</v>
      </c>
      <c r="E83" s="202">
        <v>57</v>
      </c>
      <c r="F83" s="225">
        <v>57</v>
      </c>
      <c r="G83" s="223">
        <v>1</v>
      </c>
      <c r="H83" s="224">
        <f>F83*G83</f>
        <v>57</v>
      </c>
      <c r="I83" s="244">
        <v>1</v>
      </c>
      <c r="J83" s="349">
        <f>H83*I83</f>
        <v>57</v>
      </c>
      <c r="K83" s="225">
        <f t="shared" ref="K83:K84" si="86">E83-F83</f>
        <v>0</v>
      </c>
      <c r="L83" s="168">
        <v>0</v>
      </c>
      <c r="M83" s="168">
        <f t="shared" ref="M83" si="87">K83*L83</f>
        <v>0</v>
      </c>
      <c r="N83" s="168">
        <v>0</v>
      </c>
      <c r="O83" s="399">
        <f t="shared" si="85"/>
        <v>0</v>
      </c>
      <c r="P83" s="423">
        <f t="shared" ref="P83:P85" si="88">O83+J83</f>
        <v>57</v>
      </c>
      <c r="Q83" s="169">
        <v>7.25</v>
      </c>
      <c r="R83" s="169">
        <f t="shared" si="78"/>
        <v>9.6425000000000001</v>
      </c>
      <c r="S83" s="170">
        <f t="shared" si="79"/>
        <v>549.62250000000006</v>
      </c>
      <c r="U83" s="197" t="s">
        <v>161</v>
      </c>
    </row>
    <row r="84" spans="1:21" s="258" customFormat="1" ht="26.15" customHeight="1" thickBot="1" x14ac:dyDescent="0.35">
      <c r="A84" s="528"/>
      <c r="B84" s="460" t="s">
        <v>134</v>
      </c>
      <c r="C84" s="461"/>
      <c r="D84" s="462"/>
      <c r="E84" s="288">
        <f>E75</f>
        <v>9110</v>
      </c>
      <c r="F84" s="273">
        <f>F80</f>
        <v>2732.8999999999996</v>
      </c>
      <c r="G84" s="274">
        <f>H84/F84</f>
        <v>5.0750850744630247</v>
      </c>
      <c r="H84" s="275">
        <f>SUM(H75:H83)</f>
        <v>13869.699999999999</v>
      </c>
      <c r="I84" s="277">
        <f>J84/H84</f>
        <v>0.20767467933697192</v>
      </c>
      <c r="J84" s="416">
        <f>SUM(J75:J83)</f>
        <v>2880.3854999999994</v>
      </c>
      <c r="K84" s="276">
        <f t="shared" si="86"/>
        <v>6377.1</v>
      </c>
      <c r="L84" s="274">
        <f>M84/K84</f>
        <v>4.0617835693340236</v>
      </c>
      <c r="M84" s="275">
        <f>SUM(M75:M83)</f>
        <v>25902.400000000001</v>
      </c>
      <c r="N84" s="277">
        <f>O84/M84</f>
        <v>1.6699999999999996E-2</v>
      </c>
      <c r="O84" s="416">
        <f>SUM(O75:O83)</f>
        <v>432.57007999999996</v>
      </c>
      <c r="P84" s="424">
        <f t="shared" si="88"/>
        <v>3312.9555799999994</v>
      </c>
      <c r="Q84" s="234" t="s">
        <v>17</v>
      </c>
      <c r="R84" s="336" t="s">
        <v>17</v>
      </c>
      <c r="S84" s="237">
        <f>SUM(S75:S83)</f>
        <v>31945.174180149999</v>
      </c>
    </row>
    <row r="85" spans="1:21" s="111" customFormat="1" ht="26.15" customHeight="1" thickBot="1" x14ac:dyDescent="0.35">
      <c r="A85" s="477" t="s">
        <v>149</v>
      </c>
      <c r="B85" s="478"/>
      <c r="C85" s="478"/>
      <c r="D85" s="479"/>
      <c r="E85" s="184">
        <f>E56+E70+E74+E84</f>
        <v>12449</v>
      </c>
      <c r="F85" s="185">
        <f>F56+F70+F74+F84</f>
        <v>3700.5200799999993</v>
      </c>
      <c r="G85" s="208">
        <f>H85/F85</f>
        <v>5.0571108264328082</v>
      </c>
      <c r="H85" s="186">
        <f>H56+H70+H74+H84</f>
        <v>18713.940159999998</v>
      </c>
      <c r="I85" s="254">
        <f>J85/H85</f>
        <v>0.20528910359880084</v>
      </c>
      <c r="J85" s="372">
        <f>J56+J70+J74+J84</f>
        <v>3841.7680002479992</v>
      </c>
      <c r="K85" s="289">
        <f>K56+K70+K74+K84</f>
        <v>8748.4799200000016</v>
      </c>
      <c r="L85" s="208">
        <f>M85/K85</f>
        <v>5.081505834901658</v>
      </c>
      <c r="M85" s="186">
        <f>M56+M70+M74+M84</f>
        <v>44455.451759999996</v>
      </c>
      <c r="N85" s="254">
        <f>O85/M85</f>
        <v>1.6713147993707399E-2</v>
      </c>
      <c r="O85" s="372">
        <f>O56+O70+O74+O84</f>
        <v>742.99054439199995</v>
      </c>
      <c r="P85" s="432">
        <f t="shared" si="88"/>
        <v>4584.7585446399989</v>
      </c>
      <c r="Q85" s="187" t="s">
        <v>17</v>
      </c>
      <c r="R85" s="338" t="s">
        <v>17</v>
      </c>
      <c r="S85" s="351">
        <f>S56+S70+S74+S84</f>
        <v>44209.291418991197</v>
      </c>
      <c r="T85" s="153"/>
    </row>
    <row r="86" spans="1:21" s="111" customFormat="1" ht="26.15" customHeight="1" thickBot="1" x14ac:dyDescent="0.35">
      <c r="A86" s="516" t="s">
        <v>0</v>
      </c>
      <c r="B86" s="516"/>
      <c r="C86" s="516"/>
      <c r="D86" s="517"/>
      <c r="E86" s="188">
        <f>E22+E52+E85</f>
        <v>12504</v>
      </c>
      <c r="F86" s="189">
        <f>F22+F52+F85</f>
        <v>3743.5200799999993</v>
      </c>
      <c r="G86" s="346">
        <f>H86/F86</f>
        <v>5.1352576583481291</v>
      </c>
      <c r="H86" s="190">
        <f>H22+H52+H85</f>
        <v>19223.940159999998</v>
      </c>
      <c r="I86" s="278">
        <f>J86/H86</f>
        <v>0.2210263850638203</v>
      </c>
      <c r="J86" s="279">
        <f>J22+J52+J85</f>
        <v>4248.9980002479988</v>
      </c>
      <c r="K86" s="191">
        <f>K22+K52+K85</f>
        <v>8760.4799200000016</v>
      </c>
      <c r="L86" s="347">
        <f>M86/K86</f>
        <v>5.0772848252815796</v>
      </c>
      <c r="M86" s="192">
        <f>M22+M52+M85</f>
        <v>44479.451759999996</v>
      </c>
      <c r="N86" s="454">
        <f>O86/M86</f>
        <v>1.6758195411534452E-2</v>
      </c>
      <c r="O86" s="280">
        <f>O22+O52+O85</f>
        <v>745.39534439199997</v>
      </c>
      <c r="P86" s="281">
        <f t="shared" ref="P86" si="89">O86+J86</f>
        <v>4994.3933446399988</v>
      </c>
      <c r="Q86" s="193" t="s">
        <v>17</v>
      </c>
      <c r="R86" s="339" t="s">
        <v>17</v>
      </c>
      <c r="S86" s="194">
        <f>S22+S52+S85</f>
        <v>67976.685559131205</v>
      </c>
      <c r="T86" s="457"/>
    </row>
    <row r="87" spans="1:21" x14ac:dyDescent="0.35">
      <c r="D87" s="117"/>
      <c r="E87" s="143"/>
      <c r="F87" s="143"/>
      <c r="G87" s="123"/>
      <c r="H87" s="123"/>
      <c r="I87" s="123"/>
      <c r="J87" s="123"/>
      <c r="K87" s="123"/>
      <c r="L87" s="123"/>
      <c r="M87" s="123"/>
      <c r="N87" s="123"/>
      <c r="O87" s="124"/>
      <c r="P87" s="125"/>
      <c r="Q87" s="149"/>
      <c r="R87" s="149"/>
      <c r="S87" s="149"/>
    </row>
    <row r="88" spans="1:21" x14ac:dyDescent="0.35">
      <c r="F88" s="282"/>
      <c r="G88" s="365"/>
      <c r="H88" s="283"/>
      <c r="I88" s="284"/>
      <c r="J88" s="285"/>
      <c r="K88" s="195"/>
      <c r="O88" s="139"/>
    </row>
    <row r="89" spans="1:21" x14ac:dyDescent="0.35">
      <c r="A89" s="6" t="s">
        <v>143</v>
      </c>
      <c r="F89" s="145"/>
      <c r="G89" s="121"/>
      <c r="H89" s="120"/>
      <c r="I89" s="122"/>
      <c r="J89" s="147"/>
      <c r="K89" s="113"/>
      <c r="O89" s="139"/>
    </row>
    <row r="90" spans="1:21" x14ac:dyDescent="0.35">
      <c r="A90" s="154" t="s">
        <v>139</v>
      </c>
      <c r="E90" s="145"/>
      <c r="F90" s="145"/>
      <c r="K90" s="113"/>
      <c r="O90" s="139"/>
    </row>
    <row r="91" spans="1:21" x14ac:dyDescent="0.35">
      <c r="A91" s="154" t="s">
        <v>182</v>
      </c>
      <c r="E91" s="145"/>
      <c r="F91" s="145"/>
      <c r="K91" s="113"/>
      <c r="O91" s="139"/>
    </row>
    <row r="92" spans="1:21" x14ac:dyDescent="0.35">
      <c r="A92" s="154" t="s">
        <v>183</v>
      </c>
      <c r="E92" s="145"/>
      <c r="F92" s="145"/>
      <c r="K92" s="113"/>
      <c r="O92" s="139"/>
    </row>
    <row r="93" spans="1:21" x14ac:dyDescent="0.35">
      <c r="A93" s="154" t="s">
        <v>140</v>
      </c>
      <c r="E93" s="145"/>
      <c r="F93" s="145"/>
      <c r="K93" s="113"/>
      <c r="O93" s="139"/>
    </row>
    <row r="94" spans="1:21" x14ac:dyDescent="0.35">
      <c r="A94" s="154" t="s">
        <v>142</v>
      </c>
      <c r="E94" s="145"/>
      <c r="F94" s="145"/>
      <c r="K94" s="113"/>
      <c r="O94" s="139"/>
    </row>
    <row r="95" spans="1:21" x14ac:dyDescent="0.35">
      <c r="A95" s="154" t="s">
        <v>240</v>
      </c>
      <c r="E95" s="145"/>
      <c r="F95" s="145"/>
      <c r="K95" s="113"/>
      <c r="O95" s="139"/>
    </row>
    <row r="96" spans="1:21" x14ac:dyDescent="0.35">
      <c r="A96" s="155" t="s">
        <v>141</v>
      </c>
      <c r="E96" s="145"/>
      <c r="F96" s="145"/>
      <c r="K96" s="113"/>
      <c r="O96" s="139"/>
    </row>
    <row r="97" spans="1:16" x14ac:dyDescent="0.35">
      <c r="A97" s="6"/>
      <c r="B97" s="6"/>
      <c r="E97" s="145"/>
      <c r="F97" s="145"/>
      <c r="K97" s="113"/>
      <c r="O97" s="139"/>
    </row>
    <row r="98" spans="1:16" x14ac:dyDescent="0.35">
      <c r="A98" s="373" t="s">
        <v>199</v>
      </c>
      <c r="B98" s="374"/>
      <c r="C98" s="375" t="s">
        <v>6</v>
      </c>
      <c r="D98" s="376">
        <f>F86+K86</f>
        <v>12504</v>
      </c>
      <c r="E98" s="377"/>
      <c r="F98" s="384"/>
      <c r="I98" s="120"/>
      <c r="K98" s="113"/>
      <c r="O98" s="139"/>
    </row>
    <row r="99" spans="1:16" x14ac:dyDescent="0.35">
      <c r="A99" s="374"/>
      <c r="B99" s="374"/>
      <c r="C99" s="377" t="s">
        <v>200</v>
      </c>
      <c r="D99" s="378">
        <f>D100/D98</f>
        <v>5.0946410684580927</v>
      </c>
      <c r="E99" s="384"/>
      <c r="F99" s="384"/>
      <c r="K99" s="113"/>
      <c r="O99" s="139"/>
    </row>
    <row r="100" spans="1:16" x14ac:dyDescent="0.35">
      <c r="A100" s="374"/>
      <c r="B100" s="374"/>
      <c r="C100" s="377" t="s">
        <v>201</v>
      </c>
      <c r="D100" s="379">
        <f>H86+M86</f>
        <v>63703.391919999995</v>
      </c>
      <c r="E100" s="384"/>
      <c r="F100" s="384"/>
      <c r="K100" s="113"/>
      <c r="O100" s="139"/>
    </row>
    <row r="101" spans="1:16" x14ac:dyDescent="0.35">
      <c r="A101" s="374"/>
      <c r="B101" s="374"/>
      <c r="C101" s="377" t="s">
        <v>202</v>
      </c>
      <c r="D101" s="378">
        <f>D102/D100</f>
        <v>7.8400744357726801E-2</v>
      </c>
      <c r="E101" s="384"/>
      <c r="F101" s="384"/>
      <c r="K101" s="113"/>
      <c r="O101" s="139"/>
    </row>
    <row r="102" spans="1:16" x14ac:dyDescent="0.35">
      <c r="A102" s="374"/>
      <c r="B102" s="374"/>
      <c r="C102" s="380" t="s">
        <v>203</v>
      </c>
      <c r="D102" s="383">
        <f>P86</f>
        <v>4994.3933446399988</v>
      </c>
      <c r="E102" s="384"/>
      <c r="F102" s="384"/>
      <c r="K102" s="113"/>
      <c r="O102" s="139"/>
    </row>
    <row r="103" spans="1:16" x14ac:dyDescent="0.35">
      <c r="A103" s="126"/>
      <c r="B103" s="126"/>
      <c r="C103" s="126"/>
      <c r="D103" s="381"/>
      <c r="E103" s="387"/>
      <c r="F103" s="385"/>
      <c r="K103" s="113"/>
      <c r="O103" s="139"/>
    </row>
    <row r="104" spans="1:16" x14ac:dyDescent="0.35">
      <c r="A104" s="126"/>
      <c r="B104" s="126"/>
      <c r="C104" s="375" t="s">
        <v>204</v>
      </c>
      <c r="D104" s="382">
        <f>(H22+M22)/(F22+K22)</f>
        <v>9.5789473684210531</v>
      </c>
      <c r="E104" s="384"/>
      <c r="F104" s="386"/>
      <c r="K104" s="113"/>
      <c r="O104" s="139"/>
      <c r="P104" s="113"/>
    </row>
    <row r="105" spans="1:16" x14ac:dyDescent="0.35">
      <c r="A105" s="126"/>
      <c r="B105" s="126"/>
      <c r="C105" s="377" t="s">
        <v>205</v>
      </c>
      <c r="D105" s="379">
        <f>H22+M22</f>
        <v>182</v>
      </c>
      <c r="E105" s="384"/>
      <c r="F105" s="386"/>
      <c r="K105" s="113"/>
      <c r="O105" s="139"/>
      <c r="P105" s="113"/>
    </row>
    <row r="106" spans="1:16" x14ac:dyDescent="0.35">
      <c r="A106" s="126"/>
      <c r="B106" s="126"/>
      <c r="C106" s="380" t="s">
        <v>206</v>
      </c>
      <c r="D106" s="383">
        <f>P22/(H22+M22)</f>
        <v>1.0493934065934065</v>
      </c>
      <c r="E106" s="384"/>
      <c r="F106" s="386"/>
      <c r="K106" s="113"/>
      <c r="O106" s="139"/>
      <c r="P106" s="113"/>
    </row>
    <row r="107" spans="1:16" x14ac:dyDescent="0.35">
      <c r="A107" s="126"/>
      <c r="B107" s="126"/>
      <c r="C107" s="375" t="s">
        <v>207</v>
      </c>
      <c r="D107" s="382">
        <f>(H52+M52)/(F52+K52)</f>
        <v>9.7777777777777786</v>
      </c>
      <c r="E107" s="377"/>
      <c r="F107" s="386"/>
      <c r="K107" s="113"/>
      <c r="O107" s="139"/>
      <c r="P107" s="113"/>
    </row>
    <row r="108" spans="1:16" x14ac:dyDescent="0.35">
      <c r="A108" s="126"/>
      <c r="B108" s="126"/>
      <c r="C108" s="377" t="s">
        <v>208</v>
      </c>
      <c r="D108" s="379">
        <f>H52+M52</f>
        <v>352</v>
      </c>
      <c r="E108" s="377"/>
      <c r="F108" s="386"/>
      <c r="K108" s="113"/>
      <c r="O108" s="139"/>
      <c r="P108" s="113"/>
    </row>
    <row r="109" spans="1:16" x14ac:dyDescent="0.35">
      <c r="A109" s="126"/>
      <c r="B109" s="126"/>
      <c r="C109" s="380" t="s">
        <v>209</v>
      </c>
      <c r="D109" s="383">
        <f>P52/(H52+M52)</f>
        <v>0.62115113636363628</v>
      </c>
      <c r="E109" s="377"/>
      <c r="F109" s="386"/>
      <c r="K109" s="113"/>
      <c r="O109" s="139"/>
      <c r="P109" s="113"/>
    </row>
    <row r="110" spans="1:16" x14ac:dyDescent="0.35">
      <c r="A110" s="126"/>
      <c r="B110" s="126"/>
      <c r="C110" s="375" t="s">
        <v>210</v>
      </c>
      <c r="D110" s="382">
        <f>(H85+M85)/(F85+K85)</f>
        <v>5.0742543111896534</v>
      </c>
      <c r="E110" s="384"/>
      <c r="F110" s="386"/>
      <c r="K110" s="113"/>
      <c r="O110" s="139"/>
      <c r="P110" s="113"/>
    </row>
    <row r="111" spans="1:16" x14ac:dyDescent="0.35">
      <c r="A111" s="126"/>
      <c r="B111" s="126"/>
      <c r="C111" s="377" t="s">
        <v>211</v>
      </c>
      <c r="D111" s="379">
        <f>H85+M85</f>
        <v>63169.391919999995</v>
      </c>
      <c r="E111" s="384"/>
      <c r="F111" s="386"/>
      <c r="K111" s="113"/>
      <c r="O111" s="139"/>
      <c r="P111" s="113"/>
    </row>
    <row r="112" spans="1:16" x14ac:dyDescent="0.35">
      <c r="A112" s="126"/>
      <c r="B112" s="126"/>
      <c r="C112" s="380" t="s">
        <v>212</v>
      </c>
      <c r="D112" s="383">
        <f>P85/(H85+M85)</f>
        <v>7.2578798137653486E-2</v>
      </c>
      <c r="E112" s="384"/>
      <c r="F112" s="386"/>
      <c r="K112" s="113"/>
      <c r="O112" s="139"/>
      <c r="P112" s="113"/>
    </row>
    <row r="113" spans="5:16" x14ac:dyDescent="0.35">
      <c r="E113" s="145"/>
      <c r="F113" s="145"/>
      <c r="K113" s="113"/>
      <c r="O113" s="139"/>
      <c r="P113" s="113"/>
    </row>
    <row r="114" spans="5:16" x14ac:dyDescent="0.35">
      <c r="E114" s="145"/>
      <c r="F114" s="145"/>
      <c r="K114" s="113"/>
      <c r="O114" s="139"/>
      <c r="P114" s="113"/>
    </row>
    <row r="115" spans="5:16" x14ac:dyDescent="0.35">
      <c r="E115" s="145"/>
      <c r="F115" s="145"/>
      <c r="K115" s="113"/>
      <c r="O115" s="139"/>
      <c r="P115" s="113"/>
    </row>
    <row r="116" spans="5:16" x14ac:dyDescent="0.35">
      <c r="E116" s="145"/>
      <c r="F116" s="145"/>
      <c r="K116" s="113"/>
      <c r="O116" s="139"/>
      <c r="P116" s="113"/>
    </row>
    <row r="117" spans="5:16" x14ac:dyDescent="0.35">
      <c r="E117" s="145"/>
      <c r="F117" s="145"/>
      <c r="K117" s="113"/>
      <c r="O117" s="139"/>
      <c r="P117" s="113"/>
    </row>
    <row r="118" spans="5:16" x14ac:dyDescent="0.35">
      <c r="E118" s="145"/>
      <c r="F118" s="145"/>
      <c r="K118" s="113"/>
      <c r="O118" s="139"/>
      <c r="P118" s="113"/>
    </row>
    <row r="119" spans="5:16" x14ac:dyDescent="0.35">
      <c r="E119" s="145"/>
      <c r="F119" s="145"/>
      <c r="K119" s="113"/>
      <c r="O119" s="139"/>
      <c r="P119" s="113"/>
    </row>
    <row r="120" spans="5:16" x14ac:dyDescent="0.35">
      <c r="E120" s="145"/>
      <c r="F120" s="145"/>
      <c r="K120" s="113"/>
      <c r="O120" s="139"/>
      <c r="P120" s="113"/>
    </row>
    <row r="121" spans="5:16" x14ac:dyDescent="0.35">
      <c r="E121" s="145"/>
      <c r="F121" s="145"/>
      <c r="K121" s="113"/>
      <c r="O121" s="139"/>
      <c r="P121" s="113"/>
    </row>
    <row r="122" spans="5:16" x14ac:dyDescent="0.35">
      <c r="E122" s="145"/>
      <c r="F122" s="145"/>
      <c r="K122" s="113"/>
      <c r="O122" s="139"/>
      <c r="P122" s="113"/>
    </row>
    <row r="123" spans="5:16" x14ac:dyDescent="0.35">
      <c r="E123" s="145"/>
      <c r="F123" s="145"/>
      <c r="K123" s="113"/>
      <c r="O123" s="139"/>
      <c r="P123" s="113"/>
    </row>
    <row r="124" spans="5:16" x14ac:dyDescent="0.35">
      <c r="E124" s="145"/>
      <c r="F124" s="145"/>
      <c r="K124" s="113"/>
      <c r="O124" s="139"/>
      <c r="P124" s="113"/>
    </row>
    <row r="125" spans="5:16" x14ac:dyDescent="0.35">
      <c r="E125" s="145"/>
      <c r="F125" s="145"/>
      <c r="K125" s="113"/>
      <c r="O125" s="139"/>
      <c r="P125" s="113"/>
    </row>
    <row r="126" spans="5:16" x14ac:dyDescent="0.35">
      <c r="E126" s="145"/>
      <c r="F126" s="145"/>
      <c r="K126" s="113"/>
      <c r="O126" s="139"/>
      <c r="P126" s="113"/>
    </row>
    <row r="127" spans="5:16" x14ac:dyDescent="0.35">
      <c r="E127" s="145"/>
      <c r="F127" s="145"/>
      <c r="K127" s="113"/>
      <c r="O127" s="139"/>
      <c r="P127" s="113"/>
    </row>
    <row r="128" spans="5:16" x14ac:dyDescent="0.35">
      <c r="E128" s="145"/>
      <c r="F128" s="145"/>
      <c r="K128" s="113"/>
      <c r="O128" s="139"/>
      <c r="P128" s="113"/>
    </row>
    <row r="129" spans="5:16" x14ac:dyDescent="0.35">
      <c r="E129" s="145"/>
      <c r="F129" s="145"/>
      <c r="K129" s="113"/>
      <c r="O129" s="139"/>
      <c r="P129" s="113"/>
    </row>
    <row r="130" spans="5:16" x14ac:dyDescent="0.35">
      <c r="E130" s="145"/>
      <c r="F130" s="145"/>
      <c r="K130" s="113"/>
      <c r="O130" s="139"/>
      <c r="P130" s="113"/>
    </row>
    <row r="131" spans="5:16" x14ac:dyDescent="0.35">
      <c r="E131" s="145"/>
      <c r="F131" s="145"/>
      <c r="K131" s="113"/>
      <c r="O131" s="139"/>
      <c r="P131" s="113"/>
    </row>
    <row r="132" spans="5:16" x14ac:dyDescent="0.35">
      <c r="E132" s="145"/>
      <c r="F132" s="145"/>
      <c r="K132" s="113"/>
      <c r="O132" s="139"/>
      <c r="P132" s="113"/>
    </row>
    <row r="133" spans="5:16" x14ac:dyDescent="0.35">
      <c r="E133" s="145"/>
      <c r="F133" s="145"/>
      <c r="K133" s="113"/>
      <c r="O133" s="139"/>
      <c r="P133" s="113"/>
    </row>
    <row r="134" spans="5:16" x14ac:dyDescent="0.35">
      <c r="E134" s="145"/>
      <c r="F134" s="145"/>
      <c r="K134" s="113"/>
      <c r="O134" s="139"/>
      <c r="P134" s="113"/>
    </row>
    <row r="135" spans="5:16" x14ac:dyDescent="0.35">
      <c r="E135" s="145"/>
      <c r="F135" s="145"/>
      <c r="K135" s="113"/>
      <c r="O135" s="139"/>
      <c r="P135" s="113"/>
    </row>
    <row r="136" spans="5:16" x14ac:dyDescent="0.35">
      <c r="E136" s="145"/>
      <c r="F136" s="145"/>
      <c r="K136" s="113"/>
      <c r="O136" s="139"/>
      <c r="P136" s="113"/>
    </row>
    <row r="137" spans="5:16" x14ac:dyDescent="0.35">
      <c r="E137" s="145"/>
      <c r="F137" s="145"/>
      <c r="K137" s="113"/>
      <c r="O137" s="139"/>
      <c r="P137" s="113"/>
    </row>
    <row r="138" spans="5:16" x14ac:dyDescent="0.35">
      <c r="E138" s="145"/>
      <c r="F138" s="145"/>
      <c r="K138" s="113"/>
      <c r="O138" s="139"/>
      <c r="P138" s="113"/>
    </row>
    <row r="139" spans="5:16" x14ac:dyDescent="0.35">
      <c r="E139" s="145"/>
      <c r="F139" s="145"/>
      <c r="K139" s="113"/>
      <c r="O139" s="139"/>
      <c r="P139" s="113"/>
    </row>
    <row r="140" spans="5:16" x14ac:dyDescent="0.35">
      <c r="E140" s="145"/>
      <c r="F140" s="145"/>
      <c r="K140" s="113"/>
      <c r="O140" s="139"/>
      <c r="P140" s="113"/>
    </row>
    <row r="141" spans="5:16" x14ac:dyDescent="0.35">
      <c r="E141" s="145"/>
      <c r="F141" s="145"/>
      <c r="K141" s="113"/>
      <c r="O141" s="139"/>
      <c r="P141" s="113"/>
    </row>
    <row r="142" spans="5:16" x14ac:dyDescent="0.35">
      <c r="E142" s="145"/>
      <c r="F142" s="145"/>
      <c r="K142" s="113"/>
      <c r="O142" s="139"/>
      <c r="P142" s="113"/>
    </row>
    <row r="143" spans="5:16" x14ac:dyDescent="0.35">
      <c r="E143" s="145"/>
      <c r="F143" s="145"/>
      <c r="K143" s="113"/>
      <c r="O143" s="139"/>
      <c r="P143" s="113"/>
    </row>
    <row r="144" spans="5:16" x14ac:dyDescent="0.35">
      <c r="E144" s="145"/>
      <c r="F144" s="145"/>
      <c r="K144" s="113"/>
      <c r="O144" s="139"/>
      <c r="P144" s="113"/>
    </row>
    <row r="145" spans="5:16" x14ac:dyDescent="0.35">
      <c r="E145" s="145"/>
      <c r="F145" s="145"/>
      <c r="K145" s="113"/>
      <c r="O145" s="139"/>
      <c r="P145" s="113"/>
    </row>
  </sheetData>
  <autoFilter ref="B3:BA86" xr:uid="{AC7FA516-35C0-46C8-A4E8-8FE246671BED}"/>
  <mergeCells count="57">
    <mergeCell ref="B25:B36"/>
    <mergeCell ref="A39:A51"/>
    <mergeCell ref="B39:B50"/>
    <mergeCell ref="C39:C40"/>
    <mergeCell ref="A38:S38"/>
    <mergeCell ref="Q2:Q3"/>
    <mergeCell ref="A86:D86"/>
    <mergeCell ref="B21:D21"/>
    <mergeCell ref="B8:D8"/>
    <mergeCell ref="A85:D85"/>
    <mergeCell ref="A24:S24"/>
    <mergeCell ref="A23:S23"/>
    <mergeCell ref="A54:A84"/>
    <mergeCell ref="A5:A21"/>
    <mergeCell ref="B84:D84"/>
    <mergeCell ref="C41:C43"/>
    <mergeCell ref="C44:C45"/>
    <mergeCell ref="C66:C67"/>
    <mergeCell ref="C33:C35"/>
    <mergeCell ref="B37:D37"/>
    <mergeCell ref="A25:A37"/>
    <mergeCell ref="B9:B20"/>
    <mergeCell ref="C9:C10"/>
    <mergeCell ref="C25:C26"/>
    <mergeCell ref="B2:B3"/>
    <mergeCell ref="A4:S4"/>
    <mergeCell ref="A22:D22"/>
    <mergeCell ref="B5:B7"/>
    <mergeCell ref="A2:A3"/>
    <mergeCell ref="C2:C3"/>
    <mergeCell ref="S2:S3"/>
    <mergeCell ref="D2:D3"/>
    <mergeCell ref="E2:E3"/>
    <mergeCell ref="R2:R3"/>
    <mergeCell ref="F2:J2"/>
    <mergeCell ref="K2:O2"/>
    <mergeCell ref="P2:P3"/>
    <mergeCell ref="C11:C13"/>
    <mergeCell ref="C14:C15"/>
    <mergeCell ref="C17:C19"/>
    <mergeCell ref="C47:C49"/>
    <mergeCell ref="C27:C29"/>
    <mergeCell ref="C30:C31"/>
    <mergeCell ref="C80:C81"/>
    <mergeCell ref="B74:D74"/>
    <mergeCell ref="B70:D70"/>
    <mergeCell ref="B56:D56"/>
    <mergeCell ref="B51:D51"/>
    <mergeCell ref="B54:B55"/>
    <mergeCell ref="B57:B69"/>
    <mergeCell ref="B75:B83"/>
    <mergeCell ref="B71:B73"/>
    <mergeCell ref="C71:C72"/>
    <mergeCell ref="C57:C65"/>
    <mergeCell ref="C75:C79"/>
    <mergeCell ref="A53:S53"/>
    <mergeCell ref="A52:D52"/>
  </mergeCells>
  <pageMargins left="0.25" right="0.25" top="0.75" bottom="0.75" header="0.3" footer="0.3"/>
  <pageSetup paperSize="5" scale="74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zoomScale="90" zoomScaleNormal="90" workbookViewId="0">
      <pane ySplit="2" topLeftCell="A39" activePane="bottomLeft" state="frozen"/>
      <selection pane="bottomLeft" activeCell="D52" sqref="D52"/>
    </sheetView>
  </sheetViews>
  <sheetFormatPr defaultColWidth="9.1796875" defaultRowHeight="14.5" x14ac:dyDescent="0.35"/>
  <cols>
    <col min="1" max="1" width="13.1796875" style="6" customWidth="1"/>
    <col min="2" max="2" width="18.81640625" style="6" customWidth="1"/>
    <col min="3" max="3" width="20.1796875" style="6" customWidth="1"/>
    <col min="4" max="4" width="4" style="6" bestFit="1" customWidth="1"/>
    <col min="5" max="5" width="12.81640625" style="6" customWidth="1"/>
    <col min="6" max="6" width="12.453125" style="6" customWidth="1"/>
    <col min="7" max="7" width="16.81640625" style="6" customWidth="1"/>
    <col min="8" max="8" width="10.81640625" style="6" customWidth="1"/>
    <col min="9" max="9" width="14.1796875" style="6" customWidth="1"/>
    <col min="10" max="10" width="9.1796875" style="6"/>
    <col min="11" max="11" width="10.1796875" style="6" customWidth="1"/>
    <col min="12" max="12" width="11.453125" style="6" customWidth="1"/>
    <col min="13" max="13" width="10.81640625" style="6" customWidth="1"/>
    <col min="14" max="14" width="13.1796875" style="6" customWidth="1"/>
    <col min="15" max="15" width="11.453125" style="6" customWidth="1"/>
    <col min="16" max="16" width="10.81640625" style="6" customWidth="1"/>
    <col min="17" max="17" width="10.453125" style="6" customWidth="1"/>
    <col min="18" max="18" width="12.1796875" style="6" bestFit="1" customWidth="1"/>
    <col min="19" max="16384" width="9.1796875" style="6"/>
  </cols>
  <sheetData>
    <row r="1" spans="1:20" x14ac:dyDescent="0.35">
      <c r="A1" s="7"/>
      <c r="B1" s="8"/>
      <c r="C1" s="8"/>
      <c r="D1" s="16"/>
      <c r="E1" s="19"/>
      <c r="F1" s="537" t="s">
        <v>2</v>
      </c>
      <c r="G1" s="538"/>
      <c r="H1" s="538"/>
      <c r="I1" s="538"/>
      <c r="J1" s="539"/>
      <c r="K1" s="540" t="s">
        <v>3</v>
      </c>
      <c r="L1" s="538"/>
      <c r="M1" s="538"/>
      <c r="N1" s="538"/>
      <c r="O1" s="541"/>
      <c r="P1" s="28"/>
      <c r="Q1" s="31"/>
      <c r="R1" s="9"/>
    </row>
    <row r="2" spans="1:20" ht="41.25" customHeight="1" thickBot="1" x14ac:dyDescent="0.4">
      <c r="A2" s="11" t="s">
        <v>12</v>
      </c>
      <c r="B2" s="12" t="s">
        <v>4</v>
      </c>
      <c r="C2" s="12" t="s">
        <v>49</v>
      </c>
      <c r="D2" s="17" t="s">
        <v>1</v>
      </c>
      <c r="E2" s="20" t="s">
        <v>5</v>
      </c>
      <c r="F2" s="89" t="s">
        <v>6</v>
      </c>
      <c r="G2" s="90" t="s">
        <v>7</v>
      </c>
      <c r="H2" s="90" t="s">
        <v>8</v>
      </c>
      <c r="I2" s="90" t="s">
        <v>9</v>
      </c>
      <c r="J2" s="91" t="s">
        <v>10</v>
      </c>
      <c r="K2" s="14" t="s">
        <v>11</v>
      </c>
      <c r="L2" s="12" t="s">
        <v>7</v>
      </c>
      <c r="M2" s="12" t="s">
        <v>8</v>
      </c>
      <c r="N2" s="12" t="s">
        <v>9</v>
      </c>
      <c r="O2" s="25" t="s">
        <v>10</v>
      </c>
      <c r="P2" s="29" t="s">
        <v>13</v>
      </c>
      <c r="Q2" s="27" t="s">
        <v>14</v>
      </c>
      <c r="R2" s="13" t="s">
        <v>15</v>
      </c>
      <c r="S2" s="94"/>
      <c r="T2" s="94"/>
    </row>
    <row r="3" spans="1:20" ht="38.25" customHeight="1" thickBot="1" x14ac:dyDescent="0.5">
      <c r="A3" s="549" t="s">
        <v>39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1"/>
    </row>
    <row r="4" spans="1:20" ht="50.25" customHeight="1" thickBot="1" x14ac:dyDescent="0.4">
      <c r="A4" s="542" t="s">
        <v>16</v>
      </c>
      <c r="B4" s="67" t="s">
        <v>52</v>
      </c>
      <c r="C4" s="54" t="s">
        <v>69</v>
      </c>
      <c r="D4" s="34"/>
      <c r="E4" s="21">
        <v>2</v>
      </c>
      <c r="F4" s="23">
        <v>2</v>
      </c>
      <c r="G4" s="2">
        <v>1</v>
      </c>
      <c r="H4" s="99">
        <f>F4*G4</f>
        <v>2</v>
      </c>
      <c r="I4" s="3">
        <f>60/60</f>
        <v>1</v>
      </c>
      <c r="J4" s="76">
        <f>H4*I4</f>
        <v>2</v>
      </c>
      <c r="K4" s="15">
        <f>+E4-F4</f>
        <v>0</v>
      </c>
      <c r="L4" s="2">
        <v>0</v>
      </c>
      <c r="M4" s="5">
        <f>K4*L4</f>
        <v>0</v>
      </c>
      <c r="N4" s="4">
        <f>0</f>
        <v>0</v>
      </c>
      <c r="O4" s="77">
        <f>M4*N4</f>
        <v>0</v>
      </c>
      <c r="P4" s="78">
        <f>J4+O4</f>
        <v>2</v>
      </c>
      <c r="Q4" s="79">
        <v>56.74</v>
      </c>
      <c r="R4" s="33">
        <f>+P4*Q4</f>
        <v>113.48</v>
      </c>
    </row>
    <row r="5" spans="1:20" ht="43.5" customHeight="1" thickBot="1" x14ac:dyDescent="0.4">
      <c r="A5" s="542"/>
      <c r="B5" s="70" t="s">
        <v>52</v>
      </c>
      <c r="C5" s="54" t="s">
        <v>50</v>
      </c>
      <c r="D5" s="18"/>
      <c r="E5" s="22">
        <v>6</v>
      </c>
      <c r="F5" s="10">
        <v>6</v>
      </c>
      <c r="G5" s="2">
        <v>1</v>
      </c>
      <c r="H5" s="100">
        <f>+F5*G5</f>
        <v>6</v>
      </c>
      <c r="I5" s="3">
        <f>3/60</f>
        <v>0.05</v>
      </c>
      <c r="J5" s="104">
        <f t="shared" ref="J5:J30" si="0">+H5*I5</f>
        <v>0.30000000000000004</v>
      </c>
      <c r="K5" s="15">
        <f t="shared" ref="K5:K26" si="1">+E5-F5</f>
        <v>0</v>
      </c>
      <c r="L5" s="2">
        <v>0</v>
      </c>
      <c r="M5" s="1">
        <f t="shared" ref="M5:M30" si="2">+K5*L5</f>
        <v>0</v>
      </c>
      <c r="N5" s="4">
        <f>0</f>
        <v>0</v>
      </c>
      <c r="O5" s="26">
        <f>M5*N5</f>
        <v>0</v>
      </c>
      <c r="P5" s="30">
        <f t="shared" ref="P5:P31" si="3">+O5+J5</f>
        <v>0.30000000000000004</v>
      </c>
      <c r="Q5" s="79">
        <v>56.74</v>
      </c>
      <c r="R5" s="33">
        <f>Q5*P5</f>
        <v>17.022000000000002</v>
      </c>
    </row>
    <row r="6" spans="1:20" ht="43.5" customHeight="1" thickBot="1" x14ac:dyDescent="0.4">
      <c r="A6" s="542"/>
      <c r="B6" s="70" t="s">
        <v>52</v>
      </c>
      <c r="C6" s="54" t="s">
        <v>51</v>
      </c>
      <c r="D6" s="18"/>
      <c r="E6" s="22">
        <v>6</v>
      </c>
      <c r="F6" s="10">
        <v>6</v>
      </c>
      <c r="G6" s="2">
        <v>1</v>
      </c>
      <c r="H6" s="100">
        <f t="shared" ref="H6:H22" si="4">+F6*G6</f>
        <v>6</v>
      </c>
      <c r="I6" s="4">
        <f>5/60</f>
        <v>8.3333333333333329E-2</v>
      </c>
      <c r="J6" s="104">
        <f t="shared" si="0"/>
        <v>0.5</v>
      </c>
      <c r="K6" s="15">
        <f t="shared" si="1"/>
        <v>0</v>
      </c>
      <c r="L6" s="2">
        <v>0</v>
      </c>
      <c r="M6" s="1">
        <f t="shared" si="2"/>
        <v>0</v>
      </c>
      <c r="N6" s="4">
        <f>0</f>
        <v>0</v>
      </c>
      <c r="O6" s="26">
        <f t="shared" ref="O6:O18" si="5">M6*N6</f>
        <v>0</v>
      </c>
      <c r="P6" s="30">
        <f t="shared" si="3"/>
        <v>0.5</v>
      </c>
      <c r="Q6" s="79">
        <v>56.74</v>
      </c>
      <c r="R6" s="33">
        <f t="shared" ref="R6:R25" si="6">Q6*P6</f>
        <v>28.37</v>
      </c>
    </row>
    <row r="7" spans="1:20" ht="36.75" customHeight="1" thickBot="1" x14ac:dyDescent="0.4">
      <c r="A7" s="542"/>
      <c r="B7" s="70" t="s">
        <v>52</v>
      </c>
      <c r="C7" s="54" t="s">
        <v>27</v>
      </c>
      <c r="D7" s="18"/>
      <c r="E7" s="22">
        <v>6</v>
      </c>
      <c r="F7" s="10">
        <v>6</v>
      </c>
      <c r="G7" s="2">
        <v>1</v>
      </c>
      <c r="H7" s="100">
        <f t="shared" si="4"/>
        <v>6</v>
      </c>
      <c r="I7" s="3">
        <f>3/60</f>
        <v>0.05</v>
      </c>
      <c r="J7" s="104">
        <f t="shared" si="0"/>
        <v>0.30000000000000004</v>
      </c>
      <c r="K7" s="15">
        <f t="shared" si="1"/>
        <v>0</v>
      </c>
      <c r="L7" s="2">
        <v>0</v>
      </c>
      <c r="M7" s="1">
        <f t="shared" si="2"/>
        <v>0</v>
      </c>
      <c r="N7" s="4">
        <f>0</f>
        <v>0</v>
      </c>
      <c r="O7" s="26">
        <f t="shared" si="5"/>
        <v>0</v>
      </c>
      <c r="P7" s="30">
        <f t="shared" si="3"/>
        <v>0.30000000000000004</v>
      </c>
      <c r="Q7" s="79">
        <v>56.74</v>
      </c>
      <c r="R7" s="80">
        <f t="shared" si="6"/>
        <v>17.022000000000002</v>
      </c>
    </row>
    <row r="8" spans="1:20" ht="46.5" customHeight="1" thickBot="1" x14ac:dyDescent="0.4">
      <c r="A8" s="542"/>
      <c r="B8" s="70" t="s">
        <v>52</v>
      </c>
      <c r="C8" s="54" t="s">
        <v>28</v>
      </c>
      <c r="D8" s="18"/>
      <c r="E8" s="22">
        <v>6</v>
      </c>
      <c r="F8" s="10">
        <v>6</v>
      </c>
      <c r="G8" s="2">
        <v>1</v>
      </c>
      <c r="H8" s="100">
        <f t="shared" si="4"/>
        <v>6</v>
      </c>
      <c r="I8" s="3">
        <f>30/60</f>
        <v>0.5</v>
      </c>
      <c r="J8" s="104">
        <f t="shared" si="0"/>
        <v>3</v>
      </c>
      <c r="K8" s="15">
        <f t="shared" si="1"/>
        <v>0</v>
      </c>
      <c r="L8" s="2">
        <v>0</v>
      </c>
      <c r="M8" s="1">
        <f t="shared" si="2"/>
        <v>0</v>
      </c>
      <c r="N8" s="4">
        <f>0</f>
        <v>0</v>
      </c>
      <c r="O8" s="26">
        <f t="shared" si="5"/>
        <v>0</v>
      </c>
      <c r="P8" s="30">
        <f t="shared" si="3"/>
        <v>3</v>
      </c>
      <c r="Q8" s="79">
        <v>56.74</v>
      </c>
      <c r="R8" s="80">
        <f t="shared" si="6"/>
        <v>170.22</v>
      </c>
    </row>
    <row r="9" spans="1:20" ht="56.25" customHeight="1" thickBot="1" x14ac:dyDescent="0.4">
      <c r="A9" s="542"/>
      <c r="B9" s="70" t="s">
        <v>52</v>
      </c>
      <c r="C9" s="54" t="s">
        <v>73</v>
      </c>
      <c r="D9" s="18"/>
      <c r="E9" s="22">
        <v>6</v>
      </c>
      <c r="F9" s="10">
        <v>6</v>
      </c>
      <c r="G9" s="2">
        <v>1</v>
      </c>
      <c r="H9" s="100">
        <f t="shared" si="4"/>
        <v>6</v>
      </c>
      <c r="I9" s="3">
        <f>3/60</f>
        <v>0.05</v>
      </c>
      <c r="J9" s="104">
        <f t="shared" si="0"/>
        <v>0.30000000000000004</v>
      </c>
      <c r="K9" s="15">
        <f t="shared" si="1"/>
        <v>0</v>
      </c>
      <c r="L9" s="2">
        <v>0</v>
      </c>
      <c r="M9" s="1">
        <f t="shared" si="2"/>
        <v>0</v>
      </c>
      <c r="N9" s="4">
        <f>0</f>
        <v>0</v>
      </c>
      <c r="O9" s="26">
        <f t="shared" si="5"/>
        <v>0</v>
      </c>
      <c r="P9" s="30">
        <f t="shared" si="3"/>
        <v>0.30000000000000004</v>
      </c>
      <c r="Q9" s="79">
        <v>56.74</v>
      </c>
      <c r="R9" s="80">
        <f t="shared" si="6"/>
        <v>17.022000000000002</v>
      </c>
    </row>
    <row r="10" spans="1:20" ht="45" customHeight="1" thickBot="1" x14ac:dyDescent="0.4">
      <c r="A10" s="542"/>
      <c r="B10" s="70" t="s">
        <v>52</v>
      </c>
      <c r="C10" s="54" t="s">
        <v>74</v>
      </c>
      <c r="D10" s="18"/>
      <c r="E10" s="22">
        <v>12</v>
      </c>
      <c r="F10" s="10">
        <v>12</v>
      </c>
      <c r="G10" s="2">
        <v>1</v>
      </c>
      <c r="H10" s="100">
        <f t="shared" si="4"/>
        <v>12</v>
      </c>
      <c r="I10" s="3">
        <f>60/60</f>
        <v>1</v>
      </c>
      <c r="J10" s="104">
        <f t="shared" si="0"/>
        <v>12</v>
      </c>
      <c r="K10" s="15">
        <f t="shared" si="1"/>
        <v>0</v>
      </c>
      <c r="L10" s="2">
        <v>0</v>
      </c>
      <c r="M10" s="1">
        <f t="shared" si="2"/>
        <v>0</v>
      </c>
      <c r="N10" s="4">
        <f>0</f>
        <v>0</v>
      </c>
      <c r="O10" s="26">
        <f t="shared" si="5"/>
        <v>0</v>
      </c>
      <c r="P10" s="30">
        <f t="shared" si="3"/>
        <v>12</v>
      </c>
      <c r="Q10" s="79">
        <v>56.74</v>
      </c>
      <c r="R10" s="80">
        <f t="shared" si="6"/>
        <v>680.88</v>
      </c>
    </row>
    <row r="11" spans="1:20" ht="28.5" customHeight="1" thickBot="1" x14ac:dyDescent="0.4">
      <c r="A11" s="542"/>
      <c r="B11" s="70" t="s">
        <v>52</v>
      </c>
      <c r="C11" s="54" t="s">
        <v>29</v>
      </c>
      <c r="D11" s="18"/>
      <c r="E11" s="22">
        <v>12</v>
      </c>
      <c r="F11" s="10">
        <v>12</v>
      </c>
      <c r="G11" s="2">
        <v>1</v>
      </c>
      <c r="H11" s="100">
        <f t="shared" si="4"/>
        <v>12</v>
      </c>
      <c r="I11" s="4">
        <f>2/60</f>
        <v>3.3333333333333333E-2</v>
      </c>
      <c r="J11" s="104">
        <f t="shared" si="0"/>
        <v>0.4</v>
      </c>
      <c r="K11" s="15">
        <f t="shared" si="1"/>
        <v>0</v>
      </c>
      <c r="L11" s="2">
        <v>0</v>
      </c>
      <c r="M11" s="1">
        <f t="shared" si="2"/>
        <v>0</v>
      </c>
      <c r="N11" s="4">
        <v>0</v>
      </c>
      <c r="O11" s="26">
        <f t="shared" si="5"/>
        <v>0</v>
      </c>
      <c r="P11" s="30">
        <f t="shared" si="3"/>
        <v>0.4</v>
      </c>
      <c r="Q11" s="79">
        <v>56.74</v>
      </c>
      <c r="R11" s="80">
        <f t="shared" si="6"/>
        <v>22.696000000000002</v>
      </c>
    </row>
    <row r="12" spans="1:20" ht="28.5" customHeight="1" thickBot="1" x14ac:dyDescent="0.4">
      <c r="A12" s="542"/>
      <c r="B12" s="53" t="s">
        <v>64</v>
      </c>
      <c r="C12" s="73" t="s">
        <v>57</v>
      </c>
      <c r="D12" s="18"/>
      <c r="E12" s="22">
        <v>1</v>
      </c>
      <c r="F12" s="10">
        <v>1</v>
      </c>
      <c r="G12" s="2">
        <v>1</v>
      </c>
      <c r="H12" s="100">
        <f t="shared" si="4"/>
        <v>1</v>
      </c>
      <c r="I12" s="3">
        <f>60/60</f>
        <v>1</v>
      </c>
      <c r="J12" s="104">
        <f t="shared" si="0"/>
        <v>1</v>
      </c>
      <c r="K12" s="15">
        <f t="shared" si="1"/>
        <v>0</v>
      </c>
      <c r="L12" s="2">
        <v>0</v>
      </c>
      <c r="M12" s="1">
        <f t="shared" si="2"/>
        <v>0</v>
      </c>
      <c r="N12" s="4">
        <v>0</v>
      </c>
      <c r="O12" s="26">
        <f t="shared" si="5"/>
        <v>0</v>
      </c>
      <c r="P12" s="30">
        <f t="shared" si="3"/>
        <v>1</v>
      </c>
      <c r="Q12" s="32">
        <v>41.89</v>
      </c>
      <c r="R12" s="80">
        <f t="shared" si="6"/>
        <v>41.89</v>
      </c>
    </row>
    <row r="13" spans="1:20" ht="54" customHeight="1" thickBot="1" x14ac:dyDescent="0.4">
      <c r="A13" s="542"/>
      <c r="B13" s="53" t="s">
        <v>65</v>
      </c>
      <c r="C13" s="73" t="s">
        <v>30</v>
      </c>
      <c r="D13" s="18"/>
      <c r="E13" s="22">
        <v>6</v>
      </c>
      <c r="F13" s="10">
        <v>6</v>
      </c>
      <c r="G13" s="2">
        <v>1</v>
      </c>
      <c r="H13" s="100">
        <f t="shared" si="4"/>
        <v>6</v>
      </c>
      <c r="I13" s="3">
        <f>60/60</f>
        <v>1</v>
      </c>
      <c r="J13" s="104">
        <f t="shared" si="0"/>
        <v>6</v>
      </c>
      <c r="K13" s="15">
        <f t="shared" si="1"/>
        <v>0</v>
      </c>
      <c r="L13" s="2">
        <v>0</v>
      </c>
      <c r="M13" s="1">
        <f t="shared" si="2"/>
        <v>0</v>
      </c>
      <c r="N13" s="4">
        <v>0</v>
      </c>
      <c r="O13" s="26">
        <f t="shared" si="5"/>
        <v>0</v>
      </c>
      <c r="P13" s="30">
        <f t="shared" si="3"/>
        <v>6</v>
      </c>
      <c r="Q13" s="32">
        <v>41.89</v>
      </c>
      <c r="R13" s="80">
        <f t="shared" si="6"/>
        <v>251.34</v>
      </c>
    </row>
    <row r="14" spans="1:20" ht="45.75" customHeight="1" thickBot="1" x14ac:dyDescent="0.4">
      <c r="A14" s="542"/>
      <c r="B14" s="72" t="s">
        <v>64</v>
      </c>
      <c r="C14" s="56" t="s">
        <v>31</v>
      </c>
      <c r="D14" s="18"/>
      <c r="E14" s="22">
        <v>6</v>
      </c>
      <c r="F14" s="10">
        <v>6</v>
      </c>
      <c r="G14" s="2">
        <v>1</v>
      </c>
      <c r="H14" s="100">
        <f t="shared" si="4"/>
        <v>6</v>
      </c>
      <c r="I14" s="3">
        <f>60/60</f>
        <v>1</v>
      </c>
      <c r="J14" s="104">
        <f t="shared" si="0"/>
        <v>6</v>
      </c>
      <c r="K14" s="15">
        <f t="shared" si="1"/>
        <v>0</v>
      </c>
      <c r="L14" s="2">
        <v>0</v>
      </c>
      <c r="M14" s="1">
        <f t="shared" si="2"/>
        <v>0</v>
      </c>
      <c r="N14" s="4">
        <v>0</v>
      </c>
      <c r="O14" s="26">
        <f t="shared" si="5"/>
        <v>0</v>
      </c>
      <c r="P14" s="30">
        <f t="shared" si="3"/>
        <v>6</v>
      </c>
      <c r="Q14" s="32">
        <v>41.89</v>
      </c>
      <c r="R14" s="80">
        <f t="shared" si="6"/>
        <v>251.34</v>
      </c>
    </row>
    <row r="15" spans="1:20" ht="42.75" customHeight="1" thickBot="1" x14ac:dyDescent="0.4">
      <c r="A15" s="542"/>
      <c r="B15" s="72" t="s">
        <v>64</v>
      </c>
      <c r="C15" s="54" t="s">
        <v>32</v>
      </c>
      <c r="D15" s="18"/>
      <c r="E15" s="22">
        <v>6</v>
      </c>
      <c r="F15" s="10">
        <v>6</v>
      </c>
      <c r="G15" s="2">
        <v>1</v>
      </c>
      <c r="H15" s="100">
        <f t="shared" si="4"/>
        <v>6</v>
      </c>
      <c r="I15" s="3">
        <f>240/60</f>
        <v>4</v>
      </c>
      <c r="J15" s="104">
        <f t="shared" si="0"/>
        <v>24</v>
      </c>
      <c r="K15" s="15">
        <f t="shared" si="1"/>
        <v>0</v>
      </c>
      <c r="L15" s="2">
        <v>0</v>
      </c>
      <c r="M15" s="1">
        <f t="shared" si="2"/>
        <v>0</v>
      </c>
      <c r="N15" s="4">
        <v>0</v>
      </c>
      <c r="O15" s="26">
        <f t="shared" si="5"/>
        <v>0</v>
      </c>
      <c r="P15" s="82">
        <f t="shared" si="3"/>
        <v>24</v>
      </c>
      <c r="Q15" s="32">
        <v>41.89</v>
      </c>
      <c r="R15" s="80">
        <f t="shared" si="6"/>
        <v>1005.36</v>
      </c>
    </row>
    <row r="16" spans="1:20" ht="45" customHeight="1" thickBot="1" x14ac:dyDescent="0.4">
      <c r="A16" s="542"/>
      <c r="B16" s="72" t="s">
        <v>64</v>
      </c>
      <c r="C16" s="55" t="s">
        <v>33</v>
      </c>
      <c r="D16" s="18"/>
      <c r="E16" s="22">
        <v>6</v>
      </c>
      <c r="F16" s="10">
        <v>6</v>
      </c>
      <c r="G16" s="2">
        <v>1</v>
      </c>
      <c r="H16" s="100">
        <f t="shared" si="4"/>
        <v>6</v>
      </c>
      <c r="I16" s="3">
        <f>60/60</f>
        <v>1</v>
      </c>
      <c r="J16" s="104">
        <f t="shared" si="0"/>
        <v>6</v>
      </c>
      <c r="K16" s="15">
        <f t="shared" si="1"/>
        <v>0</v>
      </c>
      <c r="L16" s="2">
        <v>0</v>
      </c>
      <c r="M16" s="1">
        <f t="shared" si="2"/>
        <v>0</v>
      </c>
      <c r="N16" s="4">
        <v>0</v>
      </c>
      <c r="O16" s="26">
        <f t="shared" si="5"/>
        <v>0</v>
      </c>
      <c r="P16" s="30">
        <f t="shared" si="3"/>
        <v>6</v>
      </c>
      <c r="Q16" s="32">
        <v>41.89</v>
      </c>
      <c r="R16" s="80">
        <f t="shared" si="6"/>
        <v>251.34</v>
      </c>
    </row>
    <row r="17" spans="1:18" ht="43.5" customHeight="1" thickBot="1" x14ac:dyDescent="0.4">
      <c r="A17" s="542"/>
      <c r="B17" s="72" t="s">
        <v>64</v>
      </c>
      <c r="C17" s="73" t="s">
        <v>34</v>
      </c>
      <c r="D17" s="18"/>
      <c r="E17" s="22">
        <v>6</v>
      </c>
      <c r="F17" s="10">
        <v>6</v>
      </c>
      <c r="G17" s="2">
        <v>1</v>
      </c>
      <c r="H17" s="100">
        <f t="shared" si="4"/>
        <v>6</v>
      </c>
      <c r="I17" s="3">
        <f>240/60</f>
        <v>4</v>
      </c>
      <c r="J17" s="104">
        <f t="shared" si="0"/>
        <v>24</v>
      </c>
      <c r="K17" s="15">
        <f t="shared" si="1"/>
        <v>0</v>
      </c>
      <c r="L17" s="2">
        <v>0</v>
      </c>
      <c r="M17" s="1">
        <f t="shared" si="2"/>
        <v>0</v>
      </c>
      <c r="N17" s="4">
        <v>0</v>
      </c>
      <c r="O17" s="26">
        <f t="shared" si="5"/>
        <v>0</v>
      </c>
      <c r="P17" s="30">
        <f t="shared" si="3"/>
        <v>24</v>
      </c>
      <c r="Q17" s="32">
        <v>41.89</v>
      </c>
      <c r="R17" s="80">
        <f t="shared" si="6"/>
        <v>1005.36</v>
      </c>
    </row>
    <row r="18" spans="1:18" ht="52.5" customHeight="1" thickBot="1" x14ac:dyDescent="0.4">
      <c r="A18" s="542"/>
      <c r="B18" s="72" t="s">
        <v>64</v>
      </c>
      <c r="C18" s="54" t="s">
        <v>35</v>
      </c>
      <c r="D18" s="18"/>
      <c r="E18" s="22">
        <v>4</v>
      </c>
      <c r="F18" s="10">
        <v>4</v>
      </c>
      <c r="G18" s="2">
        <v>1</v>
      </c>
      <c r="H18" s="100">
        <f t="shared" si="4"/>
        <v>4</v>
      </c>
      <c r="I18" s="3">
        <f>60/60</f>
        <v>1</v>
      </c>
      <c r="J18" s="104">
        <f t="shared" si="0"/>
        <v>4</v>
      </c>
      <c r="K18" s="15">
        <f t="shared" si="1"/>
        <v>0</v>
      </c>
      <c r="L18" s="2">
        <v>0</v>
      </c>
      <c r="M18" s="1">
        <f t="shared" si="2"/>
        <v>0</v>
      </c>
      <c r="N18" s="4">
        <v>0</v>
      </c>
      <c r="O18" s="26">
        <f t="shared" si="5"/>
        <v>0</v>
      </c>
      <c r="P18" s="30">
        <f t="shared" si="3"/>
        <v>4</v>
      </c>
      <c r="Q18" s="32">
        <v>41.89</v>
      </c>
      <c r="R18" s="80">
        <f t="shared" si="6"/>
        <v>167.56</v>
      </c>
    </row>
    <row r="19" spans="1:18" ht="69.75" customHeight="1" thickBot="1" x14ac:dyDescent="0.4">
      <c r="A19" s="542"/>
      <c r="B19" s="57" t="s">
        <v>40</v>
      </c>
      <c r="C19" s="54" t="s">
        <v>77</v>
      </c>
      <c r="D19" s="18"/>
      <c r="E19" s="22">
        <v>6</v>
      </c>
      <c r="F19" s="10">
        <v>6</v>
      </c>
      <c r="G19" s="2">
        <v>1</v>
      </c>
      <c r="H19" s="100">
        <f t="shared" si="4"/>
        <v>6</v>
      </c>
      <c r="I19" s="3">
        <f>3/60</f>
        <v>0.05</v>
      </c>
      <c r="J19" s="104">
        <f t="shared" si="0"/>
        <v>0.30000000000000004</v>
      </c>
      <c r="K19" s="15">
        <f t="shared" si="1"/>
        <v>0</v>
      </c>
      <c r="L19" s="2">
        <v>0</v>
      </c>
      <c r="M19" s="1">
        <f t="shared" si="2"/>
        <v>0</v>
      </c>
      <c r="N19" s="4">
        <v>0</v>
      </c>
      <c r="O19" s="26">
        <f t="shared" ref="O19:O30" si="7">M19*N19</f>
        <v>0</v>
      </c>
      <c r="P19" s="30">
        <f t="shared" ref="P19:P25" si="8">+O19+J19</f>
        <v>0.30000000000000004</v>
      </c>
      <c r="Q19" s="32">
        <v>34.07</v>
      </c>
      <c r="R19" s="80">
        <f t="shared" si="6"/>
        <v>10.221000000000002</v>
      </c>
    </row>
    <row r="20" spans="1:18" ht="52.5" customHeight="1" thickBot="1" x14ac:dyDescent="0.4">
      <c r="A20" s="542"/>
      <c r="B20" s="57" t="s">
        <v>40</v>
      </c>
      <c r="C20" s="54" t="s">
        <v>75</v>
      </c>
      <c r="D20" s="18"/>
      <c r="E20" s="22">
        <v>18</v>
      </c>
      <c r="F20" s="10">
        <v>18</v>
      </c>
      <c r="G20" s="2">
        <v>1</v>
      </c>
      <c r="H20" s="100">
        <f t="shared" si="4"/>
        <v>18</v>
      </c>
      <c r="I20" s="3">
        <f>60/60</f>
        <v>1</v>
      </c>
      <c r="J20" s="104">
        <f t="shared" si="0"/>
        <v>18</v>
      </c>
      <c r="K20" s="15">
        <f t="shared" si="1"/>
        <v>0</v>
      </c>
      <c r="L20" s="2">
        <v>0</v>
      </c>
      <c r="M20" s="1">
        <f t="shared" si="2"/>
        <v>0</v>
      </c>
      <c r="N20" s="4">
        <v>0</v>
      </c>
      <c r="O20" s="26">
        <f t="shared" si="7"/>
        <v>0</v>
      </c>
      <c r="P20" s="30">
        <f t="shared" si="8"/>
        <v>18</v>
      </c>
      <c r="Q20" s="32">
        <v>34.07</v>
      </c>
      <c r="R20" s="80">
        <f t="shared" si="6"/>
        <v>613.26</v>
      </c>
    </row>
    <row r="21" spans="1:18" ht="52.5" customHeight="1" thickBot="1" x14ac:dyDescent="0.4">
      <c r="A21" s="542"/>
      <c r="B21" s="107" t="s">
        <v>40</v>
      </c>
      <c r="C21" s="54" t="s">
        <v>76</v>
      </c>
      <c r="D21" s="18"/>
      <c r="E21" s="22">
        <v>18</v>
      </c>
      <c r="F21" s="10">
        <v>18</v>
      </c>
      <c r="G21" s="2">
        <v>1</v>
      </c>
      <c r="H21" s="100">
        <f t="shared" si="4"/>
        <v>18</v>
      </c>
      <c r="I21" s="4">
        <f>2/60</f>
        <v>3.3333333333333333E-2</v>
      </c>
      <c r="J21" s="104">
        <f t="shared" si="0"/>
        <v>0.6</v>
      </c>
      <c r="K21" s="15">
        <f t="shared" si="1"/>
        <v>0</v>
      </c>
      <c r="L21" s="2">
        <v>0</v>
      </c>
      <c r="M21" s="1">
        <f t="shared" si="2"/>
        <v>0</v>
      </c>
      <c r="N21" s="4">
        <v>0</v>
      </c>
      <c r="O21" s="26">
        <f t="shared" si="7"/>
        <v>0</v>
      </c>
      <c r="P21" s="30">
        <f t="shared" si="8"/>
        <v>0.6</v>
      </c>
      <c r="Q21" s="32">
        <v>34.07</v>
      </c>
      <c r="R21" s="80">
        <f t="shared" si="6"/>
        <v>20.442</v>
      </c>
    </row>
    <row r="22" spans="1:18" ht="52.5" customHeight="1" thickBot="1" x14ac:dyDescent="0.4">
      <c r="A22" s="542"/>
      <c r="B22" s="105" t="s">
        <v>41</v>
      </c>
      <c r="C22" s="73" t="s">
        <v>38</v>
      </c>
      <c r="D22" s="18"/>
      <c r="E22" s="22">
        <v>2</v>
      </c>
      <c r="F22" s="10">
        <v>2</v>
      </c>
      <c r="G22" s="2">
        <v>1</v>
      </c>
      <c r="H22" s="100">
        <f t="shared" si="4"/>
        <v>2</v>
      </c>
      <c r="I22" s="3">
        <f>60/60</f>
        <v>1</v>
      </c>
      <c r="J22" s="104">
        <f t="shared" si="0"/>
        <v>2</v>
      </c>
      <c r="K22" s="15">
        <f t="shared" si="1"/>
        <v>0</v>
      </c>
      <c r="L22" s="2">
        <v>0</v>
      </c>
      <c r="M22" s="1">
        <f t="shared" si="2"/>
        <v>0</v>
      </c>
      <c r="N22" s="4">
        <v>0</v>
      </c>
      <c r="O22" s="26">
        <f t="shared" si="7"/>
        <v>0</v>
      </c>
      <c r="P22" s="30">
        <f t="shared" si="8"/>
        <v>2</v>
      </c>
      <c r="Q22" s="32">
        <v>41.89</v>
      </c>
      <c r="R22" s="80">
        <f t="shared" si="6"/>
        <v>83.78</v>
      </c>
    </row>
    <row r="23" spans="1:18" ht="52.5" customHeight="1" thickBot="1" x14ac:dyDescent="0.4">
      <c r="A23" s="542"/>
      <c r="B23" s="105" t="s">
        <v>41</v>
      </c>
      <c r="C23" s="73" t="s">
        <v>31</v>
      </c>
      <c r="D23" s="18"/>
      <c r="E23" s="22">
        <v>2</v>
      </c>
      <c r="F23" s="10">
        <v>2</v>
      </c>
      <c r="G23" s="2">
        <v>1</v>
      </c>
      <c r="H23" s="100">
        <f t="shared" ref="H23:H25" si="9">+F23*G23</f>
        <v>2</v>
      </c>
      <c r="I23" s="3">
        <f>60/60</f>
        <v>1</v>
      </c>
      <c r="J23" s="104">
        <f t="shared" ref="J23:J25" si="10">+H23*I23</f>
        <v>2</v>
      </c>
      <c r="K23" s="15">
        <f t="shared" si="1"/>
        <v>0</v>
      </c>
      <c r="L23" s="2">
        <v>0</v>
      </c>
      <c r="M23" s="1">
        <f t="shared" si="2"/>
        <v>0</v>
      </c>
      <c r="N23" s="4">
        <v>0</v>
      </c>
      <c r="O23" s="26">
        <f t="shared" si="7"/>
        <v>0</v>
      </c>
      <c r="P23" s="30">
        <f t="shared" si="8"/>
        <v>2</v>
      </c>
      <c r="Q23" s="32">
        <v>41.89</v>
      </c>
      <c r="R23" s="80">
        <f t="shared" si="6"/>
        <v>83.78</v>
      </c>
    </row>
    <row r="24" spans="1:18" ht="52.5" customHeight="1" thickBot="1" x14ac:dyDescent="0.4">
      <c r="A24" s="542"/>
      <c r="B24" s="105" t="s">
        <v>41</v>
      </c>
      <c r="C24" s="73" t="s">
        <v>66</v>
      </c>
      <c r="D24" s="18"/>
      <c r="E24" s="22">
        <v>2</v>
      </c>
      <c r="F24" s="10">
        <v>2</v>
      </c>
      <c r="G24" s="2">
        <v>1</v>
      </c>
      <c r="H24" s="100">
        <f t="shared" si="9"/>
        <v>2</v>
      </c>
      <c r="I24" s="3">
        <f>240/60</f>
        <v>4</v>
      </c>
      <c r="J24" s="104">
        <f t="shared" si="10"/>
        <v>8</v>
      </c>
      <c r="K24" s="15">
        <f t="shared" si="1"/>
        <v>0</v>
      </c>
      <c r="L24" s="2">
        <v>0</v>
      </c>
      <c r="M24" s="1">
        <f t="shared" si="2"/>
        <v>0</v>
      </c>
      <c r="N24" s="4">
        <v>0</v>
      </c>
      <c r="O24" s="26">
        <f t="shared" si="7"/>
        <v>0</v>
      </c>
      <c r="P24" s="30">
        <f t="shared" si="8"/>
        <v>8</v>
      </c>
      <c r="Q24" s="32">
        <v>41.89</v>
      </c>
      <c r="R24" s="80">
        <f t="shared" si="6"/>
        <v>335.12</v>
      </c>
    </row>
    <row r="25" spans="1:18" ht="52.5" customHeight="1" thickBot="1" x14ac:dyDescent="0.4">
      <c r="A25" s="543"/>
      <c r="B25" s="105" t="s">
        <v>41</v>
      </c>
      <c r="C25" s="54" t="s">
        <v>35</v>
      </c>
      <c r="D25" s="18"/>
      <c r="E25" s="22">
        <v>2</v>
      </c>
      <c r="F25" s="10">
        <v>2</v>
      </c>
      <c r="G25" s="2">
        <v>1</v>
      </c>
      <c r="H25" s="100">
        <f t="shared" si="9"/>
        <v>2</v>
      </c>
      <c r="I25" s="3">
        <f>60/60</f>
        <v>1</v>
      </c>
      <c r="J25" s="104">
        <f t="shared" si="10"/>
        <v>2</v>
      </c>
      <c r="K25" s="15">
        <f t="shared" si="1"/>
        <v>0</v>
      </c>
      <c r="L25" s="2">
        <v>0</v>
      </c>
      <c r="M25" s="1">
        <f t="shared" si="2"/>
        <v>0</v>
      </c>
      <c r="N25" s="4">
        <v>0</v>
      </c>
      <c r="O25" s="26">
        <f t="shared" si="7"/>
        <v>0</v>
      </c>
      <c r="P25" s="30">
        <f t="shared" si="8"/>
        <v>2</v>
      </c>
      <c r="Q25" s="32">
        <v>41.89</v>
      </c>
      <c r="R25" s="80">
        <f t="shared" si="6"/>
        <v>83.78</v>
      </c>
    </row>
    <row r="26" spans="1:18" ht="32.25" customHeight="1" thickBot="1" x14ac:dyDescent="0.4">
      <c r="A26" s="552" t="s">
        <v>18</v>
      </c>
      <c r="B26" s="66" t="s">
        <v>54</v>
      </c>
      <c r="C26" s="73" t="s">
        <v>70</v>
      </c>
      <c r="D26" s="18"/>
      <c r="E26" s="21">
        <v>2</v>
      </c>
      <c r="F26" s="23">
        <v>2</v>
      </c>
      <c r="G26" s="2">
        <v>1</v>
      </c>
      <c r="H26" s="99">
        <f t="shared" ref="H26:H30" si="11">+F26*G26</f>
        <v>2</v>
      </c>
      <c r="I26" s="3">
        <f>60/60</f>
        <v>1</v>
      </c>
      <c r="J26" s="104">
        <f t="shared" si="0"/>
        <v>2</v>
      </c>
      <c r="K26" s="15">
        <f t="shared" si="1"/>
        <v>0</v>
      </c>
      <c r="L26" s="2">
        <v>0</v>
      </c>
      <c r="M26" s="1">
        <f t="shared" si="2"/>
        <v>0</v>
      </c>
      <c r="N26" s="4">
        <v>0</v>
      </c>
      <c r="O26" s="26">
        <f t="shared" si="7"/>
        <v>0</v>
      </c>
      <c r="P26" s="82">
        <f t="shared" si="3"/>
        <v>2</v>
      </c>
      <c r="Q26" s="32">
        <v>21.89</v>
      </c>
      <c r="R26" s="80">
        <f t="shared" ref="R26:R30" si="12">Q26*P26</f>
        <v>43.78</v>
      </c>
    </row>
    <row r="27" spans="1:18" ht="56.25" customHeight="1" thickBot="1" x14ac:dyDescent="0.4">
      <c r="A27" s="553"/>
      <c r="B27" s="69" t="s">
        <v>53</v>
      </c>
      <c r="C27" s="54" t="s">
        <v>79</v>
      </c>
      <c r="D27" s="18"/>
      <c r="E27" s="21">
        <v>12</v>
      </c>
      <c r="F27" s="23">
        <v>12</v>
      </c>
      <c r="G27" s="2">
        <v>1</v>
      </c>
      <c r="H27" s="99">
        <f t="shared" si="11"/>
        <v>12</v>
      </c>
      <c r="I27" s="4">
        <f>3/60</f>
        <v>0.05</v>
      </c>
      <c r="J27" s="104">
        <f t="shared" si="0"/>
        <v>0.60000000000000009</v>
      </c>
      <c r="K27" s="15">
        <f>+E27-F27</f>
        <v>0</v>
      </c>
      <c r="L27" s="2">
        <v>0</v>
      </c>
      <c r="M27" s="1">
        <f t="shared" si="2"/>
        <v>0</v>
      </c>
      <c r="N27" s="4">
        <v>0</v>
      </c>
      <c r="O27" s="26">
        <f t="shared" si="7"/>
        <v>0</v>
      </c>
      <c r="P27" s="81">
        <f t="shared" si="3"/>
        <v>0.60000000000000009</v>
      </c>
      <c r="Q27" s="32">
        <v>21.89</v>
      </c>
      <c r="R27" s="80">
        <f t="shared" si="12"/>
        <v>13.134000000000002</v>
      </c>
    </row>
    <row r="28" spans="1:18" ht="32.25" customHeight="1" thickBot="1" x14ac:dyDescent="0.4">
      <c r="A28" s="553"/>
      <c r="B28" s="72" t="s">
        <v>54</v>
      </c>
      <c r="C28" s="54" t="s">
        <v>78</v>
      </c>
      <c r="D28" s="18"/>
      <c r="E28" s="21">
        <v>36</v>
      </c>
      <c r="F28" s="23">
        <v>36</v>
      </c>
      <c r="G28" s="2">
        <v>1</v>
      </c>
      <c r="H28" s="99">
        <f t="shared" si="11"/>
        <v>36</v>
      </c>
      <c r="I28" s="4">
        <f>60/60</f>
        <v>1</v>
      </c>
      <c r="J28" s="104">
        <f t="shared" si="0"/>
        <v>36</v>
      </c>
      <c r="K28" s="15">
        <f>+E28-F28</f>
        <v>0</v>
      </c>
      <c r="L28" s="2">
        <v>0</v>
      </c>
      <c r="M28" s="1">
        <f t="shared" si="2"/>
        <v>0</v>
      </c>
      <c r="N28" s="4">
        <v>0</v>
      </c>
      <c r="O28" s="26">
        <f t="shared" si="7"/>
        <v>0</v>
      </c>
      <c r="P28" s="82">
        <f t="shared" si="3"/>
        <v>36</v>
      </c>
      <c r="Q28" s="32">
        <v>21.89</v>
      </c>
      <c r="R28" s="80">
        <f t="shared" si="12"/>
        <v>788.04</v>
      </c>
    </row>
    <row r="29" spans="1:18" ht="26.25" customHeight="1" thickBot="1" x14ac:dyDescent="0.4">
      <c r="A29" s="553"/>
      <c r="B29" s="72" t="s">
        <v>54</v>
      </c>
      <c r="C29" s="68" t="s">
        <v>43</v>
      </c>
      <c r="D29" s="18"/>
      <c r="E29" s="21">
        <v>36</v>
      </c>
      <c r="F29" s="23">
        <v>36</v>
      </c>
      <c r="G29" s="2">
        <v>1</v>
      </c>
      <c r="H29" s="99">
        <f t="shared" si="11"/>
        <v>36</v>
      </c>
      <c r="I29" s="4">
        <f>2/60</f>
        <v>3.3333333333333333E-2</v>
      </c>
      <c r="J29" s="104">
        <f t="shared" si="0"/>
        <v>1.2</v>
      </c>
      <c r="K29" s="15">
        <f>+E29-F29</f>
        <v>0</v>
      </c>
      <c r="L29" s="2">
        <v>0</v>
      </c>
      <c r="M29" s="1">
        <f t="shared" si="2"/>
        <v>0</v>
      </c>
      <c r="N29" s="4">
        <v>0</v>
      </c>
      <c r="O29" s="26">
        <f t="shared" si="7"/>
        <v>0</v>
      </c>
      <c r="P29" s="82">
        <f t="shared" si="3"/>
        <v>1.2</v>
      </c>
      <c r="Q29" s="32">
        <v>21.89</v>
      </c>
      <c r="R29" s="80">
        <f t="shared" si="12"/>
        <v>26.268000000000001</v>
      </c>
    </row>
    <row r="30" spans="1:18" ht="21.5" thickBot="1" x14ac:dyDescent="0.4">
      <c r="A30" s="554"/>
      <c r="B30" s="72" t="s">
        <v>54</v>
      </c>
      <c r="C30" s="71" t="s">
        <v>42</v>
      </c>
      <c r="D30" s="58"/>
      <c r="E30" s="59">
        <v>60</v>
      </c>
      <c r="F30" s="60">
        <v>60</v>
      </c>
      <c r="G30" s="61">
        <v>1</v>
      </c>
      <c r="H30" s="102">
        <f t="shared" si="11"/>
        <v>60</v>
      </c>
      <c r="I30" s="63">
        <v>1.5</v>
      </c>
      <c r="J30" s="104">
        <f t="shared" si="0"/>
        <v>90</v>
      </c>
      <c r="K30" s="64">
        <f>+E30-F30</f>
        <v>0</v>
      </c>
      <c r="L30" s="61">
        <v>0</v>
      </c>
      <c r="M30" s="62">
        <f t="shared" si="2"/>
        <v>0</v>
      </c>
      <c r="N30" s="63">
        <v>0</v>
      </c>
      <c r="O30" s="65">
        <f t="shared" si="7"/>
        <v>0</v>
      </c>
      <c r="P30" s="92">
        <f t="shared" si="3"/>
        <v>90</v>
      </c>
      <c r="Q30" s="32">
        <v>21.89</v>
      </c>
      <c r="R30" s="80">
        <f t="shared" si="12"/>
        <v>1970.1000000000001</v>
      </c>
    </row>
    <row r="31" spans="1:18" ht="15.5" thickTop="1" thickBot="1" x14ac:dyDescent="0.4">
      <c r="A31" s="546" t="s">
        <v>58</v>
      </c>
      <c r="B31" s="547"/>
      <c r="C31" s="548"/>
      <c r="D31" s="35"/>
      <c r="E31" s="36">
        <f>2+6+6+1+6+18+2+2+36+24</f>
        <v>103</v>
      </c>
      <c r="F31" s="36">
        <f>2+6+6+1+6+18+2+2+36+24</f>
        <v>103</v>
      </c>
      <c r="G31" s="37">
        <f>H31/F31</f>
        <v>2.7864077669902914</v>
      </c>
      <c r="H31" s="97">
        <f>SUM(H4:H30)</f>
        <v>287</v>
      </c>
      <c r="I31" s="39">
        <f>J31/H31</f>
        <v>0.8797909407665504</v>
      </c>
      <c r="J31" s="101">
        <f>SUM(J4:J30)</f>
        <v>252.49999999999997</v>
      </c>
      <c r="K31" s="41">
        <v>0</v>
      </c>
      <c r="L31" s="84">
        <v>0</v>
      </c>
      <c r="M31" s="38">
        <f>SUM(M4:M30)</f>
        <v>0</v>
      </c>
      <c r="N31" s="42">
        <v>0</v>
      </c>
      <c r="O31" s="93">
        <f>SUM(O4:O30)</f>
        <v>0</v>
      </c>
      <c r="P31" s="87">
        <f t="shared" si="3"/>
        <v>252.49999999999997</v>
      </c>
      <c r="Q31" s="43" t="s">
        <v>17</v>
      </c>
      <c r="R31" s="83">
        <f>SUM(R4:R30)</f>
        <v>8112.6069999999991</v>
      </c>
    </row>
    <row r="32" spans="1:18" ht="39.75" customHeight="1" thickBot="1" x14ac:dyDescent="0.5">
      <c r="A32" s="556" t="s">
        <v>45</v>
      </c>
      <c r="B32" s="557"/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557"/>
      <c r="P32" s="557"/>
      <c r="Q32" s="557"/>
      <c r="R32" s="558"/>
    </row>
    <row r="33" spans="1:18" ht="21.5" thickBot="1" x14ac:dyDescent="0.4">
      <c r="A33" s="544" t="s">
        <v>44</v>
      </c>
      <c r="B33" s="74" t="s">
        <v>36</v>
      </c>
      <c r="C33" s="54" t="s">
        <v>55</v>
      </c>
      <c r="D33" s="18"/>
      <c r="E33" s="21">
        <v>2</v>
      </c>
      <c r="F33" s="23">
        <v>2</v>
      </c>
      <c r="G33" s="2">
        <v>1</v>
      </c>
      <c r="H33" s="99">
        <f t="shared" ref="H33:H41" si="13">+F33*G33</f>
        <v>2</v>
      </c>
      <c r="I33" s="3">
        <f>60/60</f>
        <v>1</v>
      </c>
      <c r="J33" s="24">
        <f t="shared" ref="J33:J41" si="14">+H33*I33</f>
        <v>2</v>
      </c>
      <c r="K33" s="15">
        <v>0</v>
      </c>
      <c r="L33" s="2">
        <v>0</v>
      </c>
      <c r="M33" s="5">
        <f t="shared" ref="M33:M41" si="15">+K33*L33</f>
        <v>0</v>
      </c>
      <c r="N33" s="4">
        <v>0</v>
      </c>
      <c r="O33" s="26">
        <f t="shared" ref="O33:O41" si="16">M33*N33</f>
        <v>0</v>
      </c>
      <c r="P33" s="82">
        <f t="shared" ref="P33:P41" si="17">+O33+J33</f>
        <v>2</v>
      </c>
      <c r="Q33" s="32">
        <v>34.07</v>
      </c>
      <c r="R33" s="80">
        <f t="shared" ref="R33:R41" si="18">Q33*P33</f>
        <v>68.14</v>
      </c>
    </row>
    <row r="34" spans="1:18" ht="32" thickBot="1" x14ac:dyDescent="0.4">
      <c r="A34" s="545"/>
      <c r="B34" s="74" t="s">
        <v>36</v>
      </c>
      <c r="C34" s="54" t="s">
        <v>80</v>
      </c>
      <c r="D34" s="18"/>
      <c r="E34" s="22">
        <v>6</v>
      </c>
      <c r="F34" s="10">
        <v>6</v>
      </c>
      <c r="G34" s="2">
        <v>1</v>
      </c>
      <c r="H34" s="100">
        <f t="shared" si="13"/>
        <v>6</v>
      </c>
      <c r="I34" s="3">
        <f>3/60</f>
        <v>0.05</v>
      </c>
      <c r="J34" s="76">
        <f t="shared" si="14"/>
        <v>0.30000000000000004</v>
      </c>
      <c r="K34" s="15">
        <f>+E34-F34</f>
        <v>0</v>
      </c>
      <c r="L34" s="2">
        <v>0</v>
      </c>
      <c r="M34" s="5">
        <f t="shared" si="15"/>
        <v>0</v>
      </c>
      <c r="N34" s="4">
        <v>0</v>
      </c>
      <c r="O34" s="26">
        <f t="shared" si="16"/>
        <v>0</v>
      </c>
      <c r="P34" s="81">
        <f t="shared" si="17"/>
        <v>0.30000000000000004</v>
      </c>
      <c r="Q34" s="32">
        <v>34.07</v>
      </c>
      <c r="R34" s="80">
        <f t="shared" si="18"/>
        <v>10.221000000000002</v>
      </c>
    </row>
    <row r="35" spans="1:18" ht="32" thickBot="1" x14ac:dyDescent="0.4">
      <c r="A35" s="545"/>
      <c r="B35" s="107" t="s">
        <v>36</v>
      </c>
      <c r="C35" s="54" t="s">
        <v>75</v>
      </c>
      <c r="D35" s="18"/>
      <c r="E35" s="22">
        <v>18</v>
      </c>
      <c r="F35" s="10">
        <v>18</v>
      </c>
      <c r="G35" s="2">
        <v>1</v>
      </c>
      <c r="H35" s="100">
        <f t="shared" si="13"/>
        <v>18</v>
      </c>
      <c r="I35" s="3">
        <f>60/60</f>
        <v>1</v>
      </c>
      <c r="J35" s="76">
        <f t="shared" si="14"/>
        <v>18</v>
      </c>
      <c r="K35" s="15">
        <f>+E35-F35</f>
        <v>0</v>
      </c>
      <c r="L35" s="2">
        <v>0</v>
      </c>
      <c r="M35" s="5">
        <f t="shared" si="15"/>
        <v>0</v>
      </c>
      <c r="N35" s="4">
        <v>0</v>
      </c>
      <c r="O35" s="26">
        <f t="shared" si="16"/>
        <v>0</v>
      </c>
      <c r="P35" s="82">
        <f t="shared" si="17"/>
        <v>18</v>
      </c>
      <c r="Q35" s="32">
        <v>34.07</v>
      </c>
      <c r="R35" s="80">
        <f t="shared" si="18"/>
        <v>613.26</v>
      </c>
    </row>
    <row r="36" spans="1:18" ht="21.5" thickBot="1" x14ac:dyDescent="0.4">
      <c r="A36" s="545"/>
      <c r="B36" s="107" t="s">
        <v>36</v>
      </c>
      <c r="C36" s="54" t="s">
        <v>76</v>
      </c>
      <c r="D36" s="18"/>
      <c r="E36" s="22">
        <v>18</v>
      </c>
      <c r="F36" s="10">
        <v>18</v>
      </c>
      <c r="G36" s="2">
        <v>1</v>
      </c>
      <c r="H36" s="100">
        <f t="shared" si="13"/>
        <v>18</v>
      </c>
      <c r="I36" s="4">
        <f>2/60</f>
        <v>3.3333333333333333E-2</v>
      </c>
      <c r="J36" s="76">
        <f t="shared" si="14"/>
        <v>0.6</v>
      </c>
      <c r="K36" s="15">
        <f>+E36-F36</f>
        <v>0</v>
      </c>
      <c r="L36" s="2">
        <v>0</v>
      </c>
      <c r="M36" s="5">
        <f t="shared" si="15"/>
        <v>0</v>
      </c>
      <c r="N36" s="4">
        <v>0</v>
      </c>
      <c r="O36" s="26">
        <f t="shared" si="16"/>
        <v>0</v>
      </c>
      <c r="P36" s="81">
        <f t="shared" si="17"/>
        <v>0.6</v>
      </c>
      <c r="Q36" s="32">
        <v>34.07</v>
      </c>
      <c r="R36" s="80">
        <f t="shared" si="18"/>
        <v>20.442</v>
      </c>
    </row>
    <row r="37" spans="1:18" ht="31.5" customHeight="1" thickBot="1" x14ac:dyDescent="0.4">
      <c r="A37" s="545"/>
      <c r="B37" s="106" t="s">
        <v>67</v>
      </c>
      <c r="C37" s="54" t="s">
        <v>56</v>
      </c>
      <c r="D37" s="58"/>
      <c r="E37" s="59">
        <v>1</v>
      </c>
      <c r="F37" s="60">
        <v>1</v>
      </c>
      <c r="G37" s="61">
        <v>1</v>
      </c>
      <c r="H37" s="102">
        <f t="shared" si="13"/>
        <v>1</v>
      </c>
      <c r="I37" s="63">
        <f>60/60</f>
        <v>1</v>
      </c>
      <c r="J37" s="76">
        <f t="shared" si="14"/>
        <v>1</v>
      </c>
      <c r="K37" s="64">
        <v>0</v>
      </c>
      <c r="L37" s="61">
        <v>0</v>
      </c>
      <c r="M37" s="5">
        <f t="shared" si="15"/>
        <v>0</v>
      </c>
      <c r="N37" s="63">
        <v>0</v>
      </c>
      <c r="O37" s="26">
        <f t="shared" si="16"/>
        <v>0</v>
      </c>
      <c r="P37" s="82">
        <f t="shared" si="17"/>
        <v>1</v>
      </c>
      <c r="Q37" s="32">
        <v>41.89</v>
      </c>
      <c r="R37" s="80">
        <f t="shared" si="18"/>
        <v>41.89</v>
      </c>
    </row>
    <row r="38" spans="1:18" ht="39" customHeight="1" thickBot="1" x14ac:dyDescent="0.4">
      <c r="A38" s="545"/>
      <c r="B38" s="106" t="s">
        <v>67</v>
      </c>
      <c r="C38" s="73" t="s">
        <v>38</v>
      </c>
      <c r="D38" s="58"/>
      <c r="E38" s="22">
        <v>2</v>
      </c>
      <c r="F38" s="10">
        <v>2</v>
      </c>
      <c r="G38" s="2">
        <v>1</v>
      </c>
      <c r="H38" s="100">
        <f t="shared" si="13"/>
        <v>2</v>
      </c>
      <c r="I38" s="3">
        <f>60/60</f>
        <v>1</v>
      </c>
      <c r="J38" s="76">
        <f t="shared" si="14"/>
        <v>2</v>
      </c>
      <c r="K38" s="64">
        <v>0</v>
      </c>
      <c r="L38" s="61">
        <v>0</v>
      </c>
      <c r="M38" s="5">
        <f t="shared" si="15"/>
        <v>0</v>
      </c>
      <c r="N38" s="63">
        <v>0</v>
      </c>
      <c r="O38" s="26">
        <f t="shared" si="16"/>
        <v>0</v>
      </c>
      <c r="P38" s="82">
        <f t="shared" si="17"/>
        <v>2</v>
      </c>
      <c r="Q38" s="32">
        <v>41.89</v>
      </c>
      <c r="R38" s="80">
        <f t="shared" si="18"/>
        <v>83.78</v>
      </c>
    </row>
    <row r="39" spans="1:18" ht="21.5" thickBot="1" x14ac:dyDescent="0.4">
      <c r="A39" s="545"/>
      <c r="B39" s="106" t="s">
        <v>67</v>
      </c>
      <c r="C39" s="73" t="s">
        <v>31</v>
      </c>
      <c r="D39" s="58"/>
      <c r="E39" s="22">
        <v>2</v>
      </c>
      <c r="F39" s="10">
        <v>2</v>
      </c>
      <c r="G39" s="2">
        <v>1</v>
      </c>
      <c r="H39" s="100">
        <f t="shared" si="13"/>
        <v>2</v>
      </c>
      <c r="I39" s="3">
        <f>60/60</f>
        <v>1</v>
      </c>
      <c r="J39" s="76">
        <f t="shared" si="14"/>
        <v>2</v>
      </c>
      <c r="K39" s="64">
        <v>0</v>
      </c>
      <c r="L39" s="61">
        <v>0</v>
      </c>
      <c r="M39" s="5">
        <f t="shared" si="15"/>
        <v>0</v>
      </c>
      <c r="N39" s="63">
        <v>0</v>
      </c>
      <c r="O39" s="26">
        <f t="shared" si="16"/>
        <v>0</v>
      </c>
      <c r="P39" s="82">
        <f t="shared" si="17"/>
        <v>2</v>
      </c>
      <c r="Q39" s="32">
        <v>41.89</v>
      </c>
      <c r="R39" s="80">
        <f t="shared" si="18"/>
        <v>83.78</v>
      </c>
    </row>
    <row r="40" spans="1:18" ht="21.5" thickBot="1" x14ac:dyDescent="0.4">
      <c r="A40" s="545"/>
      <c r="B40" s="106" t="s">
        <v>67</v>
      </c>
      <c r="C40" s="73" t="s">
        <v>66</v>
      </c>
      <c r="D40" s="58"/>
      <c r="E40" s="22">
        <v>2</v>
      </c>
      <c r="F40" s="10">
        <v>2</v>
      </c>
      <c r="G40" s="2">
        <v>1</v>
      </c>
      <c r="H40" s="100">
        <f t="shared" si="13"/>
        <v>2</v>
      </c>
      <c r="I40" s="3">
        <f>240/60</f>
        <v>4</v>
      </c>
      <c r="J40" s="76">
        <f t="shared" si="14"/>
        <v>8</v>
      </c>
      <c r="K40" s="64">
        <v>0</v>
      </c>
      <c r="L40" s="61">
        <v>0</v>
      </c>
      <c r="M40" s="5">
        <f t="shared" si="15"/>
        <v>0</v>
      </c>
      <c r="N40" s="63">
        <v>0</v>
      </c>
      <c r="O40" s="26">
        <f t="shared" si="16"/>
        <v>0</v>
      </c>
      <c r="P40" s="82">
        <f t="shared" si="17"/>
        <v>8</v>
      </c>
      <c r="Q40" s="32">
        <v>41.89</v>
      </c>
      <c r="R40" s="80">
        <f t="shared" si="18"/>
        <v>335.12</v>
      </c>
    </row>
    <row r="41" spans="1:18" ht="21.5" thickBot="1" x14ac:dyDescent="0.4">
      <c r="A41" s="545"/>
      <c r="B41" s="106" t="s">
        <v>67</v>
      </c>
      <c r="C41" s="54" t="s">
        <v>35</v>
      </c>
      <c r="D41" s="58"/>
      <c r="E41" s="22">
        <v>1</v>
      </c>
      <c r="F41" s="10">
        <v>1</v>
      </c>
      <c r="G41" s="2">
        <v>1</v>
      </c>
      <c r="H41" s="100">
        <f t="shared" si="13"/>
        <v>1</v>
      </c>
      <c r="I41" s="3">
        <f>60/60</f>
        <v>1</v>
      </c>
      <c r="J41" s="76">
        <f t="shared" si="14"/>
        <v>1</v>
      </c>
      <c r="K41" s="5">
        <v>0</v>
      </c>
      <c r="L41" s="85">
        <v>0</v>
      </c>
      <c r="M41" s="5">
        <f t="shared" si="15"/>
        <v>0</v>
      </c>
      <c r="N41" s="5"/>
      <c r="O41" s="5">
        <f t="shared" si="16"/>
        <v>0</v>
      </c>
      <c r="P41" s="82">
        <f t="shared" si="17"/>
        <v>1</v>
      </c>
      <c r="Q41" s="32">
        <v>41.89</v>
      </c>
      <c r="R41" s="80">
        <f t="shared" si="18"/>
        <v>41.89</v>
      </c>
    </row>
    <row r="42" spans="1:18" ht="15.5" thickTop="1" thickBot="1" x14ac:dyDescent="0.4">
      <c r="A42" s="546" t="s">
        <v>47</v>
      </c>
      <c r="B42" s="547"/>
      <c r="C42" s="548"/>
      <c r="D42" s="35"/>
      <c r="E42" s="36">
        <f>2+18+1+2</f>
        <v>23</v>
      </c>
      <c r="F42" s="36">
        <f>2+18+1+2</f>
        <v>23</v>
      </c>
      <c r="G42" s="37">
        <f>H42/F42</f>
        <v>2.2608695652173911</v>
      </c>
      <c r="H42" s="97">
        <f>SUM(H33:H41)</f>
        <v>52</v>
      </c>
      <c r="I42" s="39">
        <f>J42/H42</f>
        <v>0.67115384615384621</v>
      </c>
      <c r="J42" s="95">
        <f>SUM(J33:J41)</f>
        <v>34.900000000000006</v>
      </c>
      <c r="K42" s="41">
        <f>K34</f>
        <v>0</v>
      </c>
      <c r="L42" s="84">
        <v>0</v>
      </c>
      <c r="M42" s="38">
        <f>SUM(M16:M41)</f>
        <v>0</v>
      </c>
      <c r="N42" s="42">
        <v>0</v>
      </c>
      <c r="O42" s="93">
        <v>0</v>
      </c>
      <c r="P42" s="87">
        <f t="shared" ref="P42:P50" si="19">+O42+J42</f>
        <v>34.900000000000006</v>
      </c>
      <c r="Q42" s="43" t="s">
        <v>17</v>
      </c>
      <c r="R42" s="83">
        <f>SUM(R33:R41)</f>
        <v>1298.5229999999999</v>
      </c>
    </row>
    <row r="43" spans="1:18" ht="31.5" customHeight="1" thickBot="1" x14ac:dyDescent="0.5">
      <c r="A43" s="556" t="s">
        <v>48</v>
      </c>
      <c r="B43" s="557"/>
      <c r="C43" s="557"/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557"/>
      <c r="P43" s="557"/>
      <c r="Q43" s="557"/>
      <c r="R43" s="557"/>
    </row>
    <row r="44" spans="1:18" ht="32" thickBot="1" x14ac:dyDescent="0.4">
      <c r="A44" s="545" t="s">
        <v>71</v>
      </c>
      <c r="B44" s="74" t="s">
        <v>36</v>
      </c>
      <c r="C44" s="75" t="s">
        <v>81</v>
      </c>
      <c r="D44" s="18"/>
      <c r="E44" s="22">
        <v>6</v>
      </c>
      <c r="F44" s="10">
        <v>6</v>
      </c>
      <c r="G44" s="2">
        <v>1</v>
      </c>
      <c r="H44" s="98">
        <f t="shared" ref="H44:H46" si="20">+F44*G44</f>
        <v>6</v>
      </c>
      <c r="I44" s="3">
        <f>3/60</f>
        <v>0.05</v>
      </c>
      <c r="J44" s="76">
        <f t="shared" ref="J44:J50" si="21">+H44*I44</f>
        <v>0.30000000000000004</v>
      </c>
      <c r="K44" s="15">
        <f>+E44-F44</f>
        <v>0</v>
      </c>
      <c r="L44" s="2">
        <v>0</v>
      </c>
      <c r="M44" s="5">
        <f t="shared" ref="M44:M46" si="22">+K44*L44</f>
        <v>0</v>
      </c>
      <c r="N44" s="4">
        <v>0</v>
      </c>
      <c r="O44" s="26">
        <f t="shared" ref="O44:O46" si="23">M44*N44</f>
        <v>0</v>
      </c>
      <c r="P44" s="81">
        <f t="shared" si="19"/>
        <v>0.30000000000000004</v>
      </c>
      <c r="Q44" s="32">
        <v>34.07</v>
      </c>
      <c r="R44" s="80">
        <f t="shared" ref="R44:R50" si="24">Q44*P44</f>
        <v>10.221000000000002</v>
      </c>
    </row>
    <row r="45" spans="1:18" ht="32" thickBot="1" x14ac:dyDescent="0.4">
      <c r="A45" s="545"/>
      <c r="B45" s="74" t="s">
        <v>36</v>
      </c>
      <c r="C45" s="75" t="s">
        <v>75</v>
      </c>
      <c r="D45" s="18"/>
      <c r="E45" s="22">
        <v>18</v>
      </c>
      <c r="F45" s="10">
        <v>18</v>
      </c>
      <c r="G45" s="2">
        <v>1</v>
      </c>
      <c r="H45" s="98">
        <f t="shared" si="20"/>
        <v>18</v>
      </c>
      <c r="I45" s="3">
        <f>60/60</f>
        <v>1</v>
      </c>
      <c r="J45" s="76">
        <f t="shared" si="21"/>
        <v>18</v>
      </c>
      <c r="K45" s="15">
        <f>+E45-F45</f>
        <v>0</v>
      </c>
      <c r="L45" s="2">
        <v>0</v>
      </c>
      <c r="M45" s="5">
        <f t="shared" si="22"/>
        <v>0</v>
      </c>
      <c r="N45" s="4">
        <v>0</v>
      </c>
      <c r="O45" s="26">
        <f t="shared" si="23"/>
        <v>0</v>
      </c>
      <c r="P45" s="82">
        <f t="shared" si="19"/>
        <v>18</v>
      </c>
      <c r="Q45" s="32">
        <v>34.07</v>
      </c>
      <c r="R45" s="80">
        <f t="shared" si="24"/>
        <v>613.26</v>
      </c>
    </row>
    <row r="46" spans="1:18" ht="15" thickBot="1" x14ac:dyDescent="0.4">
      <c r="A46" s="545"/>
      <c r="B46" s="107" t="s">
        <v>36</v>
      </c>
      <c r="C46" s="75" t="s">
        <v>37</v>
      </c>
      <c r="D46" s="18"/>
      <c r="E46" s="22">
        <v>18</v>
      </c>
      <c r="F46" s="10">
        <v>18</v>
      </c>
      <c r="G46" s="2">
        <v>1</v>
      </c>
      <c r="H46" s="98">
        <f t="shared" si="20"/>
        <v>18</v>
      </c>
      <c r="I46" s="4">
        <f>2/60</f>
        <v>3.3333333333333333E-2</v>
      </c>
      <c r="J46" s="76">
        <f t="shared" si="21"/>
        <v>0.6</v>
      </c>
      <c r="K46" s="15">
        <f>+E46-F46</f>
        <v>0</v>
      </c>
      <c r="L46" s="2">
        <v>0</v>
      </c>
      <c r="M46" s="5">
        <f t="shared" si="22"/>
        <v>0</v>
      </c>
      <c r="N46" s="4">
        <v>0</v>
      </c>
      <c r="O46" s="26">
        <f t="shared" si="23"/>
        <v>0</v>
      </c>
      <c r="P46" s="81">
        <f t="shared" si="19"/>
        <v>0.6</v>
      </c>
      <c r="Q46" s="32">
        <v>34.07</v>
      </c>
      <c r="R46" s="80">
        <f t="shared" si="24"/>
        <v>20.442</v>
      </c>
    </row>
    <row r="47" spans="1:18" ht="21.5" thickBot="1" x14ac:dyDescent="0.4">
      <c r="A47" s="545"/>
      <c r="B47" s="106" t="s">
        <v>68</v>
      </c>
      <c r="C47" s="73" t="s">
        <v>38</v>
      </c>
      <c r="D47" s="58"/>
      <c r="E47" s="22">
        <v>2</v>
      </c>
      <c r="F47" s="10">
        <v>2</v>
      </c>
      <c r="G47" s="2">
        <v>1</v>
      </c>
      <c r="H47" s="98">
        <f t="shared" ref="H47:H50" si="25">+F47*G47</f>
        <v>2</v>
      </c>
      <c r="I47" s="3">
        <f>60/60</f>
        <v>1</v>
      </c>
      <c r="J47" s="76">
        <f t="shared" si="21"/>
        <v>2</v>
      </c>
      <c r="K47" s="64">
        <v>0</v>
      </c>
      <c r="L47" s="61">
        <v>0</v>
      </c>
      <c r="M47" s="62">
        <v>0</v>
      </c>
      <c r="N47" s="63">
        <v>0</v>
      </c>
      <c r="O47" s="65">
        <v>0</v>
      </c>
      <c r="P47" s="82">
        <f t="shared" si="19"/>
        <v>2</v>
      </c>
      <c r="Q47" s="32">
        <v>41.89</v>
      </c>
      <c r="R47" s="80">
        <f t="shared" si="24"/>
        <v>83.78</v>
      </c>
    </row>
    <row r="48" spans="1:18" ht="21.5" thickBot="1" x14ac:dyDescent="0.4">
      <c r="A48" s="545"/>
      <c r="B48" s="106" t="s">
        <v>68</v>
      </c>
      <c r="C48" s="73" t="s">
        <v>31</v>
      </c>
      <c r="D48" s="58"/>
      <c r="E48" s="22">
        <v>2</v>
      </c>
      <c r="F48" s="10">
        <v>2</v>
      </c>
      <c r="G48" s="2">
        <v>1</v>
      </c>
      <c r="H48" s="98">
        <f t="shared" si="25"/>
        <v>2</v>
      </c>
      <c r="I48" s="3">
        <f>60/60</f>
        <v>1</v>
      </c>
      <c r="J48" s="76">
        <f t="shared" si="21"/>
        <v>2</v>
      </c>
      <c r="K48" s="64">
        <v>0</v>
      </c>
      <c r="L48" s="61">
        <v>0</v>
      </c>
      <c r="M48" s="62">
        <v>0</v>
      </c>
      <c r="N48" s="63">
        <v>0</v>
      </c>
      <c r="O48" s="65">
        <v>0</v>
      </c>
      <c r="P48" s="82">
        <f t="shared" si="19"/>
        <v>2</v>
      </c>
      <c r="Q48" s="32">
        <v>41.89</v>
      </c>
      <c r="R48" s="80">
        <f t="shared" si="24"/>
        <v>83.78</v>
      </c>
    </row>
    <row r="49" spans="1:18" ht="21.5" thickBot="1" x14ac:dyDescent="0.4">
      <c r="A49" s="545"/>
      <c r="B49" s="106" t="s">
        <v>68</v>
      </c>
      <c r="C49" s="73" t="s">
        <v>34</v>
      </c>
      <c r="D49" s="58"/>
      <c r="E49" s="22">
        <v>2</v>
      </c>
      <c r="F49" s="10">
        <v>2</v>
      </c>
      <c r="G49" s="2">
        <v>1</v>
      </c>
      <c r="H49" s="98">
        <f t="shared" si="25"/>
        <v>2</v>
      </c>
      <c r="I49" s="3">
        <f>240/60</f>
        <v>4</v>
      </c>
      <c r="J49" s="76">
        <f t="shared" si="21"/>
        <v>8</v>
      </c>
      <c r="K49" s="64">
        <v>0</v>
      </c>
      <c r="L49" s="61">
        <v>0</v>
      </c>
      <c r="M49" s="62">
        <v>0</v>
      </c>
      <c r="N49" s="63">
        <v>0</v>
      </c>
      <c r="O49" s="65">
        <v>0</v>
      </c>
      <c r="P49" s="82">
        <f t="shared" si="19"/>
        <v>8</v>
      </c>
      <c r="Q49" s="32">
        <v>41.89</v>
      </c>
      <c r="R49" s="80">
        <f t="shared" si="24"/>
        <v>335.12</v>
      </c>
    </row>
    <row r="50" spans="1:18" ht="21.5" thickBot="1" x14ac:dyDescent="0.4">
      <c r="A50" s="545"/>
      <c r="B50" s="106" t="s">
        <v>68</v>
      </c>
      <c r="C50" s="54" t="s">
        <v>35</v>
      </c>
      <c r="D50" s="58"/>
      <c r="E50" s="22">
        <v>1</v>
      </c>
      <c r="F50" s="10">
        <v>1</v>
      </c>
      <c r="G50" s="2">
        <v>1</v>
      </c>
      <c r="H50" s="98">
        <f t="shared" si="25"/>
        <v>1</v>
      </c>
      <c r="I50" s="3">
        <f>60/60</f>
        <v>1</v>
      </c>
      <c r="J50" s="76">
        <f t="shared" si="21"/>
        <v>1</v>
      </c>
      <c r="K50" s="64">
        <v>0</v>
      </c>
      <c r="L50" s="61">
        <v>0</v>
      </c>
      <c r="M50" s="62">
        <v>0</v>
      </c>
      <c r="N50" s="63">
        <v>0</v>
      </c>
      <c r="O50" s="65">
        <v>0</v>
      </c>
      <c r="P50" s="82">
        <f t="shared" si="19"/>
        <v>1</v>
      </c>
      <c r="Q50" s="32">
        <v>41.89</v>
      </c>
      <c r="R50" s="80">
        <f t="shared" si="24"/>
        <v>41.89</v>
      </c>
    </row>
    <row r="51" spans="1:18" ht="15.5" thickTop="1" thickBot="1" x14ac:dyDescent="0.4">
      <c r="A51" s="546" t="s">
        <v>46</v>
      </c>
      <c r="B51" s="547"/>
      <c r="C51" s="548"/>
      <c r="D51" s="35"/>
      <c r="E51" s="36">
        <f>18+2</f>
        <v>20</v>
      </c>
      <c r="F51" s="36">
        <f>18+2</f>
        <v>20</v>
      </c>
      <c r="G51" s="37">
        <f>H51/F51</f>
        <v>2.4500000000000002</v>
      </c>
      <c r="H51" s="101">
        <f>SUM(H44:H50)</f>
        <v>49</v>
      </c>
      <c r="I51" s="42">
        <f>J51/H51</f>
        <v>0.65102040816326534</v>
      </c>
      <c r="J51" s="95">
        <f>SUM(J44:J50)</f>
        <v>31.900000000000002</v>
      </c>
      <c r="K51" s="41">
        <v>0</v>
      </c>
      <c r="L51" s="84">
        <v>0</v>
      </c>
      <c r="M51" s="38">
        <f>SUM(M44:M50)</f>
        <v>0</v>
      </c>
      <c r="N51" s="42">
        <v>0</v>
      </c>
      <c r="O51" s="40">
        <f>SUM(O44:O50)</f>
        <v>0</v>
      </c>
      <c r="P51" s="87">
        <f t="shared" ref="P51" si="26">+O51+J51</f>
        <v>31.900000000000002</v>
      </c>
      <c r="Q51" s="43" t="s">
        <v>17</v>
      </c>
      <c r="R51" s="83">
        <f>SUM(R44:R50)</f>
        <v>1188.4930000000002</v>
      </c>
    </row>
    <row r="52" spans="1:18" ht="15" thickBot="1" x14ac:dyDescent="0.4">
      <c r="A52" s="44"/>
      <c r="B52" s="45" t="s">
        <v>0</v>
      </c>
      <c r="C52" s="46"/>
      <c r="D52" s="50"/>
      <c r="E52" s="51">
        <f>E31+E42+E51</f>
        <v>146</v>
      </c>
      <c r="F52" s="51">
        <f>F31+F42+F51</f>
        <v>146</v>
      </c>
      <c r="G52" s="47">
        <f>+H52/F52</f>
        <v>2.6575342465753424</v>
      </c>
      <c r="H52" s="103">
        <f>H31+H42+H51</f>
        <v>388</v>
      </c>
      <c r="I52" s="47">
        <f>+J52/H52</f>
        <v>0.82293814432989676</v>
      </c>
      <c r="J52" s="96">
        <f>J31+J42+J51</f>
        <v>319.29999999999995</v>
      </c>
      <c r="K52" s="52">
        <v>0</v>
      </c>
      <c r="L52" s="48">
        <v>0</v>
      </c>
      <c r="M52" s="48">
        <f>SUM(M11:M51)</f>
        <v>0</v>
      </c>
      <c r="N52" s="48">
        <v>0</v>
      </c>
      <c r="O52" s="51">
        <f>O31+O42+O51</f>
        <v>0</v>
      </c>
      <c r="P52" s="51">
        <f>P31+P42+P51</f>
        <v>319.29999999999995</v>
      </c>
      <c r="Q52" s="49"/>
      <c r="R52" s="88">
        <f>R31+R42+R51</f>
        <v>10599.623</v>
      </c>
    </row>
    <row r="53" spans="1:18" x14ac:dyDescent="0.35">
      <c r="P53" s="86">
        <f>J52+O52</f>
        <v>319.29999999999995</v>
      </c>
    </row>
    <row r="54" spans="1:18" ht="17.25" customHeight="1" x14ac:dyDescent="0.35">
      <c r="A54" s="555" t="s">
        <v>63</v>
      </c>
      <c r="B54" s="555"/>
      <c r="C54" s="555"/>
      <c r="D54" s="555"/>
      <c r="E54" s="555"/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</row>
    <row r="55" spans="1:18" ht="14.25" customHeight="1" x14ac:dyDescent="0.35">
      <c r="A55" s="6" t="s">
        <v>62</v>
      </c>
    </row>
    <row r="56" spans="1:18" ht="15.75" customHeight="1" x14ac:dyDescent="0.35">
      <c r="A56" s="6" t="s">
        <v>61</v>
      </c>
    </row>
    <row r="57" spans="1:18" x14ac:dyDescent="0.35">
      <c r="A57" s="6" t="s">
        <v>60</v>
      </c>
    </row>
    <row r="58" spans="1:18" x14ac:dyDescent="0.35">
      <c r="A58" s="6" t="s">
        <v>59</v>
      </c>
    </row>
    <row r="61" spans="1:18" x14ac:dyDescent="0.35">
      <c r="A61"/>
    </row>
    <row r="62" spans="1:18" ht="15.75" customHeight="1" x14ac:dyDescent="0.35">
      <c r="A62"/>
      <c r="B62"/>
    </row>
    <row r="63" spans="1:18" x14ac:dyDescent="0.35">
      <c r="A63"/>
      <c r="B63"/>
    </row>
    <row r="64" spans="1:18" x14ac:dyDescent="0.35">
      <c r="A64"/>
      <c r="B64"/>
    </row>
    <row r="65" spans="1:2" x14ac:dyDescent="0.35">
      <c r="A65"/>
      <c r="B65"/>
    </row>
  </sheetData>
  <mergeCells count="13">
    <mergeCell ref="A44:A50"/>
    <mergeCell ref="A51:C51"/>
    <mergeCell ref="A54:R54"/>
    <mergeCell ref="A31:C31"/>
    <mergeCell ref="A32:R32"/>
    <mergeCell ref="A43:R43"/>
    <mergeCell ref="F1:J1"/>
    <mergeCell ref="K1:O1"/>
    <mergeCell ref="A4:A25"/>
    <mergeCell ref="A33:A41"/>
    <mergeCell ref="A42:C42"/>
    <mergeCell ref="A3:R3"/>
    <mergeCell ref="A26:A30"/>
  </mergeCells>
  <hyperlinks>
    <hyperlink ref="A54" r:id="rId1" display="http://www.bls.gov/oes/current/oes_nat.htm" xr:uid="{00000000-0004-0000-0100-000000000000}"/>
  </hyperlinks>
  <pageMargins left="0.7" right="0.7" top="0.75" bottom="0.75" header="0.3" footer="0.3"/>
  <pageSetup scale="55" fitToHeight="0" orientation="landscape" r:id="rId2"/>
  <headerFooter>
    <oddHeader>&amp;A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opLeftCell="A15" workbookViewId="0">
      <selection activeCell="J22" sqref="J22"/>
    </sheetView>
  </sheetViews>
  <sheetFormatPr defaultRowHeight="14.5" x14ac:dyDescent="0.35"/>
  <cols>
    <col min="10" max="10" width="18.1796875" customWidth="1"/>
    <col min="13" max="13" width="50" customWidth="1"/>
  </cols>
  <sheetData>
    <row r="1" spans="1:13" x14ac:dyDescent="0.35">
      <c r="A1" s="129" t="s">
        <v>19</v>
      </c>
      <c r="B1" s="129"/>
      <c r="C1" s="129"/>
      <c r="D1" s="126"/>
      <c r="E1" s="126"/>
      <c r="F1" s="126"/>
      <c r="G1" s="126"/>
      <c r="H1" s="126"/>
      <c r="I1" s="126"/>
      <c r="J1" s="126" t="s">
        <v>23</v>
      </c>
      <c r="K1" s="126" t="s">
        <v>24</v>
      </c>
      <c r="L1" s="126"/>
      <c r="M1" s="126" t="s">
        <v>26</v>
      </c>
    </row>
    <row r="4" spans="1:13" x14ac:dyDescent="0.35">
      <c r="A4" s="129" t="s">
        <v>98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x14ac:dyDescent="0.35">
      <c r="A5" s="126" t="s">
        <v>99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3" x14ac:dyDescent="0.35">
      <c r="A6" s="127" t="s">
        <v>100</v>
      </c>
      <c r="B6" s="126"/>
      <c r="C6" s="126"/>
      <c r="D6" s="126"/>
      <c r="E6" s="126"/>
      <c r="F6" s="126"/>
      <c r="G6" s="126"/>
      <c r="H6" s="126"/>
      <c r="I6" s="126"/>
      <c r="J6" s="126">
        <v>4</v>
      </c>
      <c r="K6" s="126">
        <f>J6*1.5</f>
        <v>6</v>
      </c>
      <c r="L6" s="126"/>
      <c r="M6" s="126"/>
    </row>
    <row r="7" spans="1:13" x14ac:dyDescent="0.35">
      <c r="A7" s="127" t="s">
        <v>101</v>
      </c>
      <c r="B7" s="126"/>
      <c r="C7" s="126"/>
      <c r="D7" s="126"/>
      <c r="E7" s="126"/>
      <c r="F7" s="126"/>
      <c r="G7" s="126"/>
      <c r="H7" s="126"/>
      <c r="I7" s="126"/>
      <c r="J7" s="126">
        <v>4</v>
      </c>
      <c r="K7" s="126">
        <f>J7*1.5</f>
        <v>6</v>
      </c>
      <c r="L7" s="126"/>
      <c r="M7" s="126"/>
    </row>
    <row r="8" spans="1:13" x14ac:dyDescent="0.35">
      <c r="A8" s="132"/>
      <c r="B8" s="126"/>
      <c r="C8" s="126"/>
      <c r="D8" s="126"/>
      <c r="E8" s="126"/>
      <c r="F8" s="126"/>
      <c r="G8" s="126"/>
      <c r="H8" s="126"/>
      <c r="I8" s="126"/>
      <c r="J8" s="126">
        <v>8</v>
      </c>
      <c r="K8" s="126">
        <v>12</v>
      </c>
      <c r="L8" s="126"/>
      <c r="M8" s="126"/>
    </row>
    <row r="10" spans="1:13" x14ac:dyDescent="0.35">
      <c r="A10" s="126" t="s">
        <v>72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3" x14ac:dyDescent="0.35">
      <c r="A11" s="127" t="s">
        <v>20</v>
      </c>
      <c r="B11" s="126"/>
      <c r="C11" s="126"/>
      <c r="D11" s="126"/>
      <c r="E11" s="126"/>
      <c r="F11" s="126"/>
      <c r="G11" s="126"/>
      <c r="H11" s="126"/>
      <c r="I11" s="126"/>
      <c r="J11" s="126">
        <v>8</v>
      </c>
      <c r="K11" s="126">
        <v>8</v>
      </c>
      <c r="L11" s="126"/>
      <c r="M11" s="126"/>
    </row>
    <row r="12" spans="1:13" x14ac:dyDescent="0.35">
      <c r="A12" s="127" t="s">
        <v>21</v>
      </c>
      <c r="B12" s="126"/>
      <c r="C12" s="126"/>
      <c r="D12" s="126"/>
      <c r="E12" s="126"/>
      <c r="F12" s="126"/>
      <c r="G12" s="126"/>
      <c r="H12" s="126"/>
      <c r="I12" s="126"/>
      <c r="J12" s="126">
        <v>8</v>
      </c>
      <c r="K12" s="126">
        <v>8</v>
      </c>
      <c r="L12" s="126"/>
      <c r="M12" s="559" t="s">
        <v>103</v>
      </c>
    </row>
    <row r="13" spans="1:13" x14ac:dyDescent="0.35">
      <c r="A13" s="127" t="s">
        <v>22</v>
      </c>
      <c r="B13" s="126"/>
      <c r="C13" s="126"/>
      <c r="D13" s="126"/>
      <c r="E13" s="126"/>
      <c r="F13" s="126"/>
      <c r="G13" s="126"/>
      <c r="H13" s="126"/>
      <c r="I13" s="126"/>
      <c r="J13" s="126">
        <v>8</v>
      </c>
      <c r="K13" s="126">
        <v>8</v>
      </c>
      <c r="L13" s="126"/>
      <c r="M13" s="559"/>
    </row>
    <row r="14" spans="1:13" x14ac:dyDescent="0.35">
      <c r="A14" s="127" t="s">
        <v>102</v>
      </c>
      <c r="B14" s="126"/>
      <c r="C14" s="126"/>
      <c r="D14" s="126"/>
      <c r="E14" s="126"/>
      <c r="F14" s="126"/>
      <c r="G14" s="126"/>
      <c r="H14" s="126"/>
      <c r="I14" s="126"/>
      <c r="J14" s="126">
        <v>40</v>
      </c>
      <c r="K14" s="126">
        <v>80</v>
      </c>
      <c r="L14" s="126"/>
      <c r="M14" s="126" t="s">
        <v>122</v>
      </c>
    </row>
    <row r="15" spans="1:13" x14ac:dyDescent="0.35">
      <c r="A15" s="127" t="s">
        <v>84</v>
      </c>
      <c r="B15" s="126"/>
      <c r="C15" s="126"/>
      <c r="D15" s="126"/>
      <c r="E15" s="126"/>
      <c r="F15" s="126"/>
      <c r="G15" s="126"/>
      <c r="H15" s="126"/>
      <c r="I15" s="126"/>
      <c r="J15" s="126">
        <v>16</v>
      </c>
      <c r="K15" s="126">
        <v>16</v>
      </c>
      <c r="L15" s="126"/>
      <c r="M15" s="126" t="s">
        <v>104</v>
      </c>
    </row>
    <row r="16" spans="1:13" x14ac:dyDescent="0.35">
      <c r="A16" s="127" t="s">
        <v>83</v>
      </c>
      <c r="B16" s="126"/>
      <c r="C16" s="126"/>
      <c r="D16" s="126"/>
      <c r="E16" s="126"/>
      <c r="F16" s="126"/>
      <c r="G16" s="126"/>
      <c r="H16" s="126"/>
      <c r="I16" s="126"/>
      <c r="J16" s="126">
        <v>80</v>
      </c>
      <c r="K16" s="126"/>
      <c r="L16" s="126"/>
      <c r="M16" s="126"/>
    </row>
    <row r="18" spans="1:13" x14ac:dyDescent="0.35">
      <c r="A18" s="128" t="s">
        <v>105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</row>
    <row r="19" spans="1:13" x14ac:dyDescent="0.35">
      <c r="A19" s="127" t="s">
        <v>109</v>
      </c>
      <c r="B19" s="126"/>
      <c r="C19" s="126"/>
      <c r="D19" s="126"/>
      <c r="E19" s="126"/>
      <c r="F19" s="126"/>
      <c r="G19" s="126"/>
      <c r="H19" s="126"/>
      <c r="I19" s="126"/>
      <c r="J19" s="126">
        <v>8</v>
      </c>
      <c r="K19" s="126"/>
      <c r="L19" s="126"/>
      <c r="M19" s="126"/>
    </row>
    <row r="20" spans="1:13" x14ac:dyDescent="0.35">
      <c r="A20" s="130" t="s">
        <v>106</v>
      </c>
      <c r="B20" s="126"/>
      <c r="C20" s="126"/>
      <c r="D20" s="126"/>
      <c r="E20" s="126"/>
      <c r="F20" s="126"/>
      <c r="G20" s="126"/>
      <c r="H20" s="126"/>
      <c r="I20" s="126"/>
      <c r="J20" s="126">
        <v>3</v>
      </c>
      <c r="K20" s="126"/>
      <c r="L20" s="126"/>
      <c r="M20" s="126"/>
    </row>
    <row r="21" spans="1:13" x14ac:dyDescent="0.35">
      <c r="A21" s="130" t="s">
        <v>107</v>
      </c>
      <c r="B21" s="126"/>
      <c r="C21" s="126"/>
      <c r="D21" s="126"/>
      <c r="E21" s="126"/>
      <c r="F21" s="126"/>
      <c r="G21" s="126"/>
      <c r="H21" s="126"/>
      <c r="I21" s="126"/>
      <c r="J21" s="126">
        <v>2</v>
      </c>
      <c r="K21" s="126"/>
      <c r="L21" s="126"/>
      <c r="M21" s="126"/>
    </row>
    <row r="22" spans="1:13" x14ac:dyDescent="0.35">
      <c r="A22" s="130" t="s">
        <v>108</v>
      </c>
      <c r="B22" s="126"/>
      <c r="C22" s="126"/>
      <c r="D22" s="126"/>
      <c r="E22" s="126"/>
      <c r="F22" s="126"/>
      <c r="G22" s="126"/>
      <c r="H22" s="126"/>
      <c r="I22" s="126"/>
      <c r="J22" s="126">
        <v>3</v>
      </c>
      <c r="K22" s="126"/>
      <c r="L22" s="126"/>
      <c r="M22" s="126"/>
    </row>
    <row r="23" spans="1:13" x14ac:dyDescent="0.35">
      <c r="A23" s="127" t="s">
        <v>111</v>
      </c>
      <c r="B23" s="126"/>
      <c r="C23" s="126"/>
      <c r="D23" s="126"/>
      <c r="E23" s="126"/>
      <c r="F23" s="126"/>
      <c r="G23" s="126"/>
      <c r="H23" s="126"/>
      <c r="I23" s="126"/>
      <c r="J23" s="126">
        <v>16</v>
      </c>
      <c r="K23" s="126"/>
      <c r="L23" s="126"/>
      <c r="M23" s="559" t="s">
        <v>113</v>
      </c>
    </row>
    <row r="24" spans="1:13" x14ac:dyDescent="0.35">
      <c r="A24" s="130" t="s">
        <v>110</v>
      </c>
      <c r="B24" s="126"/>
      <c r="C24" s="126"/>
      <c r="D24" s="126"/>
      <c r="E24" s="126"/>
      <c r="F24" s="126"/>
      <c r="G24" s="126"/>
      <c r="H24" s="126"/>
      <c r="I24" s="126"/>
      <c r="J24" s="126">
        <v>6</v>
      </c>
      <c r="K24" s="126"/>
      <c r="L24" s="126"/>
      <c r="M24" s="559"/>
    </row>
    <row r="25" spans="1:13" x14ac:dyDescent="0.35">
      <c r="A25" s="130" t="s">
        <v>107</v>
      </c>
      <c r="B25" s="126"/>
      <c r="C25" s="126"/>
      <c r="D25" s="126"/>
      <c r="E25" s="126"/>
      <c r="F25" s="126"/>
      <c r="G25" s="126"/>
      <c r="H25" s="126"/>
      <c r="I25" s="126"/>
      <c r="J25" s="126">
        <v>4</v>
      </c>
      <c r="K25" s="126"/>
      <c r="L25" s="126"/>
      <c r="M25" s="559"/>
    </row>
    <row r="26" spans="1:13" x14ac:dyDescent="0.35">
      <c r="A26" s="130" t="s">
        <v>108</v>
      </c>
      <c r="B26" s="126"/>
      <c r="C26" s="126"/>
      <c r="D26" s="126"/>
      <c r="E26" s="126"/>
      <c r="F26" s="126"/>
      <c r="G26" s="126"/>
      <c r="H26" s="126"/>
      <c r="I26" s="126"/>
      <c r="J26" s="126">
        <v>6</v>
      </c>
      <c r="K26" s="126"/>
      <c r="L26" s="126"/>
      <c r="M26" s="559"/>
    </row>
    <row r="27" spans="1:13" x14ac:dyDescent="0.35">
      <c r="A27" s="127" t="s">
        <v>112</v>
      </c>
      <c r="B27" s="126"/>
      <c r="C27" s="126"/>
      <c r="D27" s="126"/>
      <c r="E27" s="126"/>
      <c r="F27" s="126"/>
      <c r="G27" s="126"/>
      <c r="H27" s="126"/>
      <c r="I27" s="126"/>
      <c r="J27" s="126">
        <v>16</v>
      </c>
      <c r="K27" s="126"/>
      <c r="L27" s="126"/>
      <c r="M27" s="559"/>
    </row>
    <row r="28" spans="1:13" x14ac:dyDescent="0.35">
      <c r="A28" s="130" t="s">
        <v>110</v>
      </c>
      <c r="B28" s="126"/>
      <c r="C28" s="126"/>
      <c r="D28" s="126"/>
      <c r="E28" s="126"/>
      <c r="F28" s="126"/>
      <c r="G28" s="126"/>
      <c r="H28" s="126"/>
      <c r="I28" s="126"/>
      <c r="J28" s="126">
        <v>6</v>
      </c>
      <c r="K28" s="126"/>
      <c r="L28" s="126"/>
      <c r="M28" s="133"/>
    </row>
    <row r="29" spans="1:13" x14ac:dyDescent="0.35">
      <c r="A29" s="130" t="s">
        <v>107</v>
      </c>
      <c r="B29" s="126"/>
      <c r="C29" s="126"/>
      <c r="D29" s="126"/>
      <c r="E29" s="126"/>
      <c r="F29" s="126"/>
      <c r="G29" s="126"/>
      <c r="H29" s="126"/>
      <c r="I29" s="126"/>
      <c r="J29" s="126">
        <v>4</v>
      </c>
      <c r="K29" s="126"/>
      <c r="L29" s="126"/>
      <c r="M29" s="133"/>
    </row>
    <row r="30" spans="1:13" x14ac:dyDescent="0.35">
      <c r="A30" s="130" t="s">
        <v>108</v>
      </c>
      <c r="B30" s="126"/>
      <c r="C30" s="126"/>
      <c r="D30" s="126"/>
      <c r="E30" s="126"/>
      <c r="F30" s="126"/>
      <c r="G30" s="126"/>
      <c r="H30" s="126"/>
      <c r="I30" s="126"/>
      <c r="J30" s="126">
        <v>6</v>
      </c>
      <c r="K30" s="126"/>
      <c r="L30" s="126"/>
      <c r="M30" s="133"/>
    </row>
    <row r="31" spans="1:13" ht="67.5" customHeight="1" x14ac:dyDescent="0.35">
      <c r="A31" s="130" t="s">
        <v>114</v>
      </c>
      <c r="B31" s="126"/>
      <c r="C31" s="126"/>
      <c r="D31" s="126"/>
      <c r="E31" s="126"/>
      <c r="F31" s="126"/>
      <c r="G31" s="126"/>
      <c r="H31" s="126"/>
      <c r="I31" s="126" t="s">
        <v>97</v>
      </c>
      <c r="J31" s="137">
        <v>8</v>
      </c>
      <c r="K31" s="126">
        <v>8</v>
      </c>
      <c r="L31" s="126"/>
      <c r="M31" s="133" t="s">
        <v>85</v>
      </c>
    </row>
    <row r="32" spans="1:13" x14ac:dyDescent="0.35">
      <c r="A32" s="130" t="s">
        <v>110</v>
      </c>
      <c r="B32" s="126"/>
      <c r="C32" s="126"/>
      <c r="D32" s="126"/>
      <c r="E32" s="126"/>
      <c r="F32" s="126"/>
      <c r="G32" s="126"/>
      <c r="H32" s="126"/>
      <c r="I32" s="126"/>
      <c r="J32" s="137">
        <v>3</v>
      </c>
      <c r="K32" s="126">
        <v>3</v>
      </c>
      <c r="L32" s="126"/>
      <c r="M32" s="133"/>
    </row>
    <row r="33" spans="1:13" x14ac:dyDescent="0.35">
      <c r="A33" s="130" t="s">
        <v>107</v>
      </c>
      <c r="B33" s="126"/>
      <c r="C33" s="126"/>
      <c r="D33" s="126"/>
      <c r="E33" s="126"/>
      <c r="F33" s="126"/>
      <c r="G33" s="126"/>
      <c r="H33" s="126"/>
      <c r="I33" s="126"/>
      <c r="J33" s="137">
        <v>2</v>
      </c>
      <c r="K33" s="126">
        <v>2</v>
      </c>
      <c r="L33" s="126"/>
      <c r="M33" s="133"/>
    </row>
    <row r="34" spans="1:13" x14ac:dyDescent="0.35">
      <c r="A34" s="130" t="s">
        <v>108</v>
      </c>
      <c r="B34" s="126"/>
      <c r="C34" s="126"/>
      <c r="D34" s="126"/>
      <c r="E34" s="126"/>
      <c r="F34" s="126"/>
      <c r="G34" s="126"/>
      <c r="H34" s="126"/>
      <c r="I34" s="126"/>
      <c r="J34" s="137">
        <v>3</v>
      </c>
      <c r="K34" s="126">
        <v>3</v>
      </c>
      <c r="L34" s="126"/>
      <c r="M34" s="133"/>
    </row>
    <row r="35" spans="1:13" x14ac:dyDescent="0.35">
      <c r="A35" s="130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33"/>
    </row>
    <row r="36" spans="1:13" x14ac:dyDescent="0.35">
      <c r="A36" s="130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/>
    </row>
    <row r="38" spans="1:13" ht="15" thickBot="1" x14ac:dyDescent="0.4">
      <c r="A38" s="131" t="s">
        <v>115</v>
      </c>
      <c r="B38" s="126"/>
      <c r="C38" s="126"/>
      <c r="D38" s="126"/>
      <c r="E38" s="126"/>
      <c r="F38" s="126"/>
      <c r="G38" s="126"/>
      <c r="H38" s="126"/>
      <c r="I38" s="126"/>
      <c r="J38" s="126" t="s">
        <v>25</v>
      </c>
      <c r="K38" s="126" t="s">
        <v>24</v>
      </c>
      <c r="L38" s="126"/>
      <c r="M38" s="126"/>
    </row>
    <row r="39" spans="1:13" ht="15" thickBot="1" x14ac:dyDescent="0.4">
      <c r="A39" s="134" t="s">
        <v>82</v>
      </c>
      <c r="B39" s="135"/>
      <c r="C39" s="135"/>
      <c r="D39" s="135"/>
      <c r="E39" s="135"/>
      <c r="F39" s="135"/>
      <c r="G39" s="135"/>
      <c r="H39" s="135"/>
      <c r="I39" s="135"/>
      <c r="J39" s="135">
        <v>4</v>
      </c>
      <c r="K39" s="135">
        <v>16</v>
      </c>
      <c r="L39" s="135"/>
      <c r="M39" s="135"/>
    </row>
    <row r="40" spans="1:13" x14ac:dyDescent="0.35">
      <c r="A40" s="132" t="s">
        <v>116</v>
      </c>
      <c r="B40" s="126"/>
      <c r="C40" s="126"/>
      <c r="D40" s="126"/>
      <c r="E40" s="126"/>
      <c r="F40" s="126"/>
      <c r="G40" s="126"/>
      <c r="H40" s="126"/>
      <c r="I40" s="126"/>
      <c r="J40" s="126">
        <v>4</v>
      </c>
      <c r="K40" s="126">
        <v>32</v>
      </c>
      <c r="L40" s="126"/>
      <c r="M40" s="126"/>
    </row>
    <row r="41" spans="1:13" x14ac:dyDescent="0.35">
      <c r="A41" s="132" t="s">
        <v>117</v>
      </c>
      <c r="B41" s="126"/>
      <c r="C41" s="126"/>
      <c r="D41" s="126"/>
      <c r="E41" s="126"/>
      <c r="F41" s="126"/>
      <c r="G41" s="126"/>
      <c r="H41" s="126"/>
      <c r="I41" s="126"/>
      <c r="J41" s="126">
        <v>2</v>
      </c>
      <c r="K41" s="126">
        <v>8</v>
      </c>
      <c r="L41" s="126"/>
      <c r="M41" s="126"/>
    </row>
    <row r="42" spans="1:13" x14ac:dyDescent="0.35">
      <c r="A42" s="132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</row>
    <row r="43" spans="1:13" x14ac:dyDescent="0.35">
      <c r="A43" s="136" t="s">
        <v>118</v>
      </c>
      <c r="B43" s="126"/>
      <c r="C43" s="126"/>
      <c r="D43" s="126"/>
      <c r="E43" s="126"/>
      <c r="F43" s="126"/>
      <c r="G43" s="126"/>
      <c r="H43" s="126"/>
      <c r="I43" s="126"/>
      <c r="J43" s="126" t="s">
        <v>119</v>
      </c>
      <c r="K43" s="126" t="s">
        <v>88</v>
      </c>
      <c r="L43" s="126"/>
      <c r="M43" s="126"/>
    </row>
    <row r="44" spans="1:13" x14ac:dyDescent="0.35">
      <c r="A44" s="130" t="s">
        <v>120</v>
      </c>
      <c r="B44" s="126"/>
      <c r="C44" s="126"/>
      <c r="D44" s="126"/>
      <c r="E44" s="126"/>
      <c r="F44" s="126"/>
      <c r="G44" s="126"/>
      <c r="H44" s="126"/>
      <c r="I44" s="126"/>
      <c r="J44" s="126">
        <v>4</v>
      </c>
      <c r="K44" s="126">
        <v>32</v>
      </c>
      <c r="L44" s="126"/>
      <c r="M44" s="126"/>
    </row>
    <row r="45" spans="1:13" x14ac:dyDescent="0.35">
      <c r="A45" s="130" t="s">
        <v>121</v>
      </c>
      <c r="B45" s="126"/>
      <c r="C45" s="126"/>
      <c r="D45" s="126"/>
      <c r="E45" s="126"/>
      <c r="F45" s="126"/>
      <c r="G45" s="126"/>
      <c r="H45" s="126"/>
      <c r="I45" s="126"/>
      <c r="J45" s="126">
        <v>4</v>
      </c>
      <c r="K45" s="126">
        <v>40</v>
      </c>
      <c r="L45" s="126"/>
      <c r="M45" s="126"/>
    </row>
    <row r="46" spans="1:13" x14ac:dyDescent="0.35">
      <c r="A46" s="560"/>
      <c r="B46" s="560"/>
      <c r="C46" s="560"/>
      <c r="D46" s="560"/>
      <c r="E46" s="560"/>
      <c r="F46" s="560"/>
      <c r="G46" s="560"/>
      <c r="H46" s="560"/>
      <c r="I46" s="560"/>
      <c r="J46" s="126"/>
      <c r="K46" s="126"/>
      <c r="L46" s="126"/>
      <c r="M46" s="126"/>
    </row>
    <row r="48" spans="1:13" x14ac:dyDescent="0.35">
      <c r="A48" s="136" t="s">
        <v>86</v>
      </c>
      <c r="B48" s="126"/>
      <c r="C48" s="126"/>
      <c r="D48" s="126"/>
      <c r="E48" s="126"/>
      <c r="F48" s="126"/>
      <c r="G48" s="126"/>
      <c r="H48" s="126"/>
      <c r="I48" s="126"/>
      <c r="J48" s="126" t="s">
        <v>87</v>
      </c>
      <c r="K48" s="126" t="s">
        <v>88</v>
      </c>
      <c r="L48" s="126"/>
      <c r="M48" s="126"/>
    </row>
    <row r="49" spans="1:13" x14ac:dyDescent="0.35">
      <c r="A49" s="130" t="s">
        <v>89</v>
      </c>
      <c r="B49" s="126"/>
      <c r="C49" s="126"/>
      <c r="D49" s="126"/>
      <c r="E49" s="126"/>
      <c r="F49" s="126"/>
      <c r="G49" s="126"/>
      <c r="H49" s="126"/>
      <c r="I49" s="126"/>
      <c r="J49" s="126">
        <v>8</v>
      </c>
      <c r="K49" s="126">
        <v>8</v>
      </c>
      <c r="L49" s="126"/>
      <c r="M49" s="126" t="s">
        <v>90</v>
      </c>
    </row>
    <row r="50" spans="1:13" x14ac:dyDescent="0.35">
      <c r="A50" s="130" t="s">
        <v>91</v>
      </c>
      <c r="B50" s="126"/>
      <c r="C50" s="126"/>
      <c r="D50" s="126"/>
      <c r="E50" s="126"/>
      <c r="F50" s="126"/>
      <c r="G50" s="126"/>
      <c r="H50" s="126"/>
      <c r="I50" s="126"/>
      <c r="J50" s="126">
        <v>3</v>
      </c>
      <c r="K50" s="126">
        <v>3</v>
      </c>
      <c r="L50" s="126"/>
      <c r="M50" s="126" t="s">
        <v>92</v>
      </c>
    </row>
    <row r="51" spans="1:13" x14ac:dyDescent="0.35">
      <c r="A51" s="126" t="s">
        <v>93</v>
      </c>
      <c r="B51" s="126"/>
      <c r="C51" s="126"/>
      <c r="D51" s="126"/>
      <c r="E51" s="126"/>
      <c r="F51" s="126"/>
      <c r="G51" s="126"/>
      <c r="H51" s="126"/>
      <c r="I51" s="126"/>
      <c r="J51" s="126">
        <v>3</v>
      </c>
      <c r="K51" s="126">
        <v>2</v>
      </c>
      <c r="L51" s="126"/>
      <c r="M51" s="126" t="s">
        <v>92</v>
      </c>
    </row>
    <row r="52" spans="1:13" x14ac:dyDescent="0.35">
      <c r="A52" s="126" t="s">
        <v>94</v>
      </c>
      <c r="B52" s="126"/>
      <c r="C52" s="126"/>
      <c r="D52" s="126"/>
      <c r="E52" s="126"/>
      <c r="F52" s="126"/>
      <c r="G52" s="126"/>
      <c r="H52" s="126"/>
      <c r="I52" s="126"/>
      <c r="J52" s="126">
        <v>2</v>
      </c>
      <c r="K52" s="126">
        <v>3</v>
      </c>
      <c r="L52" s="126"/>
      <c r="M52" s="126" t="s">
        <v>92</v>
      </c>
    </row>
    <row r="53" spans="1:13" x14ac:dyDescent="0.35">
      <c r="A53" s="126"/>
      <c r="B53" s="126"/>
      <c r="C53" s="126"/>
      <c r="D53" s="126"/>
      <c r="E53" s="126"/>
      <c r="F53" s="126"/>
      <c r="G53" s="126"/>
      <c r="H53" s="126"/>
      <c r="I53" s="126" t="s">
        <v>95</v>
      </c>
      <c r="J53" s="126">
        <v>16</v>
      </c>
      <c r="K53" s="126">
        <f>SUM(K49:K52)</f>
        <v>16</v>
      </c>
      <c r="L53" s="126"/>
      <c r="M53" s="126"/>
    </row>
  </sheetData>
  <mergeCells count="3">
    <mergeCell ref="M12:M13"/>
    <mergeCell ref="M23:M27"/>
    <mergeCell ref="A46:I46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Props1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EC02A8-0ED5-4103-B250-F4592D9E333E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dbcbb5a-2d39-43bd-b6c7-d27f844c7f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Burden Table</vt:lpstr>
      <vt:lpstr>Burden Table - Detailed OMB</vt:lpstr>
      <vt:lpstr>assumptions</vt:lpstr>
      <vt:lpstr>'Burden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Corey, Kristen - FNS</cp:lastModifiedBy>
  <cp:lastPrinted>2019-04-22T17:31:06Z</cp:lastPrinted>
  <dcterms:created xsi:type="dcterms:W3CDTF">2013-01-08T21:49:18Z</dcterms:created>
  <dcterms:modified xsi:type="dcterms:W3CDTF">2022-05-04T17:24:12Z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