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9CCB3207-34B4-4B06-A2E7-026689E29F65}" xr6:coauthVersionLast="46" xr6:coauthVersionMax="46" xr10:uidLastSave="{00000000-0000-0000-0000-000000000000}"/>
  <bookViews>
    <workbookView xWindow="-110" yWindow="-110" windowWidth="19420" windowHeight="10420" xr2:uid="{477ADEFA-562A-440D-B2AF-613D5561FF08}"/>
  </bookViews>
  <sheets>
    <sheet name="Summary Table" sheetId="7" r:id="rId1"/>
    <sheet name="Capital and O&amp;M Costs" sheetId="4" r:id="rId2"/>
    <sheet name="# Respondents" sheetId="6" r:id="rId3"/>
    <sheet name="# Responses Calcs" sheetId="3" r:id="rId4"/>
    <sheet name="Respondent Burden" sheetId="1" r:id="rId5"/>
    <sheet name="Agency Burden" sheetId="2" r:id="rId6"/>
  </sheets>
  <definedNames>
    <definedName name="_xlnm.Print_Area" localSheetId="5">'Agency Burden'!$A$1:$J$4</definedName>
    <definedName name="_xlnm.Print_Area" localSheetId="4">'Respondent Burden'!$A$1:$J$36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4" l="1"/>
  <c r="J31" i="1"/>
  <c r="C7" i="7" s="1"/>
  <c r="F7" i="7" s="1"/>
  <c r="F10" i="7"/>
  <c r="F18" i="4" l="1"/>
  <c r="J71" i="1"/>
  <c r="G69" i="1"/>
  <c r="G70" i="1" s="1"/>
  <c r="F20" i="4"/>
  <c r="F6" i="7"/>
  <c r="F18" i="3"/>
  <c r="F17" i="3"/>
  <c r="F12" i="3"/>
  <c r="F13" i="3"/>
  <c r="F11" i="3"/>
  <c r="F10" i="3"/>
  <c r="F7" i="3"/>
  <c r="F6" i="3"/>
  <c r="F5" i="3"/>
  <c r="F22" i="3"/>
  <c r="F21" i="3"/>
  <c r="F20" i="3"/>
  <c r="F16" i="3"/>
  <c r="F15" i="3"/>
  <c r="G12" i="6"/>
  <c r="E17" i="3"/>
  <c r="E12" i="3"/>
  <c r="E7" i="3"/>
  <c r="F101" i="1"/>
  <c r="F8" i="3" l="1"/>
  <c r="E20" i="4" l="1"/>
  <c r="F66" i="1"/>
  <c r="F26" i="1"/>
  <c r="F64" i="1"/>
  <c r="F24" i="1"/>
  <c r="F63" i="1"/>
  <c r="F21" i="1"/>
  <c r="J13" i="2"/>
  <c r="J12" i="2"/>
  <c r="J11" i="2"/>
  <c r="J10" i="2"/>
  <c r="G13" i="2"/>
  <c r="F10" i="2"/>
  <c r="F9" i="1"/>
  <c r="F10" i="4"/>
  <c r="C7" i="3"/>
  <c r="E17" i="4"/>
  <c r="E14" i="4"/>
  <c r="E9" i="4"/>
  <c r="F98" i="1"/>
  <c r="F94" i="1"/>
  <c r="F10" i="1"/>
  <c r="F23" i="1" s="1"/>
  <c r="F89" i="1"/>
  <c r="F50" i="1"/>
  <c r="C22" i="3"/>
  <c r="C17" i="3"/>
  <c r="C12" i="3"/>
  <c r="D8" i="6"/>
  <c r="D9" i="6"/>
  <c r="D10" i="6"/>
  <c r="D21" i="6"/>
  <c r="E21" i="6"/>
  <c r="D22" i="6"/>
  <c r="E22" i="6"/>
  <c r="E20" i="6"/>
  <c r="D20" i="6"/>
  <c r="E18" i="6"/>
  <c r="D18" i="6"/>
  <c r="E17" i="6"/>
  <c r="D17" i="6"/>
  <c r="E16" i="6"/>
  <c r="D16" i="6"/>
  <c r="D13" i="6"/>
  <c r="E13" i="6"/>
  <c r="D14" i="6"/>
  <c r="E14" i="6"/>
  <c r="E12" i="6"/>
  <c r="D12" i="6"/>
  <c r="E9" i="6"/>
  <c r="E10" i="6"/>
  <c r="E8" i="6"/>
  <c r="E23" i="1"/>
  <c r="F55" i="1" l="1"/>
  <c r="F15" i="1"/>
  <c r="D23" i="6"/>
  <c r="F21" i="4"/>
  <c r="F22" i="4" s="1"/>
  <c r="F14" i="4"/>
  <c r="F100" i="1"/>
  <c r="F65" i="1"/>
  <c r="F61" i="1"/>
  <c r="F54" i="1"/>
  <c r="E10" i="1"/>
  <c r="G10" i="1" s="1"/>
  <c r="F12" i="2" l="1"/>
  <c r="G23" i="1"/>
  <c r="G8" i="6"/>
  <c r="H10" i="1" l="1"/>
  <c r="I10" i="1"/>
  <c r="J10" i="1" l="1"/>
  <c r="C6" i="3"/>
  <c r="C11" i="3"/>
  <c r="C5" i="3"/>
  <c r="F9" i="4"/>
  <c r="I23" i="6"/>
  <c r="E8" i="4" l="1"/>
  <c r="F8" i="4" s="1"/>
  <c r="F14" i="1"/>
  <c r="F13" i="1"/>
  <c r="E13" i="4"/>
  <c r="F13" i="4" s="1"/>
  <c r="E7" i="4"/>
  <c r="F7" i="4" s="1"/>
  <c r="C20" i="3"/>
  <c r="F17" i="4"/>
  <c r="D7" i="7" s="1"/>
  <c r="C15" i="3"/>
  <c r="C10" i="3"/>
  <c r="E22" i="3"/>
  <c r="E101" i="1"/>
  <c r="E100" i="1"/>
  <c r="E98" i="1"/>
  <c r="E90" i="1"/>
  <c r="E102" i="1"/>
  <c r="E94" i="1"/>
  <c r="E93" i="1"/>
  <c r="E92" i="1"/>
  <c r="E89" i="1"/>
  <c r="E66" i="1"/>
  <c r="G66" i="1" s="1"/>
  <c r="E65" i="1"/>
  <c r="E64" i="1"/>
  <c r="E63" i="1"/>
  <c r="E61" i="1"/>
  <c r="E55" i="1"/>
  <c r="G55" i="1" s="1"/>
  <c r="E54" i="1"/>
  <c r="E53" i="1"/>
  <c r="E50" i="1"/>
  <c r="I13" i="6"/>
  <c r="E26" i="1"/>
  <c r="G26" i="1" s="1"/>
  <c r="E25" i="1"/>
  <c r="G25" i="1" s="1"/>
  <c r="E24" i="1"/>
  <c r="G24" i="1" s="1"/>
  <c r="E15" i="1"/>
  <c r="G15" i="1" s="1"/>
  <c r="E14" i="1"/>
  <c r="E13" i="1"/>
  <c r="E10" i="2"/>
  <c r="G20" i="6"/>
  <c r="G22" i="6"/>
  <c r="G21" i="6"/>
  <c r="G18" i="6"/>
  <c r="G17" i="6"/>
  <c r="G16" i="6"/>
  <c r="G14" i="6"/>
  <c r="G13" i="6"/>
  <c r="G10" i="6"/>
  <c r="G9" i="6"/>
  <c r="F23" i="6"/>
  <c r="E23" i="6"/>
  <c r="C23" i="6"/>
  <c r="G10" i="2" l="1"/>
  <c r="I10" i="2" s="1"/>
  <c r="G13" i="1"/>
  <c r="H13" i="1" s="1"/>
  <c r="E12" i="4"/>
  <c r="F12" i="4" s="1"/>
  <c r="C16" i="3"/>
  <c r="G50" i="1"/>
  <c r="G23" i="6"/>
  <c r="G101" i="1"/>
  <c r="I101" i="1" s="1"/>
  <c r="J105" i="1"/>
  <c r="E7" i="7" s="1"/>
  <c r="I23" i="1"/>
  <c r="C21" i="3"/>
  <c r="F23" i="3" s="1"/>
  <c r="F102" i="1"/>
  <c r="G102" i="1" s="1"/>
  <c r="G100" i="1"/>
  <c r="G98" i="1"/>
  <c r="G92" i="1"/>
  <c r="G90" i="1"/>
  <c r="G89" i="1"/>
  <c r="G93" i="1"/>
  <c r="I93" i="1" s="1"/>
  <c r="G94" i="1"/>
  <c r="G64" i="1"/>
  <c r="G63" i="1"/>
  <c r="H63" i="1" s="1"/>
  <c r="G61" i="1"/>
  <c r="G65" i="1"/>
  <c r="G54" i="1"/>
  <c r="I54" i="1" s="1"/>
  <c r="H15" i="1"/>
  <c r="H55" i="1"/>
  <c r="I66" i="1"/>
  <c r="H66" i="1"/>
  <c r="G53" i="1"/>
  <c r="H23" i="1"/>
  <c r="H26" i="1"/>
  <c r="I26" i="1"/>
  <c r="H25" i="1"/>
  <c r="I25" i="1"/>
  <c r="H24" i="1"/>
  <c r="I24" i="1"/>
  <c r="G14" i="1"/>
  <c r="I14" i="1" s="1"/>
  <c r="H10" i="2" l="1"/>
  <c r="F11" i="2"/>
  <c r="J23" i="1"/>
  <c r="I50" i="1"/>
  <c r="H89" i="1"/>
  <c r="H101" i="1"/>
  <c r="J101" i="1" s="1"/>
  <c r="H100" i="1"/>
  <c r="I100" i="1"/>
  <c r="H93" i="1"/>
  <c r="J93" i="1" s="1"/>
  <c r="H98" i="1"/>
  <c r="I98" i="1"/>
  <c r="I89" i="1"/>
  <c r="H94" i="1"/>
  <c r="H90" i="1"/>
  <c r="I90" i="1"/>
  <c r="I94" i="1"/>
  <c r="H102" i="1"/>
  <c r="I102" i="1"/>
  <c r="H92" i="1"/>
  <c r="I92" i="1"/>
  <c r="H65" i="1"/>
  <c r="I65" i="1"/>
  <c r="I64" i="1"/>
  <c r="H64" i="1"/>
  <c r="J66" i="1"/>
  <c r="I63" i="1"/>
  <c r="J63" i="1" s="1"/>
  <c r="H54" i="1"/>
  <c r="J54" i="1" s="1"/>
  <c r="I15" i="1"/>
  <c r="J15" i="1" s="1"/>
  <c r="H50" i="1"/>
  <c r="I55" i="1"/>
  <c r="J55" i="1" s="1"/>
  <c r="H61" i="1"/>
  <c r="I61" i="1"/>
  <c r="H53" i="1"/>
  <c r="I53" i="1"/>
  <c r="J24" i="1"/>
  <c r="J25" i="1"/>
  <c r="J26" i="1"/>
  <c r="H14" i="1"/>
  <c r="J14" i="1" s="1"/>
  <c r="I13" i="1"/>
  <c r="J13" i="1" s="1"/>
  <c r="E12" i="2"/>
  <c r="E11" i="2"/>
  <c r="E21" i="1"/>
  <c r="G21" i="1" s="1"/>
  <c r="E9" i="1"/>
  <c r="G9" i="1" s="1"/>
  <c r="F24" i="3" l="1"/>
  <c r="H21" i="1"/>
  <c r="G11" i="2"/>
  <c r="G56" i="1"/>
  <c r="J50" i="1"/>
  <c r="G95" i="1"/>
  <c r="G103" i="1"/>
  <c r="J98" i="1"/>
  <c r="J100" i="1"/>
  <c r="J89" i="1"/>
  <c r="J94" i="1"/>
  <c r="J90" i="1"/>
  <c r="J65" i="1"/>
  <c r="J92" i="1"/>
  <c r="J102" i="1"/>
  <c r="J64" i="1"/>
  <c r="J61" i="1"/>
  <c r="J53" i="1"/>
  <c r="H11" i="2"/>
  <c r="G12" i="2"/>
  <c r="J95" i="1" l="1"/>
  <c r="J69" i="1"/>
  <c r="J103" i="1"/>
  <c r="D5" i="7"/>
  <c r="F5" i="7" s="1"/>
  <c r="G104" i="1"/>
  <c r="E5" i="7" s="1"/>
  <c r="J56" i="1"/>
  <c r="H12" i="2"/>
  <c r="I12" i="2"/>
  <c r="I21" i="1"/>
  <c r="G29" i="1" s="1"/>
  <c r="I11" i="2"/>
  <c r="H9" i="1"/>
  <c r="I9" i="1"/>
  <c r="J70" i="1" l="1"/>
  <c r="J72" i="1" s="1"/>
  <c r="G16" i="1"/>
  <c r="G30" i="1" s="1"/>
  <c r="J104" i="1"/>
  <c r="J106" i="1" s="1"/>
  <c r="J21" i="1"/>
  <c r="J29" i="1" s="1"/>
  <c r="J9" i="1"/>
  <c r="J16" i="1" s="1"/>
  <c r="J30" i="1" l="1"/>
  <c r="J32" i="1" s="1"/>
  <c r="E6" i="7"/>
  <c r="E8" i="7" s="1"/>
  <c r="D6" i="7"/>
  <c r="D8" i="7" s="1"/>
  <c r="C5" i="7"/>
  <c r="C6" i="7" l="1"/>
  <c r="F8" i="7" l="1"/>
  <c r="C8" i="7"/>
</calcChain>
</file>

<file path=xl/sharedStrings.xml><?xml version="1.0" encoding="utf-8"?>
<sst xmlns="http://schemas.openxmlformats.org/spreadsheetml/2006/main" count="312" uniqueCount="146">
  <si>
    <t>Burden Item</t>
  </si>
  <si>
    <t>A</t>
  </si>
  <si>
    <t>B</t>
  </si>
  <si>
    <t>C</t>
  </si>
  <si>
    <t>D</t>
  </si>
  <si>
    <t>E</t>
  </si>
  <si>
    <t>F</t>
  </si>
  <si>
    <t>G</t>
  </si>
  <si>
    <t>H</t>
  </si>
  <si>
    <t>TECH</t>
  </si>
  <si>
    <t>Technical person-hours per occurrence</t>
  </si>
  <si>
    <t>No. of occurrences per respondent per year</t>
  </si>
  <si>
    <t>Technical person-hours per respondent per year (AxB)</t>
  </si>
  <si>
    <t>Technical hours per year (CxD)</t>
  </si>
  <si>
    <t>MGMT</t>
  </si>
  <si>
    <t>Recordkeeping Subtotal</t>
  </si>
  <si>
    <t>Reporting Subtotal</t>
  </si>
  <si>
    <t>CLER</t>
  </si>
  <si>
    <t>Total Annual Responses</t>
  </si>
  <si>
    <t>(A)
Information Collection Activity</t>
  </si>
  <si>
    <t>(C)
Number of Responses</t>
  </si>
  <si>
    <t>(D)
Number of Existing Respondents That Keep Records But Do Not Submit Reports</t>
  </si>
  <si>
    <t>(E)
Total Annual Responses
E=(BxC)+D</t>
  </si>
  <si>
    <r>
      <t xml:space="preserve">Total cost per year ($) </t>
    </r>
    <r>
      <rPr>
        <b/>
        <vertAlign val="superscript"/>
        <sz val="10"/>
        <rFont val="Times New Roman"/>
        <family val="1"/>
      </rPr>
      <t>b</t>
    </r>
  </si>
  <si>
    <t>(A)</t>
  </si>
  <si>
    <t>(B)</t>
  </si>
  <si>
    <t>(C)</t>
  </si>
  <si>
    <t>(D)</t>
  </si>
  <si>
    <t>(E)</t>
  </si>
  <si>
    <t>Total (after rounding)</t>
  </si>
  <si>
    <r>
      <t xml:space="preserve">Respondents per year </t>
    </r>
    <r>
      <rPr>
        <b/>
        <vertAlign val="superscript"/>
        <sz val="10"/>
        <rFont val="Times New Roman"/>
        <family val="1"/>
      </rPr>
      <t>a</t>
    </r>
  </si>
  <si>
    <t>Management hours per year  (Ex0.05)</t>
  </si>
  <si>
    <t>Clerical hours per year (Ex0.10)</t>
  </si>
  <si>
    <t>Assumptions:</t>
  </si>
  <si>
    <t xml:space="preserve">(B)
Number of Respondents  </t>
  </si>
  <si>
    <t>Total</t>
  </si>
  <si>
    <t>1.  Applications</t>
  </si>
  <si>
    <t>3.  Reporting requirements</t>
  </si>
  <si>
    <t>B.  Required activities</t>
  </si>
  <si>
    <t>C.  Create information</t>
  </si>
  <si>
    <t>4.  Recordkeeping requirements</t>
  </si>
  <si>
    <t>B.  Plan activities</t>
  </si>
  <si>
    <t>Notification of compliance status</t>
  </si>
  <si>
    <t>C.  Implement activities</t>
  </si>
  <si>
    <t>D.  Develop record system</t>
  </si>
  <si>
    <t>F.  Time to train personnel</t>
  </si>
  <si>
    <t>Paint Stripping</t>
  </si>
  <si>
    <t>Miscellaneous Surface Coating</t>
  </si>
  <si>
    <t>Number of Respondents</t>
  </si>
  <si>
    <t>Respondents That Do Not Submit Any Reports</t>
  </si>
  <si>
    <t>Year</t>
  </si>
  <si>
    <t>Number of Existing Respondents</t>
  </si>
  <si>
    <t>Number of Existing  Respondents that keep records but do not submit reports</t>
  </si>
  <si>
    <t>(E=A+B+C-D)</t>
  </si>
  <si>
    <t>Average</t>
  </si>
  <si>
    <t>Commercial Motor Vehicle and Mobile Equipment Refinishing</t>
  </si>
  <si>
    <t>Government Motor Vehicle and Mobile Equipment Refinishing</t>
  </si>
  <si>
    <t>Subtotal</t>
  </si>
  <si>
    <t>Annual O&amp;M Costs per Occurrence</t>
  </si>
  <si>
    <t>Number of Occurrences per Respondent per Year</t>
  </si>
  <si>
    <t>Average Number of Respondents with O&amp;M</t>
  </si>
  <si>
    <t>Total O&amp;M,</t>
  </si>
  <si>
    <t>(A× B×C)</t>
  </si>
  <si>
    <t>Initial Notification Letter</t>
  </si>
  <si>
    <t>Notification of Compliance Status</t>
  </si>
  <si>
    <t>Sector</t>
  </si>
  <si>
    <t>Commercial Misc. Surface Coating</t>
  </si>
  <si>
    <t>Government Misc. Surface Coating</t>
  </si>
  <si>
    <t>Burden Hours</t>
  </si>
  <si>
    <t>Labor Cost</t>
  </si>
  <si>
    <t>Table 1: Summary of Annual Respondent Burden and Cost – NESHAP for Paint Stripping and Miscellaneous Surface Coating at Area Sources (40 CFR Part 63, Subpart HHHHHH) (Renewal)</t>
  </si>
  <si>
    <t>Table 1b: Annual Respondent Burden and Cost – Government-owned Miscellaneous Surface Coating Operations at Area Sources</t>
  </si>
  <si>
    <t>Table 1c: Annual Respondent Burden and Cost – Paint Stripping Operations at Area Sources</t>
  </si>
  <si>
    <t>Table 2: Average Annual EPA Burden and Cost – NESHAP for Paint Stripping and Miscellaneous Surface Coating at Area Sources (40 CFR Part 63, Subpart HHHHHH) (Renewal)</t>
  </si>
  <si>
    <t>Applications</t>
  </si>
  <si>
    <t>Not applicable</t>
  </si>
  <si>
    <t>Required activities</t>
  </si>
  <si>
    <t>Create information</t>
  </si>
  <si>
    <t>Gather information</t>
  </si>
  <si>
    <t>Report reviews</t>
  </si>
  <si>
    <t>G.  Time for audits</t>
  </si>
  <si>
    <t>2.  Surveys and studies</t>
  </si>
  <si>
    <t>Included in 3A</t>
  </si>
  <si>
    <t>2.  Notification of compliance status</t>
  </si>
  <si>
    <t>Initial notification letter</t>
  </si>
  <si>
    <t>1.  Initial notification letter</t>
  </si>
  <si>
    <t>E.  Time to record information</t>
  </si>
  <si>
    <t>B.  Process/Review information</t>
  </si>
  <si>
    <t>2.  Update plan</t>
  </si>
  <si>
    <t>1.  Train personnel</t>
  </si>
  <si>
    <t>D.  Time to record information</t>
  </si>
  <si>
    <r>
      <t xml:space="preserve">Total cost per year ($) </t>
    </r>
    <r>
      <rPr>
        <b/>
        <vertAlign val="superscript"/>
        <sz val="10"/>
        <rFont val="Times New Roman"/>
        <family val="1"/>
      </rPr>
      <t>a</t>
    </r>
  </si>
  <si>
    <t>Respondents per year</t>
  </si>
  <si>
    <t>Capital/Startup vs. Operation and Maintenance (O&amp;M) Costs</t>
  </si>
  <si>
    <t>hrs/response</t>
  </si>
  <si>
    <t>Number of Existing Respondents That Are No Longer Subject</t>
  </si>
  <si>
    <t>A.  Familiarization with Regulatory Requirements</t>
  </si>
  <si>
    <t>A. Familiarization with Regulatory Requirements</t>
  </si>
  <si>
    <t>Capital and O&amp;M Costs</t>
  </si>
  <si>
    <t xml:space="preserve">Grand Total </t>
  </si>
  <si>
    <r>
      <rPr>
        <vertAlign val="superscript"/>
        <sz val="10"/>
        <rFont val="Times New Roman"/>
        <family val="1"/>
      </rPr>
      <t xml:space="preserve">c </t>
    </r>
    <r>
      <rPr>
        <sz val="10"/>
        <rFont val="Times New Roman"/>
        <family val="1"/>
      </rPr>
      <t>Totals have been rounded to 3 significant figures. Figures may not add exactly due to rounding.</t>
    </r>
  </si>
  <si>
    <r>
      <t>TOTAL ANNUAL BURDEN AND COST (ROUNDED)</t>
    </r>
    <r>
      <rPr>
        <b/>
        <vertAlign val="superscript"/>
        <sz val="10"/>
        <rFont val="Times New Roman"/>
        <family val="1"/>
      </rPr>
      <t>b</t>
    </r>
  </si>
  <si>
    <r>
      <rPr>
        <vertAlign val="superscript"/>
        <sz val="10"/>
        <rFont val="Times New Roman"/>
        <family val="1"/>
      </rPr>
      <t xml:space="preserve">b </t>
    </r>
    <r>
      <rPr>
        <sz val="10"/>
        <rFont val="Times New Roman"/>
        <family val="1"/>
      </rPr>
      <t>Totals have been rounded to 3 significant figures. Figures may not add exactly due to rounding.</t>
    </r>
  </si>
  <si>
    <t>New sources</t>
  </si>
  <si>
    <t>Existing sources</t>
  </si>
  <si>
    <r>
      <t>TOTAL</t>
    </r>
    <r>
      <rPr>
        <b/>
        <vertAlign val="superscript"/>
        <sz val="10"/>
        <color theme="1"/>
        <rFont val="Times New Roman"/>
        <family val="1"/>
      </rPr>
      <t>b</t>
    </r>
  </si>
  <si>
    <r>
      <t xml:space="preserve">Annual Notification of Changes Report </t>
    </r>
    <r>
      <rPr>
        <vertAlign val="superscript"/>
        <sz val="10"/>
        <color theme="1"/>
        <rFont val="Times New Roman"/>
        <family val="1"/>
      </rPr>
      <t>a</t>
    </r>
  </si>
  <si>
    <r>
      <rPr>
        <vertAlign val="superscript"/>
        <sz val="10"/>
        <color theme="1"/>
        <rFont val="Times New Roman"/>
        <family val="1"/>
      </rPr>
      <t>b</t>
    </r>
    <r>
      <rPr>
        <sz val="10"/>
        <color theme="1"/>
        <rFont val="Times New Roman"/>
        <family val="1"/>
      </rPr>
      <t xml:space="preserve"> Totals have been rounded to 3 significant figures. Figures may not add exactly due to rounding.</t>
    </r>
  </si>
  <si>
    <t>Table 1a: Annual Respondent Burden and Cost – Commercial Miscellaneous Surface Coating Operations at Area Sources</t>
  </si>
  <si>
    <r>
      <rPr>
        <vertAlign val="superscript"/>
        <sz val="10"/>
        <rFont val="Times New Roman"/>
        <family val="1"/>
      </rPr>
      <t>b</t>
    </r>
    <r>
      <rPr>
        <sz val="10"/>
        <rFont val="Times New Roman"/>
        <family val="1"/>
      </rPr>
      <t xml:space="preserve"> This ICR uses the following labor rates: $122.66 for technical, $149.84 for managerial, and $60.88 for clerical labor.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</si>
  <si>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rFont val="Times New Roman"/>
        <family val="1"/>
      </rPr>
      <t>a</t>
    </r>
    <r>
      <rPr>
        <sz val="10"/>
        <rFont val="Times New Roman"/>
        <family val="1"/>
      </rPr>
      <t xml:space="preserve"> This ICR assumes a total of 36,562 commercial surface coating facilities exist in any given year, and that 1,618 new sources per year will be constructed.  These commercial facilities comprise both the miscellaneous surface coating and commercial motor vehicle and mobile equipment refinishing categories.  This ICR also assumes that existing sources will shut down at a rate equal to that replaced by new sources.  Therefore, the total number of affected sources subject to this rule will not change in any given year.</t>
    </r>
  </si>
  <si>
    <t>3.  Annual Notification of Changes Report</t>
  </si>
  <si>
    <r>
      <rPr>
        <vertAlign val="superscript"/>
        <sz val="10"/>
        <rFont val="Times New Roman"/>
        <family val="1"/>
      </rPr>
      <t>a</t>
    </r>
    <r>
      <rPr>
        <sz val="10"/>
        <rFont val="Times New Roman"/>
        <family val="1"/>
      </rPr>
      <t xml:space="preserve">  EPA estimates a total of 250 existing, government-owned paint shops by assuming one shop per county for counties with a population greater than 240,000.  This ICR assumes no new, government-owned paint shops will open over the three-year ICR period.</t>
    </r>
  </si>
  <si>
    <r>
      <t>TOTAL LABOR BURDEN AND COST (rounded)</t>
    </r>
    <r>
      <rPr>
        <b/>
        <vertAlign val="superscript"/>
        <sz val="10"/>
        <rFont val="Times New Roman"/>
        <family val="1"/>
      </rPr>
      <t>c</t>
    </r>
  </si>
  <si>
    <r>
      <t>TOTAL CAPITAL AND O&amp;M COST (rounded)</t>
    </r>
    <r>
      <rPr>
        <b/>
        <vertAlign val="superscript"/>
        <sz val="10"/>
        <rFont val="Times New Roman"/>
        <family val="1"/>
      </rPr>
      <t>c</t>
    </r>
  </si>
  <si>
    <r>
      <t>GRAND TOTAL (rounded)</t>
    </r>
    <r>
      <rPr>
        <b/>
        <vertAlign val="superscript"/>
        <sz val="10"/>
        <rFont val="Times New Roman"/>
        <family val="1"/>
      </rPr>
      <t>c</t>
    </r>
  </si>
  <si>
    <t>Annual Notification of Changes Report</t>
  </si>
  <si>
    <r>
      <t>Number of Respondents</t>
    </r>
    <r>
      <rPr>
        <b/>
        <vertAlign val="superscript"/>
        <sz val="12"/>
        <color rgb="FF000000"/>
        <rFont val="Times New Roman"/>
        <family val="1"/>
      </rPr>
      <t>a</t>
    </r>
  </si>
  <si>
    <r>
      <rPr>
        <vertAlign val="superscript"/>
        <sz val="10"/>
        <color theme="1"/>
        <rFont val="Times New Roman"/>
        <family val="1"/>
      </rPr>
      <t>a</t>
    </r>
    <r>
      <rPr>
        <sz val="10"/>
        <color theme="1"/>
        <rFont val="Times New Roman"/>
        <family val="1"/>
      </rPr>
      <t xml:space="preserve"> This ICR assumes a total of 39,812 commercial facilities exist in any given year, and that 1,618 new sources per year will be constructed.  This ICR also assumes that existing sources will shut down at a rate equal to that replaced by new sources.  Therefore, the total number of affected sources subject to this rule (i.e., 39,312 sources) will not change in any given year.</t>
    </r>
  </si>
  <si>
    <r>
      <t>b</t>
    </r>
    <r>
      <rPr>
        <sz val="10"/>
        <color theme="1"/>
        <rFont val="Times New Roman"/>
        <family val="1"/>
      </rPr>
      <t xml:space="preserve"> This ICR assumes that 20% of existing affected sources submit an annual notification of changes report each year. The remaining existing sources would only retain records.</t>
    </r>
  </si>
  <si>
    <r>
      <rPr>
        <vertAlign val="superscript"/>
        <sz val="10"/>
        <color theme="1"/>
        <rFont val="Times New Roman"/>
        <family val="1"/>
      </rPr>
      <t>a</t>
    </r>
    <r>
      <rPr>
        <sz val="10"/>
        <color theme="1"/>
        <rFont val="Times New Roman"/>
        <family val="1"/>
      </rPr>
      <t xml:space="preserve"> This ICR assumes that 20% of existing affected sources submit an annual notification of changes report each year. The remaining existing sources would only retain records.</t>
    </r>
  </si>
  <si>
    <r>
      <t>a</t>
    </r>
    <r>
      <rPr>
        <sz val="10"/>
        <color theme="1"/>
        <rFont val="Times New Roman"/>
        <family val="1"/>
      </rPr>
      <t xml:space="preserve"> This ICR assumes that 20% of existing affected sources submit an annual notification of changes report each year. The remaining existing sources would only retain records.</t>
    </r>
  </si>
  <si>
    <r>
      <t xml:space="preserve">1.  Records of painter certification </t>
    </r>
    <r>
      <rPr>
        <vertAlign val="superscript"/>
        <sz val="10"/>
        <rFont val="Times New Roman"/>
        <family val="1"/>
      </rPr>
      <t>c</t>
    </r>
  </si>
  <si>
    <r>
      <t xml:space="preserve">2.  Records of filter efficiency </t>
    </r>
    <r>
      <rPr>
        <vertAlign val="superscript"/>
        <sz val="10"/>
        <rFont val="Times New Roman"/>
        <family val="1"/>
      </rPr>
      <t>d</t>
    </r>
  </si>
  <si>
    <r>
      <t xml:space="preserve">4.  Records of deviation from rule requirements and corrective actions taken </t>
    </r>
    <r>
      <rPr>
        <vertAlign val="superscript"/>
        <sz val="10"/>
        <rFont val="Times New Roman"/>
        <family val="1"/>
      </rPr>
      <t>f</t>
    </r>
  </si>
  <si>
    <r>
      <rPr>
        <vertAlign val="superscript"/>
        <sz val="10"/>
        <rFont val="Times New Roman"/>
        <family val="1"/>
      </rPr>
      <t xml:space="preserve">d </t>
    </r>
    <r>
      <rPr>
        <sz val="10"/>
        <rFont val="Times New Roman"/>
        <family val="1"/>
      </rPr>
      <t>Assumes 1% of affected sources will opt to test the filter effieciency of filters that are not polyester fiber or fiberglass.  If a source opts to test the efficiency of a filter it is assumed that the filter manufacturer would perform the test and the burden on the source would only be the time to record and file the efficiency of this filter based on the results of the manufacturer's test.</t>
    </r>
  </si>
  <si>
    <r>
      <rPr>
        <vertAlign val="superscript"/>
        <sz val="10"/>
        <rFont val="Times New Roman"/>
        <family val="1"/>
      </rPr>
      <t xml:space="preserve">e </t>
    </r>
    <r>
      <rPr>
        <sz val="10"/>
        <rFont val="Times New Roman"/>
        <family val="1"/>
      </rPr>
      <t>Only sources without an HVLP gun are required to maintain records on the testing of non-HVLP type spray guns.  It is assumed that no source will opt for a testing of their spray gun, and all sources with non-HVLP type spray guns will purchase new guns in response to the rule before the effective date and there are no recordkeeping costs associated with this requirement.</t>
    </r>
  </si>
  <si>
    <r>
      <rPr>
        <vertAlign val="superscript"/>
        <sz val="10"/>
        <rFont val="Times New Roman"/>
        <family val="1"/>
      </rPr>
      <t xml:space="preserve">g </t>
    </r>
    <r>
      <rPr>
        <sz val="10"/>
        <rFont val="Times New Roman"/>
        <family val="1"/>
      </rPr>
      <t>Totals have been rounded to 3 significant figures. Figures may not add exactly due to rounding.</t>
    </r>
  </si>
  <si>
    <r>
      <rPr>
        <vertAlign val="superscript"/>
        <sz val="10"/>
        <rFont val="Times New Roman"/>
        <family val="1"/>
      </rPr>
      <t xml:space="preserve">f  </t>
    </r>
    <r>
      <rPr>
        <sz val="10"/>
        <rFont val="Times New Roman"/>
        <family val="1"/>
      </rPr>
      <t>The number of sources expected to record a deviation for the rule requirements is based on the assumption of a 95 percent compliance rate.  Approximately 5 percent of the estimated 36,652 sources that are required to be in compliance with the rule in any given year are expected to have some type of violation of the proposed work practices.</t>
    </r>
  </si>
  <si>
    <r>
      <rPr>
        <vertAlign val="superscript"/>
        <sz val="10"/>
        <rFont val="Times New Roman"/>
        <family val="1"/>
      </rPr>
      <t xml:space="preserve">c </t>
    </r>
    <r>
      <rPr>
        <sz val="10"/>
        <rFont val="Times New Roman"/>
        <family val="1"/>
      </rPr>
      <t>Assumes that each facility has 2.4 painters, on average.  A record of the certification must be kept for each painter at the facility, and entering the record for each painter is expected to take 15 minutes.  Certifications are good for 5-years and it is assumed that each year, 20 percent of the painters will need to have their records updated.  However, for new sources, all painters need their records entered into the system.</t>
    </r>
  </si>
  <si>
    <r>
      <t xml:space="preserve">TOTAL LABOR BURDEN AND COST (rounded) </t>
    </r>
    <r>
      <rPr>
        <b/>
        <vertAlign val="superscript"/>
        <sz val="10"/>
        <rFont val="Times New Roman"/>
        <family val="1"/>
      </rPr>
      <t>g</t>
    </r>
  </si>
  <si>
    <r>
      <t xml:space="preserve">TOTAL CAPITAL AND O&amp;M COST (rounded) </t>
    </r>
    <r>
      <rPr>
        <b/>
        <vertAlign val="superscript"/>
        <sz val="10"/>
        <rFont val="Times New Roman"/>
        <family val="1"/>
      </rPr>
      <t>g</t>
    </r>
  </si>
  <si>
    <r>
      <t xml:space="preserve">GRAND TOTAL (rounded) </t>
    </r>
    <r>
      <rPr>
        <b/>
        <vertAlign val="superscript"/>
        <sz val="10"/>
        <rFont val="Times New Roman"/>
        <family val="1"/>
      </rPr>
      <t>g</t>
    </r>
  </si>
  <si>
    <r>
      <rPr>
        <vertAlign val="superscript"/>
        <sz val="10"/>
        <rFont val="Times New Roman"/>
        <family val="1"/>
      </rPr>
      <t xml:space="preserve">f  </t>
    </r>
    <r>
      <rPr>
        <sz val="10"/>
        <rFont val="Times New Roman"/>
        <family val="1"/>
      </rPr>
      <t>The number of sources expected to record a deviation for the rule requirements is based on the assumption of a 95 percent compliance rate.  Approximately 5 percent of the estimated 250 sources that are required to be in compliance with the rule in any given year are expected to have some type of violation of the proposed work practices.</t>
    </r>
  </si>
  <si>
    <r>
      <t xml:space="preserve">Respondents That Submit Reports </t>
    </r>
    <r>
      <rPr>
        <vertAlign val="superscript"/>
        <sz val="10"/>
        <rFont val="Times New Roman"/>
        <family val="1"/>
      </rPr>
      <t>b</t>
    </r>
  </si>
  <si>
    <r>
      <t xml:space="preserve">Number of New Respondents </t>
    </r>
    <r>
      <rPr>
        <vertAlign val="superscript"/>
        <sz val="10"/>
        <color rgb="FF000000"/>
        <rFont val="Times New Roman"/>
        <family val="1"/>
      </rPr>
      <t>c</t>
    </r>
  </si>
  <si>
    <r>
      <rPr>
        <vertAlign val="superscript"/>
        <sz val="10"/>
        <color rgb="FF000000"/>
        <rFont val="Times New Roman"/>
        <family val="1"/>
      </rPr>
      <t xml:space="preserve">c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</si>
  <si>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r>
      <t xml:space="preserve">3.  Records of spray gun performance </t>
    </r>
    <r>
      <rPr>
        <vertAlign val="superscript"/>
        <sz val="10"/>
        <rFont val="Times New Roman"/>
        <family val="1"/>
      </rPr>
      <t>e</t>
    </r>
  </si>
  <si>
    <r>
      <rPr>
        <vertAlign val="superscript"/>
        <sz val="10"/>
        <rFont val="Times New Roman"/>
        <family val="1"/>
      </rPr>
      <t xml:space="preserve">d </t>
    </r>
    <r>
      <rPr>
        <sz val="10"/>
        <rFont val="Times New Roman"/>
        <family val="1"/>
      </rPr>
      <t>Assumes 1% of affected sources will opt to test the filter effieciency of filters that are not polyester fiber or fiberglass.  If a source opts to test the efficiency of a filter, it is assumed that the filter manufacturer would perform the test, and the burden on the source would only be the time to record and file the efficiency of this filter based on the results of the manufacturer's test.</t>
    </r>
  </si>
  <si>
    <r>
      <t xml:space="preserve">a  </t>
    </r>
    <r>
      <rPr>
        <sz val="10"/>
        <rFont val="Times New Roman"/>
        <family val="1"/>
      </rPr>
      <t>This ICR assumes a total of 3,000 paint stripping facilities exist in any given year.  EPA estimates 600 of these facilities will need to submit an annual notification of changes report each year due to changes occurring after the most recent report or notification, such as changes to the MeCl minimization plan or adoption of a minimization plan due to use of more than one ton of MeCl in a calendar year.</t>
    </r>
  </si>
  <si>
    <t>a. This ICR uses the following labor rates: $51.23 for technical, $69.04 for managerial, and $27.73 for clerical labor.  These rates are from the Office of Personnel Management (OPM) 2021 General Schedule, which excludes locality rates of pay.  The rates have been increased by 60 percent to account for the benefit packages available to government employees.</t>
  </si>
  <si>
    <t>Thanks, see updated footnotes.</t>
  </si>
  <si>
    <r>
      <t xml:space="preserve">&lt;--Note to EPA:  The prior ICR had this split as if 35% of stripping sources would submit reports, and 65% would not, but this was based on the assumption (see comment on p. 11 of SS) that stripping sources don't submit </t>
    </r>
    <r>
      <rPr>
        <i/>
        <sz val="9"/>
        <color rgb="FFFF0000"/>
        <rFont val="Arial"/>
        <family val="2"/>
      </rPr>
      <t>any</t>
    </r>
    <r>
      <rPr>
        <sz val="9"/>
        <color rgb="FFFF0000"/>
        <rFont val="Arial"/>
        <family val="2"/>
      </rPr>
      <t xml:space="preserve"> reports unless they use &gt;one ton of MeCl, which is not accurate. So it was treating it as if 35% of MeCl sources use &gt;one ton, and </t>
    </r>
    <r>
      <rPr>
        <i/>
        <sz val="9"/>
        <color rgb="FFFF0000"/>
        <rFont val="Arial"/>
        <family val="2"/>
      </rPr>
      <t>all</t>
    </r>
    <r>
      <rPr>
        <sz val="9"/>
        <color rgb="FFFF0000"/>
        <rFont val="Arial"/>
        <family val="2"/>
      </rPr>
      <t xml:space="preserve"> of those &gt;one ton sources will submit a report </t>
    </r>
    <r>
      <rPr>
        <i/>
        <sz val="9"/>
        <color rgb="FFFF0000"/>
        <rFont val="Arial"/>
        <family val="2"/>
      </rPr>
      <t>every year</t>
    </r>
    <r>
      <rPr>
        <sz val="9"/>
        <color rgb="FFFF0000"/>
        <rFont val="Arial"/>
        <family val="2"/>
      </rPr>
      <t>, which is also inaccurate since they still only have to submit reports when there is a change. With this in mind, we adjusted this number to use the 20% assumption as well.</t>
    </r>
  </si>
  <si>
    <t xml:space="preserve">&lt;--Note to EPA: We have adjusted all of these categories to assume 20% will submit an annual notification of changes report in each year. </t>
  </si>
  <si>
    <r>
      <rPr>
        <vertAlign val="superscript"/>
        <sz val="10"/>
        <rFont val="Times New Roman"/>
        <family val="1"/>
      </rPr>
      <t xml:space="preserve">c </t>
    </r>
    <r>
      <rPr>
        <sz val="10"/>
        <rFont val="Times New Roman"/>
        <family val="1"/>
      </rPr>
      <t xml:space="preserve">Assumes that each facility has 2.4 painters, on average. A record of the certification must be kept for each painter at the facility, and entering the record for each painter is expected to take 15 minutes.  Certifications are good for 5-years and it is assumed that each year, 20 percent of the painters will need to have their records updated. </t>
    </r>
  </si>
  <si>
    <t>&lt;--Note to EPA: These assumptions are based on similar assumptions from final rule ICR.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</si>
</sst>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quot;$&quot;#,##0.00"/>
    <numFmt numFmtId="165" formatCode="#,##0.0"/>
    <numFmt numFmtId="166" formatCode="&quot;$&quot;#,##0"/>
  </numFmts>
  <fonts count="34"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name val="Times New Roman"/>
      <family val="1"/>
    </font>
    <font>
      <i/>
      <sz val="10"/>
      <name val="Times New Roman"/>
      <family val="1"/>
    </font>
    <font>
      <sz val="10"/>
      <color rgb="FF000000"/>
      <name val="Times New Roman"/>
      <family val="1"/>
    </font>
    <font>
      <b/>
      <sz val="12"/>
      <name val="Times New Roman"/>
      <family val="1"/>
    </font>
    <font>
      <b/>
      <sz val="12"/>
      <color theme="1"/>
      <name val="Times New Roman"/>
      <family val="1"/>
    </font>
    <font>
      <i/>
      <sz val="10"/>
      <color rgb="FF000000"/>
      <name val="Times New Roman"/>
      <family val="1"/>
    </font>
    <font>
      <b/>
      <vertAlign val="superscript"/>
      <sz val="12"/>
      <color rgb="FF000000"/>
      <name val="Times New Roman"/>
      <family val="1"/>
    </font>
    <font>
      <b/>
      <sz val="10"/>
      <color rgb="FF000000"/>
      <name val="Times New Roman"/>
      <family val="1"/>
    </font>
    <font>
      <vertAlign val="superscript"/>
      <sz val="10"/>
      <color theme="1"/>
      <name val="Times New Roman"/>
      <family val="1"/>
    </font>
    <font>
      <sz val="10"/>
      <color theme="1"/>
      <name val="Arial"/>
      <family val="2"/>
    </font>
    <font>
      <b/>
      <sz val="10"/>
      <color theme="1"/>
      <name val="Arial"/>
      <family val="2"/>
    </font>
    <font>
      <i/>
      <sz val="10"/>
      <color theme="1"/>
      <name val="Times New Roman"/>
      <family val="1"/>
    </font>
    <font>
      <sz val="10"/>
      <color rgb="FFFF0000"/>
      <name val="Arial"/>
      <family val="2"/>
    </font>
    <font>
      <sz val="10"/>
      <color rgb="FFFF0000"/>
      <name val="Times New Roman"/>
      <family val="1"/>
    </font>
    <font>
      <vertAlign val="superscript"/>
      <sz val="10"/>
      <name val="Times New Roman"/>
      <family val="1"/>
    </font>
    <font>
      <b/>
      <i/>
      <sz val="10"/>
      <color theme="1"/>
      <name val="Times New Roman"/>
      <family val="1"/>
    </font>
    <font>
      <b/>
      <sz val="10"/>
      <color theme="1"/>
      <name val="Times New Roman"/>
      <family val="1"/>
    </font>
    <font>
      <b/>
      <vertAlign val="superscript"/>
      <sz val="10"/>
      <color theme="1"/>
      <name val="Times New Roman"/>
      <family val="1"/>
    </font>
    <font>
      <b/>
      <i/>
      <sz val="9"/>
      <name val="Times New Roman"/>
      <family val="1"/>
    </font>
    <font>
      <b/>
      <sz val="10"/>
      <color rgb="FFFF0000"/>
      <name val="Times New Roman"/>
      <family val="1"/>
    </font>
    <font>
      <sz val="9"/>
      <color rgb="FFFF0000"/>
      <name val="Arial"/>
      <family val="2"/>
    </font>
    <font>
      <i/>
      <sz val="9"/>
      <color rgb="FFFF0000"/>
      <name val="Arial"/>
      <family val="2"/>
    </font>
    <font>
      <sz val="10"/>
      <color rgb="FF7030A0"/>
      <name val="Arial"/>
      <family val="2"/>
    </font>
    <font>
      <sz val="10"/>
      <color rgb="FF7030A0"/>
      <name val="Times New Roman"/>
      <family val="1"/>
    </font>
    <font>
      <vertAlign val="superscript"/>
      <sz val="10"/>
      <color rgb="FF000000"/>
      <name val="Times New Roman"/>
      <family val="1"/>
    </font>
    <font>
      <sz val="12"/>
      <color theme="1"/>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43" fontId="17" fillId="0" borderId="0" applyFont="0" applyFill="0" applyBorder="0" applyAlignment="0" applyProtection="0"/>
  </cellStyleXfs>
  <cellXfs count="195">
    <xf numFmtId="0" fontId="0" fillId="0" borderId="0" xfId="0"/>
    <xf numFmtId="0" fontId="2" fillId="0" borderId="0" xfId="0" applyNumberFormat="1" applyFont="1" applyFill="1" applyAlignment="1"/>
    <xf numFmtId="0" fontId="3" fillId="0" borderId="1" xfId="0" applyNumberFormat="1" applyFont="1" applyFill="1" applyBorder="1" applyAlignment="1">
      <alignment horizontal="center"/>
    </xf>
    <xf numFmtId="0" fontId="2" fillId="0" borderId="0" xfId="0" applyNumberFormat="1" applyFont="1" applyFill="1" applyAlignment="1">
      <alignment wrapText="1"/>
    </xf>
    <xf numFmtId="0" fontId="2" fillId="0" borderId="0" xfId="0" applyFont="1"/>
    <xf numFmtId="0" fontId="2" fillId="0" borderId="0" xfId="0" applyFont="1" applyFill="1"/>
    <xf numFmtId="4" fontId="3" fillId="0" borderId="1" xfId="0" applyNumberFormat="1" applyFont="1" applyFill="1" applyBorder="1" applyAlignment="1">
      <alignment horizontal="center"/>
    </xf>
    <xf numFmtId="4" fontId="3" fillId="0" borderId="1" xfId="0" applyNumberFormat="1" applyFont="1" applyFill="1" applyBorder="1" applyAlignment="1">
      <alignment horizontal="center" wrapText="1"/>
    </xf>
    <xf numFmtId="4" fontId="2" fillId="0" borderId="0" xfId="0" applyNumberFormat="1" applyFont="1" applyFill="1"/>
    <xf numFmtId="3" fontId="2" fillId="0" borderId="0" xfId="0" applyNumberFormat="1" applyFont="1" applyFill="1"/>
    <xf numFmtId="0" fontId="3" fillId="0" borderId="1" xfId="0" applyNumberFormat="1" applyFont="1" applyFill="1" applyBorder="1" applyAlignment="1">
      <alignment horizontal="center" vertical="center"/>
    </xf>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Fill="1" applyBorder="1" applyAlignment="1">
      <alignment horizontal="center" vertical="top" wrapText="1"/>
    </xf>
    <xf numFmtId="0" fontId="11" fillId="0" borderId="0" xfId="0" applyFont="1" applyFill="1"/>
    <xf numFmtId="0" fontId="11" fillId="0" borderId="0" xfId="0" applyFont="1" applyFill="1" applyAlignment="1"/>
    <xf numFmtId="0" fontId="2" fillId="0" borderId="0" xfId="0" applyFont="1" applyFill="1" applyBorder="1" applyAlignment="1">
      <alignment horizontal="center"/>
    </xf>
    <xf numFmtId="0" fontId="10" fillId="0" borderId="5" xfId="0" applyFont="1" applyBorder="1" applyAlignment="1">
      <alignment horizontal="center" vertical="top" wrapText="1"/>
    </xf>
    <xf numFmtId="0" fontId="2" fillId="0" borderId="0" xfId="0" applyFont="1" applyFill="1" applyBorder="1"/>
    <xf numFmtId="4" fontId="2" fillId="0" borderId="1" xfId="0" applyNumberFormat="1" applyFont="1" applyFill="1" applyBorder="1" applyAlignment="1">
      <alignment horizontal="right" vertical="top" wrapText="1"/>
    </xf>
    <xf numFmtId="0" fontId="3" fillId="0" borderId="1" xfId="0" applyNumberFormat="1" applyFont="1" applyFill="1" applyBorder="1" applyAlignment="1">
      <alignment horizontal="center" wrapText="1"/>
    </xf>
    <xf numFmtId="0" fontId="10" fillId="0" borderId="0" xfId="0" applyFont="1" applyAlignment="1">
      <alignment wrapText="1"/>
    </xf>
    <xf numFmtId="3" fontId="2" fillId="0" borderId="1" xfId="0" applyNumberFormat="1" applyFont="1" applyFill="1" applyBorder="1" applyAlignment="1">
      <alignment horizontal="right" vertical="top" wrapText="1"/>
    </xf>
    <xf numFmtId="0" fontId="3" fillId="0" borderId="1" xfId="0" applyNumberFormat="1" applyFont="1" applyFill="1" applyBorder="1" applyAlignment="1">
      <alignment horizontal="center" wrapText="1"/>
    </xf>
    <xf numFmtId="0" fontId="0" fillId="0" borderId="0" xfId="0" applyBorder="1"/>
    <xf numFmtId="0" fontId="10" fillId="0" borderId="7" xfId="0" applyFont="1" applyBorder="1" applyAlignment="1">
      <alignment horizontal="center" vertical="top" wrapText="1"/>
    </xf>
    <xf numFmtId="0" fontId="5" fillId="0" borderId="8" xfId="0" applyFont="1" applyBorder="1" applyAlignment="1">
      <alignment vertical="top" wrapText="1"/>
    </xf>
    <xf numFmtId="0" fontId="10" fillId="0" borderId="1" xfId="0" applyFont="1" applyBorder="1" applyAlignment="1">
      <alignment horizontal="center" vertical="top" wrapText="1"/>
    </xf>
    <xf numFmtId="3" fontId="10"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10" fillId="0" borderId="7"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6" fillId="0" borderId="0" xfId="0" applyFont="1"/>
    <xf numFmtId="0" fontId="2" fillId="0" borderId="0" xfId="0" quotePrefix="1" applyFont="1" applyFill="1"/>
    <xf numFmtId="0" fontId="0" fillId="0" borderId="0" xfId="0" quotePrefix="1"/>
    <xf numFmtId="0" fontId="3" fillId="0" borderId="1" xfId="0" applyNumberFormat="1" applyFont="1" applyFill="1" applyBorder="1" applyAlignment="1">
      <alignment horizontal="center" wrapText="1"/>
    </xf>
    <xf numFmtId="164" fontId="2" fillId="0" borderId="0" xfId="0" applyNumberFormat="1" applyFont="1" applyFill="1" applyAlignment="1">
      <alignment horizontal="right" vertical="top"/>
    </xf>
    <xf numFmtId="0" fontId="2" fillId="0" borderId="0" xfId="0" applyFont="1" applyFill="1" applyBorder="1" applyAlignment="1">
      <alignment horizontal="left"/>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 fontId="2" fillId="0" borderId="1" xfId="0" applyNumberFormat="1" applyFont="1" applyFill="1" applyBorder="1" applyAlignment="1">
      <alignment horizontal="right" vertical="top" wrapText="1"/>
    </xf>
    <xf numFmtId="0" fontId="2" fillId="0" borderId="1" xfId="0" applyFont="1" applyFill="1" applyBorder="1" applyAlignment="1">
      <alignment horizontal="left" vertical="top" wrapText="1" indent="1"/>
    </xf>
    <xf numFmtId="0" fontId="2" fillId="0" borderId="1" xfId="0" applyFont="1" applyFill="1" applyBorder="1" applyAlignment="1">
      <alignment horizontal="left" vertical="top" wrapText="1" indent="2"/>
    </xf>
    <xf numFmtId="165"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wrapText="1"/>
    </xf>
    <xf numFmtId="0" fontId="3" fillId="0" borderId="1" xfId="0" applyFont="1" applyFill="1" applyBorder="1" applyAlignment="1">
      <alignment wrapText="1"/>
    </xf>
    <xf numFmtId="3" fontId="2" fillId="0" borderId="1" xfId="0" applyNumberFormat="1" applyFont="1" applyFill="1" applyBorder="1" applyAlignment="1">
      <alignment horizontal="center" vertical="top" wrapText="1"/>
    </xf>
    <xf numFmtId="0" fontId="2" fillId="0" borderId="0" xfId="0" applyFont="1" applyFill="1" applyAlignment="1"/>
    <xf numFmtId="164" fontId="2" fillId="0" borderId="0" xfId="0" applyNumberFormat="1" applyFont="1" applyFill="1" applyAlignment="1"/>
    <xf numFmtId="0" fontId="2" fillId="0" borderId="1" xfId="0" applyFont="1" applyFill="1" applyBorder="1" applyAlignment="1">
      <alignment horizontal="left" vertical="top" wrapText="1" indent="3"/>
    </xf>
    <xf numFmtId="0" fontId="9" fillId="0" borderId="1" xfId="0" applyFont="1" applyFill="1" applyBorder="1" applyAlignment="1">
      <alignment vertical="top" wrapText="1"/>
    </xf>
    <xf numFmtId="3" fontId="2" fillId="0" borderId="1" xfId="0" quotePrefix="1" applyNumberFormat="1" applyFont="1" applyFill="1" applyBorder="1" applyAlignment="1">
      <alignment horizontal="center" vertical="top" wrapText="1"/>
    </xf>
    <xf numFmtId="43" fontId="15" fillId="0" borderId="8" xfId="1" applyFont="1" applyFill="1" applyBorder="1" applyAlignment="1">
      <alignment horizontal="center" vertical="top" wrapText="1"/>
    </xf>
    <xf numFmtId="0" fontId="1" fillId="0" borderId="0" xfId="0" applyFont="1" applyFill="1" applyBorder="1" applyAlignment="1">
      <alignment horizontal="center" vertical="top" wrapText="1"/>
    </xf>
    <xf numFmtId="3" fontId="2" fillId="0" borderId="5" xfId="0" applyNumberFormat="1" applyFont="1" applyFill="1" applyBorder="1" applyAlignment="1">
      <alignment horizontal="center" vertical="top" wrapText="1"/>
    </xf>
    <xf numFmtId="0" fontId="9" fillId="0" borderId="2" xfId="0" applyFont="1" applyFill="1" applyBorder="1" applyAlignment="1">
      <alignment horizontal="left" vertical="top" wrapText="1" indent="1"/>
    </xf>
    <xf numFmtId="3" fontId="2" fillId="0" borderId="3" xfId="0" applyNumberFormat="1" applyFont="1" applyFill="1" applyBorder="1" applyAlignment="1">
      <alignment horizontal="center" vertical="top" wrapText="1"/>
    </xf>
    <xf numFmtId="3" fontId="2" fillId="0" borderId="4" xfId="0" applyNumberFormat="1" applyFont="1" applyFill="1" applyBorder="1" applyAlignment="1">
      <alignment horizontal="center" vertical="top" wrapText="1"/>
    </xf>
    <xf numFmtId="6" fontId="1" fillId="0" borderId="1" xfId="0" applyNumberFormat="1" applyFont="1" applyBorder="1" applyAlignment="1">
      <alignment horizontal="center" vertical="top" wrapText="1"/>
    </xf>
    <xf numFmtId="0" fontId="1" fillId="0" borderId="5" xfId="0" applyFont="1" applyBorder="1" applyAlignment="1">
      <alignment vertical="top" wrapText="1"/>
    </xf>
    <xf numFmtId="6" fontId="1" fillId="0" borderId="5" xfId="0" applyNumberFormat="1" applyFont="1" applyBorder="1" applyAlignment="1">
      <alignment horizontal="center" vertical="top" wrapText="1"/>
    </xf>
    <xf numFmtId="0" fontId="1" fillId="0" borderId="5" xfId="0" applyFont="1" applyBorder="1" applyAlignment="1">
      <alignment horizontal="center" vertical="top" wrapText="1"/>
    </xf>
    <xf numFmtId="6" fontId="1" fillId="0" borderId="0" xfId="0" applyNumberFormat="1" applyFont="1" applyBorder="1" applyAlignment="1">
      <alignment horizontal="center" vertical="top" wrapText="1"/>
    </xf>
    <xf numFmtId="0" fontId="1" fillId="0" borderId="0" xfId="0" applyFont="1" applyBorder="1" applyAlignment="1">
      <alignment horizontal="center" vertical="top" wrapText="1"/>
    </xf>
    <xf numFmtId="0" fontId="1" fillId="0" borderId="10" xfId="0" applyFont="1" applyBorder="1" applyAlignment="1">
      <alignment vertical="top" wrapText="1"/>
    </xf>
    <xf numFmtId="6" fontId="1" fillId="0" borderId="6" xfId="0" applyNumberFormat="1" applyFont="1" applyBorder="1" applyAlignment="1">
      <alignment horizontal="center" vertical="top" wrapText="1"/>
    </xf>
    <xf numFmtId="0" fontId="1" fillId="0" borderId="11" xfId="0" applyFont="1" applyBorder="1" applyAlignment="1">
      <alignment horizontal="center" vertical="top" wrapText="1"/>
    </xf>
    <xf numFmtId="0" fontId="1" fillId="0" borderId="7" xfId="0" applyFont="1" applyBorder="1" applyAlignment="1">
      <alignment horizontal="center" vertical="top" wrapText="1"/>
    </xf>
    <xf numFmtId="0" fontId="0" fillId="0" borderId="6" xfId="0" applyBorder="1" applyAlignment="1">
      <alignment vertical="top" wrapText="1"/>
    </xf>
    <xf numFmtId="0" fontId="1" fillId="0" borderId="6" xfId="0" applyFont="1" applyBorder="1" applyAlignment="1">
      <alignment horizontal="center" vertical="top" wrapText="1"/>
    </xf>
    <xf numFmtId="6" fontId="1" fillId="0" borderId="12" xfId="0" applyNumberFormat="1" applyFont="1" applyBorder="1" applyAlignment="1">
      <alignment horizontal="center" vertical="top" wrapText="1"/>
    </xf>
    <xf numFmtId="6" fontId="1" fillId="0" borderId="3" xfId="0" applyNumberFormat="1" applyFont="1" applyBorder="1" applyAlignment="1">
      <alignment horizontal="center" vertical="top" wrapText="1"/>
    </xf>
    <xf numFmtId="0" fontId="1" fillId="0" borderId="3" xfId="0" applyFont="1" applyBorder="1" applyAlignment="1">
      <alignment horizontal="center" vertical="top" wrapText="1"/>
    </xf>
    <xf numFmtId="6" fontId="1" fillId="0" borderId="4" xfId="0" applyNumberFormat="1" applyFont="1" applyBorder="1" applyAlignment="1">
      <alignment horizontal="center" vertical="top" wrapText="1"/>
    </xf>
    <xf numFmtId="0" fontId="19" fillId="0" borderId="8" xfId="0" applyFont="1" applyBorder="1" applyAlignment="1">
      <alignment horizontal="left" vertical="top" wrapText="1" indent="1"/>
    </xf>
    <xf numFmtId="0" fontId="19" fillId="0" borderId="2" xfId="0" applyFont="1" applyBorder="1" applyAlignment="1">
      <alignment horizontal="left" vertical="top" wrapText="1" indent="1"/>
    </xf>
    <xf numFmtId="0" fontId="0" fillId="0" borderId="0" xfId="0" applyFill="1"/>
    <xf numFmtId="0" fontId="1" fillId="0" borderId="1" xfId="0" applyFont="1" applyFill="1" applyBorder="1" applyAlignment="1">
      <alignment vertical="top" wrapText="1"/>
    </xf>
    <xf numFmtId="3" fontId="1" fillId="0" borderId="1" xfId="0" applyNumberFormat="1" applyFont="1" applyFill="1" applyBorder="1" applyAlignment="1">
      <alignment horizontal="right" vertical="top" wrapText="1"/>
    </xf>
    <xf numFmtId="3" fontId="1" fillId="0" borderId="0" xfId="0" quotePrefix="1" applyNumberFormat="1" applyFont="1" applyFill="1" applyBorder="1" applyAlignment="1">
      <alignment horizontal="left" vertical="top" wrapText="1"/>
    </xf>
    <xf numFmtId="6" fontId="1" fillId="0" borderId="1" xfId="0" applyNumberFormat="1" applyFont="1" applyFill="1" applyBorder="1" applyAlignment="1">
      <alignment horizontal="right" vertical="top" wrapText="1"/>
    </xf>
    <xf numFmtId="0" fontId="18" fillId="0" borderId="0" xfId="0" applyFont="1" applyAlignment="1"/>
    <xf numFmtId="0" fontId="1" fillId="0" borderId="5" xfId="0" applyFont="1" applyFill="1" applyBorder="1" applyAlignment="1">
      <alignment horizontal="center" vertical="top" wrapText="1"/>
    </xf>
    <xf numFmtId="0" fontId="1" fillId="0" borderId="7" xfId="0" applyFont="1" applyFill="1" applyBorder="1" applyAlignment="1">
      <alignment horizontal="center" vertical="top" wrapText="1"/>
    </xf>
    <xf numFmtId="0" fontId="0" fillId="0" borderId="6" xfId="0" applyFill="1" applyBorder="1" applyAlignment="1">
      <alignment vertical="top" wrapText="1"/>
    </xf>
    <xf numFmtId="3" fontId="1" fillId="0" borderId="6" xfId="0" applyNumberFormat="1" applyFont="1" applyFill="1" applyBorder="1" applyAlignment="1">
      <alignment horizontal="center" vertical="top" wrapText="1"/>
    </xf>
    <xf numFmtId="3" fontId="1" fillId="0" borderId="3" xfId="0" applyNumberFormat="1"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0" fontId="20" fillId="0" borderId="0" xfId="0" applyFont="1"/>
    <xf numFmtId="0" fontId="3" fillId="0" borderId="1" xfId="0" applyFont="1" applyFill="1" applyBorder="1" applyAlignment="1">
      <alignment vertical="top" wrapText="1"/>
    </xf>
    <xf numFmtId="0" fontId="3" fillId="0" borderId="0" xfId="0" applyFont="1" applyFill="1" applyBorder="1" applyAlignment="1">
      <alignment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3" fontId="2" fillId="0" borderId="0" xfId="0" applyNumberFormat="1" applyFont="1" applyFill="1" applyBorder="1" applyAlignment="1">
      <alignment horizontal="center" vertical="top" wrapText="1"/>
    </xf>
    <xf numFmtId="3" fontId="2" fillId="0" borderId="0" xfId="0" applyNumberFormat="1" applyFont="1" applyFill="1" applyBorder="1" applyAlignment="1">
      <alignment horizontal="right" wrapText="1"/>
    </xf>
    <xf numFmtId="0" fontId="3" fillId="0" borderId="1" xfId="0" applyFont="1" applyFill="1" applyBorder="1"/>
    <xf numFmtId="0" fontId="2" fillId="0" borderId="1" xfId="0" applyFont="1" applyFill="1" applyBorder="1"/>
    <xf numFmtId="166" fontId="2" fillId="0" borderId="1" xfId="0" applyNumberFormat="1" applyFont="1" applyFill="1" applyBorder="1" applyAlignment="1">
      <alignment horizontal="right" vertical="top" wrapText="1"/>
    </xf>
    <xf numFmtId="166" fontId="2" fillId="0" borderId="1" xfId="0" applyNumberFormat="1" applyFont="1" applyFill="1" applyBorder="1" applyAlignment="1">
      <alignment horizontal="right" wrapText="1"/>
    </xf>
    <xf numFmtId="166" fontId="2" fillId="0" borderId="1" xfId="0" applyNumberFormat="1" applyFont="1" applyFill="1" applyBorder="1"/>
    <xf numFmtId="164" fontId="2" fillId="0" borderId="1" xfId="0" applyNumberFormat="1" applyFont="1" applyFill="1" applyBorder="1" applyAlignment="1">
      <alignment horizontal="right" vertical="top" wrapText="1"/>
    </xf>
    <xf numFmtId="0" fontId="2" fillId="0" borderId="7" xfId="0" applyFont="1" applyBorder="1" applyAlignment="1">
      <alignment horizontal="center" vertical="top" wrapText="1"/>
    </xf>
    <xf numFmtId="0" fontId="2" fillId="0" borderId="1" xfId="0" applyFont="1" applyBorder="1" applyAlignment="1">
      <alignment horizontal="center" vertical="top" wrapText="1"/>
    </xf>
    <xf numFmtId="3" fontId="0" fillId="0" borderId="0" xfId="0" applyNumberFormat="1"/>
    <xf numFmtId="0" fontId="21" fillId="0" borderId="0" xfId="0" applyFont="1" applyFill="1"/>
    <xf numFmtId="3" fontId="2" fillId="0" borderId="1" xfId="0" applyNumberFormat="1" applyFont="1" applyFill="1" applyBorder="1" applyAlignment="1">
      <alignment horizontal="center" vertical="top" wrapText="1"/>
    </xf>
    <xf numFmtId="3" fontId="10" fillId="0" borderId="1" xfId="0" applyNumberFormat="1" applyFont="1" applyFill="1" applyBorder="1" applyAlignment="1">
      <alignment horizontal="center" vertical="top" wrapText="1"/>
    </xf>
    <xf numFmtId="6" fontId="1" fillId="0" borderId="4" xfId="0" applyNumberFormat="1" applyFont="1" applyFill="1" applyBorder="1" applyAlignment="1">
      <alignment horizontal="right" vertical="top" wrapText="1"/>
    </xf>
    <xf numFmtId="3" fontId="2"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wrapText="1"/>
    </xf>
    <xf numFmtId="0" fontId="24" fillId="0" borderId="10" xfId="0" applyFont="1" applyBorder="1" applyAlignment="1">
      <alignment vertical="top" wrapText="1"/>
    </xf>
    <xf numFmtId="0" fontId="24" fillId="0" borderId="13" xfId="0" applyFont="1" applyBorder="1" applyAlignment="1">
      <alignment horizontal="center" vertical="top" wrapText="1"/>
    </xf>
    <xf numFmtId="0" fontId="24" fillId="0" borderId="13" xfId="0" applyFont="1" applyFill="1" applyBorder="1" applyAlignment="1">
      <alignment horizontal="center" vertical="top" wrapText="1"/>
    </xf>
    <xf numFmtId="6" fontId="24" fillId="0" borderId="11" xfId="0" applyNumberFormat="1" applyFont="1" applyBorder="1" applyAlignment="1">
      <alignment horizontal="center" vertical="top" wrapText="1"/>
    </xf>
    <xf numFmtId="0" fontId="18" fillId="0" borderId="0" xfId="0" quotePrefix="1" applyFont="1"/>
    <xf numFmtId="0" fontId="18" fillId="0" borderId="0" xfId="0" applyFont="1"/>
    <xf numFmtId="0" fontId="1" fillId="0" borderId="0" xfId="0" applyFont="1"/>
    <xf numFmtId="3" fontId="3" fillId="0" borderId="4" xfId="0" applyNumberFormat="1" applyFont="1" applyFill="1" applyBorder="1" applyAlignment="1">
      <alignment horizontal="center" vertical="top" wrapText="1"/>
    </xf>
    <xf numFmtId="0" fontId="24" fillId="0" borderId="0" xfId="0" quotePrefix="1" applyFont="1" applyAlignment="1">
      <alignment horizontal="left"/>
    </xf>
    <xf numFmtId="0" fontId="15" fillId="0" borderId="1" xfId="0" applyFont="1" applyFill="1" applyBorder="1" applyAlignment="1">
      <alignment vertical="top" wrapText="1"/>
    </xf>
    <xf numFmtId="0" fontId="27" fillId="0" borderId="1" xfId="0" applyFont="1" applyFill="1" applyBorder="1" applyAlignment="1">
      <alignment vertical="top" wrapText="1"/>
    </xf>
    <xf numFmtId="0" fontId="3" fillId="0" borderId="1" xfId="0" applyFont="1" applyFill="1" applyBorder="1" applyAlignment="1">
      <alignment horizontal="center" vertical="top"/>
    </xf>
    <xf numFmtId="0" fontId="24" fillId="0" borderId="0" xfId="0" applyFont="1"/>
    <xf numFmtId="44" fontId="2" fillId="0" borderId="1" xfId="0" applyNumberFormat="1" applyFont="1" applyFill="1" applyBorder="1" applyAlignment="1">
      <alignment horizontal="right" vertical="top" wrapText="1"/>
    </xf>
    <xf numFmtId="0" fontId="24" fillId="0" borderId="1" xfId="0" applyFont="1" applyBorder="1" applyAlignment="1">
      <alignment horizontal="center" vertical="top" wrapText="1"/>
    </xf>
    <xf numFmtId="3" fontId="2" fillId="0" borderId="1" xfId="0" applyNumberFormat="1" applyFont="1" applyFill="1" applyBorder="1" applyAlignment="1">
      <alignment horizontal="center" vertical="top" wrapText="1"/>
    </xf>
    <xf numFmtId="0" fontId="3" fillId="0" borderId="0" xfId="0" applyFont="1" applyFill="1"/>
    <xf numFmtId="0" fontId="0" fillId="0" borderId="0" xfId="0" applyAlignment="1">
      <alignment wrapText="1"/>
    </xf>
    <xf numFmtId="0" fontId="21" fillId="0" borderId="0" xfId="0" applyFont="1" applyFill="1" applyAlignment="1">
      <alignment horizontal="left"/>
    </xf>
    <xf numFmtId="0" fontId="2" fillId="0" borderId="0" xfId="0" applyFont="1" applyFill="1" applyAlignment="1">
      <alignment horizontal="left"/>
    </xf>
    <xf numFmtId="1" fontId="10" fillId="0" borderId="1" xfId="0" applyNumberFormat="1" applyFont="1" applyBorder="1" applyAlignment="1">
      <alignment horizontal="center" vertical="top" wrapText="1"/>
    </xf>
    <xf numFmtId="3" fontId="2" fillId="0" borderId="1" xfId="0" applyNumberFormat="1" applyFont="1" applyFill="1" applyBorder="1" applyAlignment="1">
      <alignment horizontal="center" vertical="top" wrapText="1"/>
    </xf>
    <xf numFmtId="0" fontId="30" fillId="0" borderId="0" xfId="0" applyFont="1"/>
    <xf numFmtId="0" fontId="31" fillId="0" borderId="0" xfId="0" applyFont="1" applyFill="1"/>
    <xf numFmtId="0" fontId="31" fillId="0" borderId="0" xfId="0" applyFont="1" applyFill="1" applyAlignment="1">
      <alignment horizontal="left"/>
    </xf>
    <xf numFmtId="0" fontId="10" fillId="0" borderId="1" xfId="0" applyFont="1" applyBorder="1" applyAlignment="1">
      <alignment vertical="top" wrapText="1"/>
    </xf>
    <xf numFmtId="0" fontId="16" fillId="0" borderId="0" xfId="0" applyFont="1" applyAlignment="1">
      <alignment wrapText="1"/>
    </xf>
    <xf numFmtId="0" fontId="10" fillId="0" borderId="0" xfId="0" applyFont="1"/>
    <xf numFmtId="0" fontId="1" fillId="0" borderId="0" xfId="0" applyFont="1" applyAlignment="1">
      <alignment vertical="center"/>
    </xf>
    <xf numFmtId="0" fontId="33" fillId="0" borderId="0" xfId="0" applyFont="1"/>
    <xf numFmtId="0" fontId="21" fillId="0" borderId="0" xfId="0" applyFont="1" applyFill="1" applyAlignment="1">
      <alignment wrapText="1"/>
    </xf>
    <xf numFmtId="0" fontId="21" fillId="0" borderId="0" xfId="0" applyFont="1" applyFill="1" applyBorder="1" applyAlignment="1">
      <alignment vertical="center"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9" fillId="0" borderId="5" xfId="0" applyFont="1" applyBorder="1" applyAlignment="1">
      <alignment horizontal="center" vertical="top" wrapText="1"/>
    </xf>
    <xf numFmtId="0" fontId="19" fillId="0" borderId="7" xfId="0" applyFont="1" applyBorder="1" applyAlignment="1">
      <alignment horizontal="center" vertical="top" wrapText="1"/>
    </xf>
    <xf numFmtId="0" fontId="19" fillId="0" borderId="6" xfId="0" applyFont="1" applyBorder="1" applyAlignment="1">
      <alignment horizontal="center" vertical="top" wrapText="1"/>
    </xf>
    <xf numFmtId="0" fontId="1" fillId="0" borderId="9" xfId="0" applyFont="1" applyBorder="1" applyAlignment="1">
      <alignment horizontal="left"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2" fillId="0" borderId="2" xfId="0" applyFont="1" applyBorder="1" applyAlignment="1">
      <alignment horizontal="center" vertical="top" wrapText="1"/>
    </xf>
    <xf numFmtId="0" fontId="10"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6" fillId="0" borderId="0" xfId="0" applyFont="1" applyAlignment="1">
      <alignment horizontal="left" wrapText="1"/>
    </xf>
    <xf numFmtId="0" fontId="28" fillId="0" borderId="8" xfId="0" applyFont="1" applyBorder="1" applyAlignment="1">
      <alignment horizontal="left" wrapText="1"/>
    </xf>
    <xf numFmtId="0" fontId="28" fillId="0" borderId="0" xfId="0" applyFont="1" applyBorder="1" applyAlignment="1">
      <alignment horizontal="left" wrapText="1"/>
    </xf>
    <xf numFmtId="0" fontId="1" fillId="0" borderId="9" xfId="0" applyFont="1" applyBorder="1" applyAlignment="1">
      <alignment horizontal="left" vertical="center" wrapText="1"/>
    </xf>
    <xf numFmtId="0" fontId="16" fillId="0" borderId="9" xfId="0" applyFont="1" applyBorder="1" applyAlignment="1">
      <alignment horizontal="left" vertical="center" wrapText="1"/>
    </xf>
    <xf numFmtId="0" fontId="26" fillId="0" borderId="2" xfId="0" applyFont="1" applyFill="1" applyBorder="1" applyAlignment="1">
      <alignment horizontal="left" vertical="top" wrapText="1"/>
    </xf>
    <xf numFmtId="0" fontId="26" fillId="0" borderId="3" xfId="0" applyFont="1" applyFill="1" applyBorder="1" applyAlignment="1">
      <alignment horizontal="left" vertical="top" wrapText="1"/>
    </xf>
    <xf numFmtId="0" fontId="26" fillId="0" borderId="4" xfId="0" applyFont="1" applyFill="1" applyBorder="1" applyAlignment="1">
      <alignment horizontal="left" vertical="top" wrapText="1"/>
    </xf>
    <xf numFmtId="0" fontId="5" fillId="0" borderId="1" xfId="0" applyFont="1" applyBorder="1" applyAlignment="1">
      <alignment horizontal="center" vertical="top" wrapText="1"/>
    </xf>
    <xf numFmtId="3" fontId="2" fillId="0" borderId="2" xfId="0" applyNumberFormat="1" applyFont="1" applyFill="1" applyBorder="1" applyAlignment="1">
      <alignment horizontal="center" vertical="top" wrapText="1"/>
    </xf>
    <xf numFmtId="3" fontId="2" fillId="0" borderId="3" xfId="0" applyNumberFormat="1" applyFont="1" applyFill="1" applyBorder="1" applyAlignment="1">
      <alignment horizontal="center" vertical="top" wrapText="1"/>
    </xf>
    <xf numFmtId="3" fontId="2" fillId="0" borderId="4" xfId="0" applyNumberFormat="1" applyFont="1" applyFill="1" applyBorder="1" applyAlignment="1">
      <alignment horizontal="center" vertical="top" wrapText="1"/>
    </xf>
    <xf numFmtId="2" fontId="2" fillId="0" borderId="0" xfId="0" applyNumberFormat="1" applyFont="1" applyFill="1" applyAlignment="1">
      <alignment horizontal="left" wrapText="1"/>
    </xf>
    <xf numFmtId="0" fontId="3" fillId="0" borderId="1" xfId="0" applyNumberFormat="1" applyFont="1" applyFill="1" applyBorder="1" applyAlignment="1">
      <alignment horizontal="center" wrapText="1"/>
    </xf>
    <xf numFmtId="0" fontId="2" fillId="0" borderId="0" xfId="0" applyNumberFormat="1" applyFont="1" applyFill="1" applyAlignment="1">
      <alignment horizontal="left" wrapText="1"/>
    </xf>
    <xf numFmtId="3" fontId="2" fillId="0" borderId="1" xfId="0" applyNumberFormat="1" applyFont="1" applyFill="1" applyBorder="1" applyAlignment="1">
      <alignment horizontal="center" vertical="top" wrapText="1"/>
    </xf>
    <xf numFmtId="0" fontId="22" fillId="0" borderId="0" xfId="0" applyNumberFormat="1" applyFont="1" applyFill="1" applyAlignment="1">
      <alignment horizontal="left" vertical="center" wrapText="1"/>
    </xf>
    <xf numFmtId="0" fontId="2" fillId="0" borderId="0" xfId="0" applyNumberFormat="1" applyFont="1" applyFill="1" applyAlignment="1">
      <alignment horizontal="left" vertical="center" wrapText="1"/>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0" xfId="0" applyFont="1" applyFill="1" applyAlignment="1">
      <alignment horizontal="left" vertical="center" wrapText="1"/>
    </xf>
    <xf numFmtId="0" fontId="2" fillId="0" borderId="0" xfId="0" applyFont="1" applyFill="1" applyAlignment="1">
      <alignment horizontal="left" wrapText="1"/>
    </xf>
    <xf numFmtId="0" fontId="21" fillId="0" borderId="0" xfId="0" applyFont="1" applyFill="1" applyAlignment="1">
      <alignment horizontal="left" vertical="center" wrapText="1"/>
    </xf>
    <xf numFmtId="0" fontId="3" fillId="0" borderId="1" xfId="0" applyNumberFormat="1" applyFont="1" applyFill="1" applyBorder="1" applyAlignment="1">
      <alignment horizontal="left" wrapText="1"/>
    </xf>
    <xf numFmtId="0" fontId="2" fillId="0"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10"/>
  <sheetViews>
    <sheetView tabSelected="1" workbookViewId="0">
      <selection activeCell="F7" sqref="F7"/>
    </sheetView>
  </sheetViews>
  <sheetFormatPr defaultRowHeight="12.5" x14ac:dyDescent="0.25"/>
  <cols>
    <col min="1" max="1" width="3.1796875" customWidth="1"/>
    <col min="2" max="2" width="20.7265625" customWidth="1"/>
    <col min="3" max="3" width="20.81640625" bestFit="1" customWidth="1"/>
    <col min="4" max="4" width="21.54296875" bestFit="1" customWidth="1"/>
    <col min="5" max="5" width="12.26953125" bestFit="1" customWidth="1"/>
    <col min="6" max="6" width="13.453125" customWidth="1"/>
    <col min="7" max="7" width="14.26953125" bestFit="1" customWidth="1"/>
  </cols>
  <sheetData>
    <row r="1" spans="1:7" ht="13" x14ac:dyDescent="0.3">
      <c r="A1" s="88" t="s">
        <v>70</v>
      </c>
    </row>
    <row r="4" spans="1:7" ht="26" x14ac:dyDescent="0.25">
      <c r="B4" s="132" t="s">
        <v>65</v>
      </c>
      <c r="C4" s="132" t="s">
        <v>66</v>
      </c>
      <c r="D4" s="132" t="s">
        <v>67</v>
      </c>
      <c r="E4" s="132" t="s">
        <v>46</v>
      </c>
      <c r="F4" s="132" t="s">
        <v>35</v>
      </c>
    </row>
    <row r="5" spans="1:7" s="83" customFormat="1" ht="13" x14ac:dyDescent="0.25">
      <c r="B5" s="84" t="s">
        <v>68</v>
      </c>
      <c r="C5" s="85">
        <f>'Respondent Burden'!G30</f>
        <v>96000</v>
      </c>
      <c r="D5" s="85">
        <f>'Respondent Burden'!G70</f>
        <v>452.09375</v>
      </c>
      <c r="E5" s="85">
        <f>'Respondent Burden'!G104</f>
        <v>5520</v>
      </c>
      <c r="F5" s="85">
        <f>ROUND(SUM(C5:E5),-3)</f>
        <v>102000</v>
      </c>
      <c r="G5" s="86"/>
    </row>
    <row r="6" spans="1:7" s="83" customFormat="1" ht="13" x14ac:dyDescent="0.25">
      <c r="B6" s="84" t="s">
        <v>69</v>
      </c>
      <c r="C6" s="87">
        <f>'Respondent Burden'!J30</f>
        <v>11400000</v>
      </c>
      <c r="D6" s="87">
        <f>'Respondent Burden'!J70</f>
        <v>53600</v>
      </c>
      <c r="E6" s="87">
        <f>'Respondent Burden'!J104</f>
        <v>654000</v>
      </c>
      <c r="F6" s="87">
        <f>ROUND(SUM(C6:E6),-5)</f>
        <v>12100000</v>
      </c>
      <c r="G6" s="86"/>
    </row>
    <row r="7" spans="1:7" s="83" customFormat="1" ht="13" x14ac:dyDescent="0.25">
      <c r="B7" s="84" t="s">
        <v>98</v>
      </c>
      <c r="C7" s="87">
        <f>'Respondent Burden'!J31</f>
        <v>25200</v>
      </c>
      <c r="D7" s="87">
        <f>'Respondent Burden'!J71</f>
        <v>150</v>
      </c>
      <c r="E7" s="87">
        <f>'Respondent Burden'!J105</f>
        <v>1800</v>
      </c>
      <c r="F7" s="87">
        <f>ROUNDDOWN(SUM(C7:E7),-2)</f>
        <v>27100</v>
      </c>
      <c r="G7" s="86"/>
    </row>
    <row r="8" spans="1:7" ht="13" x14ac:dyDescent="0.25">
      <c r="B8" s="84" t="s">
        <v>99</v>
      </c>
      <c r="C8" s="87">
        <f>ROUND(SUM(C6:C7),-5)</f>
        <v>11400000</v>
      </c>
      <c r="D8" s="87">
        <f>ROUND(SUM(D6:D7),-2)</f>
        <v>53800</v>
      </c>
      <c r="E8" s="87">
        <f>ROUND(SUM(E6:E7),-3)</f>
        <v>656000</v>
      </c>
      <c r="F8" s="87">
        <f>ROUND(SUM(F6:F7),-5)</f>
        <v>12100000</v>
      </c>
    </row>
    <row r="10" spans="1:7" ht="13" x14ac:dyDescent="0.25">
      <c r="F10" s="85">
        <f>F5/'# Responses Calcs'!F24</f>
        <v>2.3720930232558142</v>
      </c>
      <c r="G10" s="84" t="s">
        <v>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2:N24"/>
  <sheetViews>
    <sheetView workbookViewId="0">
      <selection activeCell="B16" sqref="B16:F16"/>
    </sheetView>
  </sheetViews>
  <sheetFormatPr defaultRowHeight="12.5" x14ac:dyDescent="0.25"/>
  <cols>
    <col min="1" max="1" width="2.54296875" customWidth="1"/>
    <col min="2" max="2" width="27.453125" customWidth="1"/>
    <col min="3" max="3" width="12.81640625" bestFit="1" customWidth="1"/>
    <col min="4" max="4" width="17" bestFit="1" customWidth="1"/>
    <col min="5" max="5" width="16.54296875" style="83" bestFit="1" customWidth="1"/>
    <col min="6" max="6" width="16.26953125" customWidth="1"/>
    <col min="7" max="7" width="16.1796875" bestFit="1" customWidth="1"/>
  </cols>
  <sheetData>
    <row r="2" spans="2:14" ht="15" x14ac:dyDescent="0.25">
      <c r="B2" s="150" t="s">
        <v>93</v>
      </c>
      <c r="C2" s="150"/>
      <c r="D2" s="150"/>
      <c r="E2" s="150"/>
      <c r="F2" s="151"/>
    </row>
    <row r="3" spans="2:14" ht="13" x14ac:dyDescent="0.25">
      <c r="B3" s="152" t="s">
        <v>0</v>
      </c>
      <c r="C3" s="68" t="s">
        <v>24</v>
      </c>
      <c r="D3" s="68" t="s">
        <v>25</v>
      </c>
      <c r="E3" s="89" t="s">
        <v>26</v>
      </c>
      <c r="F3" s="68" t="s">
        <v>27</v>
      </c>
    </row>
    <row r="4" spans="2:14" ht="39" x14ac:dyDescent="0.25">
      <c r="B4" s="153"/>
      <c r="C4" s="74" t="s">
        <v>58</v>
      </c>
      <c r="D4" s="74" t="s">
        <v>59</v>
      </c>
      <c r="E4" s="90" t="s">
        <v>60</v>
      </c>
      <c r="F4" s="74" t="s">
        <v>61</v>
      </c>
      <c r="G4" s="60"/>
      <c r="H4" s="27"/>
    </row>
    <row r="5" spans="2:14" ht="13" x14ac:dyDescent="0.25">
      <c r="B5" s="154"/>
      <c r="C5" s="75"/>
      <c r="D5" s="75"/>
      <c r="E5" s="91"/>
      <c r="F5" s="76" t="s">
        <v>62</v>
      </c>
    </row>
    <row r="6" spans="2:14" ht="13.5" x14ac:dyDescent="0.25">
      <c r="B6" s="156" t="s">
        <v>47</v>
      </c>
      <c r="C6" s="157"/>
      <c r="D6" s="157"/>
      <c r="E6" s="157"/>
      <c r="F6" s="158"/>
    </row>
    <row r="7" spans="2:14" ht="13" x14ac:dyDescent="0.25">
      <c r="B7" s="71" t="s">
        <v>63</v>
      </c>
      <c r="C7" s="72">
        <v>1</v>
      </c>
      <c r="D7" s="73">
        <v>1</v>
      </c>
      <c r="E7" s="92">
        <f>'# Responses Calcs'!C5</f>
        <v>25</v>
      </c>
      <c r="F7" s="72">
        <f>C7*D7*E7</f>
        <v>25</v>
      </c>
    </row>
    <row r="8" spans="2:14" ht="13" x14ac:dyDescent="0.25">
      <c r="B8" s="36" t="s">
        <v>64</v>
      </c>
      <c r="C8" s="72">
        <v>1</v>
      </c>
      <c r="D8" s="35">
        <v>1</v>
      </c>
      <c r="E8" s="92">
        <f>'# Responses Calcs'!C6</f>
        <v>25</v>
      </c>
      <c r="F8" s="65">
        <f>C8*D8*E8</f>
        <v>25</v>
      </c>
    </row>
    <row r="9" spans="2:14" ht="28.5" x14ac:dyDescent="0.25">
      <c r="B9" s="66" t="s">
        <v>106</v>
      </c>
      <c r="C9" s="67">
        <v>3</v>
      </c>
      <c r="D9" s="68">
        <v>1</v>
      </c>
      <c r="E9" s="92">
        <f>'# Respondents'!D9</f>
        <v>166.20000000000002</v>
      </c>
      <c r="F9" s="65">
        <f>C9*D9*E9</f>
        <v>498.6</v>
      </c>
    </row>
    <row r="10" spans="2:14" ht="13" x14ac:dyDescent="0.25">
      <c r="B10" s="82" t="s">
        <v>57</v>
      </c>
      <c r="C10" s="78"/>
      <c r="D10" s="79"/>
      <c r="E10" s="93"/>
      <c r="F10" s="80">
        <f>SUM(F7:F9)</f>
        <v>548.6</v>
      </c>
    </row>
    <row r="11" spans="2:14" ht="13.5" x14ac:dyDescent="0.25">
      <c r="B11" s="156" t="s">
        <v>55</v>
      </c>
      <c r="C11" s="157"/>
      <c r="D11" s="157"/>
      <c r="E11" s="157"/>
      <c r="F11" s="158"/>
    </row>
    <row r="12" spans="2:14" ht="13" x14ac:dyDescent="0.25">
      <c r="B12" s="71" t="s">
        <v>63</v>
      </c>
      <c r="C12" s="72">
        <v>1</v>
      </c>
      <c r="D12" s="73">
        <v>1</v>
      </c>
      <c r="E12" s="92">
        <f>'# Responses Calcs'!C10</f>
        <v>1593</v>
      </c>
      <c r="F12" s="72">
        <f>C12*D12*E12</f>
        <v>1593</v>
      </c>
    </row>
    <row r="13" spans="2:14" ht="13" x14ac:dyDescent="0.25">
      <c r="B13" s="36" t="s">
        <v>64</v>
      </c>
      <c r="C13" s="72">
        <v>1</v>
      </c>
      <c r="D13" s="35">
        <v>1</v>
      </c>
      <c r="E13" s="92">
        <f>'# Responses Calcs'!C11</f>
        <v>1593</v>
      </c>
      <c r="F13" s="65">
        <f>C13*D13*E13</f>
        <v>1593</v>
      </c>
    </row>
    <row r="14" spans="2:14" ht="28.5" x14ac:dyDescent="0.25">
      <c r="B14" s="66" t="s">
        <v>106</v>
      </c>
      <c r="C14" s="67">
        <v>3</v>
      </c>
      <c r="D14" s="68">
        <v>1</v>
      </c>
      <c r="E14" s="92">
        <f>'# Respondents'!D13</f>
        <v>7146.2000000000007</v>
      </c>
      <c r="F14" s="65">
        <f>C14*D14*E14</f>
        <v>21438.600000000002</v>
      </c>
    </row>
    <row r="15" spans="2:14" ht="13" x14ac:dyDescent="0.25">
      <c r="B15" s="82" t="s">
        <v>57</v>
      </c>
      <c r="C15" s="78"/>
      <c r="D15" s="79"/>
      <c r="E15" s="93"/>
      <c r="F15" s="80">
        <f>SUM(F12:F14)</f>
        <v>24624.600000000002</v>
      </c>
    </row>
    <row r="16" spans="2:14" ht="13.5" x14ac:dyDescent="0.25">
      <c r="B16" s="156" t="s">
        <v>56</v>
      </c>
      <c r="C16" s="157"/>
      <c r="D16" s="157"/>
      <c r="E16" s="157"/>
      <c r="F16" s="158"/>
      <c r="N16" s="146"/>
    </row>
    <row r="17" spans="2:14" ht="28.5" x14ac:dyDescent="0.35">
      <c r="B17" s="36" t="s">
        <v>106</v>
      </c>
      <c r="C17" s="65">
        <v>3</v>
      </c>
      <c r="D17" s="35">
        <v>1</v>
      </c>
      <c r="E17" s="94">
        <f>'# Respondents'!D17</f>
        <v>50</v>
      </c>
      <c r="F17" s="65">
        <f>C17*D17*E17</f>
        <v>150</v>
      </c>
      <c r="G17" s="39"/>
      <c r="N17" s="147"/>
    </row>
    <row r="18" spans="2:14" ht="13" x14ac:dyDescent="0.25">
      <c r="B18" s="81" t="s">
        <v>57</v>
      </c>
      <c r="C18" s="69"/>
      <c r="D18" s="70"/>
      <c r="E18" s="95"/>
      <c r="F18" s="77">
        <f>F17</f>
        <v>150</v>
      </c>
    </row>
    <row r="19" spans="2:14" ht="13.5" x14ac:dyDescent="0.25">
      <c r="B19" s="156" t="s">
        <v>46</v>
      </c>
      <c r="C19" s="157"/>
      <c r="D19" s="157"/>
      <c r="E19" s="157"/>
      <c r="F19" s="158"/>
    </row>
    <row r="20" spans="2:14" ht="28.5" x14ac:dyDescent="0.25">
      <c r="B20" s="66" t="s">
        <v>106</v>
      </c>
      <c r="C20" s="65">
        <v>3</v>
      </c>
      <c r="D20" s="35">
        <v>1</v>
      </c>
      <c r="E20" s="94">
        <f>'# Respondents'!D21</f>
        <v>600</v>
      </c>
      <c r="F20" s="65">
        <f>C20*D20*E20</f>
        <v>1800</v>
      </c>
    </row>
    <row r="21" spans="2:14" ht="13" x14ac:dyDescent="0.25">
      <c r="B21" s="82" t="s">
        <v>57</v>
      </c>
      <c r="C21" s="78"/>
      <c r="D21" s="79"/>
      <c r="E21" s="93"/>
      <c r="F21" s="80">
        <f>F20</f>
        <v>1800</v>
      </c>
    </row>
    <row r="22" spans="2:14" s="123" customFormat="1" ht="15" x14ac:dyDescent="0.3">
      <c r="B22" s="118" t="s">
        <v>105</v>
      </c>
      <c r="C22" s="119"/>
      <c r="D22" s="119"/>
      <c r="E22" s="120"/>
      <c r="F22" s="121">
        <f>ROUND(F10+F15+F18+F21,-2)</f>
        <v>27100</v>
      </c>
      <c r="G22" s="122"/>
    </row>
    <row r="23" spans="2:14" ht="26.25" customHeight="1" x14ac:dyDescent="0.3">
      <c r="B23" s="155" t="s">
        <v>120</v>
      </c>
      <c r="C23" s="155"/>
      <c r="D23" s="155"/>
      <c r="E23" s="155"/>
      <c r="F23" s="155"/>
    </row>
    <row r="24" spans="2:14" ht="12.75" customHeight="1" x14ac:dyDescent="0.3">
      <c r="B24" s="124" t="s">
        <v>107</v>
      </c>
    </row>
  </sheetData>
  <mergeCells count="7">
    <mergeCell ref="B2:F2"/>
    <mergeCell ref="B3:B5"/>
    <mergeCell ref="B23:F23"/>
    <mergeCell ref="B6:F6"/>
    <mergeCell ref="B11:F11"/>
    <mergeCell ref="B16:F16"/>
    <mergeCell ref="B19:F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AD27"/>
  <sheetViews>
    <sheetView workbookViewId="0">
      <selection activeCell="B25" sqref="B25:G26"/>
    </sheetView>
  </sheetViews>
  <sheetFormatPr defaultRowHeight="12.5" x14ac:dyDescent="0.25"/>
  <cols>
    <col min="1" max="1" width="3" customWidth="1"/>
    <col min="2" max="2" width="7.453125" bestFit="1" customWidth="1"/>
    <col min="3" max="3" width="18.1796875" bestFit="1" customWidth="1"/>
    <col min="4" max="4" width="18.54296875" customWidth="1"/>
    <col min="5" max="5" width="26.453125" customWidth="1"/>
    <col min="6" max="7" width="18.54296875" customWidth="1"/>
    <col min="9" max="9" width="9.7265625" hidden="1" customWidth="1"/>
  </cols>
  <sheetData>
    <row r="2" spans="2:13" ht="21.75" customHeight="1" x14ac:dyDescent="0.25">
      <c r="B2" s="159" t="s">
        <v>117</v>
      </c>
      <c r="C2" s="160"/>
      <c r="D2" s="160"/>
      <c r="E2" s="160"/>
      <c r="F2" s="160"/>
      <c r="G2" s="161"/>
    </row>
    <row r="3" spans="2:13" ht="28.5" customHeight="1" x14ac:dyDescent="0.25">
      <c r="B3" s="29"/>
      <c r="C3" s="162" t="s">
        <v>134</v>
      </c>
      <c r="D3" s="163"/>
      <c r="E3" s="143" t="s">
        <v>49</v>
      </c>
      <c r="F3" s="164"/>
      <c r="G3" s="165"/>
    </row>
    <row r="4" spans="2:13" ht="28.5" customHeight="1" x14ac:dyDescent="0.25">
      <c r="B4" s="20"/>
      <c r="C4" s="28" t="s">
        <v>24</v>
      </c>
      <c r="D4" s="28" t="s">
        <v>25</v>
      </c>
      <c r="E4" s="28" t="s">
        <v>26</v>
      </c>
      <c r="F4" s="28" t="s">
        <v>27</v>
      </c>
      <c r="G4" s="28" t="s">
        <v>28</v>
      </c>
    </row>
    <row r="5" spans="2:13" ht="39" x14ac:dyDescent="0.25">
      <c r="B5" s="28" t="s">
        <v>50</v>
      </c>
      <c r="C5" s="28" t="s">
        <v>135</v>
      </c>
      <c r="D5" s="28" t="s">
        <v>51</v>
      </c>
      <c r="E5" s="34" t="s">
        <v>52</v>
      </c>
      <c r="F5" s="109" t="s">
        <v>95</v>
      </c>
      <c r="G5" s="28" t="s">
        <v>48</v>
      </c>
    </row>
    <row r="6" spans="2:13" ht="13" x14ac:dyDescent="0.25">
      <c r="B6" s="28"/>
      <c r="C6" s="28"/>
      <c r="D6" s="28"/>
      <c r="E6" s="28"/>
      <c r="F6" s="28"/>
      <c r="G6" s="28" t="s">
        <v>53</v>
      </c>
    </row>
    <row r="7" spans="2:13" ht="13" x14ac:dyDescent="0.25">
      <c r="B7" s="166" t="s">
        <v>47</v>
      </c>
      <c r="C7" s="167"/>
      <c r="D7" s="167"/>
      <c r="E7" s="167"/>
      <c r="F7" s="167"/>
      <c r="G7" s="168"/>
    </row>
    <row r="8" spans="2:13" ht="13" x14ac:dyDescent="0.25">
      <c r="B8" s="30">
        <v>1</v>
      </c>
      <c r="C8" s="30">
        <v>25</v>
      </c>
      <c r="D8" s="138">
        <f>831*0.2</f>
        <v>166.20000000000002</v>
      </c>
      <c r="E8" s="138">
        <f>831*0.8</f>
        <v>664.80000000000007</v>
      </c>
      <c r="F8" s="110">
        <v>25</v>
      </c>
      <c r="G8" s="30">
        <f>C8+D8+E8-F8</f>
        <v>831.00000000000011</v>
      </c>
      <c r="H8" s="96" t="s">
        <v>143</v>
      </c>
    </row>
    <row r="9" spans="2:13" ht="13" x14ac:dyDescent="0.25">
      <c r="B9" s="30">
        <v>2</v>
      </c>
      <c r="C9" s="30">
        <v>25</v>
      </c>
      <c r="D9" s="138">
        <f t="shared" ref="D9:D10" si="0">831*0.2</f>
        <v>166.20000000000002</v>
      </c>
      <c r="E9" s="138">
        <f t="shared" ref="E9:E10" si="1">831*0.8</f>
        <v>664.80000000000007</v>
      </c>
      <c r="F9" s="110">
        <v>25</v>
      </c>
      <c r="G9" s="30">
        <f t="shared" ref="G9:G10" si="2">C9+D9+E9-F9</f>
        <v>831.00000000000011</v>
      </c>
      <c r="H9" s="140"/>
    </row>
    <row r="10" spans="2:13" ht="13" x14ac:dyDescent="0.25">
      <c r="B10" s="30">
        <v>3</v>
      </c>
      <c r="C10" s="30">
        <v>25</v>
      </c>
      <c r="D10" s="138">
        <f t="shared" si="0"/>
        <v>166.20000000000002</v>
      </c>
      <c r="E10" s="138">
        <f t="shared" si="1"/>
        <v>664.80000000000007</v>
      </c>
      <c r="F10" s="110">
        <v>25</v>
      </c>
      <c r="G10" s="30">
        <f t="shared" si="2"/>
        <v>831.00000000000011</v>
      </c>
      <c r="L10" s="111"/>
    </row>
    <row r="11" spans="2:13" ht="13" x14ac:dyDescent="0.25">
      <c r="B11" s="166" t="s">
        <v>55</v>
      </c>
      <c r="C11" s="167"/>
      <c r="D11" s="167"/>
      <c r="E11" s="167"/>
      <c r="F11" s="167"/>
      <c r="G11" s="168"/>
      <c r="M11" s="111"/>
    </row>
    <row r="12" spans="2:13" ht="13" x14ac:dyDescent="0.25">
      <c r="B12" s="30">
        <v>1</v>
      </c>
      <c r="C12" s="31">
        <v>1593</v>
      </c>
      <c r="D12" s="31">
        <f>35731*0.2</f>
        <v>7146.2000000000007</v>
      </c>
      <c r="E12" s="31">
        <f>35731*0.8</f>
        <v>28584.800000000003</v>
      </c>
      <c r="F12" s="31">
        <v>1593</v>
      </c>
      <c r="G12" s="31">
        <f>C12+D12+E12-F12</f>
        <v>35731</v>
      </c>
    </row>
    <row r="13" spans="2:13" ht="13" x14ac:dyDescent="0.25">
      <c r="B13" s="30">
        <v>2</v>
      </c>
      <c r="C13" s="31">
        <v>1593</v>
      </c>
      <c r="D13" s="31">
        <f t="shared" ref="D13:D14" si="3">35731*0.2</f>
        <v>7146.2000000000007</v>
      </c>
      <c r="E13" s="31">
        <f t="shared" ref="E13:E14" si="4">35731*0.8</f>
        <v>28584.800000000003</v>
      </c>
      <c r="F13" s="31">
        <v>1593</v>
      </c>
      <c r="G13" s="31">
        <f t="shared" ref="G13:G14" si="5">C13+D13+E13-F13</f>
        <v>35731</v>
      </c>
      <c r="I13">
        <f>(D13+D9)/3</f>
        <v>2437.4666666666667</v>
      </c>
    </row>
    <row r="14" spans="2:13" ht="13" x14ac:dyDescent="0.25">
      <c r="B14" s="30">
        <v>3</v>
      </c>
      <c r="C14" s="31">
        <v>1593</v>
      </c>
      <c r="D14" s="31">
        <f t="shared" si="3"/>
        <v>7146.2000000000007</v>
      </c>
      <c r="E14" s="31">
        <f t="shared" si="4"/>
        <v>28584.800000000003</v>
      </c>
      <c r="F14" s="31">
        <v>1593</v>
      </c>
      <c r="G14" s="31">
        <f t="shared" si="5"/>
        <v>35731</v>
      </c>
    </row>
    <row r="15" spans="2:13" ht="13" x14ac:dyDescent="0.25">
      <c r="B15" s="166" t="s">
        <v>56</v>
      </c>
      <c r="C15" s="167"/>
      <c r="D15" s="167"/>
      <c r="E15" s="167"/>
      <c r="F15" s="167"/>
      <c r="G15" s="168"/>
    </row>
    <row r="16" spans="2:13" ht="13" x14ac:dyDescent="0.25">
      <c r="B16" s="30">
        <v>1</v>
      </c>
      <c r="C16" s="30">
        <v>0</v>
      </c>
      <c r="D16" s="30">
        <f>250*0.2</f>
        <v>50</v>
      </c>
      <c r="E16" s="30">
        <f>250*0.8</f>
        <v>200</v>
      </c>
      <c r="F16" s="30">
        <v>0</v>
      </c>
      <c r="G16" s="30">
        <f t="shared" ref="G16:G18" si="6">C16+D16+E16-F16</f>
        <v>250</v>
      </c>
    </row>
    <row r="17" spans="2:30" ht="13" x14ac:dyDescent="0.25">
      <c r="B17" s="30">
        <v>2</v>
      </c>
      <c r="C17" s="30">
        <v>0</v>
      </c>
      <c r="D17" s="30">
        <f t="shared" ref="D17:D18" si="7">250*0.2</f>
        <v>50</v>
      </c>
      <c r="E17" s="30">
        <f t="shared" ref="E17:E18" si="8">250*0.8</f>
        <v>200</v>
      </c>
      <c r="F17" s="30">
        <v>0</v>
      </c>
      <c r="G17" s="30">
        <f t="shared" si="6"/>
        <v>250</v>
      </c>
    </row>
    <row r="18" spans="2:30" ht="13" x14ac:dyDescent="0.25">
      <c r="B18" s="30">
        <v>3</v>
      </c>
      <c r="C18" s="30">
        <v>0</v>
      </c>
      <c r="D18" s="30">
        <f t="shared" si="7"/>
        <v>50</v>
      </c>
      <c r="E18" s="30">
        <f t="shared" si="8"/>
        <v>200</v>
      </c>
      <c r="F18" s="30">
        <v>0</v>
      </c>
      <c r="G18" s="30">
        <f t="shared" si="6"/>
        <v>250</v>
      </c>
    </row>
    <row r="19" spans="2:30" ht="13" x14ac:dyDescent="0.25">
      <c r="B19" s="166" t="s">
        <v>46</v>
      </c>
      <c r="C19" s="167"/>
      <c r="D19" s="167"/>
      <c r="E19" s="167"/>
      <c r="F19" s="167"/>
      <c r="G19" s="168"/>
      <c r="H19" s="140"/>
    </row>
    <row r="20" spans="2:30" ht="12.75" customHeight="1" x14ac:dyDescent="0.25">
      <c r="B20" s="30">
        <v>1</v>
      </c>
      <c r="C20" s="30">
        <v>0</v>
      </c>
      <c r="D20" s="114">
        <f>3000*0.2</f>
        <v>600</v>
      </c>
      <c r="E20" s="114">
        <f>3000*0.8</f>
        <v>2400</v>
      </c>
      <c r="F20" s="30">
        <v>0</v>
      </c>
      <c r="G20" s="31">
        <f>C20+D20+E20-F20</f>
        <v>3000</v>
      </c>
      <c r="H20" s="170" t="s">
        <v>142</v>
      </c>
      <c r="I20" s="171"/>
      <c r="J20" s="171"/>
      <c r="K20" s="171"/>
      <c r="L20" s="171"/>
      <c r="M20" s="171"/>
      <c r="N20" s="171"/>
      <c r="O20" s="171"/>
      <c r="P20" s="171"/>
      <c r="Q20" s="171"/>
      <c r="R20" s="171"/>
      <c r="S20" s="171"/>
      <c r="T20" s="171"/>
      <c r="U20" s="171"/>
      <c r="V20" s="171"/>
      <c r="W20" s="171"/>
      <c r="X20" s="171"/>
      <c r="Y20" s="171"/>
      <c r="Z20" s="135"/>
      <c r="AA20" s="135"/>
      <c r="AB20" s="135"/>
      <c r="AC20" s="135"/>
      <c r="AD20" s="135"/>
    </row>
    <row r="21" spans="2:30" ht="13" x14ac:dyDescent="0.25">
      <c r="B21" s="30">
        <v>2</v>
      </c>
      <c r="C21" s="30">
        <v>0</v>
      </c>
      <c r="D21" s="114">
        <f t="shared" ref="D21:D22" si="9">3000*0.2</f>
        <v>600</v>
      </c>
      <c r="E21" s="114">
        <f t="shared" ref="E21:E22" si="10">3000*0.8</f>
        <v>2400</v>
      </c>
      <c r="F21" s="30">
        <v>0</v>
      </c>
      <c r="G21" s="31">
        <f t="shared" ref="G21:G22" si="11">C21+D21+E21-F21</f>
        <v>3000</v>
      </c>
      <c r="H21" s="170"/>
      <c r="I21" s="171"/>
      <c r="J21" s="171"/>
      <c r="K21" s="171"/>
      <c r="L21" s="171"/>
      <c r="M21" s="171"/>
      <c r="N21" s="171"/>
      <c r="O21" s="171"/>
      <c r="P21" s="171"/>
      <c r="Q21" s="171"/>
      <c r="R21" s="171"/>
      <c r="S21" s="171"/>
      <c r="T21" s="171"/>
      <c r="U21" s="171"/>
      <c r="V21" s="171"/>
      <c r="W21" s="171"/>
      <c r="X21" s="171"/>
      <c r="Y21" s="171"/>
      <c r="Z21" s="135"/>
      <c r="AA21" s="135"/>
      <c r="AB21" s="135"/>
      <c r="AC21" s="135"/>
      <c r="AD21" s="135"/>
    </row>
    <row r="22" spans="2:30" ht="13" x14ac:dyDescent="0.25">
      <c r="B22" s="30">
        <v>3</v>
      </c>
      <c r="C22" s="30">
        <v>0</v>
      </c>
      <c r="D22" s="114">
        <f t="shared" si="9"/>
        <v>600</v>
      </c>
      <c r="E22" s="114">
        <f t="shared" si="10"/>
        <v>2400</v>
      </c>
      <c r="F22" s="30">
        <v>0</v>
      </c>
      <c r="G22" s="31">
        <f t="shared" si="11"/>
        <v>3000</v>
      </c>
      <c r="H22" s="170"/>
      <c r="I22" s="171"/>
      <c r="J22" s="171"/>
      <c r="K22" s="171"/>
      <c r="L22" s="171"/>
      <c r="M22" s="171"/>
      <c r="N22" s="171"/>
      <c r="O22" s="171"/>
      <c r="P22" s="171"/>
      <c r="Q22" s="171"/>
      <c r="R22" s="171"/>
      <c r="S22" s="171"/>
      <c r="T22" s="171"/>
      <c r="U22" s="171"/>
      <c r="V22" s="171"/>
      <c r="W22" s="171"/>
      <c r="X22" s="171"/>
      <c r="Y22" s="171"/>
      <c r="Z22" s="135"/>
      <c r="AA22" s="135"/>
      <c r="AB22" s="135"/>
      <c r="AC22" s="135"/>
      <c r="AD22" s="135"/>
    </row>
    <row r="23" spans="2:30" ht="13" x14ac:dyDescent="0.25">
      <c r="B23" s="32" t="s">
        <v>54</v>
      </c>
      <c r="C23" s="33">
        <f>SUM(C8:C10,C12:C14,C16:C18,C20:C22)/3</f>
        <v>1618</v>
      </c>
      <c r="D23" s="33">
        <f>SUM(D8:D10,D12:D14,D16:D18,D20:D22)/3</f>
        <v>7962.4000000000015</v>
      </c>
      <c r="E23" s="33">
        <f>SUM(E8:E10,E12:E14,E16:E18,E20:E22)/3</f>
        <v>31849.600000000006</v>
      </c>
      <c r="F23" s="33">
        <f>SUM(F8:F10,F12:F14,F16:F18,F20:F22)/3</f>
        <v>1618</v>
      </c>
      <c r="G23" s="33">
        <f>SUM(G8:G10,G12:G14,G16:G18,G20:G22)/3</f>
        <v>39812</v>
      </c>
      <c r="I23" s="59">
        <f>39812*0.935</f>
        <v>37224.22</v>
      </c>
      <c r="J23" s="111"/>
    </row>
    <row r="24" spans="2:30" ht="44.25" customHeight="1" x14ac:dyDescent="0.25">
      <c r="B24" s="172" t="s">
        <v>118</v>
      </c>
      <c r="C24" s="172"/>
      <c r="D24" s="172"/>
      <c r="E24" s="172"/>
      <c r="F24" s="172"/>
      <c r="G24" s="172"/>
    </row>
    <row r="25" spans="2:30" ht="14.25" customHeight="1" x14ac:dyDescent="0.25">
      <c r="B25" s="169" t="s">
        <v>119</v>
      </c>
      <c r="C25" s="169"/>
      <c r="D25" s="169"/>
      <c r="E25" s="169"/>
      <c r="F25" s="169"/>
      <c r="G25" s="169"/>
    </row>
    <row r="26" spans="2:30" x14ac:dyDescent="0.25">
      <c r="B26" s="169"/>
      <c r="C26" s="169"/>
      <c r="D26" s="169"/>
      <c r="E26" s="169"/>
      <c r="F26" s="169"/>
      <c r="G26" s="169"/>
    </row>
    <row r="27" spans="2:30" ht="15.5" x14ac:dyDescent="0.3">
      <c r="B27" s="145" t="s">
        <v>136</v>
      </c>
    </row>
  </sheetData>
  <mergeCells count="10">
    <mergeCell ref="B25:G26"/>
    <mergeCell ref="H20:Y22"/>
    <mergeCell ref="B15:G15"/>
    <mergeCell ref="B19:G19"/>
    <mergeCell ref="B24:G24"/>
    <mergeCell ref="B2:G2"/>
    <mergeCell ref="C3:D3"/>
    <mergeCell ref="F3:G3"/>
    <mergeCell ref="B7:G7"/>
    <mergeCell ref="B11:G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H26"/>
  <sheetViews>
    <sheetView zoomScale="115" zoomScaleNormal="115" workbookViewId="0">
      <selection activeCell="F12" sqref="F12"/>
    </sheetView>
  </sheetViews>
  <sheetFormatPr defaultColWidth="9.1796875" defaultRowHeight="12.5" x14ac:dyDescent="0.25"/>
  <cols>
    <col min="1" max="1" width="0.7265625" style="13" customWidth="1"/>
    <col min="2" max="2" width="32.81640625" style="13" bestFit="1" customWidth="1"/>
    <col min="3" max="4" width="10" style="13" customWidth="1"/>
    <col min="5" max="5" width="16" style="13" customWidth="1"/>
    <col min="6" max="6" width="10.54296875" style="13" customWidth="1"/>
    <col min="7" max="7" width="9.26953125" style="13" customWidth="1"/>
    <col min="8" max="8" width="44.81640625" style="13" customWidth="1"/>
    <col min="9" max="16384" width="9.1796875" style="13"/>
  </cols>
  <sheetData>
    <row r="2" spans="2:8" ht="15" x14ac:dyDescent="0.25">
      <c r="B2" s="177" t="s">
        <v>18</v>
      </c>
      <c r="C2" s="177"/>
      <c r="D2" s="177"/>
      <c r="E2" s="177"/>
      <c r="F2" s="177"/>
    </row>
    <row r="3" spans="2:8" ht="63.75" customHeight="1" x14ac:dyDescent="0.25">
      <c r="B3" s="16" t="s">
        <v>19</v>
      </c>
      <c r="C3" s="15" t="s">
        <v>34</v>
      </c>
      <c r="D3" s="15" t="s">
        <v>20</v>
      </c>
      <c r="E3" s="14" t="s">
        <v>21</v>
      </c>
      <c r="F3" s="14" t="s">
        <v>22</v>
      </c>
    </row>
    <row r="4" spans="2:8" s="123" customFormat="1" ht="13" x14ac:dyDescent="0.3">
      <c r="B4" s="174" t="s">
        <v>47</v>
      </c>
      <c r="C4" s="175"/>
      <c r="D4" s="175"/>
      <c r="E4" s="175"/>
      <c r="F4" s="176"/>
    </row>
    <row r="5" spans="2:8" ht="13" x14ac:dyDescent="0.3">
      <c r="B5" s="43" t="s">
        <v>84</v>
      </c>
      <c r="C5" s="53">
        <f>'# Respondents'!C9</f>
        <v>25</v>
      </c>
      <c r="D5" s="53">
        <v>1</v>
      </c>
      <c r="E5" s="53">
        <v>0</v>
      </c>
      <c r="F5" s="53">
        <f>C5*D5+E5</f>
        <v>25</v>
      </c>
      <c r="H5" s="24"/>
    </row>
    <row r="6" spans="2:8" ht="13" x14ac:dyDescent="0.3">
      <c r="B6" s="43" t="s">
        <v>42</v>
      </c>
      <c r="C6" s="53">
        <f>'# Respondents'!C9</f>
        <v>25</v>
      </c>
      <c r="D6" s="53">
        <v>1</v>
      </c>
      <c r="E6" s="53">
        <v>0</v>
      </c>
      <c r="F6" s="139">
        <f>C6*D6+E6</f>
        <v>25</v>
      </c>
      <c r="G6" s="96"/>
      <c r="H6" s="24"/>
    </row>
    <row r="7" spans="2:8" ht="15.5" x14ac:dyDescent="0.3">
      <c r="B7" s="66" t="s">
        <v>106</v>
      </c>
      <c r="C7" s="61">
        <f>'# Respondents'!D8</f>
        <v>166.20000000000002</v>
      </c>
      <c r="D7" s="61">
        <v>1</v>
      </c>
      <c r="E7" s="61">
        <f>'# Respondents'!E10</f>
        <v>664.80000000000007</v>
      </c>
      <c r="F7" s="139">
        <f>C7*D7+E7</f>
        <v>831.00000000000011</v>
      </c>
      <c r="H7" s="24"/>
    </row>
    <row r="8" spans="2:8" ht="13" x14ac:dyDescent="0.3">
      <c r="B8" s="62" t="s">
        <v>57</v>
      </c>
      <c r="C8" s="63"/>
      <c r="D8" s="63"/>
      <c r="E8" s="63"/>
      <c r="F8" s="64">
        <f>SUM(F5:F7)</f>
        <v>881.00000000000011</v>
      </c>
      <c r="H8" s="24"/>
    </row>
    <row r="9" spans="2:8" s="123" customFormat="1" ht="13" x14ac:dyDescent="0.3">
      <c r="B9" s="174" t="s">
        <v>55</v>
      </c>
      <c r="C9" s="175"/>
      <c r="D9" s="175"/>
      <c r="E9" s="175"/>
      <c r="F9" s="176"/>
    </row>
    <row r="10" spans="2:8" ht="13" x14ac:dyDescent="0.3">
      <c r="B10" s="43" t="s">
        <v>84</v>
      </c>
      <c r="C10" s="53">
        <f>'# Respondents'!C13</f>
        <v>1593</v>
      </c>
      <c r="D10" s="53">
        <v>1</v>
      </c>
      <c r="E10" s="53">
        <v>0</v>
      </c>
      <c r="F10" s="133">
        <f>C10*D10+E10</f>
        <v>1593</v>
      </c>
      <c r="H10" s="24"/>
    </row>
    <row r="11" spans="2:8" ht="13" x14ac:dyDescent="0.3">
      <c r="B11" s="43" t="s">
        <v>42</v>
      </c>
      <c r="C11" s="53">
        <f>'# Respondents'!C13</f>
        <v>1593</v>
      </c>
      <c r="D11" s="53">
        <v>1</v>
      </c>
      <c r="E11" s="53">
        <v>0</v>
      </c>
      <c r="F11" s="139">
        <f>C11*D11+E11</f>
        <v>1593</v>
      </c>
      <c r="H11" s="24"/>
    </row>
    <row r="12" spans="2:8" ht="15.5" x14ac:dyDescent="0.3">
      <c r="B12" s="66" t="s">
        <v>106</v>
      </c>
      <c r="C12" s="61">
        <f>'# Respondents'!D12</f>
        <v>7146.2000000000007</v>
      </c>
      <c r="D12" s="61">
        <v>1</v>
      </c>
      <c r="E12" s="61">
        <f>'# Respondents'!E14</f>
        <v>28584.800000000003</v>
      </c>
      <c r="F12" s="139">
        <f>C12*D12+E12</f>
        <v>35731</v>
      </c>
      <c r="H12" s="24"/>
    </row>
    <row r="13" spans="2:8" ht="13" x14ac:dyDescent="0.3">
      <c r="B13" s="62" t="s">
        <v>57</v>
      </c>
      <c r="C13" s="63"/>
      <c r="D13" s="63"/>
      <c r="E13" s="63"/>
      <c r="F13" s="64">
        <f>SUM(F10:F12)</f>
        <v>38917</v>
      </c>
      <c r="H13" s="24"/>
    </row>
    <row r="14" spans="2:8" s="123" customFormat="1" ht="13" x14ac:dyDescent="0.3">
      <c r="B14" s="174" t="s">
        <v>56</v>
      </c>
      <c r="C14" s="175"/>
      <c r="D14" s="175"/>
      <c r="E14" s="175"/>
      <c r="F14" s="176"/>
    </row>
    <row r="15" spans="2:8" ht="13" x14ac:dyDescent="0.3">
      <c r="B15" s="43" t="s">
        <v>84</v>
      </c>
      <c r="C15" s="53">
        <f>'# Respondents'!C17</f>
        <v>0</v>
      </c>
      <c r="D15" s="53">
        <v>1</v>
      </c>
      <c r="E15" s="53">
        <v>0</v>
      </c>
      <c r="F15" s="133">
        <f>C15*D15+E15</f>
        <v>0</v>
      </c>
      <c r="H15" s="24"/>
    </row>
    <row r="16" spans="2:8" ht="13" x14ac:dyDescent="0.3">
      <c r="B16" s="43" t="s">
        <v>42</v>
      </c>
      <c r="C16" s="53">
        <f>C15</f>
        <v>0</v>
      </c>
      <c r="D16" s="53">
        <v>1</v>
      </c>
      <c r="E16" s="53">
        <v>0</v>
      </c>
      <c r="F16" s="139">
        <f t="shared" ref="F16" si="0">C16*D16+E16</f>
        <v>0</v>
      </c>
      <c r="H16" s="24"/>
    </row>
    <row r="17" spans="2:8" ht="15.5" x14ac:dyDescent="0.3">
      <c r="B17" s="66" t="s">
        <v>106</v>
      </c>
      <c r="C17" s="53">
        <f>'# Respondents'!D16</f>
        <v>50</v>
      </c>
      <c r="D17" s="53">
        <v>1</v>
      </c>
      <c r="E17" s="53">
        <f>'# Respondents'!E18</f>
        <v>200</v>
      </c>
      <c r="F17" s="139">
        <f>C17*D17+E17</f>
        <v>250</v>
      </c>
      <c r="G17" s="39"/>
      <c r="H17" s="24"/>
    </row>
    <row r="18" spans="2:8" ht="13" x14ac:dyDescent="0.3">
      <c r="B18" s="62" t="s">
        <v>57</v>
      </c>
      <c r="C18" s="63"/>
      <c r="D18" s="63"/>
      <c r="E18" s="63"/>
      <c r="F18" s="64">
        <f>SUM(F15:F17)</f>
        <v>250</v>
      </c>
      <c r="H18" s="24"/>
    </row>
    <row r="19" spans="2:8" s="123" customFormat="1" ht="13" x14ac:dyDescent="0.3">
      <c r="B19" s="174" t="s">
        <v>46</v>
      </c>
      <c r="C19" s="175"/>
      <c r="D19" s="175"/>
      <c r="E19" s="175"/>
      <c r="F19" s="176"/>
    </row>
    <row r="20" spans="2:8" ht="13" x14ac:dyDescent="0.3">
      <c r="B20" s="43" t="s">
        <v>84</v>
      </c>
      <c r="C20" s="53">
        <f>'# Respondents'!C21</f>
        <v>0</v>
      </c>
      <c r="D20" s="53">
        <v>1</v>
      </c>
      <c r="E20" s="53">
        <v>0</v>
      </c>
      <c r="F20" s="133">
        <f>C20*D20+E20</f>
        <v>0</v>
      </c>
      <c r="H20" s="24"/>
    </row>
    <row r="21" spans="2:8" ht="13" x14ac:dyDescent="0.3">
      <c r="B21" s="43" t="s">
        <v>42</v>
      </c>
      <c r="C21" s="53">
        <f>C20</f>
        <v>0</v>
      </c>
      <c r="D21" s="53">
        <v>1</v>
      </c>
      <c r="E21" s="53">
        <v>0</v>
      </c>
      <c r="F21" s="139">
        <f t="shared" ref="F21" si="1">C21*D21+E21</f>
        <v>0</v>
      </c>
      <c r="H21" s="24"/>
    </row>
    <row r="22" spans="2:8" ht="15.5" x14ac:dyDescent="0.3">
      <c r="B22" s="66" t="s">
        <v>106</v>
      </c>
      <c r="C22" s="113">
        <f>'# Respondents'!D20</f>
        <v>600</v>
      </c>
      <c r="D22" s="53">
        <v>1</v>
      </c>
      <c r="E22" s="53">
        <f>'# Respondents'!E21</f>
        <v>2400</v>
      </c>
      <c r="F22" s="139">
        <f>C22*D22+E22</f>
        <v>3000</v>
      </c>
      <c r="G22" s="39"/>
      <c r="H22" s="24"/>
    </row>
    <row r="23" spans="2:8" ht="13" x14ac:dyDescent="0.3">
      <c r="B23" s="62" t="s">
        <v>57</v>
      </c>
      <c r="C23" s="63"/>
      <c r="D23" s="63"/>
      <c r="E23" s="63"/>
      <c r="F23" s="64">
        <f>SUM(F20:F22)</f>
        <v>3000</v>
      </c>
      <c r="H23" s="24"/>
    </row>
    <row r="24" spans="2:8" s="130" customFormat="1" ht="13" x14ac:dyDescent="0.3">
      <c r="B24" s="127" t="s">
        <v>29</v>
      </c>
      <c r="C24" s="128"/>
      <c r="D24" s="128"/>
      <c r="E24" s="129"/>
      <c r="F24" s="125">
        <f>ROUND(SUM(F8,F13,F18,F23),-2)</f>
        <v>43000</v>
      </c>
      <c r="G24" s="126"/>
    </row>
    <row r="25" spans="2:8" ht="31.5" customHeight="1" x14ac:dyDescent="0.3">
      <c r="B25" s="173" t="s">
        <v>121</v>
      </c>
      <c r="C25" s="173"/>
      <c r="D25" s="173"/>
      <c r="E25" s="173"/>
      <c r="F25" s="173"/>
      <c r="G25" s="144"/>
    </row>
    <row r="26" spans="2:8" ht="12.75" customHeight="1" x14ac:dyDescent="0.3">
      <c r="B26" s="144"/>
      <c r="C26" s="144"/>
      <c r="D26" s="144"/>
      <c r="E26" s="144"/>
      <c r="F26" s="144"/>
      <c r="G26" s="144"/>
    </row>
  </sheetData>
  <mergeCells count="6">
    <mergeCell ref="B25:F25"/>
    <mergeCell ref="B19:F19"/>
    <mergeCell ref="B4:F4"/>
    <mergeCell ref="B2:F2"/>
    <mergeCell ref="B9:F9"/>
    <mergeCell ref="B14:F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BS110"/>
  <sheetViews>
    <sheetView topLeftCell="A25" zoomScale="115" zoomScaleNormal="115" workbookViewId="0">
      <selection activeCell="J32" sqref="J32"/>
    </sheetView>
  </sheetViews>
  <sheetFormatPr defaultColWidth="9.1796875" defaultRowHeight="13" x14ac:dyDescent="0.3"/>
  <cols>
    <col min="1" max="1" width="0.7265625" style="5" customWidth="1"/>
    <col min="2" max="2" width="46.26953125" style="5" customWidth="1"/>
    <col min="3" max="3" width="11.7265625" style="5" customWidth="1"/>
    <col min="4" max="4" width="14.453125" style="5" customWidth="1"/>
    <col min="5" max="5" width="14.7265625" style="5" customWidth="1"/>
    <col min="6" max="6" width="13" style="5" customWidth="1"/>
    <col min="7" max="7" width="11.453125" style="5" customWidth="1"/>
    <col min="8" max="8" width="12" style="5" customWidth="1"/>
    <col min="9" max="9" width="11.81640625" style="5" customWidth="1"/>
    <col min="10" max="10" width="12.453125" style="8" customWidth="1"/>
    <col min="11" max="11" width="2" style="5" customWidth="1"/>
    <col min="12" max="12" width="8" style="5" customWidth="1"/>
    <col min="13" max="13" width="8.1796875" style="5" customWidth="1"/>
    <col min="14" max="14" width="9.1796875" style="5"/>
    <col min="15" max="15" width="5" style="5" customWidth="1"/>
    <col min="16" max="16384" width="9.1796875" style="5"/>
  </cols>
  <sheetData>
    <row r="1" spans="2:13" ht="15" x14ac:dyDescent="0.3">
      <c r="B1" s="17" t="s">
        <v>108</v>
      </c>
    </row>
    <row r="3" spans="2:13" s="1" customFormat="1" ht="14.25" customHeight="1" x14ac:dyDescent="0.3">
      <c r="B3" s="182" t="s">
        <v>0</v>
      </c>
      <c r="C3" s="2" t="s">
        <v>1</v>
      </c>
      <c r="D3" s="2" t="s">
        <v>2</v>
      </c>
      <c r="E3" s="2" t="s">
        <v>3</v>
      </c>
      <c r="F3" s="2" t="s">
        <v>4</v>
      </c>
      <c r="G3" s="2" t="s">
        <v>5</v>
      </c>
      <c r="H3" s="2" t="s">
        <v>6</v>
      </c>
      <c r="I3" s="2" t="s">
        <v>7</v>
      </c>
      <c r="J3" s="6" t="s">
        <v>8</v>
      </c>
      <c r="L3" s="54" t="s">
        <v>9</v>
      </c>
      <c r="M3" s="55">
        <v>122.66</v>
      </c>
    </row>
    <row r="4" spans="2:13" s="3" customFormat="1" ht="52" x14ac:dyDescent="0.3">
      <c r="B4" s="182"/>
      <c r="C4" s="117" t="s">
        <v>10</v>
      </c>
      <c r="D4" s="117" t="s">
        <v>11</v>
      </c>
      <c r="E4" s="117" t="s">
        <v>12</v>
      </c>
      <c r="F4" s="117" t="s">
        <v>30</v>
      </c>
      <c r="G4" s="117" t="s">
        <v>13</v>
      </c>
      <c r="H4" s="117" t="s">
        <v>31</v>
      </c>
      <c r="I4" s="117" t="s">
        <v>32</v>
      </c>
      <c r="J4" s="7" t="s">
        <v>23</v>
      </c>
      <c r="L4" s="54" t="s">
        <v>14</v>
      </c>
      <c r="M4" s="55">
        <v>149.84</v>
      </c>
    </row>
    <row r="5" spans="2:13" x14ac:dyDescent="0.3">
      <c r="B5" s="43" t="s">
        <v>36</v>
      </c>
      <c r="C5" s="44" t="s">
        <v>75</v>
      </c>
      <c r="D5" s="44"/>
      <c r="E5" s="44"/>
      <c r="F5" s="44"/>
      <c r="G5" s="44"/>
      <c r="H5" s="44"/>
      <c r="I5" s="44"/>
      <c r="J5" s="22"/>
      <c r="L5" s="54" t="s">
        <v>17</v>
      </c>
      <c r="M5" s="55">
        <v>60.88</v>
      </c>
    </row>
    <row r="6" spans="2:13" x14ac:dyDescent="0.3">
      <c r="B6" s="43" t="s">
        <v>81</v>
      </c>
      <c r="C6" s="44" t="s">
        <v>75</v>
      </c>
      <c r="D6" s="44"/>
      <c r="E6" s="44"/>
      <c r="F6" s="44"/>
      <c r="G6" s="44"/>
      <c r="H6" s="44"/>
      <c r="I6" s="44"/>
      <c r="J6" s="22"/>
    </row>
    <row r="7" spans="2:13" x14ac:dyDescent="0.3">
      <c r="B7" s="43" t="s">
        <v>37</v>
      </c>
      <c r="C7" s="44"/>
      <c r="D7" s="44"/>
      <c r="E7" s="44"/>
      <c r="F7" s="44"/>
      <c r="G7" s="44"/>
      <c r="H7" s="44"/>
      <c r="I7" s="44"/>
      <c r="J7" s="22"/>
    </row>
    <row r="8" spans="2:13" x14ac:dyDescent="0.3">
      <c r="B8" s="47" t="s">
        <v>96</v>
      </c>
      <c r="C8" s="44"/>
      <c r="D8" s="44"/>
      <c r="E8" s="44"/>
      <c r="F8" s="44"/>
      <c r="G8" s="44"/>
      <c r="H8" s="44"/>
      <c r="I8" s="44"/>
      <c r="J8" s="22"/>
    </row>
    <row r="9" spans="2:13" x14ac:dyDescent="0.3">
      <c r="B9" s="56" t="s">
        <v>103</v>
      </c>
      <c r="C9" s="44">
        <v>5</v>
      </c>
      <c r="D9" s="44">
        <v>1</v>
      </c>
      <c r="E9" s="44">
        <f>C9*D9</f>
        <v>5</v>
      </c>
      <c r="F9" s="116">
        <f>'# Respondents'!C8+'# Respondents'!C12</f>
        <v>1618</v>
      </c>
      <c r="G9" s="116">
        <f>E9*F9</f>
        <v>8090</v>
      </c>
      <c r="H9" s="49">
        <f>G9*0.05</f>
        <v>404.5</v>
      </c>
      <c r="I9" s="116">
        <f>G9*0.1</f>
        <v>809</v>
      </c>
      <c r="J9" s="108">
        <f>G9*$M$3+H9*$M$4+I9*$M$5</f>
        <v>1102181.5999999999</v>
      </c>
    </row>
    <row r="10" spans="2:13" x14ac:dyDescent="0.3">
      <c r="B10" s="56" t="s">
        <v>104</v>
      </c>
      <c r="C10" s="44">
        <v>1</v>
      </c>
      <c r="D10" s="44">
        <v>1</v>
      </c>
      <c r="E10" s="44">
        <f>C10*D10</f>
        <v>1</v>
      </c>
      <c r="F10" s="116">
        <f>SUM('# Respondents'!D8:E8,'# Respondents'!D12:E12)</f>
        <v>36562</v>
      </c>
      <c r="G10" s="116">
        <f>E10*F10</f>
        <v>36562</v>
      </c>
      <c r="H10" s="49">
        <f>G10*0.05</f>
        <v>1828.1000000000001</v>
      </c>
      <c r="I10" s="116">
        <f>G10*0.1</f>
        <v>3656.2000000000003</v>
      </c>
      <c r="J10" s="108">
        <f>G10*$M$3+H10*$M$4+I10*$M$5</f>
        <v>4981206.88</v>
      </c>
    </row>
    <row r="11" spans="2:13" x14ac:dyDescent="0.3">
      <c r="B11" s="47" t="s">
        <v>38</v>
      </c>
      <c r="C11" s="44" t="s">
        <v>75</v>
      </c>
      <c r="D11" s="44"/>
      <c r="E11" s="44"/>
      <c r="F11" s="44"/>
      <c r="G11" s="44"/>
      <c r="H11" s="44"/>
      <c r="I11" s="44"/>
      <c r="J11" s="108"/>
    </row>
    <row r="12" spans="2:13" x14ac:dyDescent="0.3">
      <c r="B12" s="47" t="s">
        <v>39</v>
      </c>
      <c r="C12" s="44"/>
      <c r="D12" s="44"/>
      <c r="E12" s="44"/>
      <c r="F12" s="44"/>
      <c r="G12" s="44"/>
      <c r="H12" s="44"/>
      <c r="I12" s="44"/>
      <c r="J12" s="108"/>
      <c r="L12" s="21"/>
      <c r="M12" s="21"/>
    </row>
    <row r="13" spans="2:13" x14ac:dyDescent="0.3">
      <c r="B13" s="56" t="s">
        <v>85</v>
      </c>
      <c r="C13" s="44">
        <v>1</v>
      </c>
      <c r="D13" s="44">
        <v>1</v>
      </c>
      <c r="E13" s="44">
        <f t="shared" ref="E13:E15" si="0">C13*D13</f>
        <v>1</v>
      </c>
      <c r="F13" s="116">
        <f>'# Responses Calcs'!C5+'# Responses Calcs'!C10</f>
        <v>1618</v>
      </c>
      <c r="G13" s="116">
        <f>E13*F13</f>
        <v>1618</v>
      </c>
      <c r="H13" s="49">
        <f>G13*0.05</f>
        <v>80.900000000000006</v>
      </c>
      <c r="I13" s="49">
        <f>G13*0.1</f>
        <v>161.80000000000001</v>
      </c>
      <c r="J13" s="108">
        <f>G13*$M$3+H13*$M$4+I13*$M$5</f>
        <v>220436.32</v>
      </c>
      <c r="L13" s="21"/>
      <c r="M13" s="21"/>
    </row>
    <row r="14" spans="2:13" x14ac:dyDescent="0.3">
      <c r="B14" s="56" t="s">
        <v>83</v>
      </c>
      <c r="C14" s="44">
        <v>2</v>
      </c>
      <c r="D14" s="44">
        <v>1</v>
      </c>
      <c r="E14" s="44">
        <f t="shared" si="0"/>
        <v>2</v>
      </c>
      <c r="F14" s="133">
        <f>'# Responses Calcs'!C6+'# Responses Calcs'!C11</f>
        <v>1618</v>
      </c>
      <c r="G14" s="116">
        <f>E14*F14</f>
        <v>3236</v>
      </c>
      <c r="H14" s="49">
        <f>G14*0.05</f>
        <v>161.80000000000001</v>
      </c>
      <c r="I14" s="49">
        <f>G14*0.1</f>
        <v>323.60000000000002</v>
      </c>
      <c r="J14" s="108">
        <f>G14*$M$3+H14*$M$4+I14*$M$5</f>
        <v>440872.64</v>
      </c>
      <c r="L14" s="21"/>
      <c r="M14" s="21"/>
    </row>
    <row r="15" spans="2:13" x14ac:dyDescent="0.3">
      <c r="B15" s="56" t="s">
        <v>111</v>
      </c>
      <c r="C15" s="44">
        <v>2</v>
      </c>
      <c r="D15" s="44">
        <v>1</v>
      </c>
      <c r="E15" s="44">
        <f t="shared" si="0"/>
        <v>2</v>
      </c>
      <c r="F15" s="133">
        <f>'# Responses Calcs'!C7+'# Responses Calcs'!C12</f>
        <v>7312.4000000000005</v>
      </c>
      <c r="G15" s="116">
        <f>E15*F15</f>
        <v>14624.800000000001</v>
      </c>
      <c r="H15" s="49">
        <f>G15*0.05</f>
        <v>731.24000000000012</v>
      </c>
      <c r="I15" s="49">
        <f>G15*0.1</f>
        <v>1462.4800000000002</v>
      </c>
      <c r="J15" s="108">
        <f>G15*$M$3+H15*$M$4+I15*$M$5</f>
        <v>1992482.7520000003</v>
      </c>
      <c r="L15" s="21"/>
      <c r="M15" s="21"/>
    </row>
    <row r="16" spans="2:13" x14ac:dyDescent="0.3">
      <c r="B16" s="57" t="s">
        <v>16</v>
      </c>
      <c r="C16" s="44"/>
      <c r="D16" s="44"/>
      <c r="E16" s="43"/>
      <c r="F16" s="116"/>
      <c r="G16" s="184">
        <f>SUM(G9:I15)</f>
        <v>73750.42</v>
      </c>
      <c r="H16" s="184"/>
      <c r="I16" s="184"/>
      <c r="J16" s="105">
        <f>SUM(J9:J15)</f>
        <v>8737180.1919999998</v>
      </c>
    </row>
    <row r="17" spans="2:71" x14ac:dyDescent="0.3">
      <c r="B17" s="43" t="s">
        <v>40</v>
      </c>
      <c r="C17" s="44"/>
      <c r="D17" s="44"/>
      <c r="E17" s="44"/>
      <c r="F17" s="44"/>
      <c r="G17" s="44"/>
      <c r="H17" s="44"/>
      <c r="I17" s="44"/>
      <c r="J17" s="108"/>
    </row>
    <row r="18" spans="2:71" x14ac:dyDescent="0.3">
      <c r="B18" s="47" t="s">
        <v>96</v>
      </c>
      <c r="C18" s="44" t="s">
        <v>82</v>
      </c>
      <c r="D18" s="44"/>
      <c r="E18" s="44"/>
      <c r="F18" s="44"/>
      <c r="G18" s="116"/>
      <c r="H18" s="49"/>
      <c r="I18" s="49"/>
      <c r="J18" s="108"/>
    </row>
    <row r="19" spans="2:71" x14ac:dyDescent="0.3">
      <c r="B19" s="47" t="s">
        <v>41</v>
      </c>
      <c r="C19" s="44" t="s">
        <v>75</v>
      </c>
      <c r="D19" s="44"/>
      <c r="E19" s="44"/>
      <c r="F19" s="44"/>
      <c r="G19" s="44"/>
      <c r="H19" s="44"/>
      <c r="I19" s="44"/>
      <c r="J19" s="108"/>
      <c r="M19" s="8"/>
    </row>
    <row r="20" spans="2:71" x14ac:dyDescent="0.3">
      <c r="B20" s="47" t="s">
        <v>43</v>
      </c>
      <c r="C20" s="44" t="s">
        <v>75</v>
      </c>
      <c r="D20" s="44"/>
      <c r="E20" s="44"/>
      <c r="F20" s="44"/>
      <c r="G20" s="44"/>
      <c r="H20" s="44"/>
      <c r="I20" s="44"/>
      <c r="J20" s="108"/>
    </row>
    <row r="21" spans="2:71" x14ac:dyDescent="0.3">
      <c r="B21" s="47" t="s">
        <v>44</v>
      </c>
      <c r="C21" s="44">
        <v>8</v>
      </c>
      <c r="D21" s="44">
        <v>1</v>
      </c>
      <c r="E21" s="44">
        <f>C21*D21</f>
        <v>8</v>
      </c>
      <c r="F21" s="58">
        <f>F9</f>
        <v>1618</v>
      </c>
      <c r="G21" s="116">
        <f>E21*F21</f>
        <v>12944</v>
      </c>
      <c r="H21" s="49">
        <f>G21*0.05</f>
        <v>647.20000000000005</v>
      </c>
      <c r="I21" s="49">
        <f>G21*0.1</f>
        <v>1294.4000000000001</v>
      </c>
      <c r="J21" s="108">
        <f>G21*$M$3+H21*$M$4+I21*$M$5</f>
        <v>1763490.56</v>
      </c>
    </row>
    <row r="22" spans="2:71" x14ac:dyDescent="0.3">
      <c r="B22" s="47" t="s">
        <v>86</v>
      </c>
      <c r="C22" s="44"/>
      <c r="D22" s="44"/>
      <c r="E22" s="44"/>
      <c r="F22" s="44"/>
      <c r="G22" s="116"/>
      <c r="H22" s="49"/>
      <c r="I22" s="49"/>
      <c r="J22" s="108"/>
    </row>
    <row r="23" spans="2:71" ht="15.5" x14ac:dyDescent="0.3">
      <c r="B23" s="56" t="s">
        <v>122</v>
      </c>
      <c r="C23" s="44">
        <v>0.25</v>
      </c>
      <c r="D23" s="44">
        <v>2.4</v>
      </c>
      <c r="E23" s="44">
        <f>C23*D23</f>
        <v>0.6</v>
      </c>
      <c r="F23" s="116">
        <f>0.2*F10</f>
        <v>7312.4000000000005</v>
      </c>
      <c r="G23" s="49">
        <f>E23*F23</f>
        <v>4387.4400000000005</v>
      </c>
      <c r="H23" s="51">
        <f>G23*0.05</f>
        <v>219.37200000000004</v>
      </c>
      <c r="I23" s="51">
        <f>G23*0.1</f>
        <v>438.74400000000009</v>
      </c>
      <c r="J23" s="108">
        <f>G23*$M$3+H23*$M$4+I23*$M$5</f>
        <v>597744.8256000001</v>
      </c>
      <c r="L23" s="149"/>
      <c r="M23" s="149"/>
      <c r="N23" s="149"/>
      <c r="O23" s="149"/>
      <c r="P23" s="149"/>
      <c r="Q23" s="149"/>
      <c r="R23" s="149"/>
      <c r="S23" s="149"/>
      <c r="T23" s="149"/>
      <c r="U23" s="149"/>
      <c r="V23" s="149"/>
      <c r="W23" s="149"/>
      <c r="X23" s="141"/>
      <c r="BL23" s="192" t="s">
        <v>141</v>
      </c>
      <c r="BM23" s="192"/>
      <c r="BN23" s="192"/>
      <c r="BO23" s="192"/>
      <c r="BP23" s="192"/>
      <c r="BQ23" s="192"/>
      <c r="BR23" s="192"/>
      <c r="BS23" s="192"/>
    </row>
    <row r="24" spans="2:71" ht="15.5" x14ac:dyDescent="0.3">
      <c r="B24" s="56" t="s">
        <v>123</v>
      </c>
      <c r="C24" s="44">
        <v>0.25</v>
      </c>
      <c r="D24" s="44">
        <v>1</v>
      </c>
      <c r="E24" s="44">
        <f t="shared" ref="E24" si="1">C24*D24</f>
        <v>0.25</v>
      </c>
      <c r="F24" s="116">
        <f>0.01*F10</f>
        <v>365.62</v>
      </c>
      <c r="G24" s="51">
        <f>E24*F24</f>
        <v>91.405000000000001</v>
      </c>
      <c r="H24" s="51">
        <f>G24*0.05</f>
        <v>4.5702500000000006</v>
      </c>
      <c r="I24" s="51">
        <f>G24*0.1</f>
        <v>9.1405000000000012</v>
      </c>
      <c r="J24" s="108">
        <f>G24*$M$3+H24*$M$4+I24*$M$5</f>
        <v>12453.0172</v>
      </c>
      <c r="L24" s="149"/>
      <c r="M24" s="149"/>
      <c r="N24" s="149"/>
      <c r="O24" s="149"/>
      <c r="P24" s="149"/>
      <c r="Q24" s="149"/>
      <c r="R24" s="149"/>
      <c r="S24" s="149"/>
      <c r="T24" s="149"/>
      <c r="U24" s="149"/>
      <c r="V24" s="149"/>
      <c r="W24" s="149"/>
      <c r="X24" s="141"/>
      <c r="BL24" s="192"/>
      <c r="BM24" s="192"/>
      <c r="BN24" s="192"/>
      <c r="BO24" s="192"/>
      <c r="BP24" s="192"/>
      <c r="BQ24" s="192"/>
      <c r="BR24" s="192"/>
      <c r="BS24" s="192"/>
    </row>
    <row r="25" spans="2:71" ht="15.5" x14ac:dyDescent="0.3">
      <c r="B25" s="56" t="s">
        <v>137</v>
      </c>
      <c r="C25" s="44">
        <v>1.5</v>
      </c>
      <c r="D25" s="44">
        <v>1</v>
      </c>
      <c r="E25" s="44">
        <f t="shared" ref="E25:E26" si="2">C25*D25</f>
        <v>1.5</v>
      </c>
      <c r="F25" s="116">
        <v>0</v>
      </c>
      <c r="G25" s="116">
        <f>E25*F25</f>
        <v>0</v>
      </c>
      <c r="H25" s="116">
        <f>G25*0.05</f>
        <v>0</v>
      </c>
      <c r="I25" s="116">
        <f>G25*0.1</f>
        <v>0</v>
      </c>
      <c r="J25" s="25">
        <f>G25*$M$3+H25*$M$4+I25*$M$5</f>
        <v>0</v>
      </c>
      <c r="L25" s="149"/>
      <c r="M25" s="149"/>
      <c r="N25" s="149"/>
      <c r="O25" s="149"/>
      <c r="P25" s="149"/>
      <c r="Q25" s="149"/>
      <c r="R25" s="149"/>
      <c r="S25" s="149"/>
      <c r="T25" s="149"/>
      <c r="U25" s="149"/>
      <c r="V25" s="149"/>
      <c r="W25" s="149"/>
      <c r="X25" s="141"/>
      <c r="BL25" s="192"/>
      <c r="BM25" s="192"/>
      <c r="BN25" s="192"/>
      <c r="BO25" s="192"/>
      <c r="BP25" s="192"/>
      <c r="BQ25" s="192"/>
      <c r="BR25" s="192"/>
      <c r="BS25" s="192"/>
    </row>
    <row r="26" spans="2:71" ht="28.5" x14ac:dyDescent="0.3">
      <c r="B26" s="56" t="s">
        <v>124</v>
      </c>
      <c r="C26" s="44">
        <v>1</v>
      </c>
      <c r="D26" s="44">
        <v>1</v>
      </c>
      <c r="E26" s="44">
        <f t="shared" si="2"/>
        <v>1</v>
      </c>
      <c r="F26" s="116">
        <f>0.05*F10</f>
        <v>1828.1000000000001</v>
      </c>
      <c r="G26" s="116">
        <f>E26*F26</f>
        <v>1828.1000000000001</v>
      </c>
      <c r="H26" s="51">
        <f>G26*0.05</f>
        <v>91.405000000000015</v>
      </c>
      <c r="I26" s="49">
        <f>G26*0.1</f>
        <v>182.81000000000003</v>
      </c>
      <c r="J26" s="108">
        <f>G26*$M$3+H26*$M$4+I26*$M$5</f>
        <v>249060.34400000004</v>
      </c>
      <c r="L26" s="149"/>
      <c r="M26" s="149"/>
      <c r="N26" s="149"/>
      <c r="O26" s="149"/>
      <c r="P26" s="149"/>
      <c r="Q26" s="149"/>
      <c r="R26" s="149"/>
      <c r="S26" s="149"/>
      <c r="T26" s="149"/>
      <c r="U26" s="149"/>
      <c r="V26" s="149"/>
      <c r="W26" s="149"/>
      <c r="X26" s="141"/>
      <c r="BL26" s="192"/>
      <c r="BM26" s="192"/>
      <c r="BN26" s="192"/>
      <c r="BO26" s="192"/>
      <c r="BP26" s="192"/>
      <c r="BQ26" s="192"/>
      <c r="BR26" s="192"/>
      <c r="BS26" s="192"/>
    </row>
    <row r="27" spans="2:71" x14ac:dyDescent="0.3">
      <c r="B27" s="47" t="s">
        <v>45</v>
      </c>
      <c r="C27" s="44" t="s">
        <v>75</v>
      </c>
      <c r="D27" s="44"/>
      <c r="E27" s="44"/>
      <c r="F27" s="44"/>
      <c r="G27" s="44"/>
      <c r="H27" s="44"/>
      <c r="I27" s="44"/>
      <c r="J27" s="22"/>
      <c r="L27" s="136"/>
      <c r="M27" s="137"/>
      <c r="N27" s="137"/>
      <c r="O27" s="137"/>
      <c r="P27" s="137"/>
      <c r="Q27" s="137"/>
      <c r="R27" s="142"/>
      <c r="S27" s="137"/>
      <c r="T27" s="137"/>
      <c r="U27" s="137"/>
      <c r="V27" s="137"/>
      <c r="W27" s="137"/>
    </row>
    <row r="28" spans="2:71" x14ac:dyDescent="0.3">
      <c r="B28" s="47" t="s">
        <v>80</v>
      </c>
      <c r="C28" s="44" t="s">
        <v>75</v>
      </c>
      <c r="D28" s="44"/>
      <c r="E28" s="44"/>
      <c r="F28" s="44"/>
      <c r="G28" s="116"/>
      <c r="H28" s="49"/>
      <c r="I28" s="49"/>
      <c r="J28" s="22"/>
    </row>
    <row r="29" spans="2:71" x14ac:dyDescent="0.3">
      <c r="B29" s="57" t="s">
        <v>15</v>
      </c>
      <c r="C29" s="44"/>
      <c r="D29" s="44"/>
      <c r="E29" s="43"/>
      <c r="F29" s="44"/>
      <c r="G29" s="184">
        <f>ROUND(SUM(G21:I21,G23:I26),0)</f>
        <v>22139</v>
      </c>
      <c r="H29" s="184"/>
      <c r="I29" s="184"/>
      <c r="J29" s="105">
        <f>ROUND(SUM(J21,J23:J26),0)</f>
        <v>2622749</v>
      </c>
      <c r="L29" s="112"/>
    </row>
    <row r="30" spans="2:71" ht="15" x14ac:dyDescent="0.3">
      <c r="B30" s="52" t="s">
        <v>130</v>
      </c>
      <c r="C30" s="44"/>
      <c r="D30" s="44"/>
      <c r="E30" s="43"/>
      <c r="F30" s="44"/>
      <c r="G30" s="184">
        <f>ROUND(G16+G29,-3)</f>
        <v>96000</v>
      </c>
      <c r="H30" s="184"/>
      <c r="I30" s="184"/>
      <c r="J30" s="106">
        <f>ROUND(J16+J29,-5)</f>
        <v>11400000</v>
      </c>
    </row>
    <row r="31" spans="2:71" ht="15" x14ac:dyDescent="0.3">
      <c r="B31" s="97" t="s">
        <v>131</v>
      </c>
      <c r="C31" s="44"/>
      <c r="D31" s="44"/>
      <c r="E31" s="43"/>
      <c r="F31" s="44"/>
      <c r="G31" s="178"/>
      <c r="H31" s="179"/>
      <c r="I31" s="180"/>
      <c r="J31" s="105">
        <f>ROUND(SUM('Capital and O&amp;M Costs'!F15,'Capital and O&amp;M Costs'!F10),-2)</f>
        <v>25200</v>
      </c>
    </row>
    <row r="32" spans="2:71" ht="15" x14ac:dyDescent="0.3">
      <c r="B32" s="103" t="s">
        <v>132</v>
      </c>
      <c r="C32" s="104"/>
      <c r="D32" s="104"/>
      <c r="E32" s="104"/>
      <c r="F32" s="104"/>
      <c r="G32" s="187"/>
      <c r="H32" s="188"/>
      <c r="I32" s="189"/>
      <c r="J32" s="107">
        <f>ROUND(SUM(J30:J31),-5)</f>
        <v>11400000</v>
      </c>
      <c r="K32" s="38"/>
    </row>
    <row r="33" spans="2:12" x14ac:dyDescent="0.3">
      <c r="B33" s="98"/>
      <c r="C33" s="99"/>
      <c r="D33" s="99"/>
      <c r="E33" s="100"/>
      <c r="F33" s="99"/>
      <c r="G33" s="101"/>
      <c r="H33" s="101"/>
      <c r="I33" s="101"/>
      <c r="J33" s="102"/>
      <c r="K33" s="38"/>
    </row>
    <row r="34" spans="2:12" x14ac:dyDescent="0.3">
      <c r="B34" s="134" t="s">
        <v>33</v>
      </c>
      <c r="G34" s="9"/>
      <c r="H34" s="9"/>
      <c r="I34" s="9"/>
    </row>
    <row r="35" spans="2:12" ht="39" customHeight="1" x14ac:dyDescent="0.3">
      <c r="B35" s="183" t="s">
        <v>110</v>
      </c>
      <c r="C35" s="183"/>
      <c r="D35" s="183"/>
      <c r="E35" s="183"/>
      <c r="F35" s="183"/>
      <c r="G35" s="183"/>
      <c r="H35" s="183"/>
      <c r="I35" s="183"/>
      <c r="J35" s="183"/>
    </row>
    <row r="36" spans="2:12" ht="39.75" customHeight="1" x14ac:dyDescent="0.3">
      <c r="B36" s="181" t="s">
        <v>109</v>
      </c>
      <c r="C36" s="181"/>
      <c r="D36" s="181"/>
      <c r="E36" s="181"/>
      <c r="F36" s="181"/>
      <c r="G36" s="181"/>
      <c r="H36" s="181"/>
      <c r="I36" s="181"/>
      <c r="J36" s="181"/>
    </row>
    <row r="37" spans="2:12" ht="42" customHeight="1" x14ac:dyDescent="0.3">
      <c r="B37" s="190" t="s">
        <v>129</v>
      </c>
      <c r="C37" s="190"/>
      <c r="D37" s="190"/>
      <c r="E37" s="190"/>
      <c r="F37" s="190"/>
      <c r="G37" s="190"/>
      <c r="H37" s="190"/>
      <c r="I37" s="190"/>
      <c r="J37" s="190"/>
      <c r="L37" s="112" t="s">
        <v>145</v>
      </c>
    </row>
    <row r="38" spans="2:12" ht="32.25" customHeight="1" x14ac:dyDescent="0.3">
      <c r="B38" s="190" t="s">
        <v>138</v>
      </c>
      <c r="C38" s="190"/>
      <c r="D38" s="190"/>
      <c r="E38" s="190"/>
      <c r="F38" s="190"/>
      <c r="G38" s="190"/>
      <c r="H38" s="190"/>
      <c r="I38" s="190"/>
      <c r="J38" s="190"/>
      <c r="L38" s="112" t="s">
        <v>145</v>
      </c>
    </row>
    <row r="39" spans="2:12" ht="29.25" customHeight="1" x14ac:dyDescent="0.3">
      <c r="B39" s="191" t="s">
        <v>126</v>
      </c>
      <c r="C39" s="191"/>
      <c r="D39" s="191"/>
      <c r="E39" s="191"/>
      <c r="F39" s="191"/>
      <c r="G39" s="191"/>
      <c r="H39" s="191"/>
      <c r="I39" s="191"/>
      <c r="J39" s="191"/>
      <c r="L39" s="112" t="s">
        <v>145</v>
      </c>
    </row>
    <row r="40" spans="2:12" ht="28.5" customHeight="1" x14ac:dyDescent="0.3">
      <c r="B40" s="191" t="s">
        <v>128</v>
      </c>
      <c r="C40" s="191"/>
      <c r="D40" s="191"/>
      <c r="E40" s="191"/>
      <c r="F40" s="191"/>
      <c r="G40" s="191"/>
      <c r="H40" s="191"/>
      <c r="I40" s="191"/>
      <c r="J40" s="191"/>
      <c r="L40" s="112" t="s">
        <v>145</v>
      </c>
    </row>
    <row r="41" spans="2:12" ht="15.5" x14ac:dyDescent="0.3">
      <c r="B41" s="5" t="s">
        <v>127</v>
      </c>
    </row>
    <row r="43" spans="2:12" ht="15" x14ac:dyDescent="0.3">
      <c r="B43" s="17" t="s">
        <v>71</v>
      </c>
    </row>
    <row r="45" spans="2:12" x14ac:dyDescent="0.3">
      <c r="B45" s="182" t="s">
        <v>0</v>
      </c>
      <c r="C45" s="2" t="s">
        <v>1</v>
      </c>
      <c r="D45" s="2" t="s">
        <v>2</v>
      </c>
      <c r="E45" s="2" t="s">
        <v>3</v>
      </c>
      <c r="F45" s="2" t="s">
        <v>4</v>
      </c>
      <c r="G45" s="2" t="s">
        <v>5</v>
      </c>
      <c r="H45" s="2" t="s">
        <v>6</v>
      </c>
      <c r="I45" s="2" t="s">
        <v>7</v>
      </c>
      <c r="J45" s="6" t="s">
        <v>8</v>
      </c>
    </row>
    <row r="46" spans="2:12" ht="52" x14ac:dyDescent="0.3">
      <c r="B46" s="182"/>
      <c r="C46" s="117" t="s">
        <v>10</v>
      </c>
      <c r="D46" s="117" t="s">
        <v>11</v>
      </c>
      <c r="E46" s="117" t="s">
        <v>12</v>
      </c>
      <c r="F46" s="117" t="s">
        <v>30</v>
      </c>
      <c r="G46" s="117" t="s">
        <v>13</v>
      </c>
      <c r="H46" s="117" t="s">
        <v>31</v>
      </c>
      <c r="I46" s="117" t="s">
        <v>32</v>
      </c>
      <c r="J46" s="7" t="s">
        <v>23</v>
      </c>
    </row>
    <row r="47" spans="2:12" x14ac:dyDescent="0.3">
      <c r="B47" s="43" t="s">
        <v>36</v>
      </c>
      <c r="C47" s="44" t="s">
        <v>75</v>
      </c>
      <c r="D47" s="44"/>
      <c r="E47" s="44"/>
      <c r="F47" s="44"/>
      <c r="G47" s="44"/>
      <c r="H47" s="44"/>
      <c r="I47" s="44"/>
      <c r="J47" s="22"/>
    </row>
    <row r="48" spans="2:12" x14ac:dyDescent="0.3">
      <c r="B48" s="43" t="s">
        <v>81</v>
      </c>
      <c r="C48" s="44" t="s">
        <v>75</v>
      </c>
      <c r="D48" s="44"/>
      <c r="E48" s="44"/>
      <c r="F48" s="44"/>
      <c r="G48" s="44"/>
      <c r="H48" s="44"/>
      <c r="I48" s="44"/>
      <c r="J48" s="22"/>
    </row>
    <row r="49" spans="2:36" x14ac:dyDescent="0.3">
      <c r="B49" s="43" t="s">
        <v>37</v>
      </c>
      <c r="C49" s="44"/>
      <c r="D49" s="44"/>
      <c r="E49" s="44"/>
      <c r="F49" s="44"/>
      <c r="G49" s="44"/>
      <c r="H49" s="44"/>
      <c r="I49" s="44"/>
      <c r="J49" s="22"/>
    </row>
    <row r="50" spans="2:36" x14ac:dyDescent="0.3">
      <c r="B50" s="47" t="s">
        <v>96</v>
      </c>
      <c r="C50" s="44">
        <v>1</v>
      </c>
      <c r="D50" s="44">
        <v>1</v>
      </c>
      <c r="E50" s="44">
        <f>C50*D50</f>
        <v>1</v>
      </c>
      <c r="F50" s="116">
        <f>SUM('# Respondents'!D16:E16)</f>
        <v>250</v>
      </c>
      <c r="G50" s="116">
        <f>E50*F50</f>
        <v>250</v>
      </c>
      <c r="H50" s="116">
        <f>G50*0.05</f>
        <v>12.5</v>
      </c>
      <c r="I50" s="116">
        <f>G50*0.1</f>
        <v>25</v>
      </c>
      <c r="J50" s="108">
        <f>G50*$M$3+H50*$M$4+I50*$M$5</f>
        <v>34060</v>
      </c>
    </row>
    <row r="51" spans="2:36" x14ac:dyDescent="0.3">
      <c r="B51" s="47" t="s">
        <v>38</v>
      </c>
      <c r="C51" s="44" t="s">
        <v>75</v>
      </c>
      <c r="D51" s="44"/>
      <c r="E51" s="44"/>
      <c r="F51" s="44"/>
      <c r="G51" s="44"/>
      <c r="H51" s="44"/>
      <c r="I51" s="44"/>
      <c r="J51" s="22"/>
    </row>
    <row r="52" spans="2:36" x14ac:dyDescent="0.3">
      <c r="B52" s="47" t="s">
        <v>39</v>
      </c>
      <c r="C52" s="44"/>
      <c r="D52" s="44"/>
      <c r="E52" s="44"/>
      <c r="F52" s="44"/>
      <c r="G52" s="44"/>
      <c r="H52" s="44"/>
      <c r="I52" s="44"/>
      <c r="J52" s="22"/>
    </row>
    <row r="53" spans="2:36" x14ac:dyDescent="0.3">
      <c r="B53" s="56" t="s">
        <v>85</v>
      </c>
      <c r="C53" s="44">
        <v>1</v>
      </c>
      <c r="D53" s="44">
        <v>1</v>
      </c>
      <c r="E53" s="44">
        <f t="shared" ref="E53:E55" si="3">C53*D53</f>
        <v>1</v>
      </c>
      <c r="F53" s="116">
        <v>0</v>
      </c>
      <c r="G53" s="116">
        <f>E53*F53</f>
        <v>0</v>
      </c>
      <c r="H53" s="116">
        <f>G53*0.05</f>
        <v>0</v>
      </c>
      <c r="I53" s="116">
        <f>G53*0.1</f>
        <v>0</v>
      </c>
      <c r="J53" s="25">
        <f>G53*$M$3+H53*$M$4+I53*$M$5</f>
        <v>0</v>
      </c>
    </row>
    <row r="54" spans="2:36" x14ac:dyDescent="0.3">
      <c r="B54" s="56" t="s">
        <v>83</v>
      </c>
      <c r="C54" s="44">
        <v>2</v>
      </c>
      <c r="D54" s="44">
        <v>1</v>
      </c>
      <c r="E54" s="44">
        <f t="shared" si="3"/>
        <v>2</v>
      </c>
      <c r="F54" s="116">
        <f>F53</f>
        <v>0</v>
      </c>
      <c r="G54" s="116">
        <f>E54*F54</f>
        <v>0</v>
      </c>
      <c r="H54" s="116">
        <f>G54*0.05</f>
        <v>0</v>
      </c>
      <c r="I54" s="116">
        <f>G54*0.1</f>
        <v>0</v>
      </c>
      <c r="J54" s="25">
        <f>G54*$M$3+H54*$M$4+I54*$M$5</f>
        <v>0</v>
      </c>
    </row>
    <row r="55" spans="2:36" x14ac:dyDescent="0.3">
      <c r="B55" s="56" t="s">
        <v>111</v>
      </c>
      <c r="C55" s="44">
        <v>2</v>
      </c>
      <c r="D55" s="44">
        <v>1</v>
      </c>
      <c r="E55" s="44">
        <f t="shared" si="3"/>
        <v>2</v>
      </c>
      <c r="F55" s="116">
        <f>'# Responses Calcs'!C17</f>
        <v>50</v>
      </c>
      <c r="G55" s="116">
        <f>E55*F55</f>
        <v>100</v>
      </c>
      <c r="H55" s="116">
        <f>G55*0.05</f>
        <v>5</v>
      </c>
      <c r="I55" s="116">
        <f>G55*0.1</f>
        <v>10</v>
      </c>
      <c r="J55" s="108">
        <f>G55*$M$3+H55*$M$4+I55*$M$5</f>
        <v>13624</v>
      </c>
    </row>
    <row r="56" spans="2:36" x14ac:dyDescent="0.3">
      <c r="B56" s="57" t="s">
        <v>16</v>
      </c>
      <c r="C56" s="44"/>
      <c r="D56" s="44"/>
      <c r="E56" s="43"/>
      <c r="F56" s="116"/>
      <c r="G56" s="184">
        <f>SUM(G50:I50,G53:I55)</f>
        <v>402.5</v>
      </c>
      <c r="H56" s="184"/>
      <c r="I56" s="184"/>
      <c r="J56" s="105">
        <f>SUM(J50,J53:J55)</f>
        <v>47684</v>
      </c>
      <c r="K56" s="38"/>
    </row>
    <row r="57" spans="2:36" x14ac:dyDescent="0.3">
      <c r="B57" s="43" t="s">
        <v>40</v>
      </c>
      <c r="C57" s="44"/>
      <c r="D57" s="44"/>
      <c r="E57" s="44"/>
      <c r="F57" s="44"/>
      <c r="G57" s="44"/>
      <c r="H57" s="44"/>
      <c r="I57" s="44"/>
      <c r="J57" s="22"/>
    </row>
    <row r="58" spans="2:36" x14ac:dyDescent="0.3">
      <c r="B58" s="47" t="s">
        <v>97</v>
      </c>
      <c r="C58" s="44" t="s">
        <v>82</v>
      </c>
      <c r="D58" s="44"/>
      <c r="E58" s="44"/>
      <c r="F58" s="44"/>
      <c r="G58" s="116"/>
      <c r="H58" s="49"/>
      <c r="I58" s="49"/>
      <c r="J58" s="22"/>
    </row>
    <row r="59" spans="2:36" x14ac:dyDescent="0.3">
      <c r="B59" s="47" t="s">
        <v>41</v>
      </c>
      <c r="C59" s="44" t="s">
        <v>75</v>
      </c>
      <c r="D59" s="44"/>
      <c r="E59" s="44"/>
      <c r="F59" s="44"/>
      <c r="G59" s="44"/>
      <c r="H59" s="44"/>
      <c r="I59" s="44"/>
      <c r="J59" s="22"/>
    </row>
    <row r="60" spans="2:36" x14ac:dyDescent="0.3">
      <c r="B60" s="47" t="s">
        <v>43</v>
      </c>
      <c r="C60" s="44" t="s">
        <v>75</v>
      </c>
      <c r="D60" s="44"/>
      <c r="E60" s="44"/>
      <c r="F60" s="44"/>
      <c r="G60" s="44"/>
      <c r="H60" s="44"/>
      <c r="I60" s="44"/>
      <c r="J60" s="22"/>
    </row>
    <row r="61" spans="2:36" x14ac:dyDescent="0.3">
      <c r="B61" s="47" t="s">
        <v>44</v>
      </c>
      <c r="C61" s="44">
        <v>8</v>
      </c>
      <c r="D61" s="44">
        <v>1</v>
      </c>
      <c r="E61" s="44">
        <f>C61*D61</f>
        <v>8</v>
      </c>
      <c r="F61" s="58">
        <f>F53</f>
        <v>0</v>
      </c>
      <c r="G61" s="116">
        <f>E61*F61</f>
        <v>0</v>
      </c>
      <c r="H61" s="116">
        <f>G61*0.05</f>
        <v>0</v>
      </c>
      <c r="I61" s="116">
        <f>G61*0.1</f>
        <v>0</v>
      </c>
      <c r="J61" s="25">
        <f>G61*$M$3+H61*$M$4+I61*$M$5</f>
        <v>0</v>
      </c>
    </row>
    <row r="62" spans="2:36" x14ac:dyDescent="0.3">
      <c r="B62" s="47" t="s">
        <v>86</v>
      </c>
      <c r="C62" s="44"/>
      <c r="D62" s="44"/>
      <c r="E62" s="44"/>
      <c r="F62" s="44"/>
      <c r="G62" s="116"/>
      <c r="H62" s="49"/>
      <c r="I62" s="49"/>
      <c r="J62" s="22"/>
    </row>
    <row r="63" spans="2:36" ht="15.5" x14ac:dyDescent="0.3">
      <c r="B63" s="56" t="s">
        <v>122</v>
      </c>
      <c r="C63" s="44">
        <v>0.25</v>
      </c>
      <c r="D63" s="44">
        <v>2.4</v>
      </c>
      <c r="E63" s="44">
        <f t="shared" ref="E63:E66" si="4">C63*D63</f>
        <v>0.6</v>
      </c>
      <c r="F63" s="116">
        <f>F50*0.2</f>
        <v>50</v>
      </c>
      <c r="G63" s="51">
        <f>E63*F63</f>
        <v>30</v>
      </c>
      <c r="H63" s="51">
        <f>G63*0.05</f>
        <v>1.5</v>
      </c>
      <c r="I63" s="51">
        <f>G63*0.1</f>
        <v>3</v>
      </c>
      <c r="J63" s="108">
        <f>G63*$M$3+H63*$M$4+I63*$M$5</f>
        <v>4087.1999999999994</v>
      </c>
      <c r="L63" s="149"/>
      <c r="M63" s="149"/>
      <c r="N63" s="149"/>
      <c r="O63" s="149"/>
      <c r="P63" s="149"/>
      <c r="Q63" s="149"/>
      <c r="R63" s="149"/>
      <c r="S63" s="149"/>
      <c r="T63" s="149"/>
      <c r="U63" s="149"/>
      <c r="V63" s="149"/>
      <c r="W63" s="149"/>
      <c r="X63" s="141"/>
      <c r="AC63" s="148"/>
      <c r="AD63" s="148"/>
      <c r="AE63" s="148"/>
      <c r="AF63" s="148"/>
      <c r="AG63" s="148"/>
      <c r="AH63" s="148"/>
      <c r="AI63" s="148"/>
      <c r="AJ63" s="148"/>
    </row>
    <row r="64" spans="2:36" ht="15.5" x14ac:dyDescent="0.3">
      <c r="B64" s="56" t="s">
        <v>123</v>
      </c>
      <c r="C64" s="44">
        <v>0.25</v>
      </c>
      <c r="D64" s="44">
        <v>1</v>
      </c>
      <c r="E64" s="44">
        <f t="shared" si="4"/>
        <v>0.25</v>
      </c>
      <c r="F64" s="139">
        <f>0.01*F50</f>
        <v>2.5</v>
      </c>
      <c r="G64" s="51">
        <f>E64*F64</f>
        <v>0.625</v>
      </c>
      <c r="H64" s="51">
        <f>G64*0.05</f>
        <v>3.125E-2</v>
      </c>
      <c r="I64" s="51">
        <f>G64*0.1</f>
        <v>6.25E-2</v>
      </c>
      <c r="J64" s="108">
        <f>G64*$M$3+H64*$M$4+I64*$M$5</f>
        <v>85.15</v>
      </c>
      <c r="L64" s="149"/>
      <c r="M64" s="149"/>
      <c r="N64" s="149"/>
      <c r="O64" s="149"/>
      <c r="P64" s="149"/>
      <c r="Q64" s="149"/>
      <c r="R64" s="149"/>
      <c r="S64" s="149"/>
      <c r="T64" s="149"/>
      <c r="U64" s="149"/>
      <c r="V64" s="149"/>
      <c r="W64" s="149"/>
      <c r="X64" s="141"/>
      <c r="AC64" s="148"/>
      <c r="AD64" s="148"/>
      <c r="AE64" s="148"/>
      <c r="AF64" s="148"/>
      <c r="AG64" s="148"/>
      <c r="AH64" s="148"/>
      <c r="AI64" s="148"/>
      <c r="AJ64" s="148"/>
    </row>
    <row r="65" spans="2:23" ht="15.5" x14ac:dyDescent="0.3">
      <c r="B65" s="56" t="s">
        <v>137</v>
      </c>
      <c r="C65" s="44">
        <v>1.5</v>
      </c>
      <c r="D65" s="44">
        <v>1</v>
      </c>
      <c r="E65" s="44">
        <f t="shared" si="4"/>
        <v>1.5</v>
      </c>
      <c r="F65" s="116">
        <f>F53</f>
        <v>0</v>
      </c>
      <c r="G65" s="139">
        <f>E65*F65</f>
        <v>0</v>
      </c>
      <c r="H65" s="139">
        <f>G65*0.05</f>
        <v>0</v>
      </c>
      <c r="I65" s="139">
        <f>G65*0.1</f>
        <v>0</v>
      </c>
      <c r="J65" s="25">
        <f>G65*$M$3+H65*$M$4+I65*$M$5</f>
        <v>0</v>
      </c>
      <c r="L65" s="149"/>
      <c r="M65" s="149"/>
      <c r="N65" s="149"/>
      <c r="O65" s="149"/>
      <c r="P65" s="149"/>
      <c r="Q65" s="149"/>
      <c r="R65" s="149"/>
      <c r="S65" s="149"/>
      <c r="T65" s="149"/>
      <c r="U65" s="149"/>
      <c r="V65" s="149"/>
      <c r="W65" s="149"/>
    </row>
    <row r="66" spans="2:23" ht="28.5" x14ac:dyDescent="0.3">
      <c r="B66" s="56" t="s">
        <v>124</v>
      </c>
      <c r="C66" s="44">
        <v>1</v>
      </c>
      <c r="D66" s="44">
        <v>1</v>
      </c>
      <c r="E66" s="44">
        <f t="shared" si="4"/>
        <v>1</v>
      </c>
      <c r="F66" s="139">
        <f>0.05*F50</f>
        <v>12.5</v>
      </c>
      <c r="G66" s="51">
        <f>E66*F66</f>
        <v>12.5</v>
      </c>
      <c r="H66" s="51">
        <f>G66*0.05</f>
        <v>0.625</v>
      </c>
      <c r="I66" s="51">
        <f>G66*0.1</f>
        <v>1.25</v>
      </c>
      <c r="J66" s="108">
        <f>G66*$M$3+H66*$M$4+I66*$M$5</f>
        <v>1703</v>
      </c>
      <c r="L66" s="149"/>
      <c r="M66" s="149"/>
      <c r="N66" s="149"/>
      <c r="O66" s="149"/>
      <c r="P66" s="149"/>
      <c r="Q66" s="149"/>
      <c r="R66" s="149"/>
      <c r="S66" s="149"/>
      <c r="T66" s="149"/>
      <c r="U66" s="149"/>
      <c r="V66" s="149"/>
      <c r="W66" s="149"/>
    </row>
    <row r="67" spans="2:23" x14ac:dyDescent="0.3">
      <c r="B67" s="47" t="s">
        <v>45</v>
      </c>
      <c r="C67" s="44" t="s">
        <v>75</v>
      </c>
      <c r="D67" s="44"/>
      <c r="E67" s="44"/>
      <c r="F67" s="44"/>
      <c r="G67" s="44"/>
      <c r="H67" s="44"/>
      <c r="I67" s="44"/>
      <c r="J67" s="22"/>
      <c r="L67" s="136"/>
      <c r="M67" s="137"/>
      <c r="N67" s="137"/>
      <c r="O67" s="137"/>
      <c r="P67" s="137"/>
      <c r="Q67" s="137"/>
      <c r="R67" s="142"/>
      <c r="S67" s="137"/>
      <c r="T67" s="137"/>
      <c r="U67" s="137"/>
      <c r="V67" s="137"/>
      <c r="W67" s="137"/>
    </row>
    <row r="68" spans="2:23" x14ac:dyDescent="0.3">
      <c r="B68" s="47" t="s">
        <v>80</v>
      </c>
      <c r="C68" s="44" t="s">
        <v>75</v>
      </c>
      <c r="D68" s="44"/>
      <c r="E68" s="44"/>
      <c r="F68" s="44"/>
      <c r="G68" s="116"/>
      <c r="H68" s="49"/>
      <c r="I68" s="49"/>
      <c r="J68" s="22"/>
    </row>
    <row r="69" spans="2:23" x14ac:dyDescent="0.3">
      <c r="B69" s="57" t="s">
        <v>15</v>
      </c>
      <c r="C69" s="44"/>
      <c r="D69" s="44"/>
      <c r="E69" s="43"/>
      <c r="F69" s="44"/>
      <c r="G69" s="184">
        <f>SUM(G61:I61,G63:I66)</f>
        <v>49.59375</v>
      </c>
      <c r="H69" s="184"/>
      <c r="I69" s="184"/>
      <c r="J69" s="105">
        <f>SUM(J61,J63:J66)</f>
        <v>5875.3499999999995</v>
      </c>
    </row>
    <row r="70" spans="2:23" ht="15" x14ac:dyDescent="0.3">
      <c r="B70" s="52" t="s">
        <v>130</v>
      </c>
      <c r="C70" s="44"/>
      <c r="D70" s="44"/>
      <c r="E70" s="43"/>
      <c r="F70" s="44"/>
      <c r="G70" s="184">
        <f>G56+G69</f>
        <v>452.09375</v>
      </c>
      <c r="H70" s="184"/>
      <c r="I70" s="184"/>
      <c r="J70" s="106">
        <f>ROUND(J56+J69,-2)</f>
        <v>53600</v>
      </c>
    </row>
    <row r="71" spans="2:23" ht="15" x14ac:dyDescent="0.3">
      <c r="B71" s="97" t="s">
        <v>131</v>
      </c>
      <c r="C71" s="44"/>
      <c r="D71" s="44"/>
      <c r="E71" s="43"/>
      <c r="F71" s="44"/>
      <c r="G71" s="178"/>
      <c r="H71" s="179"/>
      <c r="I71" s="180"/>
      <c r="J71" s="115">
        <f>'Capital and O&amp;M Costs'!F18</f>
        <v>150</v>
      </c>
    </row>
    <row r="72" spans="2:23" ht="15" x14ac:dyDescent="0.3">
      <c r="B72" s="103" t="s">
        <v>132</v>
      </c>
      <c r="C72" s="44"/>
      <c r="D72" s="44"/>
      <c r="E72" s="43"/>
      <c r="F72" s="44"/>
      <c r="G72" s="178"/>
      <c r="H72" s="179"/>
      <c r="I72" s="180"/>
      <c r="J72" s="106">
        <f>ROUND(SUM(J70:J71),-2)</f>
        <v>53800</v>
      </c>
    </row>
    <row r="73" spans="2:23" ht="18.75" customHeight="1" x14ac:dyDescent="0.3">
      <c r="B73" s="134" t="s">
        <v>33</v>
      </c>
      <c r="G73" s="9"/>
      <c r="H73" s="9"/>
      <c r="I73" s="9"/>
    </row>
    <row r="74" spans="2:23" ht="29.25" customHeight="1" x14ac:dyDescent="0.3">
      <c r="B74" s="186" t="s">
        <v>112</v>
      </c>
      <c r="C74" s="186"/>
      <c r="D74" s="186"/>
      <c r="E74" s="186"/>
      <c r="F74" s="186"/>
      <c r="G74" s="186"/>
      <c r="H74" s="186"/>
      <c r="I74" s="186"/>
      <c r="J74" s="186"/>
    </row>
    <row r="75" spans="2:23" ht="39.75" customHeight="1" x14ac:dyDescent="0.3">
      <c r="B75" s="181" t="s">
        <v>109</v>
      </c>
      <c r="C75" s="181"/>
      <c r="D75" s="181"/>
      <c r="E75" s="181"/>
      <c r="F75" s="181"/>
      <c r="G75" s="181"/>
      <c r="H75" s="181"/>
      <c r="I75" s="181"/>
      <c r="J75" s="181"/>
    </row>
    <row r="76" spans="2:23" ht="31.5" customHeight="1" x14ac:dyDescent="0.3">
      <c r="B76" s="190" t="s">
        <v>144</v>
      </c>
      <c r="C76" s="190"/>
      <c r="D76" s="190"/>
      <c r="E76" s="190"/>
      <c r="F76" s="190"/>
      <c r="G76" s="190"/>
      <c r="H76" s="190"/>
      <c r="I76" s="190"/>
      <c r="J76" s="190"/>
      <c r="L76" s="112" t="s">
        <v>145</v>
      </c>
    </row>
    <row r="77" spans="2:23" ht="29.25" customHeight="1" x14ac:dyDescent="0.3">
      <c r="B77" s="190" t="s">
        <v>125</v>
      </c>
      <c r="C77" s="190"/>
      <c r="D77" s="190"/>
      <c r="E77" s="190"/>
      <c r="F77" s="190"/>
      <c r="G77" s="190"/>
      <c r="H77" s="190"/>
      <c r="I77" s="190"/>
      <c r="J77" s="190"/>
      <c r="L77" s="112" t="s">
        <v>145</v>
      </c>
    </row>
    <row r="78" spans="2:23" ht="27" customHeight="1" x14ac:dyDescent="0.3">
      <c r="B78" s="191" t="s">
        <v>126</v>
      </c>
      <c r="C78" s="191"/>
      <c r="D78" s="191"/>
      <c r="E78" s="191"/>
      <c r="F78" s="191"/>
      <c r="G78" s="191"/>
      <c r="H78" s="191"/>
      <c r="I78" s="191"/>
      <c r="J78" s="191"/>
      <c r="L78" s="112" t="s">
        <v>145</v>
      </c>
    </row>
    <row r="79" spans="2:23" ht="30" customHeight="1" x14ac:dyDescent="0.3">
      <c r="B79" s="191" t="s">
        <v>133</v>
      </c>
      <c r="C79" s="191"/>
      <c r="D79" s="191"/>
      <c r="E79" s="191"/>
      <c r="F79" s="191"/>
      <c r="G79" s="191"/>
      <c r="H79" s="191"/>
      <c r="I79" s="191"/>
      <c r="J79" s="191"/>
      <c r="L79" s="112" t="s">
        <v>145</v>
      </c>
    </row>
    <row r="80" spans="2:23" ht="15.5" x14ac:dyDescent="0.3">
      <c r="B80" s="5" t="s">
        <v>127</v>
      </c>
    </row>
    <row r="82" spans="2:13" ht="15" x14ac:dyDescent="0.3">
      <c r="B82" s="17" t="s">
        <v>72</v>
      </c>
    </row>
    <row r="84" spans="2:13" s="1" customFormat="1" ht="14.25" customHeight="1" x14ac:dyDescent="0.3">
      <c r="B84" s="182" t="s">
        <v>0</v>
      </c>
      <c r="C84" s="2" t="s">
        <v>1</v>
      </c>
      <c r="D84" s="2" t="s">
        <v>2</v>
      </c>
      <c r="E84" s="2" t="s">
        <v>3</v>
      </c>
      <c r="F84" s="2" t="s">
        <v>4</v>
      </c>
      <c r="G84" s="2" t="s">
        <v>5</v>
      </c>
      <c r="H84" s="2" t="s">
        <v>6</v>
      </c>
      <c r="I84" s="2" t="s">
        <v>7</v>
      </c>
      <c r="J84" s="6" t="s">
        <v>8</v>
      </c>
    </row>
    <row r="85" spans="2:13" s="3" customFormat="1" ht="52" x14ac:dyDescent="0.3">
      <c r="B85" s="182"/>
      <c r="C85" s="117" t="s">
        <v>10</v>
      </c>
      <c r="D85" s="117" t="s">
        <v>11</v>
      </c>
      <c r="E85" s="117" t="s">
        <v>12</v>
      </c>
      <c r="F85" s="117" t="s">
        <v>30</v>
      </c>
      <c r="G85" s="117" t="s">
        <v>13</v>
      </c>
      <c r="H85" s="117" t="s">
        <v>31</v>
      </c>
      <c r="I85" s="117" t="s">
        <v>32</v>
      </c>
      <c r="J85" s="7" t="s">
        <v>23</v>
      </c>
    </row>
    <row r="86" spans="2:13" x14ac:dyDescent="0.3">
      <c r="B86" s="43" t="s">
        <v>36</v>
      </c>
      <c r="C86" s="44" t="s">
        <v>75</v>
      </c>
      <c r="D86" s="44"/>
      <c r="E86" s="44"/>
      <c r="F86" s="44"/>
      <c r="G86" s="44"/>
      <c r="H86" s="44"/>
      <c r="I86" s="44"/>
      <c r="J86" s="22"/>
    </row>
    <row r="87" spans="2:13" x14ac:dyDescent="0.3">
      <c r="B87" s="43" t="s">
        <v>81</v>
      </c>
      <c r="C87" s="44" t="s">
        <v>75</v>
      </c>
      <c r="D87" s="44"/>
      <c r="E87" s="44"/>
      <c r="F87" s="44"/>
      <c r="G87" s="44"/>
      <c r="H87" s="44"/>
      <c r="I87" s="44"/>
      <c r="J87" s="22"/>
    </row>
    <row r="88" spans="2:13" x14ac:dyDescent="0.3">
      <c r="B88" s="43" t="s">
        <v>37</v>
      </c>
      <c r="C88" s="44"/>
      <c r="D88" s="44"/>
      <c r="E88" s="44"/>
      <c r="F88" s="44"/>
      <c r="G88" s="44"/>
      <c r="H88" s="44"/>
      <c r="I88" s="44"/>
      <c r="J88" s="22"/>
    </row>
    <row r="89" spans="2:13" x14ac:dyDescent="0.3">
      <c r="B89" s="47" t="s">
        <v>96</v>
      </c>
      <c r="C89" s="44">
        <v>1</v>
      </c>
      <c r="D89" s="44">
        <v>1</v>
      </c>
      <c r="E89" s="44">
        <f>C89*D89</f>
        <v>1</v>
      </c>
      <c r="F89" s="116">
        <f>SUM('# Respondents'!D20:E20)</f>
        <v>3000</v>
      </c>
      <c r="G89" s="116">
        <f>E89*F89</f>
        <v>3000</v>
      </c>
      <c r="H89" s="116">
        <f>G89*0.05</f>
        <v>150</v>
      </c>
      <c r="I89" s="116">
        <f>G89*0.1</f>
        <v>300</v>
      </c>
      <c r="J89" s="131">
        <f>G89*$M$3+H89*$M$4+I89*$M$5</f>
        <v>408720</v>
      </c>
    </row>
    <row r="90" spans="2:13" x14ac:dyDescent="0.3">
      <c r="B90" s="47" t="s">
        <v>87</v>
      </c>
      <c r="C90" s="44">
        <v>2</v>
      </c>
      <c r="D90" s="44">
        <v>0</v>
      </c>
      <c r="E90" s="44">
        <f>C90*D90</f>
        <v>0</v>
      </c>
      <c r="F90" s="116">
        <v>0</v>
      </c>
      <c r="G90" s="116">
        <f>E90*F90</f>
        <v>0</v>
      </c>
      <c r="H90" s="116">
        <f>G90*0.05</f>
        <v>0</v>
      </c>
      <c r="I90" s="116">
        <f>G90*0.1</f>
        <v>0</v>
      </c>
      <c r="J90" s="25">
        <f>G90*$M$3+H90*$M$4+I90*$M$5</f>
        <v>0</v>
      </c>
    </row>
    <row r="91" spans="2:13" x14ac:dyDescent="0.3">
      <c r="B91" s="47" t="s">
        <v>39</v>
      </c>
      <c r="C91" s="44"/>
      <c r="D91" s="44"/>
      <c r="E91" s="44"/>
      <c r="F91" s="44"/>
      <c r="G91" s="44"/>
      <c r="H91" s="44"/>
      <c r="I91" s="44"/>
      <c r="J91" s="22"/>
      <c r="L91" s="21"/>
      <c r="M91" s="21"/>
    </row>
    <row r="92" spans="2:13" x14ac:dyDescent="0.3">
      <c r="B92" s="56" t="s">
        <v>85</v>
      </c>
      <c r="C92" s="44">
        <v>1</v>
      </c>
      <c r="D92" s="44">
        <v>0</v>
      </c>
      <c r="E92" s="44">
        <f t="shared" ref="E92:E94" si="5">C92*D92</f>
        <v>0</v>
      </c>
      <c r="F92" s="116">
        <v>0</v>
      </c>
      <c r="G92" s="116">
        <f>E92*F92</f>
        <v>0</v>
      </c>
      <c r="H92" s="116">
        <f>G92*0.05</f>
        <v>0</v>
      </c>
      <c r="I92" s="116">
        <f>G92*0.1</f>
        <v>0</v>
      </c>
      <c r="J92" s="25">
        <f>G92*$M$3+H92*$M$4+I92*$M$5</f>
        <v>0</v>
      </c>
      <c r="L92" s="21"/>
      <c r="M92" s="21"/>
    </row>
    <row r="93" spans="2:13" x14ac:dyDescent="0.3">
      <c r="B93" s="56" t="s">
        <v>83</v>
      </c>
      <c r="C93" s="44">
        <v>1</v>
      </c>
      <c r="D93" s="44">
        <v>0</v>
      </c>
      <c r="E93" s="44">
        <f t="shared" si="5"/>
        <v>0</v>
      </c>
      <c r="F93" s="116">
        <v>0</v>
      </c>
      <c r="G93" s="116">
        <f>E93*F93</f>
        <v>0</v>
      </c>
      <c r="H93" s="116">
        <f>G93*0.05</f>
        <v>0</v>
      </c>
      <c r="I93" s="116">
        <f>G93*0.1</f>
        <v>0</v>
      </c>
      <c r="J93" s="25">
        <f>G93*$M$3+H93*$M$4+I93*$M$5</f>
        <v>0</v>
      </c>
      <c r="L93" s="21"/>
      <c r="M93" s="21"/>
    </row>
    <row r="94" spans="2:13" x14ac:dyDescent="0.3">
      <c r="B94" s="56" t="s">
        <v>111</v>
      </c>
      <c r="C94" s="44">
        <v>1</v>
      </c>
      <c r="D94" s="44">
        <v>1</v>
      </c>
      <c r="E94" s="44">
        <f t="shared" si="5"/>
        <v>1</v>
      </c>
      <c r="F94" s="116">
        <f>'# Respondents'!D21</f>
        <v>600</v>
      </c>
      <c r="G94" s="116">
        <f>E94*F94</f>
        <v>600</v>
      </c>
      <c r="H94" s="49">
        <f>G94*0.05</f>
        <v>30</v>
      </c>
      <c r="I94" s="116">
        <f>G94*0.1</f>
        <v>60</v>
      </c>
      <c r="J94" s="108">
        <f>G94*$M$3+H94*$M$4+I94*$M$5</f>
        <v>81744</v>
      </c>
      <c r="L94" s="21"/>
      <c r="M94" s="21"/>
    </row>
    <row r="95" spans="2:13" x14ac:dyDescent="0.3">
      <c r="B95" s="57" t="s">
        <v>16</v>
      </c>
      <c r="C95" s="44"/>
      <c r="D95" s="44"/>
      <c r="E95" s="43"/>
      <c r="F95" s="116"/>
      <c r="G95" s="184">
        <f>SUM(G89:I90,G92:I94)</f>
        <v>4140</v>
      </c>
      <c r="H95" s="184"/>
      <c r="I95" s="184"/>
      <c r="J95" s="105">
        <f>SUM(J89:J90,J92:J94)</f>
        <v>490464</v>
      </c>
    </row>
    <row r="96" spans="2:13" x14ac:dyDescent="0.3">
      <c r="B96" s="43" t="s">
        <v>40</v>
      </c>
      <c r="C96" s="44"/>
      <c r="D96" s="44"/>
      <c r="E96" s="44"/>
      <c r="F96" s="44"/>
      <c r="G96" s="44"/>
      <c r="H96" s="44"/>
      <c r="I96" s="44"/>
      <c r="J96" s="22"/>
    </row>
    <row r="97" spans="2:13" x14ac:dyDescent="0.3">
      <c r="B97" s="47" t="s">
        <v>97</v>
      </c>
      <c r="C97" s="44" t="s">
        <v>82</v>
      </c>
      <c r="D97" s="44"/>
      <c r="E97" s="44"/>
      <c r="F97" s="44"/>
      <c r="G97" s="116"/>
      <c r="H97" s="49"/>
      <c r="I97" s="49"/>
      <c r="J97" s="22"/>
    </row>
    <row r="98" spans="2:13" x14ac:dyDescent="0.3">
      <c r="B98" s="47" t="s">
        <v>41</v>
      </c>
      <c r="C98" s="44">
        <v>8</v>
      </c>
      <c r="D98" s="44">
        <v>0</v>
      </c>
      <c r="E98" s="44">
        <f t="shared" ref="E98" si="6">C98*D98</f>
        <v>0</v>
      </c>
      <c r="F98" s="116">
        <f>F90</f>
        <v>0</v>
      </c>
      <c r="G98" s="116">
        <f>E98*F98</f>
        <v>0</v>
      </c>
      <c r="H98" s="116">
        <f>G98*0.05</f>
        <v>0</v>
      </c>
      <c r="I98" s="116">
        <f>G98*0.1</f>
        <v>0</v>
      </c>
      <c r="J98" s="25">
        <f>G98*$M$3+H98*$M$4+I98*$M$5</f>
        <v>0</v>
      </c>
      <c r="M98" s="8"/>
    </row>
    <row r="99" spans="2:13" x14ac:dyDescent="0.3">
      <c r="B99" s="47" t="s">
        <v>43</v>
      </c>
      <c r="C99" s="44"/>
      <c r="D99" s="44"/>
      <c r="E99" s="44"/>
      <c r="F99" s="44"/>
      <c r="G99" s="44"/>
      <c r="H99" s="44"/>
      <c r="I99" s="44"/>
      <c r="J99" s="22"/>
    </row>
    <row r="100" spans="2:13" x14ac:dyDescent="0.3">
      <c r="B100" s="56" t="s">
        <v>89</v>
      </c>
      <c r="C100" s="44">
        <v>8</v>
      </c>
      <c r="D100" s="44">
        <v>0</v>
      </c>
      <c r="E100" s="44">
        <f t="shared" ref="E100" si="7">C100*D100</f>
        <v>0</v>
      </c>
      <c r="F100" s="116">
        <f>F90</f>
        <v>0</v>
      </c>
      <c r="G100" s="116">
        <f>E100*F100</f>
        <v>0</v>
      </c>
      <c r="H100" s="116">
        <f>G100*0.05</f>
        <v>0</v>
      </c>
      <c r="I100" s="116">
        <f>G100*0.1</f>
        <v>0</v>
      </c>
      <c r="J100" s="25">
        <f>G100*$M$3+H100*$M$4+I100*$M$5</f>
        <v>0</v>
      </c>
      <c r="L100" s="21"/>
      <c r="M100" s="21"/>
    </row>
    <row r="101" spans="2:13" x14ac:dyDescent="0.3">
      <c r="B101" s="56" t="s">
        <v>88</v>
      </c>
      <c r="C101" s="44">
        <v>2</v>
      </c>
      <c r="D101" s="44">
        <v>1</v>
      </c>
      <c r="E101" s="44">
        <f t="shared" ref="E101" si="8">C101*D101</f>
        <v>2</v>
      </c>
      <c r="F101" s="116">
        <f>F94</f>
        <v>600</v>
      </c>
      <c r="G101" s="116">
        <f>E101*F101</f>
        <v>1200</v>
      </c>
      <c r="H101" s="116">
        <f>G101*0.05</f>
        <v>60</v>
      </c>
      <c r="I101" s="116">
        <f>G101*0.1</f>
        <v>120</v>
      </c>
      <c r="J101" s="108">
        <f>G101*$M$3+H101*$M$4+I101*$M$5</f>
        <v>163488</v>
      </c>
      <c r="L101" s="21"/>
      <c r="M101" s="21"/>
    </row>
    <row r="102" spans="2:13" x14ac:dyDescent="0.3">
      <c r="B102" s="47" t="s">
        <v>90</v>
      </c>
      <c r="C102" s="44">
        <v>1</v>
      </c>
      <c r="D102" s="44">
        <v>0</v>
      </c>
      <c r="E102" s="44">
        <f>C102*D102</f>
        <v>0</v>
      </c>
      <c r="F102" s="58">
        <f>F94</f>
        <v>600</v>
      </c>
      <c r="G102" s="116">
        <f>E102*F102</f>
        <v>0</v>
      </c>
      <c r="H102" s="116">
        <f>G102*0.05</f>
        <v>0</v>
      </c>
      <c r="I102" s="116">
        <f>G102*0.1</f>
        <v>0</v>
      </c>
      <c r="J102" s="25">
        <f>G102*$M$3+H102*$M$4+I102*$M$5</f>
        <v>0</v>
      </c>
    </row>
    <row r="103" spans="2:13" x14ac:dyDescent="0.3">
      <c r="B103" s="57" t="s">
        <v>15</v>
      </c>
      <c r="C103" s="44"/>
      <c r="D103" s="44"/>
      <c r="E103" s="43"/>
      <c r="F103" s="44"/>
      <c r="G103" s="184">
        <f>SUM(G98:I98,G100:I102)</f>
        <v>1380</v>
      </c>
      <c r="H103" s="184"/>
      <c r="I103" s="184"/>
      <c r="J103" s="105">
        <f>SUM(J98,J100:J102)</f>
        <v>163488</v>
      </c>
    </row>
    <row r="104" spans="2:13" ht="15" x14ac:dyDescent="0.3">
      <c r="B104" s="52" t="s">
        <v>113</v>
      </c>
      <c r="C104" s="44"/>
      <c r="D104" s="44"/>
      <c r="E104" s="43"/>
      <c r="F104" s="44"/>
      <c r="G104" s="184">
        <f>ROUND(G95+G103,-1)</f>
        <v>5520</v>
      </c>
      <c r="H104" s="184"/>
      <c r="I104" s="184"/>
      <c r="J104" s="106">
        <f>ROUND(J95+J103,-3)</f>
        <v>654000</v>
      </c>
      <c r="K104" s="38"/>
    </row>
    <row r="105" spans="2:13" ht="15" x14ac:dyDescent="0.3">
      <c r="B105" s="97" t="s">
        <v>114</v>
      </c>
      <c r="C105" s="44"/>
      <c r="D105" s="44"/>
      <c r="E105" s="43"/>
      <c r="F105" s="44"/>
      <c r="G105" s="178"/>
      <c r="H105" s="179"/>
      <c r="I105" s="180"/>
      <c r="J105" s="106">
        <f>'Capital and O&amp;M Costs'!F20</f>
        <v>1800</v>
      </c>
      <c r="K105" s="38"/>
    </row>
    <row r="106" spans="2:13" ht="15" x14ac:dyDescent="0.3">
      <c r="B106" s="103" t="s">
        <v>115</v>
      </c>
      <c r="C106" s="44"/>
      <c r="D106" s="44"/>
      <c r="E106" s="43"/>
      <c r="F106" s="44"/>
      <c r="G106" s="178"/>
      <c r="H106" s="179"/>
      <c r="I106" s="180"/>
      <c r="J106" s="106">
        <f>ROUND(SUM(J104:J105),-3)</f>
        <v>656000</v>
      </c>
      <c r="K106" s="38"/>
    </row>
    <row r="107" spans="2:13" ht="19.5" customHeight="1" x14ac:dyDescent="0.3">
      <c r="B107" s="134" t="s">
        <v>33</v>
      </c>
      <c r="G107" s="9"/>
      <c r="H107" s="9"/>
      <c r="I107" s="9"/>
    </row>
    <row r="108" spans="2:13" ht="45" customHeight="1" x14ac:dyDescent="0.3">
      <c r="B108" s="185" t="s">
        <v>139</v>
      </c>
      <c r="C108" s="186"/>
      <c r="D108" s="186"/>
      <c r="E108" s="186"/>
      <c r="F108" s="186"/>
      <c r="G108" s="186"/>
      <c r="H108" s="186"/>
      <c r="I108" s="186"/>
      <c r="J108" s="186"/>
    </row>
    <row r="109" spans="2:13" ht="39.75" customHeight="1" x14ac:dyDescent="0.3">
      <c r="B109" s="181" t="s">
        <v>109</v>
      </c>
      <c r="C109" s="181"/>
      <c r="D109" s="181"/>
      <c r="E109" s="181"/>
      <c r="F109" s="181"/>
      <c r="G109" s="181"/>
      <c r="H109" s="181"/>
      <c r="I109" s="181"/>
      <c r="J109" s="181"/>
    </row>
    <row r="110" spans="2:13" ht="15.5" x14ac:dyDescent="0.3">
      <c r="B110" s="5" t="s">
        <v>100</v>
      </c>
    </row>
  </sheetData>
  <mergeCells count="33">
    <mergeCell ref="BL23:BS26"/>
    <mergeCell ref="G103:I103"/>
    <mergeCell ref="G104:I104"/>
    <mergeCell ref="B3:B4"/>
    <mergeCell ref="G29:I29"/>
    <mergeCell ref="G30:I30"/>
    <mergeCell ref="G16:I16"/>
    <mergeCell ref="G31:I31"/>
    <mergeCell ref="G32:I32"/>
    <mergeCell ref="B38:J38"/>
    <mergeCell ref="B37:J37"/>
    <mergeCell ref="B39:J39"/>
    <mergeCell ref="B40:J40"/>
    <mergeCell ref="B76:J76"/>
    <mergeCell ref="B77:J77"/>
    <mergeCell ref="B78:J78"/>
    <mergeCell ref="B79:J79"/>
    <mergeCell ref="G106:I106"/>
    <mergeCell ref="B109:J109"/>
    <mergeCell ref="B45:B46"/>
    <mergeCell ref="B35:J35"/>
    <mergeCell ref="G56:I56"/>
    <mergeCell ref="B36:J36"/>
    <mergeCell ref="B108:J108"/>
    <mergeCell ref="G69:I69"/>
    <mergeCell ref="G70:I70"/>
    <mergeCell ref="B74:J74"/>
    <mergeCell ref="B75:J75"/>
    <mergeCell ref="B84:B85"/>
    <mergeCell ref="G95:I95"/>
    <mergeCell ref="G71:I71"/>
    <mergeCell ref="G72:I72"/>
    <mergeCell ref="G105:I105"/>
  </mergeCells>
  <pageMargins left="0.7" right="0.7" top="0.75" bottom="0.75" header="0.3" footer="0.3"/>
  <pageSetup scale="70" orientation="landscape" r:id="rId1"/>
  <rowBreaks count="1" manualBreakCount="1">
    <brk id="3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M20"/>
  <sheetViews>
    <sheetView workbookViewId="0">
      <selection activeCell="G25" sqref="G25"/>
    </sheetView>
  </sheetViews>
  <sheetFormatPr defaultColWidth="9.1796875" defaultRowHeight="13" x14ac:dyDescent="0.3"/>
  <cols>
    <col min="1" max="1" width="0.81640625" style="5" customWidth="1"/>
    <col min="2" max="2" width="49.26953125" style="5" bestFit="1" customWidth="1"/>
    <col min="3" max="3" width="15.1796875" style="5" bestFit="1" customWidth="1"/>
    <col min="4" max="4" width="19.1796875" style="5" bestFit="1" customWidth="1"/>
    <col min="5" max="5" width="21.453125" style="5" bestFit="1" customWidth="1"/>
    <col min="6" max="6" width="13" style="5" bestFit="1" customWidth="1"/>
    <col min="7" max="7" width="11.7265625" style="5" bestFit="1" customWidth="1"/>
    <col min="8" max="8" width="15.1796875" style="5" customWidth="1"/>
    <col min="9" max="9" width="14.453125" style="5" customWidth="1"/>
    <col min="10" max="10" width="13.81640625" style="5" customWidth="1"/>
    <col min="11" max="11" width="9.453125" style="5" customWidth="1"/>
    <col min="12" max="12" width="7.26953125" style="5" customWidth="1"/>
    <col min="13" max="13" width="7.7265625" style="5" customWidth="1"/>
    <col min="14" max="14" width="2.1796875" style="5" customWidth="1"/>
    <col min="15" max="16384" width="9.1796875" style="5"/>
  </cols>
  <sheetData>
    <row r="1" spans="2:13" ht="15" x14ac:dyDescent="0.3">
      <c r="B1" s="18" t="s">
        <v>73</v>
      </c>
      <c r="C1" s="18"/>
    </row>
    <row r="3" spans="2:13" s="1" customFormat="1" ht="12.75" customHeight="1" x14ac:dyDescent="0.3">
      <c r="B3" s="193" t="s">
        <v>0</v>
      </c>
      <c r="C3" s="10" t="s">
        <v>1</v>
      </c>
      <c r="D3" s="10" t="s">
        <v>2</v>
      </c>
      <c r="E3" s="10" t="s">
        <v>3</v>
      </c>
      <c r="F3" s="10" t="s">
        <v>4</v>
      </c>
      <c r="G3" s="10" t="s">
        <v>5</v>
      </c>
      <c r="H3" s="10" t="s">
        <v>6</v>
      </c>
      <c r="I3" s="10" t="s">
        <v>7</v>
      </c>
      <c r="J3" s="10" t="s">
        <v>8</v>
      </c>
      <c r="K3" s="19"/>
      <c r="L3" s="11" t="s">
        <v>9</v>
      </c>
      <c r="M3" s="41">
        <v>51.23</v>
      </c>
    </row>
    <row r="4" spans="2:13" s="3" customFormat="1" ht="39" x14ac:dyDescent="0.3">
      <c r="B4" s="193"/>
      <c r="C4" s="23" t="s">
        <v>10</v>
      </c>
      <c r="D4" s="23" t="s">
        <v>11</v>
      </c>
      <c r="E4" s="23" t="s">
        <v>12</v>
      </c>
      <c r="F4" s="40" t="s">
        <v>92</v>
      </c>
      <c r="G4" s="23" t="s">
        <v>13</v>
      </c>
      <c r="H4" s="23" t="s">
        <v>31</v>
      </c>
      <c r="I4" s="23" t="s">
        <v>32</v>
      </c>
      <c r="J4" s="26" t="s">
        <v>91</v>
      </c>
      <c r="K4" s="12"/>
      <c r="L4" s="11" t="s">
        <v>14</v>
      </c>
      <c r="M4" s="41">
        <v>69.040000000000006</v>
      </c>
    </row>
    <row r="5" spans="2:13" x14ac:dyDescent="0.3">
      <c r="B5" s="43" t="s">
        <v>74</v>
      </c>
      <c r="C5" s="44" t="s">
        <v>75</v>
      </c>
      <c r="D5" s="44"/>
      <c r="E5" s="44"/>
      <c r="F5" s="45"/>
      <c r="G5" s="45"/>
      <c r="H5" s="45"/>
      <c r="I5" s="45"/>
      <c r="J5" s="46"/>
      <c r="L5" s="11" t="s">
        <v>17</v>
      </c>
      <c r="M5" s="41">
        <v>27.73</v>
      </c>
    </row>
    <row r="6" spans="2:13" x14ac:dyDescent="0.3">
      <c r="B6" s="43" t="s">
        <v>76</v>
      </c>
      <c r="C6" s="44" t="s">
        <v>75</v>
      </c>
      <c r="D6" s="44"/>
      <c r="E6" s="44"/>
      <c r="F6" s="45"/>
      <c r="G6" s="45"/>
      <c r="H6" s="45"/>
      <c r="I6" s="45"/>
      <c r="J6" s="46"/>
      <c r="L6" s="11"/>
      <c r="M6" s="41"/>
    </row>
    <row r="7" spans="2:13" x14ac:dyDescent="0.3">
      <c r="B7" s="47" t="s">
        <v>77</v>
      </c>
      <c r="C7" s="44" t="s">
        <v>75</v>
      </c>
      <c r="D7" s="44"/>
      <c r="E7" s="44"/>
      <c r="F7" s="44"/>
      <c r="G7" s="45"/>
      <c r="H7" s="45"/>
      <c r="I7" s="45"/>
      <c r="J7" s="46"/>
      <c r="L7" s="42"/>
    </row>
    <row r="8" spans="2:13" x14ac:dyDescent="0.3">
      <c r="B8" s="47" t="s">
        <v>78</v>
      </c>
      <c r="C8" s="44" t="s">
        <v>75</v>
      </c>
      <c r="D8" s="44"/>
      <c r="E8" s="44"/>
      <c r="F8" s="44"/>
      <c r="G8" s="45"/>
      <c r="H8" s="45"/>
      <c r="I8" s="45"/>
      <c r="J8" s="46"/>
    </row>
    <row r="9" spans="2:13" x14ac:dyDescent="0.3">
      <c r="B9" s="47" t="s">
        <v>79</v>
      </c>
      <c r="C9" s="44" t="s">
        <v>75</v>
      </c>
      <c r="D9" s="44"/>
      <c r="E9" s="44"/>
      <c r="F9" s="44"/>
      <c r="G9" s="45"/>
      <c r="H9" s="45"/>
      <c r="I9" s="45"/>
      <c r="J9" s="46"/>
    </row>
    <row r="10" spans="2:13" x14ac:dyDescent="0.3">
      <c r="B10" s="48" t="s">
        <v>84</v>
      </c>
      <c r="C10" s="49">
        <v>0.5</v>
      </c>
      <c r="D10" s="44">
        <v>1</v>
      </c>
      <c r="E10" s="44">
        <f>C10*D10</f>
        <v>0.5</v>
      </c>
      <c r="F10" s="50">
        <f>'# Responses Calcs'!C5+'# Responses Calcs'!C10+'# Responses Calcs'!C15+'# Responses Calcs'!C20</f>
        <v>1618</v>
      </c>
      <c r="G10" s="50">
        <f>E10*F10</f>
        <v>809</v>
      </c>
      <c r="H10" s="51">
        <f>G10*0.05</f>
        <v>40.450000000000003</v>
      </c>
      <c r="I10" s="49">
        <f>G10*0.1</f>
        <v>80.900000000000006</v>
      </c>
      <c r="J10" s="108">
        <f>G10*$M$3+H10*$M$4+I10*$M$5</f>
        <v>46481.095000000001</v>
      </c>
    </row>
    <row r="11" spans="2:13" x14ac:dyDescent="0.3">
      <c r="B11" s="48" t="s">
        <v>42</v>
      </c>
      <c r="C11" s="49">
        <v>0.5</v>
      </c>
      <c r="D11" s="44">
        <v>1</v>
      </c>
      <c r="E11" s="44">
        <f t="shared" ref="E11:E12" si="0">C11*D11</f>
        <v>0.5</v>
      </c>
      <c r="F11" s="50">
        <f>'# Responses Calcs'!C6+'# Responses Calcs'!C11+'# Responses Calcs'!C16+'# Responses Calcs'!C21</f>
        <v>1618</v>
      </c>
      <c r="G11" s="50">
        <f>E11*F11</f>
        <v>809</v>
      </c>
      <c r="H11" s="51">
        <f t="shared" ref="H11:H12" si="1">G11*0.05</f>
        <v>40.450000000000003</v>
      </c>
      <c r="I11" s="49">
        <f t="shared" ref="I11" si="2">G11*0.1</f>
        <v>80.900000000000006</v>
      </c>
      <c r="J11" s="108">
        <f>G11*$M$3+H11*$M$4+I11*$M$5</f>
        <v>46481.095000000001</v>
      </c>
    </row>
    <row r="12" spans="2:13" x14ac:dyDescent="0.3">
      <c r="B12" s="48" t="s">
        <v>116</v>
      </c>
      <c r="C12" s="49">
        <v>0.5</v>
      </c>
      <c r="D12" s="44">
        <v>1</v>
      </c>
      <c r="E12" s="44">
        <f t="shared" si="0"/>
        <v>0.5</v>
      </c>
      <c r="F12" s="50">
        <f>'# Responses Calcs'!C7+'# Responses Calcs'!C12+'# Responses Calcs'!C17+'# Responses Calcs'!C22</f>
        <v>7962.4000000000005</v>
      </c>
      <c r="G12" s="50">
        <f t="shared" ref="G12" si="3">E12*F12</f>
        <v>3981.2000000000003</v>
      </c>
      <c r="H12" s="51">
        <f t="shared" si="1"/>
        <v>199.06000000000003</v>
      </c>
      <c r="I12" s="49">
        <f>G12*0.1</f>
        <v>398.12000000000006</v>
      </c>
      <c r="J12" s="108">
        <f>G12*$M$3+H12*$M$4+I12*$M$5</f>
        <v>228739.84599999999</v>
      </c>
    </row>
    <row r="13" spans="2:13" ht="15" x14ac:dyDescent="0.3">
      <c r="B13" s="52" t="s">
        <v>101</v>
      </c>
      <c r="C13" s="44"/>
      <c r="D13" s="44"/>
      <c r="E13" s="44"/>
      <c r="F13" s="44"/>
      <c r="G13" s="184">
        <f>ROUND(SUM(G10:I12), -1)</f>
        <v>6440</v>
      </c>
      <c r="H13" s="184"/>
      <c r="I13" s="184"/>
      <c r="J13" s="105">
        <f>ROUND(SUM(J10:J12),-3)</f>
        <v>322000</v>
      </c>
      <c r="K13" s="38"/>
    </row>
    <row r="14" spans="2:13" ht="18" customHeight="1" x14ac:dyDescent="0.3">
      <c r="B14" s="134" t="s">
        <v>33</v>
      </c>
      <c r="K14" s="38"/>
    </row>
    <row r="15" spans="2:13" ht="25.5" customHeight="1" x14ac:dyDescent="0.3">
      <c r="B15" s="194" t="s">
        <v>140</v>
      </c>
      <c r="C15" s="194"/>
      <c r="D15" s="194"/>
      <c r="E15" s="194"/>
      <c r="F15" s="194"/>
      <c r="G15" s="194"/>
      <c r="H15" s="194"/>
      <c r="I15" s="194"/>
      <c r="J15" s="194"/>
    </row>
    <row r="16" spans="2:13" ht="15.5" x14ac:dyDescent="0.3">
      <c r="B16" s="4" t="s">
        <v>102</v>
      </c>
    </row>
    <row r="19" spans="2:2" ht="15.5" x14ac:dyDescent="0.3">
      <c r="B19" s="37"/>
    </row>
    <row r="20" spans="2:2" ht="15.5" x14ac:dyDescent="0.3">
      <c r="B20" s="37"/>
    </row>
  </sheetData>
  <mergeCells count="3">
    <mergeCell ref="G13:I13"/>
    <mergeCell ref="B3:B4"/>
    <mergeCell ref="B15:J15"/>
  </mergeCells>
  <pageMargins left="0.7" right="0.7" top="0.75" bottom="0.75" header="0.3" footer="0.3"/>
  <pageSetup scale="72" orientation="landscape"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755F4EDCCD404E8FEC4FDEEA270794" ma:contentTypeVersion="7" ma:contentTypeDescription="Create a new document." ma:contentTypeScope="" ma:versionID="ddb4a73f74db2894e08ef5b25744472d">
  <xsd:schema xmlns:xsd="http://www.w3.org/2001/XMLSchema" xmlns:xs="http://www.w3.org/2001/XMLSchema" xmlns:p="http://schemas.microsoft.com/office/2006/metadata/properties" xmlns:ns3="10891bf2-5e0a-4bac-9ff4-419cd038180b" xmlns:ns4="a501f3aa-4da5-4ea4-927d-7a0c6ca0d5f7" targetNamespace="http://schemas.microsoft.com/office/2006/metadata/properties" ma:root="true" ma:fieldsID="dcdd918a66fc66dc52c5192a82f41924" ns3:_="" ns4:_="">
    <xsd:import namespace="10891bf2-5e0a-4bac-9ff4-419cd038180b"/>
    <xsd:import namespace="a501f3aa-4da5-4ea4-927d-7a0c6ca0d5f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891bf2-5e0a-4bac-9ff4-419cd03818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01f3aa-4da5-4ea4-927d-7a0c6ca0d5f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5C0C12-B683-461E-A736-C3BC20F11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891bf2-5e0a-4bac-9ff4-419cd038180b"/>
    <ds:schemaRef ds:uri="a501f3aa-4da5-4ea4-927d-7a0c6ca0d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CA271B-DB72-401F-AC45-DB1B560DE46B}">
  <ds:schemaRefs>
    <ds:schemaRef ds:uri="http://schemas.microsoft.com/sharepoint/v3/contenttype/forms"/>
  </ds:schemaRefs>
</ds:datastoreItem>
</file>

<file path=customXml/itemProps3.xml><?xml version="1.0" encoding="utf-8"?>
<ds:datastoreItem xmlns:ds="http://schemas.openxmlformats.org/officeDocument/2006/customXml" ds:itemID="{77A18C94-0AEC-4B49-A9A4-F0330075D4F7}">
  <ds:schemaRefs>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 ds:uri="a501f3aa-4da5-4ea4-927d-7a0c6ca0d5f7"/>
    <ds:schemaRef ds:uri="http://schemas.microsoft.com/office/2006/metadata/properties"/>
    <ds:schemaRef ds:uri="http://schemas.microsoft.com/office/infopath/2007/PartnerControls"/>
    <ds:schemaRef ds:uri="10891bf2-5e0a-4bac-9ff4-419cd038180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 Table</vt:lpstr>
      <vt:lpstr>Capital and O&amp;M Costs</vt:lpstr>
      <vt:lpstr># Respondents</vt:lpstr>
      <vt:lpstr># Responses Calcs</vt:lpstr>
      <vt:lpstr>Respondent Burden</vt:lpstr>
      <vt:lpstr>Agency Burden</vt:lpstr>
      <vt:lpstr>'Agency Burden'!Print_Area</vt:lpstr>
      <vt:lpstr>'Respondent Burden'!Print_Area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Wrigley, William</cp:lastModifiedBy>
  <cp:lastPrinted>2013-09-03T15:51:35Z</cp:lastPrinted>
  <dcterms:created xsi:type="dcterms:W3CDTF">2013-07-15T20:11:44Z</dcterms:created>
  <dcterms:modified xsi:type="dcterms:W3CDTF">2021-08-20T15:57:33Z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0x010100D4755F4EDCCD404E8FEC4FDEEA270794</vt:lpwstr>
  </property>
</Properties>
</file>