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0D1C889-7016-49F8-A9D3-137924825DC3}" xr6:coauthVersionLast="47" xr6:coauthVersionMax="47" xr10:uidLastSave="{00000000-0000-0000-0000-000000000000}"/>
  <bookViews>
    <workbookView xWindow="-110" yWindow="-110" windowWidth="19420" windowHeight="10420" xr2:uid="{00000000-000D-0000-FFFF-FFFF00000000}"/>
  </bookViews>
  <sheets>
    <sheet name="Table 1" sheetId="1" r:id="rId1"/>
    <sheet name="Table 2" sheetId="2" r:id="rId2"/>
    <sheet name="Capital O&amp;M" sheetId="3" r:id="rId3"/>
  </sheets>
  <definedNames>
    <definedName name="_Hlk1641465" localSheetId="2">'Capital O&amp;M'!$A$49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3" l="1"/>
  <c r="F35" i="3"/>
  <c r="G35" i="3" s="1"/>
  <c r="G39" i="3" s="1"/>
  <c r="D39" i="3"/>
  <c r="E35" i="3"/>
  <c r="K39" i="1"/>
  <c r="E23" i="3"/>
  <c r="F38" i="3"/>
  <c r="G38" i="3" s="1"/>
  <c r="F37" i="3"/>
  <c r="B33" i="3" l="1"/>
  <c r="B38" i="3" s="1"/>
  <c r="E32" i="3"/>
  <c r="E37" i="3" s="1"/>
  <c r="B32" i="3"/>
  <c r="B37" i="3" s="1"/>
  <c r="D37" i="3" s="1"/>
  <c r="E30" i="3"/>
  <c r="B30" i="3"/>
  <c r="C7" i="3"/>
  <c r="C8" i="3" s="1"/>
  <c r="C9" i="3" s="1"/>
  <c r="G37" i="3" l="1"/>
  <c r="B35" i="3"/>
  <c r="D35" i="3" s="1"/>
  <c r="D38" i="3"/>
  <c r="D9" i="3" l="1"/>
  <c r="B7" i="3"/>
  <c r="B8" i="3"/>
  <c r="B6" i="3"/>
  <c r="B9" i="3" l="1"/>
  <c r="E6" i="3"/>
  <c r="E8" i="3"/>
  <c r="F8" i="3" s="1"/>
  <c r="E7" i="3"/>
  <c r="F7" i="3" s="1"/>
  <c r="B19" i="3" l="1"/>
  <c r="E19" i="3" s="1"/>
  <c r="E13" i="1"/>
  <c r="B17" i="3"/>
  <c r="E17" i="3" s="1"/>
  <c r="B21" i="3"/>
  <c r="E21" i="3" s="1"/>
  <c r="B20" i="3"/>
  <c r="C32" i="3" s="1"/>
  <c r="B18" i="3"/>
  <c r="E18" i="3" s="1"/>
  <c r="B16" i="3"/>
  <c r="E16" i="3" s="1"/>
  <c r="E9" i="3"/>
  <c r="F6" i="3"/>
  <c r="F9" i="3" s="1"/>
  <c r="E20" i="3" l="1"/>
  <c r="E7" i="1"/>
  <c r="E10" i="2" s="1"/>
  <c r="B22" i="3"/>
  <c r="E22" i="3" s="1"/>
  <c r="E20" i="1"/>
  <c r="E18" i="1"/>
  <c r="C16" i="1"/>
  <c r="E9" i="1"/>
  <c r="E37" i="1"/>
  <c r="E16" i="1"/>
  <c r="E8" i="1"/>
  <c r="E11" i="1"/>
  <c r="E29" i="1"/>
  <c r="E14" i="2" s="1"/>
  <c r="C20" i="1"/>
  <c r="C18" i="1"/>
  <c r="D32" i="3"/>
  <c r="G30" i="3" l="1"/>
  <c r="D30" i="3"/>
  <c r="F32" i="3"/>
  <c r="G32" i="3" s="1"/>
  <c r="C33" i="3"/>
  <c r="D33" i="3" s="1"/>
  <c r="F33" i="3"/>
  <c r="G33" i="3" s="1"/>
  <c r="D7" i="1"/>
  <c r="F7" i="1" s="1"/>
  <c r="H7" i="1" l="1"/>
  <c r="G7" i="1"/>
  <c r="I42" i="1" l="1"/>
  <c r="I7" i="1"/>
  <c r="C14" i="1"/>
  <c r="D16" i="1" l="1"/>
  <c r="D18" i="1"/>
  <c r="D20" i="1"/>
  <c r="F20" i="1" l="1"/>
  <c r="H20" i="1" s="1"/>
  <c r="F18" i="1"/>
  <c r="F16" i="1"/>
  <c r="G16" i="1" l="1"/>
  <c r="H18" i="1"/>
  <c r="H16" i="1"/>
  <c r="G20" i="1"/>
  <c r="I20" i="1" s="1"/>
  <c r="G18" i="1"/>
  <c r="C19" i="1"/>
  <c r="D19" i="1" s="1"/>
  <c r="C17" i="1"/>
  <c r="D17" i="1" s="1"/>
  <c r="C15" i="1"/>
  <c r="D15" i="1" s="1"/>
  <c r="I18" i="1" l="1"/>
  <c r="I16" i="1"/>
  <c r="E14" i="1"/>
  <c r="E12" i="2" l="1"/>
  <c r="C12" i="2"/>
  <c r="E11" i="2"/>
  <c r="C11" i="2"/>
  <c r="C10" i="2"/>
  <c r="C7" i="2"/>
  <c r="C8" i="2"/>
  <c r="C9" i="2"/>
  <c r="C6" i="2"/>
  <c r="E24" i="1"/>
  <c r="E25" i="1" s="1"/>
  <c r="E26" i="1" s="1"/>
  <c r="E27" i="1" s="1"/>
  <c r="E9" i="2" s="1"/>
  <c r="E15" i="1"/>
  <c r="E17" i="1" s="1"/>
  <c r="E19" i="1" s="1"/>
  <c r="E6" i="2" l="1"/>
  <c r="E7" i="2"/>
  <c r="F15" i="1"/>
  <c r="E8" i="2"/>
  <c r="D14" i="1"/>
  <c r="F14" i="1" s="1"/>
  <c r="D13" i="1"/>
  <c r="F13" i="1" s="1"/>
  <c r="G13" i="1" s="1"/>
  <c r="F17" i="1"/>
  <c r="H14" i="1" l="1"/>
  <c r="G14" i="1"/>
  <c r="H17" i="1"/>
  <c r="G17" i="1"/>
  <c r="H13" i="1"/>
  <c r="I13" i="1" s="1"/>
  <c r="G15" i="1"/>
  <c r="H15" i="1"/>
  <c r="D7" i="2"/>
  <c r="F7" i="2" s="1"/>
  <c r="G7" i="2" s="1"/>
  <c r="D8" i="2"/>
  <c r="F8" i="2" s="1"/>
  <c r="H8" i="2" s="1"/>
  <c r="D9" i="2"/>
  <c r="F9" i="2" s="1"/>
  <c r="H9" i="2" s="1"/>
  <c r="D10" i="2"/>
  <c r="F10" i="2" s="1"/>
  <c r="H10" i="2" s="1"/>
  <c r="D11" i="2"/>
  <c r="F11" i="2" s="1"/>
  <c r="G11" i="2" s="1"/>
  <c r="D12" i="2"/>
  <c r="F12" i="2" s="1"/>
  <c r="G12" i="2" s="1"/>
  <c r="D14" i="2"/>
  <c r="F14" i="2" s="1"/>
  <c r="D6" i="2"/>
  <c r="F6" i="2" s="1"/>
  <c r="G14" i="2" l="1"/>
  <c r="H14" i="2"/>
  <c r="H12" i="2"/>
  <c r="I12" i="2" s="1"/>
  <c r="H11" i="2"/>
  <c r="I11" i="2" s="1"/>
  <c r="H7" i="2"/>
  <c r="I7" i="2" s="1"/>
  <c r="G10" i="2"/>
  <c r="I10" i="2" s="1"/>
  <c r="G9" i="2"/>
  <c r="I9" i="2" s="1"/>
  <c r="G8" i="2"/>
  <c r="I8" i="2" s="1"/>
  <c r="G6" i="2"/>
  <c r="H6" i="2"/>
  <c r="I17" i="1"/>
  <c r="I14" i="1"/>
  <c r="I15" i="1"/>
  <c r="D37" i="1"/>
  <c r="F37" i="1" s="1"/>
  <c r="D11" i="1"/>
  <c r="F11" i="1" s="1"/>
  <c r="G11" i="1" s="1"/>
  <c r="F19" i="1"/>
  <c r="D24" i="1"/>
  <c r="F24" i="1" s="1"/>
  <c r="D25" i="1"/>
  <c r="F25" i="1" s="1"/>
  <c r="G25" i="1" s="1"/>
  <c r="D26" i="1"/>
  <c r="F26" i="1" s="1"/>
  <c r="H26" i="1" s="1"/>
  <c r="D27" i="1"/>
  <c r="F27" i="1" s="1"/>
  <c r="D29" i="1"/>
  <c r="F29" i="1" s="1"/>
  <c r="D8" i="1"/>
  <c r="F8" i="1" s="1"/>
  <c r="D9" i="1"/>
  <c r="F9" i="1" s="1"/>
  <c r="D6" i="1"/>
  <c r="F6" i="1" s="1"/>
  <c r="I6" i="2" l="1"/>
  <c r="F15" i="2"/>
  <c r="I14" i="2"/>
  <c r="H8" i="1"/>
  <c r="G8" i="1"/>
  <c r="I8" i="1" s="1"/>
  <c r="H25" i="1"/>
  <c r="I25" i="1" s="1"/>
  <c r="H11" i="1"/>
  <c r="I11" i="1" s="1"/>
  <c r="G29" i="1"/>
  <c r="H29" i="1"/>
  <c r="G24" i="1"/>
  <c r="H24" i="1"/>
  <c r="H6" i="1"/>
  <c r="G6" i="1"/>
  <c r="G27" i="1"/>
  <c r="G19" i="1"/>
  <c r="G26" i="1"/>
  <c r="I26" i="1" s="1"/>
  <c r="H9" i="1"/>
  <c r="H27" i="1"/>
  <c r="H19" i="1"/>
  <c r="G9" i="1"/>
  <c r="G37" i="1"/>
  <c r="H37" i="1"/>
  <c r="F40" i="1" l="1"/>
  <c r="F30" i="1"/>
  <c r="F41" i="1" s="1"/>
  <c r="K40" i="1" s="1"/>
  <c r="I15" i="2"/>
  <c r="I6" i="1"/>
  <c r="I24" i="1"/>
  <c r="I9" i="1"/>
  <c r="I19" i="1"/>
  <c r="I29" i="1"/>
  <c r="I27" i="1"/>
  <c r="I37" i="1"/>
  <c r="I40" i="1" s="1"/>
  <c r="I30" i="1" l="1"/>
  <c r="I41" i="1" l="1"/>
  <c r="I43" i="1" s="1"/>
</calcChain>
</file>

<file path=xl/sharedStrings.xml><?xml version="1.0" encoding="utf-8"?>
<sst xmlns="http://schemas.openxmlformats.org/spreadsheetml/2006/main" count="241" uniqueCount="200">
  <si>
    <r>
      <t xml:space="preserve">Table 1: Annual Respondent Burden and Cost – </t>
    </r>
    <r>
      <rPr>
        <b/>
        <sz val="12"/>
        <color theme="1"/>
        <rFont val="Times New Roman"/>
        <family val="1"/>
      </rPr>
      <t>NSPS for Petroleum Refineries for which Construction, Reconstruction, or Modification Commenced after May 14, 2007 (40 CFR Part 60, Subpart Ja) (Renewal)</t>
    </r>
  </si>
  <si>
    <t>Burden Item</t>
  </si>
  <si>
    <t>(A)
Person-hours per occurrence</t>
  </si>
  <si>
    <t>(C) 
Person-hrs. per respondent per year
(C=AxB)</t>
  </si>
  <si>
    <t>(E)
Technical person-hrs. per year 
(E=CxD)</t>
  </si>
  <si>
    <t>(F) 
Management person‑hrs. per year
(F=Ex0.05)</t>
  </si>
  <si>
    <t>(G)
Clerical person-hrs. per year 
(G=Ex0.1)</t>
  </si>
  <si>
    <t>N/A</t>
  </si>
  <si>
    <t>1.  Applications</t>
  </si>
  <si>
    <t>2.  Survey and Studies</t>
  </si>
  <si>
    <t xml:space="preserve">   A. Flare Management Plan</t>
  </si>
  <si>
    <t>3.  Reporting Requirements</t>
  </si>
  <si>
    <t xml:space="preserve">   B. Required Activities</t>
  </si>
  <si>
    <t xml:space="preserve">   C. Create Information</t>
  </si>
  <si>
    <t xml:space="preserve">   D. Gather Existing Information</t>
  </si>
  <si>
    <t xml:space="preserve">      Notification of construction, reconstruction, or modification</t>
  </si>
  <si>
    <t xml:space="preserve">      Notification of anticipated startup</t>
  </si>
  <si>
    <t xml:space="preserve">      Notification of actual startup</t>
  </si>
  <si>
    <t xml:space="preserve">      Notification of initial performance test</t>
  </si>
  <si>
    <t xml:space="preserve">      Report of performance test</t>
  </si>
  <si>
    <t>Subtotal for Reporting Requirements</t>
  </si>
  <si>
    <t>4.  Recordkeeping Requirements</t>
  </si>
  <si>
    <t xml:space="preserve">   B. Plan Activities</t>
  </si>
  <si>
    <t xml:space="preserve">   C. Implement Activities</t>
  </si>
  <si>
    <t xml:space="preserve">   D. Develop Record System</t>
  </si>
  <si>
    <t xml:space="preserve">   E. Time to Enter Information</t>
  </si>
  <si>
    <t xml:space="preserve">   F. Train Personnel</t>
  </si>
  <si>
    <t xml:space="preserve">   G. Audits</t>
  </si>
  <si>
    <t>Subtotal for Recordkeeping Requirements</t>
  </si>
  <si>
    <t>Activity</t>
  </si>
  <si>
    <t>(A)
 Person-hours per occurrence</t>
  </si>
  <si>
    <t>(B) 
No. of occurrences per respondent per year</t>
  </si>
  <si>
    <t>(C) 
Person-hours per respondent per year (C=AxB)</t>
  </si>
  <si>
    <r>
      <t xml:space="preserve">(D) Respondents per year </t>
    </r>
    <r>
      <rPr>
        <b/>
        <vertAlign val="superscript"/>
        <sz val="10"/>
        <color rgb="FF000000"/>
        <rFont val="Times New Roman"/>
        <family val="1"/>
      </rPr>
      <t>a</t>
    </r>
  </si>
  <si>
    <t>(E) Technical Person-hours per year (E=CxD)</t>
  </si>
  <si>
    <t>(F) Management person-hours per year (Ex0.05)</t>
  </si>
  <si>
    <t>(G) Clerical person-hours per year (Ex0.1)</t>
  </si>
  <si>
    <r>
      <t xml:space="preserve">(H) 
Cost, $ </t>
    </r>
    <r>
      <rPr>
        <b/>
        <vertAlign val="superscript"/>
        <sz val="10"/>
        <color rgb="FF000000"/>
        <rFont val="Times New Roman"/>
        <family val="1"/>
      </rPr>
      <t>b</t>
    </r>
  </si>
  <si>
    <t xml:space="preserve">   Report Review</t>
  </si>
  <si>
    <t xml:space="preserve">      Emission Reports</t>
  </si>
  <si>
    <t>Existing Plants:</t>
  </si>
  <si>
    <t xml:space="preserve">   A.  Familiarize with rule requirements</t>
  </si>
  <si>
    <t>Assumptions:</t>
  </si>
  <si>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</si>
  <si>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See 3B</t>
  </si>
  <si>
    <t>See 3E</t>
  </si>
  <si>
    <t>See 3A</t>
  </si>
  <si>
    <t>Labor Rates:</t>
  </si>
  <si>
    <t>Management</t>
  </si>
  <si>
    <t>Technical</t>
  </si>
  <si>
    <t>Clerical</t>
  </si>
  <si>
    <t>hr/response</t>
  </si>
  <si>
    <r>
      <t xml:space="preserve">TOTAL (rounded) </t>
    </r>
    <r>
      <rPr>
        <b/>
        <vertAlign val="superscript"/>
        <sz val="10"/>
        <color theme="1"/>
        <rFont val="Times New Roman"/>
        <family val="1"/>
      </rPr>
      <t>g</t>
    </r>
  </si>
  <si>
    <t>New Affected Facilities:</t>
  </si>
  <si>
    <r>
      <t xml:space="preserve">      Initial performance tests on new facilities</t>
    </r>
    <r>
      <rPr>
        <vertAlign val="superscript"/>
        <sz val="10"/>
        <color theme="1"/>
        <rFont val="Times New Roman"/>
        <family val="1"/>
      </rPr>
      <t xml:space="preserve"> d</t>
    </r>
  </si>
  <si>
    <r>
      <t xml:space="preserve">      Repeat of initial performance tests on new facilities </t>
    </r>
    <r>
      <rPr>
        <vertAlign val="superscript"/>
        <sz val="10"/>
        <color theme="1"/>
        <rFont val="Times New Roman"/>
        <family val="1"/>
      </rPr>
      <t>e</t>
    </r>
  </si>
  <si>
    <t xml:space="preserve">   C. Root Cause Analysis (flow)</t>
  </si>
  <si>
    <t xml:space="preserve">   D. Root Cause Analysis (sulfur)</t>
  </si>
  <si>
    <r>
      <t xml:space="preserve">Total Capital and O&amp;M Cost (rounded) </t>
    </r>
    <r>
      <rPr>
        <b/>
        <vertAlign val="superscript"/>
        <sz val="10"/>
        <rFont val="Times New Roman"/>
        <family val="1"/>
      </rPr>
      <t>k</t>
    </r>
  </si>
  <si>
    <r>
      <rPr>
        <vertAlign val="superscript"/>
        <sz val="10"/>
        <color theme="1"/>
        <rFont val="Times New Roman"/>
        <family val="1"/>
      </rPr>
      <t xml:space="preserve">h </t>
    </r>
    <r>
      <rPr>
        <sz val="10"/>
        <color theme="1"/>
        <rFont val="Times New Roman"/>
        <family val="1"/>
      </rPr>
      <t xml:space="preserve"> We have assumed that each respondent will take 2 hours to write report.</t>
    </r>
  </si>
  <si>
    <r>
      <t>i</t>
    </r>
    <r>
      <rPr>
        <sz val="10"/>
        <color theme="1"/>
        <rFont val="Times New Roman"/>
        <family val="1"/>
      </rPr>
      <t xml:space="preserve">  We have assumed that each respondent will take 8 hours twice per year to complete semiannual reports</t>
    </r>
  </si>
  <si>
    <r>
      <rPr>
        <vertAlign val="superscript"/>
        <sz val="10"/>
        <color theme="1"/>
        <rFont val="Times New Roman"/>
        <family val="1"/>
      </rPr>
      <t>k</t>
    </r>
    <r>
      <rPr>
        <sz val="10"/>
        <color theme="1"/>
        <rFont val="Times New Roman"/>
        <family val="1"/>
      </rPr>
      <t xml:space="preserve">  Totals have been rounded to 3 significant figures. Figures may not add exactly due to rounding.</t>
    </r>
  </si>
  <si>
    <r>
      <t>j</t>
    </r>
    <r>
      <rPr>
        <sz val="10"/>
        <color theme="1"/>
        <rFont val="Times New Roman"/>
        <family val="1"/>
      </rPr>
      <t xml:space="preserve">  Assume operation 350 days per year as specified in the NSPS review document.</t>
    </r>
  </si>
  <si>
    <t># responses</t>
  </si>
  <si>
    <t xml:space="preserve">      Review performance test results</t>
  </si>
  <si>
    <r>
      <t xml:space="preserve">Table 2: Average Annual EPA Burden and Cost – </t>
    </r>
    <r>
      <rPr>
        <b/>
        <sz val="12"/>
        <color theme="1"/>
        <rFont val="Times New Roman"/>
        <family val="1"/>
      </rPr>
      <t>NSPS for Petroleum Refineries for which Construction, Reconstruction, or Modification Commenced After May 14, 2007 (40 CFR Part 60, Subpart Ja) (Renewal)</t>
    </r>
  </si>
  <si>
    <r>
      <t>c</t>
    </r>
    <r>
      <rPr>
        <sz val="10"/>
        <color theme="1"/>
        <rFont val="Times New Roman"/>
        <family val="1"/>
      </rPr>
      <t xml:space="preserve">  This ICR uses the following labor rates: Managerial $153.55 ($73.12+ 110%); Technical $122.20 ($58.19 + 110%); and Clerical $61.51 ($29.29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</si>
  <si>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average hourly labor rate as follows: Managerial $69.04 (GS-13, Step 5, $43.15 + 60%); Technical $51.23 (GS-12, Step 1, $32.02 + 60%); and Clerical $27.73 (GS-6, Step 3, $17.33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</si>
  <si>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</si>
  <si>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</si>
  <si>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</si>
  <si>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</si>
  <si>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</si>
  <si>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</si>
  <si>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</si>
  <si>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</si>
  <si>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</si>
  <si>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(D)</t>
  </si>
  <si>
    <t>Number of Existing Respondents That Are Also New Respondents</t>
  </si>
  <si>
    <t>(E)</t>
  </si>
  <si>
    <t>Average</t>
  </si>
  <si>
    <t>Number of Respondents (E=A+B+C-D)</t>
  </si>
  <si>
    <r>
      <t xml:space="preserve">Number of New Respondents </t>
    </r>
    <r>
      <rPr>
        <vertAlign val="superscript"/>
        <sz val="10"/>
        <color theme="1"/>
        <rFont val="Times New Roman"/>
        <family val="1"/>
      </rPr>
      <t>a</t>
    </r>
  </si>
  <si>
    <t>Total Annual Responses</t>
  </si>
  <si>
    <t>Information Collection Activity</t>
  </si>
  <si>
    <t>Number of Responses</t>
  </si>
  <si>
    <t>Number of Existing Respondents That Keep Records But Do Not Submit Reports</t>
  </si>
  <si>
    <t>Initial notification of construction/ reconstruction</t>
  </si>
  <si>
    <t>Notification of anticipated startup</t>
  </si>
  <si>
    <t>Notification of actual startup</t>
  </si>
  <si>
    <t>Notification of performance test</t>
  </si>
  <si>
    <t>Performance test results</t>
  </si>
  <si>
    <t>Semiannual reports of excess emission</t>
  </si>
  <si>
    <t>Total</t>
  </si>
  <si>
    <t>Total Annual Responses
E=(BxC)+D</t>
  </si>
  <si>
    <t>Capital/Startup vs. Operation and Maintenance (O&amp;M) Costs</t>
  </si>
  <si>
    <t>Continuous Monitoring Device</t>
  </si>
  <si>
    <r>
      <t xml:space="preserve">Capital/ Startup Cost for One Respondent </t>
    </r>
    <r>
      <rPr>
        <vertAlign val="superscript"/>
        <sz val="10"/>
        <color theme="1"/>
        <rFont val="Times New Roman"/>
        <family val="1"/>
      </rPr>
      <t>a</t>
    </r>
    <r>
      <rPr>
        <sz val="10"/>
        <color theme="1"/>
        <rFont val="Times New Roman"/>
        <family val="1"/>
      </rPr>
      <t xml:space="preserve"> </t>
    </r>
  </si>
  <si>
    <r>
      <t xml:space="preserve">Number of New Respondents </t>
    </r>
    <r>
      <rPr>
        <vertAlign val="superscript"/>
        <sz val="10"/>
        <color theme="1"/>
        <rFont val="Times New Roman"/>
        <family val="1"/>
      </rPr>
      <t>a</t>
    </r>
    <r>
      <rPr>
        <sz val="10"/>
        <color theme="1"/>
        <rFont val="Times New Roman"/>
        <family val="1"/>
      </rPr>
      <t xml:space="preserve"> </t>
    </r>
  </si>
  <si>
    <r>
      <t xml:space="preserve">Annual O&amp;M Costs for One Respondent </t>
    </r>
    <r>
      <rPr>
        <vertAlign val="superscript"/>
        <sz val="10"/>
        <color theme="1"/>
        <rFont val="Times New Roman"/>
        <family val="1"/>
      </rPr>
      <t>a</t>
    </r>
  </si>
  <si>
    <t>(F)</t>
  </si>
  <si>
    <r>
      <t xml:space="preserve">Number of Respondents with O&amp;M </t>
    </r>
    <r>
      <rPr>
        <vertAlign val="superscript"/>
        <sz val="10"/>
        <color theme="1"/>
        <rFont val="Times New Roman"/>
        <family val="1"/>
      </rPr>
      <t>a</t>
    </r>
  </si>
  <si>
    <t>(G)</t>
  </si>
  <si>
    <t>Footnotes:</t>
  </si>
  <si>
    <r>
      <t>a</t>
    </r>
    <r>
      <rPr>
        <sz val="10"/>
        <color theme="1"/>
        <rFont val="Times New Roman"/>
        <family val="1"/>
      </rPr>
      <t xml:space="preserve">  In this table, the number of respondents corresponds to: 1) the number of new affected facilities (Flares, FCCU, FCU, FGCD, Sulfur plant) being constructed, re-constructed, or modified each year during this ICR period, or 2) the number of existing affected facilities (Flares, FCCU, FCU, FGCD, Sulfur plant) already complying with Subpart Ja.</t>
    </r>
  </si>
  <si>
    <r>
      <t>c</t>
    </r>
    <r>
      <rPr>
        <sz val="10"/>
        <color theme="1"/>
        <rFont val="Times New Roman"/>
        <family val="1"/>
      </rPr>
      <t xml:space="preserve">  Based on the number of existing flare units, we assume that 32% of the new affected facilities are flares and that 68% of the new facilities are FCCU, FCU, FGCD, Sulfur Plant, or other process units.</t>
    </r>
  </si>
  <si>
    <r>
      <t>i</t>
    </r>
    <r>
      <rPr>
        <sz val="10"/>
        <color theme="1"/>
        <rFont val="Times New Roman"/>
        <family val="1"/>
      </rPr>
      <t xml:space="preserve">  Assume that capital/startup costs for a single CPMS monitor are $43,000 and there are two CPMS per new affected facility. </t>
    </r>
  </si>
  <si>
    <t>Total Capital/ Startup Cost, (BxC)</t>
  </si>
  <si>
    <t>Total O&amp;M, (ExF)</t>
  </si>
  <si>
    <r>
      <t xml:space="preserve">Flare management plan </t>
    </r>
    <r>
      <rPr>
        <vertAlign val="superscript"/>
        <sz val="10"/>
        <color theme="1"/>
        <rFont val="Times New Roman"/>
        <family val="1"/>
      </rPr>
      <t>a</t>
    </r>
  </si>
  <si>
    <r>
      <t xml:space="preserve">CEMS – FCCU, FCU, FGCD, Sulfur plant </t>
    </r>
    <r>
      <rPr>
        <vertAlign val="superscript"/>
        <sz val="10"/>
        <color theme="1"/>
        <rFont val="Times New Roman"/>
        <family val="1"/>
      </rPr>
      <t>f, g, h</t>
    </r>
  </si>
  <si>
    <r>
      <t xml:space="preserve">CPMS – FCCU, FCU, FGCD, Sulfur plant </t>
    </r>
    <r>
      <rPr>
        <vertAlign val="superscript"/>
        <sz val="10"/>
        <color theme="1"/>
        <rFont val="Times New Roman"/>
        <family val="1"/>
      </rPr>
      <t>f, i , j</t>
    </r>
  </si>
  <si>
    <r>
      <t>h</t>
    </r>
    <r>
      <rPr>
        <sz val="10"/>
        <color theme="1"/>
        <rFont val="Times New Roman"/>
        <family val="1"/>
      </rPr>
      <t xml:space="preserve">  Per comments received from API/AFPM for the ICR renewal 2263.06, we assume that O&amp;M cost for each CEMS includes daily checks of 30 minutes, preventative maintenance, and parts for a total cost of $25,000 per year.</t>
    </r>
  </si>
  <si>
    <r>
      <t xml:space="preserve">Total </t>
    </r>
    <r>
      <rPr>
        <b/>
        <vertAlign val="superscript"/>
        <sz val="10"/>
        <color theme="1"/>
        <rFont val="Times New Roman"/>
        <family val="1"/>
      </rPr>
      <t>n</t>
    </r>
  </si>
  <si>
    <r>
      <t>m</t>
    </r>
    <r>
      <rPr>
        <sz val="10"/>
        <color theme="1"/>
        <rFont val="Times New Roman"/>
        <family val="1"/>
      </rPr>
      <t xml:space="preserve">  Assume that annual O&amp;M costs for a single CPMS are $50,000.</t>
    </r>
  </si>
  <si>
    <r>
      <t xml:space="preserve">n </t>
    </r>
    <r>
      <rPr>
        <sz val="10"/>
        <color theme="1"/>
        <rFont val="Times New Roman"/>
        <family val="1"/>
      </rPr>
      <t xml:space="preserve"> Totals have been rounded to 3 significant figures. Figures may not add exactly due to rounding. Some double counting occurs due to counting costs for CEMS and CPMS separately.</t>
    </r>
  </si>
  <si>
    <r>
      <t>e</t>
    </r>
    <r>
      <rPr>
        <sz val="10"/>
        <color theme="1"/>
        <rFont val="Times New Roman"/>
        <family val="1"/>
      </rPr>
      <t xml:space="preserve">  Assume that the annual O&amp;M costs of the flare sulfur CEMS and vent gas flow monitor is $59,700 (Docket Document EPA-HQ-OAR- 2007-0011-0289, page 11). Costs have been increased from 2006 to 2020 $ using the CEPCI Equipment Cost Index.</t>
    </r>
  </si>
  <si>
    <r>
      <t>g</t>
    </r>
    <r>
      <rPr>
        <sz val="10"/>
        <color theme="1"/>
        <rFont val="Times New Roman"/>
        <family val="1"/>
      </rPr>
      <t xml:space="preserve">  Assume that capital/ startup costs for a new FCCU NOx analyzer are $155,000 (Docket Document EPA-HQ-OAR-2007-0011-0222, page 8). Capital costs have been increased from 2006 to 2020 $ using the CEPCI Equipment Cost Index.</t>
    </r>
  </si>
  <si>
    <r>
      <t xml:space="preserve">(B)
Number of occurrences per year per respondent </t>
    </r>
    <r>
      <rPr>
        <b/>
        <vertAlign val="superscript"/>
        <sz val="10"/>
        <color theme="1"/>
        <rFont val="Times New Roman"/>
        <family val="1"/>
      </rPr>
      <t>a</t>
    </r>
  </si>
  <si>
    <r>
      <t xml:space="preserve">(D)
Respondents per year </t>
    </r>
    <r>
      <rPr>
        <b/>
        <vertAlign val="superscript"/>
        <sz val="10"/>
        <color theme="1"/>
        <rFont val="Times New Roman"/>
        <family val="1"/>
      </rPr>
      <t>b</t>
    </r>
  </si>
  <si>
    <r>
      <t xml:space="preserve">(H)
Annual costs ($) </t>
    </r>
    <r>
      <rPr>
        <b/>
        <vertAlign val="superscript"/>
        <sz val="10"/>
        <color theme="1"/>
        <rFont val="Times New Roman"/>
        <family val="1"/>
      </rPr>
      <t>c</t>
    </r>
  </si>
  <si>
    <r>
      <t xml:space="preserve">   B. Flare Management Plan Revision </t>
    </r>
    <r>
      <rPr>
        <vertAlign val="superscript"/>
        <sz val="10"/>
        <rFont val="Times New Roman"/>
        <family val="1"/>
      </rPr>
      <t>b</t>
    </r>
  </si>
  <si>
    <r>
      <t xml:space="preserve">      Initial CEMS Audits (RAA or CGA) new facilities </t>
    </r>
    <r>
      <rPr>
        <vertAlign val="superscript"/>
        <sz val="10"/>
        <rFont val="Times New Roman"/>
        <family val="1"/>
      </rPr>
      <t>f</t>
    </r>
  </si>
  <si>
    <r>
      <t xml:space="preserve">      CEMS Audits (RAA or CGA) existing facilities </t>
    </r>
    <r>
      <rPr>
        <vertAlign val="superscript"/>
        <sz val="10"/>
        <rFont val="Times New Roman"/>
        <family val="1"/>
      </rPr>
      <t>g</t>
    </r>
  </si>
  <si>
    <r>
      <t xml:space="preserve">      Initial Relative Accuracy Test new facilities </t>
    </r>
    <r>
      <rPr>
        <vertAlign val="superscript"/>
        <sz val="10"/>
        <rFont val="Times New Roman"/>
        <family val="1"/>
      </rPr>
      <t>f</t>
    </r>
  </si>
  <si>
    <r>
      <t xml:space="preserve">      Relative Accuracy Test existing facilities </t>
    </r>
    <r>
      <rPr>
        <vertAlign val="superscript"/>
        <sz val="10"/>
        <rFont val="Times New Roman"/>
        <family val="1"/>
      </rPr>
      <t>g</t>
    </r>
  </si>
  <si>
    <r>
      <t xml:space="preserve">      Initial CPMS Audits (RAA or CGA) new facilities </t>
    </r>
    <r>
      <rPr>
        <vertAlign val="superscript"/>
        <sz val="10"/>
        <rFont val="Times New Roman"/>
        <family val="1"/>
      </rPr>
      <t>f</t>
    </r>
  </si>
  <si>
    <r>
      <t xml:space="preserve">      CPMS Audits (RAA or CGA) existing facilities </t>
    </r>
    <r>
      <rPr>
        <vertAlign val="superscript"/>
        <sz val="10"/>
        <rFont val="Times New Roman"/>
        <family val="1"/>
      </rPr>
      <t>g</t>
    </r>
  </si>
  <si>
    <r>
      <t>e</t>
    </r>
    <r>
      <rPr>
        <sz val="10"/>
        <rFont val="Times New Roman"/>
        <family val="1"/>
      </rPr>
      <t xml:space="preserve">  We have assumed that 5 percent of sources would have to repeat performance test due to failure.</t>
    </r>
  </si>
  <si>
    <r>
      <t xml:space="preserve">Total Labor Burden and Costs (rounded) </t>
    </r>
    <r>
      <rPr>
        <b/>
        <vertAlign val="superscript"/>
        <sz val="10"/>
        <color rgb="FF000000"/>
        <rFont val="Times New Roman"/>
        <family val="1"/>
      </rPr>
      <t>k</t>
    </r>
  </si>
  <si>
    <r>
      <t xml:space="preserve">GRAND TOTAL (rounded) </t>
    </r>
    <r>
      <rPr>
        <b/>
        <vertAlign val="superscript"/>
        <sz val="10"/>
        <rFont val="Times New Roman"/>
        <family val="1"/>
      </rPr>
      <t>k</t>
    </r>
  </si>
  <si>
    <r>
      <rPr>
        <vertAlign val="superscript"/>
        <sz val="10"/>
        <rFont val="Times New Roman"/>
        <family val="1"/>
      </rPr>
      <t>d</t>
    </r>
    <r>
      <rPr>
        <sz val="10"/>
        <rFont val="Times New Roman"/>
        <family val="1"/>
      </rPr>
      <t xml:space="preserve"> We have assumed that it will take 40 hours for each respondent to perform initial performance tests.  </t>
    </r>
  </si>
  <si>
    <r>
      <t>a</t>
    </r>
    <r>
      <rPr>
        <sz val="10"/>
        <color theme="1"/>
        <rFont val="Times New Roman"/>
        <family val="1"/>
      </rPr>
      <t xml:space="preserve">  Assume that there are approximately 129 petroleum refineries (respondents) that are subject to the rule over a 3-year period. There will be no additional new petroleum refineries that will become subject to the rule over the three-year period of this ICR, but we assume that two facilities at each of the 129 petroleum refineries will become subject to the provisions of Subpart Ja over the three-year period of this ICR (86 affected facilities per year) due to being constructed, reconstructed, or modified and that these facilities will perform initial performance testing.</t>
    </r>
  </si>
  <si>
    <r>
      <t xml:space="preserve">      Notification of construction, reconstruction, 
      or modification </t>
    </r>
    <r>
      <rPr>
        <vertAlign val="superscript"/>
        <sz val="10"/>
        <color theme="1"/>
        <rFont val="Times New Roman"/>
        <family val="1"/>
      </rPr>
      <t>c</t>
    </r>
  </si>
  <si>
    <r>
      <t xml:space="preserve">      Notification of anticipated startup </t>
    </r>
    <r>
      <rPr>
        <vertAlign val="superscript"/>
        <sz val="10"/>
        <color theme="1"/>
        <rFont val="Times New Roman"/>
        <family val="1"/>
      </rPr>
      <t>d</t>
    </r>
  </si>
  <si>
    <r>
      <t xml:space="preserve">      Notification of actual startup </t>
    </r>
    <r>
      <rPr>
        <vertAlign val="superscript"/>
        <sz val="10"/>
        <color theme="1"/>
        <rFont val="Times New Roman"/>
        <family val="1"/>
      </rPr>
      <t>d</t>
    </r>
  </si>
  <si>
    <r>
      <t xml:space="preserve">      Notification of performance test </t>
    </r>
    <r>
      <rPr>
        <vertAlign val="superscript"/>
        <sz val="10"/>
        <color theme="1"/>
        <rFont val="Times New Roman"/>
        <family val="1"/>
      </rPr>
      <t>d</t>
    </r>
  </si>
  <si>
    <r>
      <t xml:space="preserve">      Flare management plans </t>
    </r>
    <r>
      <rPr>
        <vertAlign val="superscript"/>
        <sz val="10"/>
        <color theme="1"/>
        <rFont val="Times New Roman"/>
        <family val="1"/>
      </rPr>
      <t>e</t>
    </r>
  </si>
  <si>
    <r>
      <t xml:space="preserve">   Semiannual Emissions Reports </t>
    </r>
    <r>
      <rPr>
        <vertAlign val="superscript"/>
        <sz val="10"/>
        <color theme="1"/>
        <rFont val="Times New Roman"/>
        <family val="1"/>
      </rPr>
      <t>f</t>
    </r>
  </si>
  <si>
    <r>
      <rPr>
        <vertAlign val="superscript"/>
        <sz val="10"/>
        <color theme="1"/>
        <rFont val="Times New Roman"/>
        <family val="1"/>
      </rPr>
      <t>f</t>
    </r>
    <r>
      <rPr>
        <sz val="10"/>
        <color theme="1"/>
        <rFont val="Times New Roman"/>
        <family val="1"/>
      </rPr>
      <t xml:space="preserve">   We have assumed that all existing plants will be required to complete semiannual emissions reports.</t>
    </r>
  </si>
  <si>
    <r>
      <t xml:space="preserve">CEMS – FCCU, FCU, FGCD, Sulfur plant </t>
    </r>
    <r>
      <rPr>
        <vertAlign val="superscript"/>
        <sz val="10"/>
        <color theme="1"/>
        <rFont val="Times New Roman"/>
        <family val="1"/>
      </rPr>
      <t>g, h, l</t>
    </r>
  </si>
  <si>
    <r>
      <t xml:space="preserve">CPMS – FCCU, FCU, FGCD, Sulfur plant </t>
    </r>
    <r>
      <rPr>
        <vertAlign val="superscript"/>
        <sz val="10"/>
        <color theme="1"/>
        <rFont val="Times New Roman"/>
        <family val="1"/>
      </rPr>
      <t>i, l, m</t>
    </r>
  </si>
  <si>
    <r>
      <t>H</t>
    </r>
    <r>
      <rPr>
        <vertAlign val="subscript"/>
        <sz val="10"/>
        <color theme="1"/>
        <rFont val="Times New Roman"/>
        <family val="1"/>
      </rPr>
      <t>2</t>
    </r>
    <r>
      <rPr>
        <sz val="10"/>
        <color theme="1"/>
        <rFont val="Times New Roman"/>
        <family val="1"/>
      </rPr>
      <t xml:space="preserve">S CEMS – Flares </t>
    </r>
    <r>
      <rPr>
        <vertAlign val="superscript"/>
        <sz val="10"/>
        <color theme="1"/>
        <rFont val="Times New Roman"/>
        <family val="1"/>
      </rPr>
      <t>d, e, k</t>
    </r>
  </si>
  <si>
    <r>
      <t xml:space="preserve">Flare Vent Flow CPMS </t>
    </r>
    <r>
      <rPr>
        <vertAlign val="superscript"/>
        <sz val="10"/>
        <color theme="1"/>
        <rFont val="Times New Roman"/>
        <family val="1"/>
      </rPr>
      <t>d, e, k</t>
    </r>
  </si>
  <si>
    <t>Existing Affected Facilities</t>
  </si>
  <si>
    <t xml:space="preserve">Total Capital/ Startup Cost, </t>
  </si>
  <si>
    <t>Total O&amp;M,</t>
  </si>
  <si>
    <r>
      <t>New Affected Facilities</t>
    </r>
    <r>
      <rPr>
        <vertAlign val="superscript"/>
        <sz val="10"/>
        <color theme="1"/>
        <rFont val="Times New Roman"/>
        <family val="1"/>
      </rPr>
      <t>b,c</t>
    </r>
  </si>
  <si>
    <r>
      <t>H</t>
    </r>
    <r>
      <rPr>
        <vertAlign val="subscript"/>
        <sz val="10"/>
        <color theme="1"/>
        <rFont val="Times New Roman"/>
        <family val="1"/>
      </rPr>
      <t>2</t>
    </r>
    <r>
      <rPr>
        <sz val="10"/>
        <color theme="1"/>
        <rFont val="Times New Roman"/>
        <family val="1"/>
      </rPr>
      <t xml:space="preserve">S CEMS – Flares </t>
    </r>
  </si>
  <si>
    <r>
      <t xml:space="preserve">$372,000 </t>
    </r>
    <r>
      <rPr>
        <vertAlign val="superscript"/>
        <sz val="10"/>
        <color theme="1"/>
        <rFont val="Times New Roman"/>
        <family val="1"/>
      </rPr>
      <t>d</t>
    </r>
  </si>
  <si>
    <r>
      <t xml:space="preserve">$62,000 </t>
    </r>
    <r>
      <rPr>
        <vertAlign val="superscript"/>
        <sz val="10"/>
        <color theme="1"/>
        <rFont val="Times New Roman"/>
        <family val="1"/>
      </rPr>
      <t>e</t>
    </r>
  </si>
  <si>
    <t xml:space="preserve">Flare Vent Flow CPMS </t>
  </si>
  <si>
    <t xml:space="preserve">CEMS – FCCU, FCU, FGCD, Sulfur plant </t>
  </si>
  <si>
    <r>
      <t xml:space="preserve">$161,000 </t>
    </r>
    <r>
      <rPr>
        <vertAlign val="superscript"/>
        <sz val="10"/>
        <color theme="1"/>
        <rFont val="Times New Roman"/>
        <family val="1"/>
      </rPr>
      <t>g</t>
    </r>
  </si>
  <si>
    <r>
      <t xml:space="preserve">$25,000 </t>
    </r>
    <r>
      <rPr>
        <vertAlign val="superscript"/>
        <sz val="10"/>
        <color theme="1"/>
        <rFont val="Times New Roman"/>
        <family val="1"/>
      </rPr>
      <t>h</t>
    </r>
  </si>
  <si>
    <t xml:space="preserve">CPMS – FCCU, FCU, FGCD, Sulfur plant </t>
  </si>
  <si>
    <r>
      <t xml:space="preserve">$86,000 </t>
    </r>
    <r>
      <rPr>
        <vertAlign val="superscript"/>
        <sz val="10"/>
        <color theme="1"/>
        <rFont val="Times New Roman"/>
        <family val="1"/>
      </rPr>
      <t>i</t>
    </r>
  </si>
  <si>
    <r>
      <t xml:space="preserve">$100,000 </t>
    </r>
    <r>
      <rPr>
        <vertAlign val="superscript"/>
        <sz val="10"/>
        <color theme="1"/>
        <rFont val="Times New Roman"/>
        <family val="1"/>
      </rPr>
      <t>j</t>
    </r>
  </si>
  <si>
    <r>
      <t>Existing Affected Facilities</t>
    </r>
    <r>
      <rPr>
        <vertAlign val="superscript"/>
        <sz val="10"/>
        <color theme="1"/>
        <rFont val="Times New Roman"/>
        <family val="1"/>
      </rPr>
      <t>k</t>
    </r>
  </si>
  <si>
    <r>
      <t xml:space="preserve">$50,000 </t>
    </r>
    <r>
      <rPr>
        <vertAlign val="superscript"/>
        <sz val="10"/>
        <color theme="1"/>
        <rFont val="Times New Roman"/>
        <family val="1"/>
      </rPr>
      <t>l</t>
    </r>
  </si>
  <si>
    <r>
      <t xml:space="preserve">Total </t>
    </r>
    <r>
      <rPr>
        <b/>
        <vertAlign val="superscript"/>
        <sz val="10"/>
        <color theme="1"/>
        <rFont val="Times New Roman"/>
        <family val="1"/>
      </rPr>
      <t>m</t>
    </r>
  </si>
  <si>
    <r>
      <t xml:space="preserve">CEMS – FCCU, FCU, FGCD, Sulfur plant </t>
    </r>
    <r>
      <rPr>
        <vertAlign val="superscript"/>
        <sz val="10"/>
        <color theme="1"/>
        <rFont val="Times New Roman"/>
        <family val="1"/>
      </rPr>
      <t>f</t>
    </r>
  </si>
  <si>
    <r>
      <t xml:space="preserve">CPMS – FCCU, FCU, FGCD, Sulfur plant </t>
    </r>
    <r>
      <rPr>
        <vertAlign val="superscript"/>
        <sz val="10"/>
        <color theme="1"/>
        <rFont val="Times New Roman"/>
        <family val="1"/>
      </rPr>
      <t>f</t>
    </r>
  </si>
  <si>
    <r>
      <t>b</t>
    </r>
    <r>
      <rPr>
        <sz val="10"/>
        <color theme="1"/>
        <rFont val="Times New Roman"/>
        <family val="1"/>
      </rPr>
      <t xml:space="preserve">  Per comments received from API/AFPM, we assume that two facilities at each of the 150 petroleum refineries become subject to the provisions of Subpart Ja over the three-year period of this ICR (300 facilities over three years or 100 new affected facilities per year) due to being constructed, reconstructed, or modified and that half of these new affected facilities will have capital and startup costs (50 facilities per year).</t>
    </r>
  </si>
  <si>
    <r>
      <t>d</t>
    </r>
    <r>
      <rPr>
        <sz val="10"/>
        <color theme="1"/>
        <rFont val="Times New Roman"/>
        <family val="1"/>
      </rPr>
      <t xml:space="preserve">  Assume that capital/startup costs for a new flare sulfur CEMS and flow monitor CPMS is $372,000 (Docket Document EPA-HQ-OAR-2007-0011-0289, page 11). Capital costs have been increased from 2006 to 2018 $ using the CEPCI Equipment Cost Index.</t>
    </r>
  </si>
  <si>
    <r>
      <t>e</t>
    </r>
    <r>
      <rPr>
        <sz val="10"/>
        <color theme="1"/>
        <rFont val="Times New Roman"/>
        <family val="1"/>
      </rPr>
      <t xml:space="preserve">  Assume that the annual O&amp;M costs of the flare sulfur CEMS and vent gas flow monitor is $62,000 (Docket Document EPA-HQ-OAR- 2007-0011-0289, page 11). Costs have been increased from 2006 to 2018 $ using the CEPCI Equipment Cost Index.</t>
    </r>
  </si>
  <si>
    <r>
      <t xml:space="preserve">f </t>
    </r>
    <r>
      <rPr>
        <sz val="10"/>
        <color theme="1"/>
        <rFont val="Times New Roman"/>
        <family val="1"/>
      </rPr>
      <t xml:space="preserve"> Per comments received from API/AFPM, we assume that each new affected source requires one CEMS and two CPMS.</t>
    </r>
  </si>
  <si>
    <r>
      <t>g</t>
    </r>
    <r>
      <rPr>
        <sz val="10"/>
        <color theme="1"/>
        <rFont val="Times New Roman"/>
        <family val="1"/>
      </rPr>
      <t xml:space="preserve">  Assume that capital/ startup costs for a new FCCU NOx analyzer are $161,000 (Docket Document EPA-HQ-OAR-2007-0011-0222, page 8). Capital costs have been increased from 2006 to 2018 $ using the CEPCI Equipment Cost Index.</t>
    </r>
  </si>
  <si>
    <r>
      <t>h</t>
    </r>
    <r>
      <rPr>
        <sz val="10"/>
        <color theme="1"/>
        <rFont val="Times New Roman"/>
        <family val="1"/>
      </rPr>
      <t xml:space="preserve">  Per comments received from API/AFPM, we assume that O&amp;M cost for each CEMS includes daily checks of 30 minutes, preventative maintenance, and parts for a total cost of $25,000 per year.</t>
    </r>
  </si>
  <si>
    <r>
      <t>j</t>
    </r>
    <r>
      <rPr>
        <sz val="10"/>
        <color theme="1"/>
        <rFont val="Times New Roman"/>
        <family val="1"/>
      </rPr>
      <t xml:space="preserve">  Assume that annual O&amp;M costs for a single CPMS are $50,000</t>
    </r>
    <r>
      <rPr>
        <sz val="12"/>
        <color theme="1"/>
        <rFont val="Times New Roman"/>
        <family val="1"/>
      </rPr>
      <t xml:space="preserve"> </t>
    </r>
    <r>
      <rPr>
        <sz val="10"/>
        <color theme="1"/>
        <rFont val="Times New Roman"/>
        <family val="1"/>
      </rPr>
      <t xml:space="preserve">and there are two CPMS per new affected facility. </t>
    </r>
  </si>
  <si>
    <r>
      <t>k</t>
    </r>
    <r>
      <rPr>
        <sz val="10"/>
        <color theme="1"/>
        <rFont val="Times New Roman"/>
        <family val="1"/>
      </rPr>
      <t xml:space="preserve">  Assumes that 70% (280) of the 400 flares at petroleum refineries are already subject to the provisions of Subpart Ja and each has one H</t>
    </r>
    <r>
      <rPr>
        <vertAlign val="subscript"/>
        <sz val="10"/>
        <color theme="1"/>
        <rFont val="Times New Roman"/>
        <family val="1"/>
      </rPr>
      <t>2</t>
    </r>
    <r>
      <rPr>
        <sz val="10"/>
        <color theme="1"/>
        <rFont val="Times New Roman"/>
        <family val="1"/>
      </rPr>
      <t>S CEMs and one flow CPMS.  The other 30% of flares are expected to use the monitoring alternative for emergency flares and flares with flare gas recovery system.  For other existing affected facilities (FCCU, FCU, FGCD, Sulfur Plant, or other process unit), we assume there are 4 CEMS and 6 CPMS at each petroleum refinery, for a total of 600 CEMS (4 x 150 = 600) and 900 (6 x 150) CPMS.</t>
    </r>
  </si>
  <si>
    <r>
      <t>l</t>
    </r>
    <r>
      <rPr>
        <sz val="10"/>
        <color theme="1"/>
        <rFont val="Times New Roman"/>
        <family val="1"/>
      </rPr>
      <t xml:space="preserve">  Assume that annual O&amp;M costs for a single CPMS are $50,000.</t>
    </r>
  </si>
  <si>
    <r>
      <t xml:space="preserve">m </t>
    </r>
    <r>
      <rPr>
        <sz val="10"/>
        <color theme="1"/>
        <rFont val="Times New Roman"/>
        <family val="1"/>
      </rPr>
      <t xml:space="preserve"> Totals have been rounded to 3 significant figures. Figures may not add exactly due to rounding. Some double counting occurs due to counting costs for CEMS and CPMS separately.</t>
    </r>
  </si>
  <si>
    <t xml:space="preserve">Capital/ Startup Cost for One Respondent </t>
  </si>
  <si>
    <t>Annual O&amp;M Costs for One Respondent</t>
  </si>
  <si>
    <r>
      <t>d</t>
    </r>
    <r>
      <rPr>
        <sz val="10"/>
        <color theme="1"/>
        <rFont val="Times New Roman"/>
        <family val="1"/>
      </rPr>
      <t xml:space="preserve">  Assume that capital/startup costs for a new flare sulfur CEMS and flow monitor CPMS is $358,000 (Docket Document EPA-HQ-OAR-2007-0011-0289, page 11). Capital costs have been increased from 2006 to 2020 $ using the CEPCI Equipment Cost Index. Each flare has one H</t>
    </r>
    <r>
      <rPr>
        <vertAlign val="subscript"/>
        <sz val="10"/>
        <color theme="1"/>
        <rFont val="Times New Roman"/>
        <family val="1"/>
      </rPr>
      <t>2</t>
    </r>
    <r>
      <rPr>
        <sz val="10"/>
        <color theme="1"/>
        <rFont val="Times New Roman"/>
        <family val="1"/>
      </rPr>
      <t xml:space="preserve">S CEMs and one flow CPMS. </t>
    </r>
    <r>
      <rPr>
        <vertAlign val="superscript"/>
        <sz val="10"/>
        <color theme="1"/>
        <rFont val="Times New Roman"/>
        <family val="1"/>
      </rPr>
      <t xml:space="preserve"> </t>
    </r>
  </si>
  <si>
    <r>
      <t>g</t>
    </r>
    <r>
      <rPr>
        <sz val="10"/>
        <rFont val="Times New Roman"/>
        <family val="1"/>
      </rPr>
      <t xml:space="preserve">  Subpart Ja requires regular relative accuracy evaluations of all monitors on existing affected facilities. We assume there are 8.9 CEMS at each refinery (341 flare CEMS + 804 other equipment CEMS)/129 refineries), that these CEMS are audited once per year, and that the Relative Accuracy Audits or Cylinder Gas Audits take 36 hours. We assume that relative accuracy tests are required for each CEMS and CPMS monitor (3 per existing affected facility), that there are 21.6 CEMS and CPMS per refinery (341 flare CEMS + 341 flare CPMS + 804 other equipment CEMS + 1,308 other equipment CPMS)/129 refineries, that the relative accuracy test or RATA are conducted twice a year, and take 24 hours per monitor.  We assume there are 12.8 CPMS at each refinery (341 flare CPMS + 1,308 other equipment CPMS)/129 refineries), that these CPMS are audited twice per year, and that these Relative Accuracy Audits or Cylinder Gas Audits take 36 hours.</t>
    </r>
  </si>
  <si>
    <r>
      <t>l</t>
    </r>
    <r>
      <rPr>
        <sz val="10"/>
        <color theme="1"/>
        <rFont val="Times New Roman"/>
        <family val="1"/>
      </rPr>
      <t xml:space="preserve">  The number of existing affected facilities subject to Subpart Ja has been increased from the number shown in the previous ICR renewal (2263.06) by three years of new and modified facilities. For CEMS units, this is 3 x 68 and for CPMS units, this is 3 x 68 x 2, as there are 2 CPMS units for each new affected facility.</t>
    </r>
  </si>
  <si>
    <r>
      <t>a</t>
    </r>
    <r>
      <rPr>
        <sz val="12"/>
        <color theme="1"/>
        <rFont val="Times New Roman"/>
        <family val="1"/>
      </rPr>
      <t xml:space="preserve"> </t>
    </r>
    <r>
      <rPr>
        <sz val="10"/>
        <color theme="1"/>
        <rFont val="Times New Roman"/>
        <family val="1"/>
      </rPr>
      <t xml:space="preserve">New respondents include sources with constructed, reconstructed and modified affected facilities. We assume 2 facilities per refinery will modify and become subject to Subpart Ja during the three-year period of this ICR. ( 2 x 129 refineries = 258 facilities/3 years = 86 facilities per year). Based on U.S. EIA data for the number of operating refineries in 2021 (https://www.eia.gov/dnav/pet/pet_pnp_cap1_dcu_nus_a.htm) and correspondence with API, we assume there are 129 refineries subject to Subpart Ja. </t>
    </r>
  </si>
  <si>
    <r>
      <t>a</t>
    </r>
    <r>
      <rPr>
        <sz val="10"/>
        <color theme="1"/>
        <rFont val="Times New Roman"/>
        <family val="1"/>
      </rPr>
      <t xml:space="preserve">  In this table, the Number of New Respondents corresponds to the number of affected facilities (Flares, FCCU, FCU, FGCD, Sulfur plant) being constructed, re-constructed, or modified each year during this ICR period. In this table the Number of Respondents with O&amp;M corresponds to newly affected facilities and existing affected facilities (Flares, FCCU, FCU, FGCD, Sulfur plant) complying with Subpart Ja.</t>
    </r>
  </si>
  <si>
    <r>
      <t xml:space="preserve">New Affected Facilities </t>
    </r>
    <r>
      <rPr>
        <vertAlign val="superscript"/>
        <sz val="10"/>
        <color theme="1"/>
        <rFont val="Times New Roman"/>
        <family val="1"/>
      </rPr>
      <t>b</t>
    </r>
  </si>
  <si>
    <r>
      <t>H</t>
    </r>
    <r>
      <rPr>
        <vertAlign val="subscript"/>
        <sz val="10"/>
        <color theme="1"/>
        <rFont val="Times New Roman"/>
        <family val="1"/>
      </rPr>
      <t>2</t>
    </r>
    <r>
      <rPr>
        <sz val="10"/>
        <color theme="1"/>
        <rFont val="Times New Roman"/>
        <family val="1"/>
      </rPr>
      <t xml:space="preserve">S CEMS – Flares </t>
    </r>
    <r>
      <rPr>
        <vertAlign val="superscript"/>
        <sz val="10"/>
        <color theme="1"/>
        <rFont val="Times New Roman"/>
        <family val="1"/>
      </rPr>
      <t>c, d, e</t>
    </r>
  </si>
  <si>
    <r>
      <t xml:space="preserve">Flare Vent Flow CPMS </t>
    </r>
    <r>
      <rPr>
        <vertAlign val="superscript"/>
        <sz val="10"/>
        <color theme="1"/>
        <rFont val="Times New Roman"/>
        <family val="1"/>
      </rPr>
      <t>c, d, e</t>
    </r>
  </si>
  <si>
    <r>
      <t>b</t>
    </r>
    <r>
      <rPr>
        <sz val="10"/>
        <color theme="1"/>
        <rFont val="Times New Roman"/>
        <family val="1"/>
      </rPr>
      <t xml:space="preserve">  Per comments received from API/AFPM for the ICR renewal 2263.06, we assume that two facilities at each of the 129 petroleum refineries are constructed, reconstructed, or modified over the three-year period of this ICR (258 facilities over three years or 86 new affected facilities per year). We assume that 50% of the affected facilities newly subject to Subpart Ja will have capital and startup costs.</t>
    </r>
  </si>
  <si>
    <r>
      <t xml:space="preserve">f </t>
    </r>
    <r>
      <rPr>
        <sz val="10"/>
        <color theme="1"/>
        <rFont val="Times New Roman"/>
        <family val="1"/>
      </rPr>
      <t xml:space="preserve">  We assume that 68% of the newly affected facilities are FCCU, FCU, FGCD, Sulfur Plant, or other process units (86 facilities per year x 68% = 58 (rounded)). We assume that 50% of the affected facilities newly subject to Subpart Ja will have capital and startup costs (58 facilities x 50% = 29 facilities). Per comments received from API/AFPM for the ICR renewal 2263.06, we assume that each new affected FCCU, FCU, FGCD, or Sulfur plant requires one CEMS and two CPMS. </t>
    </r>
  </si>
  <si>
    <r>
      <t>k</t>
    </r>
    <r>
      <rPr>
        <sz val="10"/>
        <color theme="1"/>
        <rFont val="Times New Roman"/>
        <family val="1"/>
      </rPr>
      <t xml:space="preserve">  Assumes that 70% (341) of the 487 existing flares at currently operating petroleum refineries are already subject to the provisions of Subpart Ja and each flare has one H</t>
    </r>
    <r>
      <rPr>
        <vertAlign val="subscript"/>
        <sz val="10"/>
        <color theme="1"/>
        <rFont val="Times New Roman"/>
        <family val="1"/>
      </rPr>
      <t>2</t>
    </r>
    <r>
      <rPr>
        <sz val="10"/>
        <color theme="1"/>
        <rFont val="Times New Roman"/>
        <family val="1"/>
      </rPr>
      <t xml:space="preserve">S CEMs and one flow CPMS.  The other 30% of flares are expected to use the monitoring alternative for emergency flares and flares with flare gas recovery system. The number of flares at petroleum refineries (487) is derived by cross referencing the information in the "flares" table in the 2011 Petroleum Refinery Database (https://www.epa.gov/stationary-sources-air-pollution/comprehensive-data-collected-petroleum-refining-sector) with data from the U.S. Energy Information Administration's 'Refinery Capacity Report' (https://www.eia.gov/petroleum/refinerycapacity/), which shows the 129 refineries operating as of January 1, 2021.  </t>
    </r>
  </si>
  <si>
    <r>
      <t>b</t>
    </r>
    <r>
      <rPr>
        <sz val="10"/>
        <color theme="1"/>
        <rFont val="Times New Roman"/>
        <family val="1"/>
      </rPr>
      <t xml:space="preserve">  Assume that there are approximately 129 petroleum refineries (respondents) that are subject to the rule over a 3-year period with at least one affected source. There will be no additional new petroleum refineries that will become subject to the rule over the three-year period of this ICR, but we assume that two facilities at each of the 129 petroleum refineries will become subject to the provisions of Subpart Ja over the three-year period of this ICR (86 affected facilities per year) due to being constructed, reconstructed, or modified and that these facilities will have initial performance testing costs. We assume 28 of these reconstructed or modified facilities will be existing flares already subject to Subpart Ja and that they will re-submit a flare management plan.</t>
    </r>
  </si>
  <si>
    <r>
      <t>c</t>
    </r>
    <r>
      <rPr>
        <sz val="10"/>
        <color theme="1"/>
        <rFont val="Times New Roman"/>
        <family val="1"/>
      </rPr>
      <t xml:space="preserve">  We assume that the review of the 'Notification of construction, reconstruction, or modification' submitted by all sources with newly affected facilities (due to being constructed, reconstructed, or modified) will take 2 hours to complete.</t>
    </r>
  </si>
  <si>
    <r>
      <t>d</t>
    </r>
    <r>
      <rPr>
        <sz val="10"/>
        <color theme="1"/>
        <rFont val="Times New Roman"/>
        <family val="1"/>
      </rPr>
      <t xml:space="preserve">  We assume that the review of the 'Notification of anticipated startup', 'Notification of actual startup', and 'Notification of performance test' submitted by all sources with newly affected facilities (due to being constructed, reconstructed, or modified) will each take 0.5 hours to complete.</t>
    </r>
  </si>
  <si>
    <r>
      <rPr>
        <vertAlign val="superscript"/>
        <sz val="10"/>
        <color theme="1"/>
        <rFont val="Times New Roman"/>
        <family val="1"/>
      </rPr>
      <t>e</t>
    </r>
    <r>
      <rPr>
        <sz val="10"/>
        <color theme="1"/>
        <rFont val="Times New Roman"/>
        <family val="1"/>
      </rPr>
      <t xml:space="preserve">  Some flare management plans will need more review than others, depending on complexity of flare connections and baseline calculations. We assume 1 hour is the average amount of time spent per plan.</t>
    </r>
  </si>
  <si>
    <r>
      <t xml:space="preserve">   E. Write Report </t>
    </r>
    <r>
      <rPr>
        <vertAlign val="superscript"/>
        <sz val="10"/>
        <color theme="1"/>
        <rFont val="Times New Roman"/>
        <family val="1"/>
      </rPr>
      <t>h</t>
    </r>
  </si>
  <si>
    <r>
      <t xml:space="preserve">      Semiannual Emissions Reports </t>
    </r>
    <r>
      <rPr>
        <vertAlign val="superscript"/>
        <sz val="10"/>
        <color theme="1"/>
        <rFont val="Times New Roman"/>
        <family val="1"/>
      </rPr>
      <t>i</t>
    </r>
  </si>
  <si>
    <r>
      <t xml:space="preserve">      Records of operating parameters </t>
    </r>
    <r>
      <rPr>
        <vertAlign val="superscript"/>
        <sz val="10"/>
        <color theme="1"/>
        <rFont val="Times New Roman"/>
        <family val="1"/>
      </rPr>
      <t>j</t>
    </r>
  </si>
  <si>
    <t xml:space="preserve">Assumptions  </t>
  </si>
  <si>
    <r>
      <t>f</t>
    </r>
    <r>
      <rPr>
        <sz val="10"/>
        <rFont val="Times New Roman"/>
        <family val="1"/>
      </rPr>
      <t xml:space="preserve">  We assume that two facilities at each of the 129 petroleum refineries will become subject to the provisions of Subpart Ja over the three-year period of this ICR (86 affected facilities per year) due to being constructed, reconstructed, or modified and that these facilities will have initial performance testing costs. We assume</t>
    </r>
    <r>
      <rPr>
        <sz val="10"/>
        <color theme="4" tint="-0.249977111117893"/>
        <rFont val="Times New Roman"/>
        <family val="1"/>
      </rPr>
      <t xml:space="preserve"> </t>
    </r>
    <r>
      <rPr>
        <sz val="10"/>
        <rFont val="Times New Roman"/>
        <family val="1"/>
      </rPr>
      <t xml:space="preserve">one CEMS monitor and one CPMS monitor is needed for each flare and one CEMS monitor and two CPMS monitors are needed for each other newly affected facility (i.e. FCCU, FCU, FGCD, Sulfur plant). We assume that each new CEMS and CPMS monitor is audited at startup and once again in the first year (2x/yr), and that Relative Accuracy Audits or Cylinder Gas Audits take 36 hours. We assume that one initial relative accuracy test is required for each new CEMS and CPMS monitor (3 per new affected facility), that the relative accuracy test or RATA are conducted twice a year (3 x 2/yr), and take 24 hours per monitor. </t>
    </r>
  </si>
  <si>
    <r>
      <t>a</t>
    </r>
    <r>
      <rPr>
        <sz val="10"/>
        <rFont val="Times New Roman"/>
        <family val="1"/>
      </rPr>
      <t xml:space="preserve">  Occurrences per respondent per year is calculated as the number of affected facilities (flares, FCCU, FCU, FGCD, sulfur plant) times the occurrences per affected facility per respondent (refineries). For CEMS/CPMS Audits or RATA testing, this value refers to the number of monitors on an affected facility that requires audit or testing.</t>
    </r>
    <r>
      <rPr>
        <vertAlign val="superscript"/>
        <sz val="10"/>
        <rFont val="Times New Roman"/>
        <family val="1"/>
      </rPr>
      <t xml:space="preserve">  </t>
    </r>
  </si>
  <si>
    <r>
      <rPr>
        <vertAlign val="superscript"/>
        <sz val="10"/>
        <rFont val="Times New Roman"/>
        <family val="1"/>
      </rPr>
      <t>a</t>
    </r>
    <r>
      <rPr>
        <sz val="10"/>
        <rFont val="Times New Roman"/>
        <family val="1"/>
      </rPr>
      <t xml:space="preserve">  We assume 2 facilities per refinery will modify or reconstruct and become subject to Subpart Ja during the three-year period of this ICR ( 2 x 129 refineries = 258 facilities/3 years = 86 facilities per year). Based on data collected in the prior ICR (ICR No. 2263.06), we assume that 32% of the modified/reconstructed facilities are flares (86 facilities per year x 32% = 28 flares per year). These flare facilities will need to re-submit a flare management plan.</t>
    </r>
  </si>
  <si>
    <r>
      <t>i</t>
    </r>
    <r>
      <rPr>
        <sz val="10"/>
        <rFont val="Times New Roman"/>
        <family val="1"/>
      </rPr>
      <t xml:space="preserve">  Per comments received from API/AFPM for the ICR renewal 2263.06, we assume that capital/startup costs for a single CPMS monitor are $43,000 and there are two CPMS per newly affected FCCU, FCU, FGCD, or Sulfur plant affected facility. </t>
    </r>
  </si>
  <si>
    <r>
      <t>j</t>
    </r>
    <r>
      <rPr>
        <sz val="10"/>
        <rFont val="Times New Roman"/>
        <family val="1"/>
      </rPr>
      <t xml:space="preserve">  Per comments received from API/AFPM for the ICR renewal 2263.06, we assume that annual O&amp;M costs for a single CPMS are $50,000 and there are two CPMS per newly affected FCCU, FCU, FGCD, or Sulfur plant affected facility. </t>
    </r>
  </si>
  <si>
    <r>
      <t>c</t>
    </r>
    <r>
      <rPr>
        <sz val="10"/>
        <color theme="1"/>
        <rFont val="Times New Roman"/>
        <family val="1"/>
      </rPr>
      <t xml:space="preserve">  Based on analysis of data in the previous ICR, EPA's Petroleum Refinery Database, and U.S. EIA's 2021 "Refinery Capacity Report", we assume that all flares at refineries are already subject to Subpart Ja and no existing or new flares will become subject to Subpart Ja during the three-year period of this ICR. Existing flares already subject to Subpart Ja that modify will not have capital/startup costs. O&amp;M costs for these flares is shown under O&amp;M Costs for Existing Affected Facilities.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</si>
</sst>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164" formatCode="&quot;$&quot;#,##0.00"/>
    <numFmt numFmtId="165" formatCode="#,##0.0"/>
    <numFmt numFmtId="166" formatCode="&quot;$&quot;#,##0.0_);[Red]\(&quot;$&quot;#,##0.0\)"/>
    <numFmt numFmtId="167" formatCode="&quot;$&quot;#,##0"/>
    <numFmt numFmtId="168" formatCode="0.0"/>
    <numFmt numFmtId="169" formatCode="0.0000"/>
  </numFmts>
  <fonts count="28" x14ac:knownFonts="1">
    <font>
      <sz val="11"/>
      <color theme="1"/>
      <name val="Calibri"/>
      <family val="2"/>
      <scheme val="minor"/>
    </font>
    <font>
      <b/>
      <sz val="11"/>
      <color theme="1"/>
      <name val="Calibri"/>
      <family val="2"/>
      <scheme val="minor"/>
    </font>
    <font>
      <sz val="10"/>
      <color theme="1"/>
      <name val="Times New Roman"/>
      <family val="1"/>
    </font>
    <font>
      <vertAlign val="superscript"/>
      <sz val="10"/>
      <color theme="1"/>
      <name val="Times New Roman"/>
      <family val="1"/>
    </font>
    <font>
      <sz val="10"/>
      <color rgb="FF000000"/>
      <name val="Times New Roman"/>
      <family val="1"/>
    </font>
    <font>
      <b/>
      <sz val="12"/>
      <color theme="1"/>
      <name val="Times New Roman"/>
      <family val="1"/>
    </font>
    <font>
      <b/>
      <sz val="12"/>
      <color rgb="FF000000"/>
      <name val="Times New Roman"/>
      <family val="1"/>
    </font>
    <font>
      <b/>
      <sz val="10"/>
      <color theme="1"/>
      <name val="Times New Roman"/>
      <family val="1"/>
    </font>
    <font>
      <b/>
      <vertAlign val="superscript"/>
      <sz val="10"/>
      <color theme="1"/>
      <name val="Times New Roman"/>
      <family val="1"/>
    </font>
    <font>
      <b/>
      <sz val="10"/>
      <color rgb="FF000000"/>
      <name val="Times New Roman"/>
      <family val="1"/>
    </font>
    <font>
      <b/>
      <vertAlign val="superscript"/>
      <sz val="10"/>
      <color rgb="FF000000"/>
      <name val="Times New Roman"/>
      <family val="1"/>
    </font>
    <font>
      <b/>
      <sz val="10"/>
      <name val="Times New Roman"/>
      <family val="1"/>
    </font>
    <font>
      <vertAlign val="superscript"/>
      <sz val="12"/>
      <color theme="1"/>
      <name val="Times New Roman"/>
      <family val="1"/>
    </font>
    <font>
      <sz val="10"/>
      <name val="Times New Roman"/>
      <family val="1"/>
    </font>
    <font>
      <sz val="10"/>
      <color rgb="FFFF0000"/>
      <name val="Times New Roman"/>
      <family val="1"/>
    </font>
    <font>
      <sz val="11"/>
      <color theme="1"/>
      <name val="Times New Roman"/>
      <family val="1"/>
    </font>
    <font>
      <sz val="11"/>
      <color rgb="FFFF0000"/>
      <name val="Calibri"/>
      <family val="2"/>
      <scheme val="minor"/>
    </font>
    <font>
      <b/>
      <i/>
      <sz val="10"/>
      <color theme="1"/>
      <name val="Times New Roman"/>
      <family val="1"/>
    </font>
    <font>
      <i/>
      <sz val="10"/>
      <color theme="1"/>
      <name val="Times New Roman"/>
      <family val="1"/>
    </font>
    <font>
      <b/>
      <i/>
      <sz val="11"/>
      <color theme="1"/>
      <name val="Calibri"/>
      <family val="2"/>
      <scheme val="minor"/>
    </font>
    <font>
      <b/>
      <vertAlign val="superscript"/>
      <sz val="10"/>
      <name val="Times New Roman"/>
      <family val="1"/>
    </font>
    <font>
      <sz val="11"/>
      <color rgb="FF7030A0"/>
      <name val="Calibri"/>
      <family val="2"/>
      <scheme val="minor"/>
    </font>
    <font>
      <sz val="11"/>
      <color theme="9" tint="-0.499984740745262"/>
      <name val="Calibri"/>
      <family val="2"/>
      <scheme val="minor"/>
    </font>
    <font>
      <sz val="12"/>
      <color theme="1"/>
      <name val="Times New Roman"/>
      <family val="1"/>
    </font>
    <font>
      <sz val="9"/>
      <color theme="1"/>
      <name val="Times New Roman"/>
      <family val="1"/>
    </font>
    <font>
      <vertAlign val="subscript"/>
      <sz val="10"/>
      <color theme="1"/>
      <name val="Times New Roman"/>
      <family val="1"/>
    </font>
    <font>
      <vertAlign val="superscript"/>
      <sz val="10"/>
      <name val="Times New Roman"/>
      <family val="1"/>
    </font>
    <font>
      <sz val="10"/>
      <color theme="4" tint="-0.249977111117893"/>
      <name val="Times New Roman"/>
      <family val="1"/>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32">
    <xf numFmtId="0" fontId="0" fillId="0" borderId="0" xfId="0"/>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vertical="center" wrapText="1"/>
    </xf>
    <xf numFmtId="0" fontId="9" fillId="0" borderId="2" xfId="0" applyFont="1" applyBorder="1" applyAlignment="1">
      <alignment vertical="center" wrapText="1"/>
    </xf>
    <xf numFmtId="0" fontId="11" fillId="0" borderId="2" xfId="0" applyFont="1" applyBorder="1" applyAlignment="1">
      <alignment vertical="center" wrapText="1"/>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center" vertical="center" wrapText="1"/>
    </xf>
    <xf numFmtId="0" fontId="2" fillId="0" borderId="2" xfId="0" applyFont="1" applyBorder="1"/>
    <xf numFmtId="3" fontId="2" fillId="0" borderId="2" xfId="0" applyNumberFormat="1" applyFont="1" applyBorder="1" applyAlignment="1">
      <alignment horizontal="center" vertical="center" wrapText="1"/>
    </xf>
    <xf numFmtId="4" fontId="2" fillId="0" borderId="2" xfId="0" applyNumberFormat="1" applyFont="1" applyBorder="1"/>
    <xf numFmtId="165" fontId="2" fillId="0" borderId="2" xfId="0" applyNumberFormat="1" applyFont="1" applyBorder="1" applyAlignment="1">
      <alignment horizontal="center" vertical="center"/>
    </xf>
    <xf numFmtId="4"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7" fillId="0" borderId="0" xfId="0" applyFont="1"/>
    <xf numFmtId="0" fontId="2" fillId="0" borderId="0" xfId="0" applyFont="1"/>
    <xf numFmtId="0" fontId="14" fillId="0" borderId="0" xfId="0" applyFont="1"/>
    <xf numFmtId="0" fontId="15" fillId="0" borderId="0" xfId="0" applyFont="1"/>
    <xf numFmtId="0" fontId="17" fillId="0" borderId="2" xfId="0" applyFont="1" applyBorder="1" applyAlignment="1">
      <alignment horizontal="left" vertical="center" wrapText="1"/>
    </xf>
    <xf numFmtId="0" fontId="18" fillId="0" borderId="2" xfId="0" applyFont="1" applyBorder="1" applyAlignment="1">
      <alignment horizontal="center" vertical="center" wrapText="1"/>
    </xf>
    <xf numFmtId="0" fontId="16" fillId="0" borderId="0" xfId="0" applyFont="1"/>
    <xf numFmtId="1" fontId="0" fillId="0" borderId="0" xfId="0" applyNumberFormat="1"/>
    <xf numFmtId="0" fontId="21" fillId="0" borderId="0" xfId="0" applyFont="1"/>
    <xf numFmtId="0" fontId="0" fillId="0" borderId="0" xfId="0" applyAlignment="1">
      <alignment wrapText="1"/>
    </xf>
    <xf numFmtId="0" fontId="22" fillId="0" borderId="0" xfId="0" applyFont="1"/>
    <xf numFmtId="1" fontId="2" fillId="0" borderId="2" xfId="0" applyNumberFormat="1" applyFont="1" applyBorder="1" applyAlignment="1">
      <alignment horizontal="center" vertical="center" wrapText="1"/>
    </xf>
    <xf numFmtId="6" fontId="2" fillId="0" borderId="2" xfId="0" applyNumberFormat="1" applyFont="1" applyBorder="1" applyAlignment="1">
      <alignment horizontal="right" vertical="center" wrapText="1"/>
    </xf>
    <xf numFmtId="8" fontId="2" fillId="0" borderId="2" xfId="0" applyNumberFormat="1" applyFont="1" applyBorder="1" applyAlignment="1">
      <alignment horizontal="right" vertical="center" wrapText="1"/>
    </xf>
    <xf numFmtId="166" fontId="2" fillId="0" borderId="2" xfId="0" applyNumberFormat="1" applyFont="1" applyBorder="1" applyAlignment="1">
      <alignment horizontal="right" vertical="center" wrapText="1"/>
    </xf>
    <xf numFmtId="164" fontId="2" fillId="0" borderId="2" xfId="0" applyNumberFormat="1" applyFont="1" applyBorder="1" applyAlignment="1">
      <alignment horizontal="right" vertical="center" wrapText="1"/>
    </xf>
    <xf numFmtId="3" fontId="2" fillId="0" borderId="2" xfId="0" applyNumberFormat="1" applyFont="1" applyBorder="1" applyAlignment="1">
      <alignment horizontal="right" vertical="center" wrapText="1"/>
    </xf>
    <xf numFmtId="6" fontId="17" fillId="0" borderId="2" xfId="0" applyNumberFormat="1" applyFont="1" applyBorder="1" applyAlignment="1">
      <alignment horizontal="right" vertical="center" wrapText="1"/>
    </xf>
    <xf numFmtId="6" fontId="7" fillId="0" borderId="2" xfId="0" applyNumberFormat="1" applyFont="1" applyBorder="1" applyAlignment="1">
      <alignment horizontal="right" vertical="center" wrapText="1"/>
    </xf>
    <xf numFmtId="0" fontId="2" fillId="0" borderId="2" xfId="0" applyFont="1" applyBorder="1" applyAlignment="1">
      <alignment vertical="center" wrapText="1"/>
    </xf>
    <xf numFmtId="164" fontId="2" fillId="0" borderId="2" xfId="0" applyNumberFormat="1" applyFont="1" applyBorder="1"/>
    <xf numFmtId="167" fontId="2" fillId="0" borderId="2" xfId="0" applyNumberFormat="1" applyFont="1" applyBorder="1"/>
    <xf numFmtId="0" fontId="7" fillId="0" borderId="2" xfId="0" applyFont="1" applyBorder="1" applyAlignment="1">
      <alignment vertical="center" wrapText="1"/>
    </xf>
    <xf numFmtId="167" fontId="7" fillId="0" borderId="2" xfId="0" applyNumberFormat="1" applyFont="1" applyBorder="1"/>
    <xf numFmtId="0" fontId="7" fillId="0" borderId="0" xfId="0" applyFont="1" applyAlignment="1">
      <alignment vertical="center"/>
    </xf>
    <xf numFmtId="3" fontId="0" fillId="0" borderId="0" xfId="0" applyNumberFormat="1"/>
    <xf numFmtId="0" fontId="13" fillId="0" borderId="2" xfId="0" applyFont="1" applyBorder="1" applyAlignment="1">
      <alignment horizontal="center" vertical="center" wrapText="1"/>
    </xf>
    <xf numFmtId="0" fontId="23" fillId="0" borderId="0" xfId="0" applyFont="1" applyBorder="1" applyAlignment="1">
      <alignment vertical="center"/>
    </xf>
    <xf numFmtId="0" fontId="0" fillId="0" borderId="0" xfId="0" applyBorder="1"/>
    <xf numFmtId="0" fontId="5" fillId="0" borderId="2" xfId="0" applyFont="1" applyBorder="1" applyAlignment="1">
      <alignment vertical="center" wrapText="1"/>
    </xf>
    <xf numFmtId="0" fontId="24" fillId="0" borderId="2" xfId="0" applyFont="1" applyBorder="1" applyAlignment="1">
      <alignment vertical="center" wrapText="1"/>
    </xf>
    <xf numFmtId="0" fontId="24" fillId="0" borderId="2" xfId="0" applyFont="1" applyBorder="1" applyAlignment="1">
      <alignment horizontal="center" vertical="center" wrapText="1"/>
    </xf>
    <xf numFmtId="0" fontId="23" fillId="0" borderId="0" xfId="0" applyFont="1" applyBorder="1" applyAlignment="1">
      <alignment horizontal="center" vertical="center"/>
    </xf>
    <xf numFmtId="6" fontId="2" fillId="0" borderId="2" xfId="0" applyNumberFormat="1" applyFont="1" applyBorder="1" applyAlignment="1">
      <alignment horizontal="center" vertical="center" wrapText="1"/>
    </xf>
    <xf numFmtId="0" fontId="2" fillId="0" borderId="0" xfId="0" applyFont="1" applyAlignment="1">
      <alignment horizontal="center"/>
    </xf>
    <xf numFmtId="167" fontId="2" fillId="0" borderId="0" xfId="0" applyNumberFormat="1" applyFont="1" applyAlignment="1">
      <alignment horizontal="center"/>
    </xf>
    <xf numFmtId="0" fontId="2" fillId="0" borderId="0" xfId="0" applyFont="1" applyBorder="1"/>
    <xf numFmtId="6" fontId="2" fillId="0" borderId="2" xfId="0" applyNumberFormat="1" applyFont="1" applyBorder="1" applyAlignment="1">
      <alignment horizontal="center" vertical="center" wrapText="1"/>
    </xf>
    <xf numFmtId="2" fontId="2" fillId="0" borderId="0" xfId="0" applyNumberFormat="1" applyFont="1" applyAlignment="1">
      <alignment horizontal="center"/>
    </xf>
    <xf numFmtId="169" fontId="2" fillId="0" borderId="0" xfId="0" applyNumberFormat="1" applyFont="1" applyAlignment="1">
      <alignment horizontal="center"/>
    </xf>
    <xf numFmtId="0" fontId="2" fillId="0" borderId="2" xfId="0" applyFont="1" applyFill="1" applyBorder="1" applyAlignment="1">
      <alignment horizontal="center" vertical="center" wrapText="1"/>
    </xf>
    <xf numFmtId="0" fontId="7" fillId="0" borderId="0" xfId="0" applyFont="1" applyBorder="1" applyAlignment="1">
      <alignment vertical="center"/>
    </xf>
    <xf numFmtId="0" fontId="13" fillId="0" borderId="2" xfId="0" applyFont="1" applyBorder="1" applyAlignment="1">
      <alignment horizontal="left" vertical="center" wrapText="1"/>
    </xf>
    <xf numFmtId="3" fontId="13" fillId="0" borderId="2" xfId="0" applyNumberFormat="1" applyFont="1" applyBorder="1" applyAlignment="1">
      <alignment horizontal="center" vertical="center" wrapText="1"/>
    </xf>
    <xf numFmtId="3" fontId="13" fillId="0" borderId="2" xfId="0" applyNumberFormat="1" applyFont="1" applyBorder="1" applyAlignment="1">
      <alignment horizontal="center" vertical="center"/>
    </xf>
    <xf numFmtId="6" fontId="13" fillId="0" borderId="2" xfId="0" applyNumberFormat="1" applyFont="1" applyBorder="1" applyAlignment="1">
      <alignment horizontal="right" vertical="center" wrapText="1"/>
    </xf>
    <xf numFmtId="164" fontId="13" fillId="0" borderId="2" xfId="0" applyNumberFormat="1" applyFont="1" applyBorder="1" applyAlignment="1">
      <alignment horizontal="right" vertical="center" wrapText="1"/>
    </xf>
    <xf numFmtId="168" fontId="13" fillId="0" borderId="2" xfId="0" quotePrefix="1"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0" fontId="13" fillId="0" borderId="2" xfId="0" applyFont="1" applyFill="1" applyBorder="1"/>
    <xf numFmtId="164" fontId="13" fillId="0" borderId="2" xfId="0" applyNumberFormat="1" applyFont="1" applyFill="1" applyBorder="1"/>
    <xf numFmtId="1" fontId="2" fillId="0" borderId="2" xfId="0" applyNumberFormat="1" applyFont="1" applyBorder="1"/>
    <xf numFmtId="0" fontId="2" fillId="0" borderId="2" xfId="0" applyFont="1" applyBorder="1" applyAlignment="1">
      <alignment vertical="center"/>
    </xf>
    <xf numFmtId="167" fontId="2" fillId="0" borderId="2" xfId="0" applyNumberFormat="1" applyFont="1" applyBorder="1" applyAlignment="1">
      <alignment vertical="center"/>
    </xf>
    <xf numFmtId="0" fontId="14" fillId="0" borderId="0" xfId="0" applyFont="1" applyFill="1"/>
    <xf numFmtId="0" fontId="2" fillId="2" borderId="0" xfId="0" applyFont="1" applyFill="1" applyAlignment="1">
      <alignment vertical="center"/>
    </xf>
    <xf numFmtId="0" fontId="0" fillId="2" borderId="0" xfId="0" applyFill="1"/>
    <xf numFmtId="0" fontId="3" fillId="2" borderId="0" xfId="0" applyFont="1" applyFill="1" applyAlignment="1">
      <alignment vertical="center"/>
    </xf>
    <xf numFmtId="0" fontId="2" fillId="2" borderId="0" xfId="0" applyFont="1" applyFill="1"/>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6" fontId="2" fillId="2" borderId="2" xfId="0" applyNumberFormat="1" applyFont="1" applyFill="1" applyBorder="1" applyAlignment="1">
      <alignment horizontal="center" vertical="center" wrapText="1"/>
    </xf>
    <xf numFmtId="0" fontId="7" fillId="2" borderId="2" xfId="0" applyFont="1" applyFill="1" applyBorder="1" applyAlignment="1">
      <alignment vertical="center" wrapText="1"/>
    </xf>
    <xf numFmtId="0" fontId="2" fillId="0" borderId="0" xfId="0" applyFont="1" applyFill="1"/>
    <xf numFmtId="0" fontId="24"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ill="1"/>
    <xf numFmtId="0" fontId="24" fillId="0" borderId="2" xfId="0" applyFont="1" applyFill="1" applyBorder="1" applyAlignment="1">
      <alignment horizontal="center" vertical="center" wrapText="1"/>
    </xf>
    <xf numFmtId="0" fontId="2" fillId="0" borderId="0" xfId="0" applyFont="1" applyBorder="1" applyAlignment="1">
      <alignment vertical="center" wrapText="1"/>
    </xf>
    <xf numFmtId="0" fontId="14" fillId="0" borderId="0" xfId="0" applyFont="1" applyAlignment="1">
      <alignment wrapText="1"/>
    </xf>
    <xf numFmtId="0" fontId="14" fillId="0" borderId="0" xfId="0" applyFont="1" applyBorder="1" applyAlignment="1">
      <alignment vertical="center" wrapText="1"/>
    </xf>
    <xf numFmtId="0" fontId="0" fillId="0" borderId="0" xfId="0" applyBorder="1" applyAlignment="1"/>
    <xf numFmtId="0" fontId="27" fillId="0" borderId="0" xfId="0" applyFont="1" applyBorder="1" applyAlignment="1">
      <alignment vertical="center" wrapText="1"/>
    </xf>
    <xf numFmtId="1" fontId="2" fillId="0" borderId="2" xfId="0" applyNumberFormat="1" applyFont="1" applyFill="1" applyBorder="1" applyAlignment="1">
      <alignment horizontal="center" vertical="center" wrapText="1"/>
    </xf>
    <xf numFmtId="6"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Alignment="1">
      <alignment vertical="top" wrapText="1"/>
    </xf>
    <xf numFmtId="0" fontId="12" fillId="0" borderId="0" xfId="0" applyFont="1" applyAlignment="1">
      <alignment vertical="top" wrapText="1"/>
    </xf>
    <xf numFmtId="0" fontId="3" fillId="0" borderId="0" xfId="0" applyFont="1" applyAlignment="1">
      <alignment vertical="top" wrapText="1"/>
    </xf>
    <xf numFmtId="0" fontId="3" fillId="0" borderId="0" xfId="0" applyFont="1" applyFill="1" applyAlignment="1">
      <alignment vertical="top" wrapText="1"/>
    </xf>
    <xf numFmtId="0" fontId="0" fillId="0" borderId="0" xfId="0" applyFill="1" applyAlignment="1">
      <alignment vertical="top" wrapText="1"/>
    </xf>
    <xf numFmtId="0" fontId="26" fillId="0" borderId="0" xfId="0" applyFont="1" applyAlignment="1">
      <alignment vertical="top" wrapText="1"/>
    </xf>
    <xf numFmtId="0" fontId="13" fillId="0" borderId="2" xfId="0" applyFont="1" applyBorder="1" applyAlignment="1">
      <alignment horizontal="center" vertical="top"/>
    </xf>
    <xf numFmtId="3" fontId="17" fillId="0" borderId="1" xfId="0" applyNumberFormat="1" applyFont="1" applyBorder="1" applyAlignment="1">
      <alignment horizontal="center" vertical="center" wrapText="1"/>
    </xf>
    <xf numFmtId="3" fontId="19" fillId="0" borderId="3" xfId="0" applyNumberFormat="1" applyFont="1" applyBorder="1"/>
    <xf numFmtId="3" fontId="19" fillId="0" borderId="4" xfId="0" applyNumberFormat="1" applyFont="1" applyBorder="1"/>
    <xf numFmtId="3" fontId="7" fillId="0" borderId="1" xfId="0" applyNumberFormat="1" applyFont="1" applyBorder="1" applyAlignment="1">
      <alignment horizontal="center" vertical="center" wrapText="1"/>
    </xf>
    <xf numFmtId="3" fontId="1" fillId="0" borderId="3" xfId="0" applyNumberFormat="1" applyFont="1" applyBorder="1"/>
    <xf numFmtId="3" fontId="1" fillId="0" borderId="4" xfId="0" applyNumberFormat="1" applyFont="1" applyBorder="1"/>
    <xf numFmtId="0" fontId="0" fillId="0" borderId="0" xfId="0" applyAlignment="1">
      <alignment vertical="top" wrapText="1"/>
    </xf>
    <xf numFmtId="0" fontId="6" fillId="0" borderId="0" xfId="0" applyFont="1" applyAlignment="1">
      <alignment horizontal="left" vertical="top" wrapText="1"/>
    </xf>
    <xf numFmtId="0" fontId="13" fillId="0" borderId="0" xfId="0" applyFont="1" applyAlignment="1">
      <alignment vertical="top" wrapText="1"/>
    </xf>
    <xf numFmtId="0" fontId="6" fillId="0" borderId="0" xfId="0" applyFont="1" applyAlignment="1">
      <alignment horizontal="left" wrapText="1"/>
    </xf>
    <xf numFmtId="0" fontId="2" fillId="0" borderId="0" xfId="0" applyFont="1" applyAlignment="1">
      <alignment horizontal="left" vertical="top"/>
    </xf>
    <xf numFmtId="0" fontId="0" fillId="0" borderId="3" xfId="0" applyBorder="1"/>
    <xf numFmtId="0" fontId="0" fillId="0" borderId="4" xfId="0" applyBorder="1"/>
    <xf numFmtId="0" fontId="12" fillId="0" borderId="0" xfId="0" applyFont="1" applyFill="1" applyAlignment="1">
      <alignment horizontal="left" vertical="top" wrapText="1"/>
    </xf>
    <xf numFmtId="0" fontId="12"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26" fillId="0" borderId="0" xfId="0" applyFont="1" applyFill="1" applyBorder="1" applyAlignment="1">
      <alignment horizontal="left" vertical="top" wrapText="1"/>
    </xf>
    <xf numFmtId="0" fontId="18" fillId="2" borderId="2" xfId="0" applyFont="1" applyFill="1" applyBorder="1" applyAlignment="1">
      <alignment vertical="center" wrapText="1"/>
    </xf>
    <xf numFmtId="6" fontId="2"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24" fillId="0" borderId="2" xfId="0" applyFont="1" applyBorder="1" applyAlignment="1">
      <alignment vertical="center" wrapText="1"/>
    </xf>
    <xf numFmtId="6"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12" fillId="0" borderId="5" xfId="0" applyFont="1" applyBorder="1" applyAlignment="1">
      <alignment horizontal="left" vertical="top" wrapText="1"/>
    </xf>
    <xf numFmtId="0" fontId="18" fillId="0" borderId="2" xfId="0" applyFont="1" applyBorder="1" applyAlignment="1">
      <alignment vertical="center" wrapText="1"/>
    </xf>
    <xf numFmtId="0" fontId="13" fillId="0" borderId="5" xfId="0" applyFont="1" applyBorder="1" applyAlignment="1">
      <alignment horizontal="left" vertical="center" wrapText="1"/>
    </xf>
    <xf numFmtId="1" fontId="2" fillId="0"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95" zoomScaleNormal="95" workbookViewId="0">
      <selection activeCell="I42" sqref="I42"/>
    </sheetView>
  </sheetViews>
  <sheetFormatPr defaultColWidth="9.1796875" defaultRowHeight="14.5" x14ac:dyDescent="0.35"/>
  <cols>
    <col min="1" max="1" width="47.453125" customWidth="1"/>
    <col min="2" max="2" width="12.26953125" customWidth="1"/>
    <col min="3" max="3" width="14.1796875" customWidth="1"/>
    <col min="4" max="4" width="11.81640625" customWidth="1"/>
    <col min="5" max="5" width="12.7265625" bestFit="1" customWidth="1"/>
    <col min="6" max="6" width="11.81640625" customWidth="1"/>
    <col min="7" max="7" width="14.81640625" customWidth="1"/>
    <col min="8" max="8" width="13.1796875" customWidth="1"/>
    <col min="9" max="9" width="13.26953125" customWidth="1"/>
    <col min="11" max="11" width="13.81640625" customWidth="1"/>
  </cols>
  <sheetData>
    <row r="1" spans="1:13" ht="30.75" customHeight="1" x14ac:dyDescent="0.35">
      <c r="A1" s="106" t="s">
        <v>0</v>
      </c>
      <c r="B1" s="106"/>
      <c r="C1" s="106"/>
      <c r="D1" s="106"/>
      <c r="E1" s="106"/>
      <c r="F1" s="106"/>
      <c r="G1" s="106"/>
      <c r="H1" s="106"/>
      <c r="I1" s="106"/>
    </row>
    <row r="3" spans="1:13" ht="81.75" customHeight="1" x14ac:dyDescent="0.35">
      <c r="A3" s="1" t="s">
        <v>1</v>
      </c>
      <c r="B3" s="1" t="s">
        <v>2</v>
      </c>
      <c r="C3" s="1" t="s">
        <v>118</v>
      </c>
      <c r="D3" s="1" t="s">
        <v>3</v>
      </c>
      <c r="E3" s="1" t="s">
        <v>119</v>
      </c>
      <c r="F3" s="1" t="s">
        <v>4</v>
      </c>
      <c r="G3" s="1" t="s">
        <v>5</v>
      </c>
      <c r="H3" s="1" t="s">
        <v>6</v>
      </c>
      <c r="I3" s="1" t="s">
        <v>120</v>
      </c>
    </row>
    <row r="4" spans="1:13" x14ac:dyDescent="0.35">
      <c r="A4" s="4" t="s">
        <v>8</v>
      </c>
      <c r="B4" s="2" t="s">
        <v>7</v>
      </c>
      <c r="C4" s="2"/>
      <c r="D4" s="2"/>
      <c r="E4" s="2"/>
      <c r="F4" s="2"/>
      <c r="G4" s="10"/>
      <c r="H4" s="10"/>
      <c r="I4" s="2"/>
      <c r="K4" s="98" t="s">
        <v>47</v>
      </c>
      <c r="L4" s="98"/>
      <c r="M4" s="17"/>
    </row>
    <row r="5" spans="1:13" x14ac:dyDescent="0.35">
      <c r="A5" s="4" t="s">
        <v>9</v>
      </c>
      <c r="B5" s="7"/>
      <c r="C5" s="7"/>
      <c r="D5" s="2"/>
      <c r="E5" s="7"/>
      <c r="F5" s="7"/>
      <c r="G5" s="10"/>
      <c r="H5" s="10"/>
      <c r="I5" s="7"/>
      <c r="K5" s="65" t="s">
        <v>48</v>
      </c>
      <c r="L5" s="66">
        <v>153.55000000000001</v>
      </c>
      <c r="M5" s="18"/>
    </row>
    <row r="6" spans="1:13" x14ac:dyDescent="0.35">
      <c r="A6" s="8" t="s">
        <v>10</v>
      </c>
      <c r="B6" s="2">
        <v>160</v>
      </c>
      <c r="C6" s="2">
        <v>1</v>
      </c>
      <c r="D6" s="2">
        <f>B6*C6</f>
        <v>160</v>
      </c>
      <c r="E6" s="42">
        <v>0</v>
      </c>
      <c r="F6" s="11">
        <f>D6*E6</f>
        <v>0</v>
      </c>
      <c r="G6" s="15">
        <f>F6*0.05</f>
        <v>0</v>
      </c>
      <c r="H6" s="15">
        <f>F6*0.1</f>
        <v>0</v>
      </c>
      <c r="I6" s="28">
        <f>$L$6*F6+$L$5*G6+$L$7*H6</f>
        <v>0</v>
      </c>
      <c r="K6" s="65" t="s">
        <v>49</v>
      </c>
      <c r="L6" s="66">
        <v>122.2</v>
      </c>
      <c r="M6" s="18"/>
    </row>
    <row r="7" spans="1:13" ht="15.5" x14ac:dyDescent="0.35">
      <c r="A7" s="58" t="s">
        <v>121</v>
      </c>
      <c r="B7" s="42">
        <v>8</v>
      </c>
      <c r="C7" s="42">
        <v>1</v>
      </c>
      <c r="D7" s="42">
        <f>B7*C7</f>
        <v>8</v>
      </c>
      <c r="E7" s="42">
        <f>'Capital O&amp;M'!B20</f>
        <v>28</v>
      </c>
      <c r="F7" s="59">
        <f>D7*E7</f>
        <v>224</v>
      </c>
      <c r="G7" s="60">
        <f>F7*0.05</f>
        <v>11.200000000000001</v>
      </c>
      <c r="H7" s="60">
        <f>F7*0.1</f>
        <v>22.400000000000002</v>
      </c>
      <c r="I7" s="61">
        <f>$L$6*F7+$L$5*G7+$L$7*H7</f>
        <v>30470.383999999998</v>
      </c>
      <c r="K7" s="65" t="s">
        <v>50</v>
      </c>
      <c r="L7" s="66">
        <v>61.51</v>
      </c>
      <c r="M7" s="18"/>
    </row>
    <row r="8" spans="1:13" x14ac:dyDescent="0.35">
      <c r="A8" s="8" t="s">
        <v>56</v>
      </c>
      <c r="B8" s="2">
        <v>45</v>
      </c>
      <c r="C8" s="2">
        <v>4</v>
      </c>
      <c r="D8" s="2">
        <f t="shared" ref="D8:D37" si="0">B8*C8</f>
        <v>180</v>
      </c>
      <c r="E8" s="2">
        <f>'Capital O&amp;M'!F9</f>
        <v>129</v>
      </c>
      <c r="F8" s="11">
        <f t="shared" ref="F8:F37" si="1">D8*E8</f>
        <v>23220</v>
      </c>
      <c r="G8" s="15">
        <f t="shared" ref="G8:G37" si="2">F8*0.05</f>
        <v>1161</v>
      </c>
      <c r="H8" s="15">
        <f t="shared" ref="H8:H37" si="3">F8*0.1</f>
        <v>2322</v>
      </c>
      <c r="I8" s="29">
        <f>$L$6*F8+$L$5*G8+$L$7*H8</f>
        <v>3158581.77</v>
      </c>
    </row>
    <row r="9" spans="1:13" x14ac:dyDescent="0.35">
      <c r="A9" s="8" t="s">
        <v>57</v>
      </c>
      <c r="B9" s="2">
        <v>24</v>
      </c>
      <c r="C9" s="2">
        <v>3</v>
      </c>
      <c r="D9" s="2">
        <f t="shared" si="0"/>
        <v>72</v>
      </c>
      <c r="E9" s="2">
        <f>'Capital O&amp;M'!F9</f>
        <v>129</v>
      </c>
      <c r="F9" s="11">
        <f t="shared" si="1"/>
        <v>9288</v>
      </c>
      <c r="G9" s="15">
        <f t="shared" si="2"/>
        <v>464.40000000000003</v>
      </c>
      <c r="H9" s="15">
        <f t="shared" si="3"/>
        <v>928.80000000000007</v>
      </c>
      <c r="I9" s="29">
        <f>$L$6*F9+$L$5*G9+$L$7*H9</f>
        <v>1263432.7080000001</v>
      </c>
    </row>
    <row r="10" spans="1:13" x14ac:dyDescent="0.35">
      <c r="A10" s="4" t="s">
        <v>11</v>
      </c>
      <c r="B10" s="2"/>
      <c r="C10" s="2"/>
      <c r="D10" s="2"/>
      <c r="E10" s="2"/>
      <c r="F10" s="9"/>
      <c r="G10" s="14"/>
      <c r="H10" s="14"/>
      <c r="I10" s="29"/>
      <c r="J10" s="24"/>
    </row>
    <row r="11" spans="1:13" x14ac:dyDescent="0.35">
      <c r="A11" s="4" t="s">
        <v>41</v>
      </c>
      <c r="B11" s="2">
        <v>1</v>
      </c>
      <c r="C11" s="2">
        <v>1</v>
      </c>
      <c r="D11" s="2">
        <f t="shared" si="0"/>
        <v>1</v>
      </c>
      <c r="E11" s="2">
        <f>'Capital O&amp;M'!F9</f>
        <v>129</v>
      </c>
      <c r="F11" s="11">
        <f t="shared" si="1"/>
        <v>129</v>
      </c>
      <c r="G11" s="13">
        <f t="shared" si="2"/>
        <v>6.45</v>
      </c>
      <c r="H11" s="15">
        <f t="shared" si="3"/>
        <v>12.9</v>
      </c>
      <c r="I11" s="30">
        <f>$L$6*F11+$L$5*G11+$L$7*H11</f>
        <v>17547.676500000001</v>
      </c>
      <c r="J11" s="24"/>
    </row>
    <row r="12" spans="1:13" x14ac:dyDescent="0.35">
      <c r="A12" s="8" t="s">
        <v>12</v>
      </c>
      <c r="B12" s="2"/>
      <c r="C12" s="2"/>
      <c r="D12" s="2"/>
      <c r="E12" s="42"/>
      <c r="F12" s="9"/>
      <c r="G12" s="14"/>
      <c r="H12" s="14"/>
      <c r="I12" s="29"/>
      <c r="J12" s="24"/>
    </row>
    <row r="13" spans="1:13" ht="15.5" x14ac:dyDescent="0.35">
      <c r="A13" s="8" t="s">
        <v>54</v>
      </c>
      <c r="B13" s="2">
        <v>40</v>
      </c>
      <c r="C13" s="2">
        <v>1</v>
      </c>
      <c r="D13" s="2">
        <f t="shared" ref="D13:D14" si="4">B13*C13</f>
        <v>40</v>
      </c>
      <c r="E13" s="2">
        <f>'Capital O&amp;M'!B9</f>
        <v>86</v>
      </c>
      <c r="F13" s="11">
        <f t="shared" ref="F13:F14" si="5">D13*E13</f>
        <v>3440</v>
      </c>
      <c r="G13" s="15">
        <f t="shared" ref="G13:G14" si="6">F13*0.05</f>
        <v>172</v>
      </c>
      <c r="H13" s="15">
        <f t="shared" ref="H13:H14" si="7">F13*0.1</f>
        <v>344</v>
      </c>
      <c r="I13" s="31">
        <f t="shared" ref="I13:I20" si="8">$L$6*F13+$L$5*G13+$L$7*H13</f>
        <v>467938.04</v>
      </c>
      <c r="J13" s="24"/>
    </row>
    <row r="14" spans="1:13" ht="15.5" x14ac:dyDescent="0.35">
      <c r="A14" s="8" t="s">
        <v>55</v>
      </c>
      <c r="B14" s="2">
        <v>40</v>
      </c>
      <c r="C14" s="2">
        <f>C13*0.05</f>
        <v>0.05</v>
      </c>
      <c r="D14" s="2">
        <f t="shared" si="4"/>
        <v>2</v>
      </c>
      <c r="E14" s="2">
        <f>E13</f>
        <v>86</v>
      </c>
      <c r="F14" s="11">
        <f t="shared" si="5"/>
        <v>172</v>
      </c>
      <c r="G14" s="13">
        <f t="shared" si="6"/>
        <v>8.6</v>
      </c>
      <c r="H14" s="15">
        <f t="shared" si="7"/>
        <v>17.2</v>
      </c>
      <c r="I14" s="31">
        <f t="shared" si="8"/>
        <v>23396.902000000002</v>
      </c>
      <c r="J14" s="22"/>
    </row>
    <row r="15" spans="1:13" ht="15.5" x14ac:dyDescent="0.35">
      <c r="A15" s="58" t="s">
        <v>122</v>
      </c>
      <c r="B15" s="42">
        <v>36</v>
      </c>
      <c r="C15" s="42">
        <f>1*1</f>
        <v>1</v>
      </c>
      <c r="D15" s="42">
        <f>B15*C15</f>
        <v>36</v>
      </c>
      <c r="E15" s="42">
        <f t="shared" ref="E15" si="9">E14</f>
        <v>86</v>
      </c>
      <c r="F15" s="59">
        <f>D15*E15</f>
        <v>3096</v>
      </c>
      <c r="G15" s="60">
        <f t="shared" ref="G15" si="10">F15*0.05</f>
        <v>154.80000000000001</v>
      </c>
      <c r="H15" s="60">
        <f t="shared" ref="H15" si="11">F15*0.1</f>
        <v>309.60000000000002</v>
      </c>
      <c r="I15" s="62">
        <f t="shared" si="8"/>
        <v>421144.23599999998</v>
      </c>
      <c r="J15" s="26"/>
    </row>
    <row r="16" spans="1:13" ht="15.5" x14ac:dyDescent="0.35">
      <c r="A16" s="58" t="s">
        <v>123</v>
      </c>
      <c r="B16" s="42">
        <v>36</v>
      </c>
      <c r="C16" s="63">
        <f>('Capital O&amp;M'!F35+'Capital O&amp;M'!F37)/'Capital O&amp;M'!F9*1</f>
        <v>8.8759689922480618</v>
      </c>
      <c r="D16" s="64">
        <f t="shared" ref="D16:D20" si="12">B16*C16</f>
        <v>319.53488372093022</v>
      </c>
      <c r="E16" s="42">
        <f>'Capital O&amp;M'!F9</f>
        <v>129</v>
      </c>
      <c r="F16" s="59">
        <f>D16*E16</f>
        <v>41220</v>
      </c>
      <c r="G16" s="60">
        <f t="shared" ref="G16" si="13">F16*0.05</f>
        <v>2061</v>
      </c>
      <c r="H16" s="60">
        <f t="shared" ref="H16" si="14">F16*0.1</f>
        <v>4122</v>
      </c>
      <c r="I16" s="62">
        <f t="shared" si="8"/>
        <v>5607094.7699999996</v>
      </c>
      <c r="J16" s="22"/>
    </row>
    <row r="17" spans="1:10" ht="15.5" x14ac:dyDescent="0.35">
      <c r="A17" s="58" t="s">
        <v>124</v>
      </c>
      <c r="B17" s="42">
        <v>24</v>
      </c>
      <c r="C17" s="42">
        <f>2*3</f>
        <v>6</v>
      </c>
      <c r="D17" s="64">
        <f t="shared" si="12"/>
        <v>144</v>
      </c>
      <c r="E17" s="42">
        <f>E15</f>
        <v>86</v>
      </c>
      <c r="F17" s="59">
        <f t="shared" si="1"/>
        <v>12384</v>
      </c>
      <c r="G17" s="60">
        <f t="shared" si="2"/>
        <v>619.20000000000005</v>
      </c>
      <c r="H17" s="60">
        <f t="shared" si="3"/>
        <v>1238.4000000000001</v>
      </c>
      <c r="I17" s="62">
        <f t="shared" si="8"/>
        <v>1684576.9439999999</v>
      </c>
      <c r="J17" s="22"/>
    </row>
    <row r="18" spans="1:10" ht="15.5" x14ac:dyDescent="0.35">
      <c r="A18" s="58" t="s">
        <v>125</v>
      </c>
      <c r="B18" s="42">
        <v>24</v>
      </c>
      <c r="C18" s="63">
        <f>('Capital O&amp;M'!F35+'Capital O&amp;M'!F35+'Capital O&amp;M'!F37+'Capital O&amp;M'!F38)/'Capital O&amp;M'!F9*2</f>
        <v>43.31782945736434</v>
      </c>
      <c r="D18" s="64">
        <f t="shared" si="12"/>
        <v>1039.6279069767443</v>
      </c>
      <c r="E18" s="42">
        <f>'Capital O&amp;M'!F9</f>
        <v>129</v>
      </c>
      <c r="F18" s="59">
        <f t="shared" ref="F18" si="15">D18*E18</f>
        <v>134112</v>
      </c>
      <c r="G18" s="60">
        <f t="shared" ref="G18" si="16">F18*0.05</f>
        <v>6705.6</v>
      </c>
      <c r="H18" s="60">
        <f t="shared" ref="H18" si="17">F18*0.1</f>
        <v>13411.2</v>
      </c>
      <c r="I18" s="62">
        <f t="shared" si="8"/>
        <v>18243054.192000002</v>
      </c>
      <c r="J18" s="22"/>
    </row>
    <row r="19" spans="1:10" ht="15.5" x14ac:dyDescent="0.35">
      <c r="A19" s="58" t="s">
        <v>126</v>
      </c>
      <c r="B19" s="42">
        <v>36</v>
      </c>
      <c r="C19" s="42">
        <f>2*2</f>
        <v>4</v>
      </c>
      <c r="D19" s="64">
        <f t="shared" si="12"/>
        <v>144</v>
      </c>
      <c r="E19" s="42">
        <f>E17</f>
        <v>86</v>
      </c>
      <c r="F19" s="59">
        <f t="shared" si="1"/>
        <v>12384</v>
      </c>
      <c r="G19" s="60">
        <f t="shared" si="2"/>
        <v>619.20000000000005</v>
      </c>
      <c r="H19" s="60">
        <f t="shared" si="3"/>
        <v>1238.4000000000001</v>
      </c>
      <c r="I19" s="62">
        <f t="shared" si="8"/>
        <v>1684576.9439999999</v>
      </c>
      <c r="J19" s="22"/>
    </row>
    <row r="20" spans="1:10" ht="15.5" x14ac:dyDescent="0.35">
      <c r="A20" s="58" t="s">
        <v>127</v>
      </c>
      <c r="B20" s="42">
        <v>36</v>
      </c>
      <c r="C20" s="63">
        <f>('Capital O&amp;M'!F35+'Capital O&amp;M'!F38)/'Capital O&amp;M'!F9*2</f>
        <v>25.565891472868216</v>
      </c>
      <c r="D20" s="64">
        <f t="shared" si="12"/>
        <v>920.37209302325573</v>
      </c>
      <c r="E20" s="42">
        <f>'Capital O&amp;M'!F9</f>
        <v>129</v>
      </c>
      <c r="F20" s="59">
        <f t="shared" ref="F20" si="18">D20*E20</f>
        <v>118727.99999999999</v>
      </c>
      <c r="G20" s="60">
        <f t="shared" ref="G20" si="19">F20*0.05</f>
        <v>5936.4</v>
      </c>
      <c r="H20" s="60">
        <f t="shared" ref="H20" si="20">F20*0.1</f>
        <v>11872.8</v>
      </c>
      <c r="I20" s="62">
        <f t="shared" si="8"/>
        <v>16150391.747999998</v>
      </c>
      <c r="J20" s="24"/>
    </row>
    <row r="21" spans="1:10" x14ac:dyDescent="0.35">
      <c r="A21" s="8" t="s">
        <v>13</v>
      </c>
      <c r="B21" s="2" t="s">
        <v>44</v>
      </c>
      <c r="C21" s="2"/>
      <c r="D21" s="2"/>
      <c r="E21" s="2"/>
      <c r="F21" s="9"/>
      <c r="G21" s="14"/>
      <c r="H21" s="14"/>
      <c r="I21" s="32"/>
      <c r="J21" s="24"/>
    </row>
    <row r="22" spans="1:10" x14ac:dyDescent="0.35">
      <c r="A22" s="8" t="s">
        <v>14</v>
      </c>
      <c r="B22" s="2" t="s">
        <v>45</v>
      </c>
      <c r="C22" s="2"/>
      <c r="D22" s="2"/>
      <c r="E22" s="2"/>
      <c r="F22" s="9"/>
      <c r="G22" s="14"/>
      <c r="H22" s="14"/>
      <c r="I22" s="32"/>
      <c r="J22" s="24"/>
    </row>
    <row r="23" spans="1:10" ht="33.75" customHeight="1" x14ac:dyDescent="0.35">
      <c r="A23" s="8" t="s">
        <v>190</v>
      </c>
      <c r="B23" s="2"/>
      <c r="C23" s="2"/>
      <c r="D23" s="2"/>
      <c r="E23" s="2"/>
      <c r="F23" s="9"/>
      <c r="G23" s="14"/>
      <c r="H23" s="14"/>
      <c r="I23" s="32"/>
      <c r="J23" s="22"/>
    </row>
    <row r="24" spans="1:10" x14ac:dyDescent="0.35">
      <c r="A24" s="8" t="s">
        <v>15</v>
      </c>
      <c r="B24" s="2">
        <v>2</v>
      </c>
      <c r="C24" s="2">
        <v>1</v>
      </c>
      <c r="D24" s="2">
        <f t="shared" si="0"/>
        <v>2</v>
      </c>
      <c r="E24" s="2">
        <f>E13</f>
        <v>86</v>
      </c>
      <c r="F24" s="11">
        <f t="shared" si="1"/>
        <v>172</v>
      </c>
      <c r="G24" s="15">
        <f t="shared" si="2"/>
        <v>8.6</v>
      </c>
      <c r="H24" s="15">
        <f t="shared" si="3"/>
        <v>17.2</v>
      </c>
      <c r="I24" s="31">
        <f>$L$6*F24+$L$5*G24+$L$7*H24</f>
        <v>23396.902000000002</v>
      </c>
      <c r="J24" s="25"/>
    </row>
    <row r="25" spans="1:10" x14ac:dyDescent="0.35">
      <c r="A25" s="8" t="s">
        <v>16</v>
      </c>
      <c r="B25" s="2">
        <v>2</v>
      </c>
      <c r="C25" s="2">
        <v>1</v>
      </c>
      <c r="D25" s="2">
        <f t="shared" si="0"/>
        <v>2</v>
      </c>
      <c r="E25" s="2">
        <f>E24</f>
        <v>86</v>
      </c>
      <c r="F25" s="11">
        <f t="shared" si="1"/>
        <v>172</v>
      </c>
      <c r="G25" s="15">
        <f t="shared" si="2"/>
        <v>8.6</v>
      </c>
      <c r="H25" s="15">
        <f t="shared" si="3"/>
        <v>17.2</v>
      </c>
      <c r="I25" s="31">
        <f>$L$6*F25+$L$5*G25+$L$7*H25</f>
        <v>23396.902000000002</v>
      </c>
      <c r="J25" s="25"/>
    </row>
    <row r="26" spans="1:10" x14ac:dyDescent="0.35">
      <c r="A26" s="8" t="s">
        <v>17</v>
      </c>
      <c r="B26" s="2">
        <v>2</v>
      </c>
      <c r="C26" s="2">
        <v>1</v>
      </c>
      <c r="D26" s="2">
        <f t="shared" si="0"/>
        <v>2</v>
      </c>
      <c r="E26" s="2">
        <f t="shared" ref="E26:E27" si="21">E25</f>
        <v>86</v>
      </c>
      <c r="F26" s="11">
        <f t="shared" si="1"/>
        <v>172</v>
      </c>
      <c r="G26" s="15">
        <f t="shared" si="2"/>
        <v>8.6</v>
      </c>
      <c r="H26" s="15">
        <f t="shared" si="3"/>
        <v>17.2</v>
      </c>
      <c r="I26" s="31">
        <f>$L$6*F26+$L$5*G26+$L$7*H26</f>
        <v>23396.902000000002</v>
      </c>
    </row>
    <row r="27" spans="1:10" x14ac:dyDescent="0.35">
      <c r="A27" s="8" t="s">
        <v>18</v>
      </c>
      <c r="B27" s="2">
        <v>2</v>
      </c>
      <c r="C27" s="2">
        <v>1</v>
      </c>
      <c r="D27" s="2">
        <f t="shared" si="0"/>
        <v>2</v>
      </c>
      <c r="E27" s="2">
        <f t="shared" si="21"/>
        <v>86</v>
      </c>
      <c r="F27" s="11">
        <f t="shared" si="1"/>
        <v>172</v>
      </c>
      <c r="G27" s="15">
        <f t="shared" si="2"/>
        <v>8.6</v>
      </c>
      <c r="H27" s="15">
        <f t="shared" si="3"/>
        <v>17.2</v>
      </c>
      <c r="I27" s="31">
        <f>$L$6*F27+$L$5*G27+$L$7*H27</f>
        <v>23396.902000000002</v>
      </c>
    </row>
    <row r="28" spans="1:10" x14ac:dyDescent="0.35">
      <c r="A28" s="8" t="s">
        <v>19</v>
      </c>
      <c r="B28" s="2" t="s">
        <v>44</v>
      </c>
      <c r="C28" s="2"/>
      <c r="D28" s="2"/>
      <c r="E28" s="2"/>
      <c r="F28" s="9"/>
      <c r="G28" s="14"/>
      <c r="H28" s="14"/>
      <c r="I28" s="29"/>
    </row>
    <row r="29" spans="1:10" ht="15.5" x14ac:dyDescent="0.35">
      <c r="A29" s="8" t="s">
        <v>191</v>
      </c>
      <c r="B29" s="2">
        <v>16</v>
      </c>
      <c r="C29" s="2">
        <v>2</v>
      </c>
      <c r="D29" s="2">
        <f t="shared" si="0"/>
        <v>32</v>
      </c>
      <c r="E29" s="2">
        <f>'Capital O&amp;M'!F9</f>
        <v>129</v>
      </c>
      <c r="F29" s="11">
        <f t="shared" si="1"/>
        <v>4128</v>
      </c>
      <c r="G29" s="15">
        <f t="shared" si="2"/>
        <v>206.4</v>
      </c>
      <c r="H29" s="15">
        <f t="shared" si="3"/>
        <v>412.8</v>
      </c>
      <c r="I29" s="29">
        <f>$L$6*F29+$L$5*G29+$L$7*H29</f>
        <v>561525.64800000004</v>
      </c>
    </row>
    <row r="30" spans="1:10" x14ac:dyDescent="0.35">
      <c r="A30" s="20" t="s">
        <v>20</v>
      </c>
      <c r="B30" s="21"/>
      <c r="C30" s="21"/>
      <c r="D30" s="21"/>
      <c r="E30" s="21"/>
      <c r="F30" s="99">
        <f>SUM(F6:H29)</f>
        <v>417694.95</v>
      </c>
      <c r="G30" s="100"/>
      <c r="H30" s="101"/>
      <c r="I30" s="33">
        <f>SUM(I6:I29)</f>
        <v>49407319.570500009</v>
      </c>
    </row>
    <row r="31" spans="1:10" x14ac:dyDescent="0.35">
      <c r="A31" s="4" t="s">
        <v>21</v>
      </c>
      <c r="B31" s="2"/>
      <c r="C31" s="2"/>
      <c r="D31" s="2"/>
      <c r="E31" s="2"/>
      <c r="F31" s="9"/>
      <c r="G31" s="12"/>
      <c r="H31" s="12"/>
      <c r="I31" s="29"/>
    </row>
    <row r="32" spans="1:10" x14ac:dyDescent="0.35">
      <c r="A32" s="4" t="s">
        <v>41</v>
      </c>
      <c r="B32" s="2" t="s">
        <v>46</v>
      </c>
      <c r="C32" s="2"/>
      <c r="D32" s="2"/>
      <c r="E32" s="2"/>
      <c r="F32" s="9"/>
      <c r="G32" s="12"/>
      <c r="H32" s="12"/>
      <c r="I32" s="29"/>
    </row>
    <row r="33" spans="1:12" x14ac:dyDescent="0.35">
      <c r="A33" s="8" t="s">
        <v>22</v>
      </c>
      <c r="B33" s="2" t="s">
        <v>44</v>
      </c>
      <c r="C33" s="2"/>
      <c r="D33" s="2"/>
      <c r="E33" s="2"/>
      <c r="F33" s="9"/>
      <c r="G33" s="12"/>
      <c r="H33" s="12"/>
      <c r="I33" s="29"/>
      <c r="K33" s="41"/>
    </row>
    <row r="34" spans="1:12" x14ac:dyDescent="0.35">
      <c r="A34" s="8" t="s">
        <v>23</v>
      </c>
      <c r="B34" s="2" t="s">
        <v>44</v>
      </c>
      <c r="C34" s="2"/>
      <c r="D34" s="2"/>
      <c r="E34" s="2"/>
      <c r="F34" s="9"/>
      <c r="G34" s="12"/>
      <c r="H34" s="12"/>
      <c r="I34" s="29"/>
    </row>
    <row r="35" spans="1:12" x14ac:dyDescent="0.35">
      <c r="A35" s="8" t="s">
        <v>24</v>
      </c>
      <c r="B35" s="2" t="s">
        <v>7</v>
      </c>
      <c r="C35" s="2"/>
      <c r="D35" s="2"/>
      <c r="E35" s="2"/>
      <c r="F35" s="9"/>
      <c r="G35" s="12"/>
      <c r="H35" s="12"/>
      <c r="I35" s="29"/>
    </row>
    <row r="36" spans="1:12" x14ac:dyDescent="0.35">
      <c r="A36" s="8" t="s">
        <v>25</v>
      </c>
      <c r="B36" s="2"/>
      <c r="C36" s="2"/>
      <c r="D36" s="2"/>
      <c r="E36" s="2"/>
      <c r="F36" s="9"/>
      <c r="G36" s="12"/>
      <c r="H36" s="12"/>
      <c r="I36" s="29"/>
    </row>
    <row r="37" spans="1:12" ht="15.5" x14ac:dyDescent="0.35">
      <c r="A37" s="8" t="s">
        <v>192</v>
      </c>
      <c r="B37" s="2">
        <v>0.25</v>
      </c>
      <c r="C37" s="2">
        <v>350</v>
      </c>
      <c r="D37" s="2">
        <f t="shared" si="0"/>
        <v>87.5</v>
      </c>
      <c r="E37" s="2">
        <f>'Capital O&amp;M'!F9</f>
        <v>129</v>
      </c>
      <c r="F37" s="11">
        <f t="shared" si="1"/>
        <v>11287.5</v>
      </c>
      <c r="G37" s="15">
        <f t="shared" si="2"/>
        <v>564.375</v>
      </c>
      <c r="H37" s="15">
        <f t="shared" si="3"/>
        <v>1128.75</v>
      </c>
      <c r="I37" s="29">
        <f>$L$6*F37+$L$5*G37+$L$7*H37</f>
        <v>1535421.6937500001</v>
      </c>
    </row>
    <row r="38" spans="1:12" x14ac:dyDescent="0.35">
      <c r="A38" s="8" t="s">
        <v>26</v>
      </c>
      <c r="B38" s="2" t="s">
        <v>7</v>
      </c>
      <c r="C38" s="2"/>
      <c r="D38" s="2"/>
      <c r="E38" s="2"/>
      <c r="F38" s="9"/>
      <c r="G38" s="12"/>
      <c r="H38" s="12"/>
      <c r="I38" s="29"/>
    </row>
    <row r="39" spans="1:12" x14ac:dyDescent="0.35">
      <c r="A39" s="8" t="s">
        <v>27</v>
      </c>
      <c r="B39" s="2" t="s">
        <v>7</v>
      </c>
      <c r="C39" s="2"/>
      <c r="D39" s="2"/>
      <c r="E39" s="2"/>
      <c r="F39" s="9"/>
      <c r="G39" s="12"/>
      <c r="H39" s="12"/>
      <c r="I39" s="29"/>
      <c r="K39" s="82">
        <f>'Capital O&amp;M'!E23</f>
        <v>716</v>
      </c>
      <c r="L39" t="s">
        <v>63</v>
      </c>
    </row>
    <row r="40" spans="1:12" ht="18" customHeight="1" x14ac:dyDescent="0.35">
      <c r="A40" s="20" t="s">
        <v>28</v>
      </c>
      <c r="B40" s="21"/>
      <c r="C40" s="21"/>
      <c r="D40" s="21"/>
      <c r="E40" s="21"/>
      <c r="F40" s="99">
        <f>SUM(F32:H39)</f>
        <v>12980.625</v>
      </c>
      <c r="G40" s="100"/>
      <c r="H40" s="101"/>
      <c r="I40" s="33">
        <f>SUM(I32:I39)</f>
        <v>1535421.6937500001</v>
      </c>
      <c r="K40" s="23">
        <f>F41/K39</f>
        <v>601.95530726256982</v>
      </c>
      <c r="L40" t="s">
        <v>51</v>
      </c>
    </row>
    <row r="41" spans="1:12" ht="18" customHeight="1" x14ac:dyDescent="0.35">
      <c r="A41" s="5" t="s">
        <v>129</v>
      </c>
      <c r="B41" s="2"/>
      <c r="C41" s="2"/>
      <c r="D41" s="2"/>
      <c r="E41" s="2"/>
      <c r="F41" s="102">
        <f>ROUND(F30+F40,-3)</f>
        <v>431000</v>
      </c>
      <c r="G41" s="103"/>
      <c r="H41" s="104"/>
      <c r="I41" s="34">
        <f>ROUND(I30+I40, -5)</f>
        <v>50900000</v>
      </c>
      <c r="J41" s="22"/>
      <c r="K41" s="22"/>
    </row>
    <row r="42" spans="1:12" ht="18" customHeight="1" x14ac:dyDescent="0.35">
      <c r="A42" s="6" t="s">
        <v>58</v>
      </c>
      <c r="B42" s="2"/>
      <c r="C42" s="2"/>
      <c r="D42" s="2"/>
      <c r="E42" s="2"/>
      <c r="F42" s="9"/>
      <c r="G42" s="10"/>
      <c r="H42" s="10"/>
      <c r="I42" s="34">
        <f>ROUND('Capital O&amp;M'!H39,-6)</f>
        <v>120000000</v>
      </c>
      <c r="K42" s="22"/>
    </row>
    <row r="43" spans="1:12" ht="15" x14ac:dyDescent="0.35">
      <c r="A43" s="6" t="s">
        <v>130</v>
      </c>
      <c r="B43" s="2"/>
      <c r="C43" s="2"/>
      <c r="D43" s="2"/>
      <c r="E43" s="2"/>
      <c r="F43" s="9"/>
      <c r="G43" s="10"/>
      <c r="H43" s="10"/>
      <c r="I43" s="34">
        <f>ROUND(I41+I42, -6)</f>
        <v>171000000</v>
      </c>
    </row>
    <row r="45" spans="1:12" ht="16.5" customHeight="1" x14ac:dyDescent="0.35">
      <c r="A45" s="16" t="s">
        <v>193</v>
      </c>
      <c r="J45" s="22"/>
    </row>
    <row r="46" spans="1:12" ht="33" customHeight="1" x14ac:dyDescent="0.35">
      <c r="A46" s="97" t="s">
        <v>195</v>
      </c>
      <c r="B46" s="97"/>
      <c r="C46" s="97"/>
      <c r="D46" s="97"/>
      <c r="E46" s="97"/>
      <c r="F46" s="97"/>
      <c r="G46" s="97"/>
      <c r="H46" s="97"/>
      <c r="I46" s="97"/>
      <c r="J46" s="22"/>
    </row>
    <row r="47" spans="1:12" ht="72.75" customHeight="1" x14ac:dyDescent="0.35">
      <c r="A47" s="94" t="s">
        <v>186</v>
      </c>
      <c r="B47" s="105"/>
      <c r="C47" s="105"/>
      <c r="D47" s="105"/>
      <c r="E47" s="105"/>
      <c r="F47" s="105"/>
      <c r="G47" s="105"/>
      <c r="H47" s="105"/>
      <c r="I47" s="105"/>
    </row>
    <row r="48" spans="1:12" ht="47.25" customHeight="1" x14ac:dyDescent="0.35">
      <c r="A48" s="95" t="s">
        <v>66</v>
      </c>
      <c r="B48" s="96"/>
      <c r="C48" s="96"/>
      <c r="D48" s="96"/>
      <c r="E48" s="96"/>
      <c r="F48" s="96"/>
      <c r="G48" s="96"/>
      <c r="H48" s="96"/>
      <c r="I48" s="96"/>
    </row>
    <row r="49" spans="1:10" ht="17.25" customHeight="1" x14ac:dyDescent="0.35">
      <c r="A49" s="107" t="s">
        <v>131</v>
      </c>
      <c r="B49" s="107"/>
      <c r="C49" s="107"/>
      <c r="D49" s="107"/>
      <c r="E49" s="107"/>
      <c r="F49" s="107"/>
      <c r="G49" s="107"/>
      <c r="H49" s="107"/>
      <c r="I49" s="107"/>
      <c r="J49" s="22"/>
    </row>
    <row r="50" spans="1:10" ht="19.5" customHeight="1" x14ac:dyDescent="0.35">
      <c r="A50" s="97" t="s">
        <v>128</v>
      </c>
      <c r="B50" s="97"/>
      <c r="C50" s="97"/>
      <c r="D50" s="97"/>
      <c r="E50" s="97"/>
      <c r="F50" s="97"/>
      <c r="G50" s="97"/>
      <c r="H50" s="97"/>
      <c r="I50" s="97"/>
      <c r="J50" s="22"/>
    </row>
    <row r="51" spans="1:10" ht="86.25" customHeight="1" x14ac:dyDescent="0.35">
      <c r="A51" s="97" t="s">
        <v>194</v>
      </c>
      <c r="B51" s="97"/>
      <c r="C51" s="97"/>
      <c r="D51" s="97"/>
      <c r="E51" s="97"/>
      <c r="F51" s="97"/>
      <c r="G51" s="97"/>
      <c r="H51" s="97"/>
      <c r="I51" s="97"/>
    </row>
    <row r="52" spans="1:10" ht="84.75" customHeight="1" x14ac:dyDescent="0.35">
      <c r="A52" s="97" t="s">
        <v>176</v>
      </c>
      <c r="B52" s="97"/>
      <c r="C52" s="97"/>
      <c r="D52" s="97"/>
      <c r="E52" s="97"/>
      <c r="F52" s="97"/>
      <c r="G52" s="97"/>
      <c r="H52" s="97"/>
      <c r="I52" s="97"/>
    </row>
    <row r="53" spans="1:10" ht="17.25" customHeight="1" x14ac:dyDescent="0.35">
      <c r="A53" s="92" t="s">
        <v>59</v>
      </c>
      <c r="B53" s="92"/>
      <c r="C53" s="92"/>
      <c r="D53" s="92"/>
      <c r="E53" s="92"/>
      <c r="F53" s="92"/>
      <c r="G53" s="92"/>
      <c r="H53" s="92"/>
      <c r="I53" s="92"/>
    </row>
    <row r="54" spans="1:10" ht="17.25" customHeight="1" x14ac:dyDescent="0.35">
      <c r="A54" s="93" t="s">
        <v>60</v>
      </c>
      <c r="B54" s="93"/>
      <c r="C54" s="93"/>
      <c r="D54" s="93"/>
      <c r="E54" s="93"/>
      <c r="F54" s="93"/>
      <c r="G54" s="93"/>
      <c r="H54" s="93"/>
      <c r="I54" s="93"/>
    </row>
    <row r="55" spans="1:10" ht="17.25" customHeight="1" x14ac:dyDescent="0.35">
      <c r="A55" s="94" t="s">
        <v>62</v>
      </c>
      <c r="B55" s="94"/>
      <c r="C55" s="94"/>
      <c r="D55" s="94"/>
      <c r="E55" s="94"/>
      <c r="F55" s="94"/>
      <c r="G55" s="94"/>
      <c r="H55" s="94"/>
      <c r="I55" s="94"/>
    </row>
    <row r="56" spans="1:10" x14ac:dyDescent="0.35">
      <c r="A56" s="92" t="s">
        <v>61</v>
      </c>
      <c r="B56" s="92"/>
      <c r="C56" s="92"/>
      <c r="D56" s="92"/>
      <c r="E56" s="92"/>
      <c r="F56" s="92"/>
      <c r="G56" s="92"/>
      <c r="H56" s="92"/>
      <c r="I56" s="92"/>
    </row>
  </sheetData>
  <mergeCells count="16">
    <mergeCell ref="A1:I1"/>
    <mergeCell ref="A46:I46"/>
    <mergeCell ref="A49:I49"/>
    <mergeCell ref="A50:I50"/>
    <mergeCell ref="A51:I51"/>
    <mergeCell ref="K4:L4"/>
    <mergeCell ref="F30:H30"/>
    <mergeCell ref="F40:H40"/>
    <mergeCell ref="F41:H41"/>
    <mergeCell ref="A47:I47"/>
    <mergeCell ref="A53:I53"/>
    <mergeCell ref="A54:I54"/>
    <mergeCell ref="A55:I55"/>
    <mergeCell ref="A56:I56"/>
    <mergeCell ref="A48:I48"/>
    <mergeCell ref="A52:I5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workbookViewId="0">
      <selection sqref="A1:I1"/>
    </sheetView>
  </sheetViews>
  <sheetFormatPr defaultColWidth="9.1796875" defaultRowHeight="14.5" x14ac:dyDescent="0.35"/>
  <cols>
    <col min="1" max="1" width="37" customWidth="1"/>
    <col min="2" max="2" width="10" customWidth="1"/>
    <col min="3" max="3" width="10.7265625" customWidth="1"/>
    <col min="4" max="4" width="9.54296875" customWidth="1"/>
    <col min="5" max="5" width="11.1796875" customWidth="1"/>
    <col min="7" max="7" width="10.81640625" customWidth="1"/>
    <col min="9" max="9" width="11.26953125" customWidth="1"/>
    <col min="11" max="11" width="12.54296875" customWidth="1"/>
    <col min="12" max="12" width="7.453125" customWidth="1"/>
  </cols>
  <sheetData>
    <row r="1" spans="1:13" ht="31.5" customHeight="1" x14ac:dyDescent="0.35">
      <c r="A1" s="108" t="s">
        <v>65</v>
      </c>
      <c r="B1" s="108"/>
      <c r="C1" s="108"/>
      <c r="D1" s="108"/>
      <c r="E1" s="108"/>
      <c r="F1" s="108"/>
      <c r="G1" s="108"/>
      <c r="H1" s="108"/>
      <c r="I1" s="108"/>
    </row>
    <row r="3" spans="1:13" ht="78" x14ac:dyDescent="0.35">
      <c r="A3" s="3" t="s">
        <v>29</v>
      </c>
      <c r="B3" s="3" t="s">
        <v>30</v>
      </c>
      <c r="C3" s="3" t="s">
        <v>31</v>
      </c>
      <c r="D3" s="3" t="s">
        <v>32</v>
      </c>
      <c r="E3" s="3" t="s">
        <v>33</v>
      </c>
      <c r="F3" s="3" t="s">
        <v>34</v>
      </c>
      <c r="G3" s="3" t="s">
        <v>35</v>
      </c>
      <c r="H3" s="3" t="s">
        <v>36</v>
      </c>
      <c r="I3" s="3" t="s">
        <v>37</v>
      </c>
    </row>
    <row r="4" spans="1:13" x14ac:dyDescent="0.35">
      <c r="A4" s="35" t="s">
        <v>53</v>
      </c>
      <c r="B4" s="10"/>
      <c r="C4" s="10"/>
      <c r="D4" s="10"/>
      <c r="E4" s="10"/>
      <c r="F4" s="10"/>
      <c r="G4" s="10"/>
      <c r="H4" s="10"/>
      <c r="I4" s="36"/>
      <c r="K4" s="98" t="s">
        <v>47</v>
      </c>
      <c r="L4" s="98"/>
      <c r="M4" s="19"/>
    </row>
    <row r="5" spans="1:13" x14ac:dyDescent="0.35">
      <c r="A5" s="8" t="s">
        <v>38</v>
      </c>
      <c r="B5" s="2"/>
      <c r="C5" s="2"/>
      <c r="D5" s="2"/>
      <c r="E5" s="2"/>
      <c r="F5" s="2"/>
      <c r="G5" s="10"/>
      <c r="H5" s="10"/>
      <c r="I5" s="36"/>
      <c r="K5" s="65" t="s">
        <v>48</v>
      </c>
      <c r="L5" s="66">
        <v>69.040000000000006</v>
      </c>
      <c r="M5" s="18"/>
    </row>
    <row r="6" spans="1:13" ht="27.75" customHeight="1" x14ac:dyDescent="0.35">
      <c r="A6" s="8" t="s">
        <v>133</v>
      </c>
      <c r="B6" s="2">
        <v>2</v>
      </c>
      <c r="C6" s="2">
        <f>'Table 1'!C24</f>
        <v>1</v>
      </c>
      <c r="D6" s="2">
        <f>B6*C6</f>
        <v>2</v>
      </c>
      <c r="E6" s="2">
        <f>'Table 1'!E24</f>
        <v>86</v>
      </c>
      <c r="F6" s="2">
        <f>D6*E6</f>
        <v>172</v>
      </c>
      <c r="G6" s="68">
        <f>F6*0.05</f>
        <v>8.6</v>
      </c>
      <c r="H6" s="68">
        <f>F6*0.1</f>
        <v>17.2</v>
      </c>
      <c r="I6" s="69">
        <f t="shared" ref="I6:I12" si="0">$L$6*F6+$L$5*G6+$L$7*H6</f>
        <v>9882.26</v>
      </c>
      <c r="K6" s="65" t="s">
        <v>49</v>
      </c>
      <c r="L6" s="66">
        <v>51.23</v>
      </c>
      <c r="M6" s="18"/>
    </row>
    <row r="7" spans="1:13" ht="15.5" x14ac:dyDescent="0.35">
      <c r="A7" s="8" t="s">
        <v>134</v>
      </c>
      <c r="B7" s="2">
        <v>0.5</v>
      </c>
      <c r="C7" s="2">
        <f>'Table 1'!C25</f>
        <v>1</v>
      </c>
      <c r="D7" s="2">
        <f t="shared" ref="D7:D12" si="1">B7*C7</f>
        <v>0.5</v>
      </c>
      <c r="E7" s="2">
        <f>'Table 1'!E25</f>
        <v>86</v>
      </c>
      <c r="F7" s="2">
        <f t="shared" ref="F7:F14" si="2">D7*E7</f>
        <v>43</v>
      </c>
      <c r="G7" s="10">
        <f t="shared" ref="G7:G14" si="3">F7*0.05</f>
        <v>2.15</v>
      </c>
      <c r="H7" s="10">
        <f t="shared" ref="H7:H14" si="4">F7*0.1</f>
        <v>4.3</v>
      </c>
      <c r="I7" s="37">
        <f t="shared" si="0"/>
        <v>2470.5650000000001</v>
      </c>
      <c r="K7" s="65" t="s">
        <v>50</v>
      </c>
      <c r="L7" s="66">
        <v>27.73</v>
      </c>
      <c r="M7" s="18"/>
    </row>
    <row r="8" spans="1:13" ht="15.5" x14ac:dyDescent="0.35">
      <c r="A8" s="8" t="s">
        <v>135</v>
      </c>
      <c r="B8" s="2">
        <v>0.5</v>
      </c>
      <c r="C8" s="2">
        <f>'Table 1'!C26</f>
        <v>1</v>
      </c>
      <c r="D8" s="2">
        <f t="shared" si="1"/>
        <v>0.5</v>
      </c>
      <c r="E8" s="2">
        <f>'Table 1'!E26</f>
        <v>86</v>
      </c>
      <c r="F8" s="2">
        <f t="shared" si="2"/>
        <v>43</v>
      </c>
      <c r="G8" s="10">
        <f t="shared" si="3"/>
        <v>2.15</v>
      </c>
      <c r="H8" s="10">
        <f t="shared" si="4"/>
        <v>4.3</v>
      </c>
      <c r="I8" s="37">
        <f t="shared" si="0"/>
        <v>2470.5650000000001</v>
      </c>
    </row>
    <row r="9" spans="1:13" ht="15.5" x14ac:dyDescent="0.35">
      <c r="A9" s="8" t="s">
        <v>136</v>
      </c>
      <c r="B9" s="2">
        <v>0.5</v>
      </c>
      <c r="C9" s="2">
        <f>'Table 1'!C27</f>
        <v>1</v>
      </c>
      <c r="D9" s="2">
        <f t="shared" si="1"/>
        <v>0.5</v>
      </c>
      <c r="E9" s="2">
        <f>'Table 1'!E27</f>
        <v>86</v>
      </c>
      <c r="F9" s="2">
        <f t="shared" si="2"/>
        <v>43</v>
      </c>
      <c r="G9" s="10">
        <f t="shared" si="3"/>
        <v>2.15</v>
      </c>
      <c r="H9" s="10">
        <f t="shared" si="4"/>
        <v>4.3</v>
      </c>
      <c r="I9" s="37">
        <f t="shared" si="0"/>
        <v>2470.5650000000001</v>
      </c>
    </row>
    <row r="10" spans="1:13" ht="19.5" customHeight="1" x14ac:dyDescent="0.35">
      <c r="A10" s="8" t="s">
        <v>137</v>
      </c>
      <c r="B10" s="2">
        <v>1</v>
      </c>
      <c r="C10" s="2">
        <f>'Table 1'!C6</f>
        <v>1</v>
      </c>
      <c r="D10" s="2">
        <f t="shared" si="1"/>
        <v>1</v>
      </c>
      <c r="E10" s="2">
        <f>'Table 1'!E7</f>
        <v>28</v>
      </c>
      <c r="F10" s="2">
        <f t="shared" si="2"/>
        <v>28</v>
      </c>
      <c r="G10" s="10">
        <f t="shared" si="3"/>
        <v>1.4000000000000001</v>
      </c>
      <c r="H10" s="10">
        <f t="shared" si="4"/>
        <v>2.8000000000000003</v>
      </c>
      <c r="I10" s="37">
        <f t="shared" si="0"/>
        <v>1608.7399999999998</v>
      </c>
    </row>
    <row r="11" spans="1:13" x14ac:dyDescent="0.35">
      <c r="A11" s="8" t="s">
        <v>64</v>
      </c>
      <c r="B11" s="2">
        <v>8</v>
      </c>
      <c r="C11" s="2">
        <f>'Table 1'!C13</f>
        <v>1</v>
      </c>
      <c r="D11" s="2">
        <f t="shared" si="1"/>
        <v>8</v>
      </c>
      <c r="E11" s="2">
        <f>'Table 1'!E13</f>
        <v>86</v>
      </c>
      <c r="F11" s="2">
        <f t="shared" si="2"/>
        <v>688</v>
      </c>
      <c r="G11" s="67">
        <f t="shared" si="3"/>
        <v>34.4</v>
      </c>
      <c r="H11" s="67">
        <f t="shared" si="4"/>
        <v>68.8</v>
      </c>
      <c r="I11" s="37">
        <f t="shared" si="0"/>
        <v>39529.040000000001</v>
      </c>
    </row>
    <row r="12" spans="1:13" x14ac:dyDescent="0.35">
      <c r="A12" s="8" t="s">
        <v>39</v>
      </c>
      <c r="B12" s="2">
        <v>4.2</v>
      </c>
      <c r="C12" s="2">
        <f>'Table 1'!C13</f>
        <v>1</v>
      </c>
      <c r="D12" s="2">
        <f t="shared" si="1"/>
        <v>4.2</v>
      </c>
      <c r="E12" s="2">
        <f>'Table 1'!E13</f>
        <v>86</v>
      </c>
      <c r="F12" s="27">
        <f t="shared" si="2"/>
        <v>361.2</v>
      </c>
      <c r="G12" s="67">
        <f t="shared" si="3"/>
        <v>18.059999999999999</v>
      </c>
      <c r="H12" s="67">
        <f t="shared" si="4"/>
        <v>36.119999999999997</v>
      </c>
      <c r="I12" s="37">
        <f t="shared" si="0"/>
        <v>20752.745999999996</v>
      </c>
    </row>
    <row r="13" spans="1:13" x14ac:dyDescent="0.35">
      <c r="A13" s="35" t="s">
        <v>40</v>
      </c>
      <c r="B13" s="10"/>
      <c r="C13" s="10"/>
      <c r="D13" s="10"/>
      <c r="E13" s="10"/>
      <c r="F13" s="2"/>
      <c r="G13" s="10"/>
      <c r="H13" s="10"/>
      <c r="I13" s="36"/>
    </row>
    <row r="14" spans="1:13" ht="15.5" x14ac:dyDescent="0.35">
      <c r="A14" s="8" t="s">
        <v>138</v>
      </c>
      <c r="B14" s="2">
        <v>4.2</v>
      </c>
      <c r="C14" s="2">
        <v>2</v>
      </c>
      <c r="D14" s="2">
        <f>B14*C14</f>
        <v>8.4</v>
      </c>
      <c r="E14" s="2">
        <f>'Table 1'!E29</f>
        <v>129</v>
      </c>
      <c r="F14" s="11">
        <f t="shared" si="2"/>
        <v>1083.6000000000001</v>
      </c>
      <c r="G14" s="10">
        <f t="shared" si="3"/>
        <v>54.180000000000007</v>
      </c>
      <c r="H14" s="67">
        <f t="shared" si="4"/>
        <v>108.36000000000001</v>
      </c>
      <c r="I14" s="36">
        <f>$L$6*F14+$L$5*G14+$L$7*H14</f>
        <v>62258.238000000005</v>
      </c>
    </row>
    <row r="15" spans="1:13" ht="15" x14ac:dyDescent="0.35">
      <c r="A15" s="38" t="s">
        <v>52</v>
      </c>
      <c r="B15" s="2"/>
      <c r="C15" s="2"/>
      <c r="D15" s="2"/>
      <c r="E15" s="2"/>
      <c r="F15" s="102">
        <f>ROUND(SUM(F6:H14),-1)</f>
        <v>2830</v>
      </c>
      <c r="G15" s="110"/>
      <c r="H15" s="111"/>
      <c r="I15" s="39">
        <f>ROUND(SUM(I6:I14),-3)</f>
        <v>141000</v>
      </c>
    </row>
    <row r="17" spans="1:9" x14ac:dyDescent="0.35">
      <c r="A17" s="40" t="s">
        <v>42</v>
      </c>
    </row>
    <row r="18" spans="1:9" ht="61.5" customHeight="1" x14ac:dyDescent="0.35">
      <c r="A18" s="113" t="s">
        <v>132</v>
      </c>
      <c r="B18" s="113"/>
      <c r="C18" s="113"/>
      <c r="D18" s="113"/>
      <c r="E18" s="113"/>
      <c r="F18" s="113"/>
      <c r="G18" s="113"/>
      <c r="H18" s="113"/>
      <c r="I18" s="113"/>
    </row>
    <row r="19" spans="1:9" ht="46.5" customHeight="1" x14ac:dyDescent="0.35">
      <c r="A19" s="112" t="s">
        <v>67</v>
      </c>
      <c r="B19" s="112"/>
      <c r="C19" s="112"/>
      <c r="D19" s="112"/>
      <c r="E19" s="112"/>
      <c r="F19" s="112"/>
      <c r="G19" s="112"/>
      <c r="H19" s="112"/>
      <c r="I19" s="112"/>
    </row>
    <row r="20" spans="1:9" ht="28.5" customHeight="1" x14ac:dyDescent="0.35">
      <c r="A20" s="115" t="s">
        <v>187</v>
      </c>
      <c r="B20" s="115"/>
      <c r="C20" s="115"/>
      <c r="D20" s="115"/>
      <c r="E20" s="115"/>
      <c r="F20" s="115"/>
      <c r="G20" s="115"/>
      <c r="H20" s="115"/>
      <c r="I20" s="115"/>
    </row>
    <row r="21" spans="1:9" ht="36" customHeight="1" x14ac:dyDescent="0.35">
      <c r="A21" s="115" t="s">
        <v>188</v>
      </c>
      <c r="B21" s="115"/>
      <c r="C21" s="115"/>
      <c r="D21" s="115"/>
      <c r="E21" s="115"/>
      <c r="F21" s="115"/>
      <c r="G21" s="115"/>
      <c r="H21" s="115"/>
      <c r="I21" s="115"/>
    </row>
    <row r="22" spans="1:9" ht="28.5" customHeight="1" x14ac:dyDescent="0.35">
      <c r="A22" s="114" t="s">
        <v>189</v>
      </c>
      <c r="B22" s="114"/>
      <c r="C22" s="114"/>
      <c r="D22" s="114"/>
      <c r="E22" s="114"/>
      <c r="F22" s="114"/>
      <c r="G22" s="114"/>
      <c r="H22" s="114"/>
      <c r="I22" s="114"/>
    </row>
    <row r="23" spans="1:9" ht="15.5" x14ac:dyDescent="0.35">
      <c r="A23" s="109" t="s">
        <v>139</v>
      </c>
      <c r="B23" s="109"/>
      <c r="C23" s="109"/>
      <c r="D23" s="109"/>
      <c r="E23" s="109"/>
      <c r="F23" s="109"/>
      <c r="G23" s="109"/>
      <c r="H23" s="109"/>
      <c r="I23" s="109"/>
    </row>
    <row r="24" spans="1:9" ht="15.5" x14ac:dyDescent="0.35">
      <c r="A24" s="109" t="s">
        <v>43</v>
      </c>
      <c r="B24" s="109"/>
      <c r="C24" s="109"/>
      <c r="D24" s="109"/>
      <c r="E24" s="109"/>
      <c r="F24" s="109"/>
      <c r="G24" s="109"/>
      <c r="H24" s="109"/>
      <c r="I24" s="109"/>
    </row>
  </sheetData>
  <mergeCells count="10">
    <mergeCell ref="A1:I1"/>
    <mergeCell ref="A23:I23"/>
    <mergeCell ref="A24:I24"/>
    <mergeCell ref="F15:H15"/>
    <mergeCell ref="K4:L4"/>
    <mergeCell ref="A19:I19"/>
    <mergeCell ref="A18:I18"/>
    <mergeCell ref="A22:I22"/>
    <mergeCell ref="A20:I20"/>
    <mergeCell ref="A21:I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85FF-96BC-4B02-963F-ED5A250B7FF2}">
  <dimension ref="A1:U55"/>
  <sheetViews>
    <sheetView topLeftCell="A25" workbookViewId="0">
      <selection activeCell="G35" sqref="G35:G36"/>
    </sheetView>
  </sheetViews>
  <sheetFormatPr defaultRowHeight="14.5" x14ac:dyDescent="0.35"/>
  <cols>
    <col min="1" max="1" width="35.81640625" customWidth="1"/>
    <col min="2" max="2" width="14.7265625" customWidth="1"/>
    <col min="3" max="6" width="12.54296875" customWidth="1"/>
    <col min="7" max="7" width="13.453125" customWidth="1"/>
    <col min="8" max="8" width="14.1796875" customWidth="1"/>
    <col min="9" max="9" width="2.81640625" customWidth="1"/>
    <col min="10" max="10" width="24.453125" customWidth="1"/>
    <col min="11" max="11" width="12.1796875" customWidth="1"/>
    <col min="12" max="12" width="10.7265625" customWidth="1"/>
    <col min="13" max="13" width="12.81640625" customWidth="1"/>
    <col min="14" max="14" width="11.1796875" customWidth="1"/>
    <col min="15" max="15" width="10.1796875" customWidth="1"/>
    <col min="16" max="16" width="15.81640625" customWidth="1"/>
  </cols>
  <sheetData>
    <row r="1" spans="1:8" ht="15.5" x14ac:dyDescent="0.35">
      <c r="A1" s="43"/>
      <c r="B1" s="44"/>
      <c r="C1" s="44"/>
      <c r="D1" s="44"/>
      <c r="E1" s="44"/>
      <c r="F1" s="44"/>
    </row>
    <row r="2" spans="1:8" ht="15" x14ac:dyDescent="0.35">
      <c r="A2" s="123" t="s">
        <v>68</v>
      </c>
      <c r="B2" s="123"/>
      <c r="C2" s="123"/>
      <c r="D2" s="123"/>
      <c r="E2" s="123"/>
      <c r="F2" s="123"/>
    </row>
    <row r="3" spans="1:8" ht="46" x14ac:dyDescent="0.35">
      <c r="A3" s="45"/>
      <c r="B3" s="124" t="s">
        <v>69</v>
      </c>
      <c r="C3" s="124"/>
      <c r="D3" s="46" t="s">
        <v>70</v>
      </c>
      <c r="E3" s="46"/>
      <c r="F3" s="46"/>
    </row>
    <row r="4" spans="1:8" x14ac:dyDescent="0.35">
      <c r="A4" s="35"/>
      <c r="B4" s="2" t="s">
        <v>72</v>
      </c>
      <c r="C4" s="2" t="s">
        <v>73</v>
      </c>
      <c r="D4" s="2" t="s">
        <v>75</v>
      </c>
      <c r="E4" s="2" t="s">
        <v>77</v>
      </c>
      <c r="F4" s="2" t="s">
        <v>79</v>
      </c>
    </row>
    <row r="5" spans="1:8" ht="91" x14ac:dyDescent="0.35">
      <c r="A5" s="2" t="s">
        <v>71</v>
      </c>
      <c r="B5" s="35" t="s">
        <v>82</v>
      </c>
      <c r="C5" s="35" t="s">
        <v>74</v>
      </c>
      <c r="D5" s="35" t="s">
        <v>76</v>
      </c>
      <c r="E5" s="35" t="s">
        <v>78</v>
      </c>
      <c r="F5" s="35" t="s">
        <v>81</v>
      </c>
    </row>
    <row r="6" spans="1:8" x14ac:dyDescent="0.35">
      <c r="A6" s="47">
        <v>1</v>
      </c>
      <c r="B6" s="83">
        <f>ROUND(C6*2/3,0)</f>
        <v>86</v>
      </c>
      <c r="C6" s="83">
        <v>129</v>
      </c>
      <c r="D6" s="47">
        <v>0</v>
      </c>
      <c r="E6" s="47">
        <f>B6</f>
        <v>86</v>
      </c>
      <c r="F6" s="47">
        <f>B6+C6+D6-E6</f>
        <v>129</v>
      </c>
      <c r="G6" s="82"/>
    </row>
    <row r="7" spans="1:8" x14ac:dyDescent="0.35">
      <c r="A7" s="47">
        <v>2</v>
      </c>
      <c r="B7" s="47">
        <f t="shared" ref="B7:B8" si="0">ROUND(C7*2/3,0)</f>
        <v>86</v>
      </c>
      <c r="C7" s="47">
        <f>C6</f>
        <v>129</v>
      </c>
      <c r="D7" s="47">
        <v>0</v>
      </c>
      <c r="E7" s="47">
        <f t="shared" ref="E7:E8" si="1">B7</f>
        <v>86</v>
      </c>
      <c r="F7" s="47">
        <f t="shared" ref="F7:F8" si="2">B7+C7+D7-E7</f>
        <v>129</v>
      </c>
      <c r="G7" s="82"/>
    </row>
    <row r="8" spans="1:8" x14ac:dyDescent="0.35">
      <c r="A8" s="47">
        <v>3</v>
      </c>
      <c r="B8" s="47">
        <f t="shared" si="0"/>
        <v>86</v>
      </c>
      <c r="C8" s="47">
        <f>C7</f>
        <v>129</v>
      </c>
      <c r="D8" s="47">
        <v>0</v>
      </c>
      <c r="E8" s="47">
        <f t="shared" si="1"/>
        <v>86</v>
      </c>
      <c r="F8" s="47">
        <f t="shared" si="2"/>
        <v>129</v>
      </c>
    </row>
    <row r="9" spans="1:8" x14ac:dyDescent="0.35">
      <c r="A9" s="47" t="s">
        <v>80</v>
      </c>
      <c r="B9" s="47">
        <f>AVERAGE(B6:B8)</f>
        <v>86</v>
      </c>
      <c r="C9" s="47">
        <f>AVERAGE(C6:C8)</f>
        <v>129</v>
      </c>
      <c r="D9" s="47">
        <f t="shared" ref="D9:F9" si="3">AVERAGE(D6:D8)</f>
        <v>0</v>
      </c>
      <c r="E9" s="47">
        <f t="shared" si="3"/>
        <v>86</v>
      </c>
      <c r="F9" s="47">
        <f t="shared" si="3"/>
        <v>129</v>
      </c>
      <c r="H9" s="80"/>
    </row>
    <row r="10" spans="1:8" ht="78" customHeight="1" x14ac:dyDescent="0.35">
      <c r="A10" s="128" t="s">
        <v>178</v>
      </c>
      <c r="B10" s="128"/>
      <c r="C10" s="128"/>
      <c r="D10" s="128"/>
      <c r="E10" s="128"/>
      <c r="F10" s="128"/>
    </row>
    <row r="12" spans="1:8" ht="15.5" x14ac:dyDescent="0.35">
      <c r="A12" s="48"/>
      <c r="B12" s="44"/>
      <c r="C12" s="44"/>
      <c r="D12" s="44"/>
      <c r="E12" s="44"/>
    </row>
    <row r="13" spans="1:8" ht="15" x14ac:dyDescent="0.35">
      <c r="A13" s="123" t="s">
        <v>83</v>
      </c>
      <c r="B13" s="123"/>
      <c r="C13" s="123"/>
      <c r="D13" s="123"/>
      <c r="E13" s="123"/>
    </row>
    <row r="14" spans="1:8" x14ac:dyDescent="0.35">
      <c r="A14" s="2" t="s">
        <v>72</v>
      </c>
      <c r="B14" s="2" t="s">
        <v>73</v>
      </c>
      <c r="C14" s="2" t="s">
        <v>75</v>
      </c>
      <c r="D14" s="2" t="s">
        <v>77</v>
      </c>
      <c r="E14" s="2" t="s">
        <v>79</v>
      </c>
    </row>
    <row r="15" spans="1:8" ht="91" x14ac:dyDescent="0.35">
      <c r="A15" s="2" t="s">
        <v>84</v>
      </c>
      <c r="B15" s="2" t="s">
        <v>68</v>
      </c>
      <c r="C15" s="2" t="s">
        <v>85</v>
      </c>
      <c r="D15" s="2" t="s">
        <v>86</v>
      </c>
      <c r="E15" s="2" t="s">
        <v>94</v>
      </c>
    </row>
    <row r="16" spans="1:8" ht="26" x14ac:dyDescent="0.35">
      <c r="A16" s="35" t="s">
        <v>87</v>
      </c>
      <c r="B16" s="2">
        <f>B9</f>
        <v>86</v>
      </c>
      <c r="C16" s="2">
        <v>1</v>
      </c>
      <c r="D16" s="2">
        <v>0</v>
      </c>
      <c r="E16" s="47">
        <f>B16*C16+D16</f>
        <v>86</v>
      </c>
    </row>
    <row r="17" spans="1:21" x14ac:dyDescent="0.35">
      <c r="A17" s="35" t="s">
        <v>88</v>
      </c>
      <c r="B17" s="2">
        <f>B9</f>
        <v>86</v>
      </c>
      <c r="C17" s="2">
        <v>1</v>
      </c>
      <c r="D17" s="2">
        <v>0</v>
      </c>
      <c r="E17" s="47">
        <f t="shared" ref="E17:E22" si="4">B17*C17+D17</f>
        <v>86</v>
      </c>
    </row>
    <row r="18" spans="1:21" x14ac:dyDescent="0.35">
      <c r="A18" s="35" t="s">
        <v>89</v>
      </c>
      <c r="B18" s="2">
        <f>B9</f>
        <v>86</v>
      </c>
      <c r="C18" s="2">
        <v>1</v>
      </c>
      <c r="D18" s="2">
        <v>0</v>
      </c>
      <c r="E18" s="47">
        <f t="shared" si="4"/>
        <v>86</v>
      </c>
    </row>
    <row r="19" spans="1:21" x14ac:dyDescent="0.35">
      <c r="A19" s="35" t="s">
        <v>90</v>
      </c>
      <c r="B19" s="2">
        <f>B9</f>
        <v>86</v>
      </c>
      <c r="C19" s="2">
        <v>1</v>
      </c>
      <c r="D19" s="2">
        <v>0</v>
      </c>
      <c r="E19" s="47">
        <f t="shared" si="4"/>
        <v>86</v>
      </c>
    </row>
    <row r="20" spans="1:21" ht="15.5" x14ac:dyDescent="0.35">
      <c r="A20" s="35" t="s">
        <v>109</v>
      </c>
      <c r="B20" s="81">
        <f>ROUND(B9*32/100,0)</f>
        <v>28</v>
      </c>
      <c r="C20" s="2">
        <v>1</v>
      </c>
      <c r="D20" s="2">
        <v>0</v>
      </c>
      <c r="E20" s="47">
        <f t="shared" si="4"/>
        <v>28</v>
      </c>
    </row>
    <row r="21" spans="1:21" x14ac:dyDescent="0.35">
      <c r="A21" s="35" t="s">
        <v>91</v>
      </c>
      <c r="B21" s="2">
        <f>B9</f>
        <v>86</v>
      </c>
      <c r="C21" s="2">
        <v>1</v>
      </c>
      <c r="D21" s="2">
        <v>0</v>
      </c>
      <c r="E21" s="47">
        <f t="shared" si="4"/>
        <v>86</v>
      </c>
    </row>
    <row r="22" spans="1:21" x14ac:dyDescent="0.35">
      <c r="A22" s="35" t="s">
        <v>92</v>
      </c>
      <c r="B22" s="2">
        <f>F9</f>
        <v>129</v>
      </c>
      <c r="C22" s="2">
        <v>2</v>
      </c>
      <c r="D22" s="2">
        <v>0</v>
      </c>
      <c r="E22" s="47">
        <f t="shared" si="4"/>
        <v>258</v>
      </c>
    </row>
    <row r="23" spans="1:21" x14ac:dyDescent="0.35">
      <c r="A23" s="35"/>
      <c r="B23" s="2"/>
      <c r="C23" s="2"/>
      <c r="D23" s="2" t="s">
        <v>93</v>
      </c>
      <c r="E23" s="2">
        <f>SUM(E16:E22)</f>
        <v>716</v>
      </c>
    </row>
    <row r="24" spans="1:21" ht="59.25" customHeight="1" x14ac:dyDescent="0.35">
      <c r="A24" s="130" t="s">
        <v>196</v>
      </c>
      <c r="B24" s="130"/>
      <c r="C24" s="130"/>
      <c r="D24" s="130"/>
      <c r="E24" s="130"/>
      <c r="F24" s="86"/>
      <c r="G24" s="84"/>
      <c r="H24" s="84"/>
      <c r="I24" s="84"/>
      <c r="J24" s="84"/>
      <c r="Q24" s="87"/>
      <c r="R24" s="87"/>
      <c r="S24" s="87"/>
      <c r="T24" s="87"/>
      <c r="U24" s="87"/>
    </row>
    <row r="25" spans="1:21" ht="15.5" x14ac:dyDescent="0.35">
      <c r="A25" s="43"/>
      <c r="B25" s="44"/>
      <c r="C25" s="44"/>
      <c r="D25" s="44"/>
      <c r="E25" s="44"/>
      <c r="F25" s="44"/>
      <c r="G25" s="44"/>
      <c r="J25" s="121">
        <v>2263.06</v>
      </c>
      <c r="K25" s="121"/>
      <c r="L25" s="121"/>
      <c r="M25" s="121"/>
      <c r="N25" s="121"/>
      <c r="O25" s="121"/>
      <c r="P25" s="121"/>
      <c r="Q25" s="88"/>
      <c r="R25" s="84"/>
      <c r="S25" s="84"/>
      <c r="T25" s="84"/>
      <c r="U25" s="84"/>
    </row>
    <row r="26" spans="1:21" ht="15" x14ac:dyDescent="0.35">
      <c r="A26" s="123" t="s">
        <v>95</v>
      </c>
      <c r="B26" s="123"/>
      <c r="C26" s="123"/>
      <c r="D26" s="123"/>
      <c r="E26" s="123"/>
      <c r="F26" s="123"/>
      <c r="G26" s="123"/>
      <c r="J26" s="121" t="s">
        <v>95</v>
      </c>
      <c r="K26" s="121"/>
      <c r="L26" s="121"/>
      <c r="M26" s="121"/>
      <c r="N26" s="121"/>
      <c r="O26" s="121"/>
      <c r="P26" s="121"/>
    </row>
    <row r="27" spans="1:21" s="17" customFormat="1" ht="13" x14ac:dyDescent="0.3">
      <c r="A27" s="2" t="s">
        <v>72</v>
      </c>
      <c r="B27" s="2" t="s">
        <v>73</v>
      </c>
      <c r="C27" s="2" t="s">
        <v>75</v>
      </c>
      <c r="D27" s="2" t="s">
        <v>77</v>
      </c>
      <c r="E27" s="2" t="s">
        <v>79</v>
      </c>
      <c r="F27" s="2" t="s">
        <v>100</v>
      </c>
      <c r="G27" s="2" t="s">
        <v>102</v>
      </c>
      <c r="J27" s="75" t="s">
        <v>72</v>
      </c>
      <c r="K27" s="75" t="s">
        <v>73</v>
      </c>
      <c r="L27" s="75" t="s">
        <v>75</v>
      </c>
      <c r="M27" s="75" t="s">
        <v>77</v>
      </c>
      <c r="N27" s="75" t="s">
        <v>79</v>
      </c>
      <c r="O27" s="75" t="s">
        <v>100</v>
      </c>
      <c r="P27" s="75" t="s">
        <v>102</v>
      </c>
    </row>
    <row r="28" spans="1:21" s="17" customFormat="1" ht="54.5" x14ac:dyDescent="0.3">
      <c r="A28" s="2" t="s">
        <v>96</v>
      </c>
      <c r="B28" s="2" t="s">
        <v>173</v>
      </c>
      <c r="C28" s="2" t="s">
        <v>98</v>
      </c>
      <c r="D28" s="2" t="s">
        <v>107</v>
      </c>
      <c r="E28" s="2" t="s">
        <v>174</v>
      </c>
      <c r="F28" s="2" t="s">
        <v>101</v>
      </c>
      <c r="G28" s="2" t="s">
        <v>108</v>
      </c>
      <c r="J28" s="75" t="s">
        <v>96</v>
      </c>
      <c r="K28" s="75" t="s">
        <v>97</v>
      </c>
      <c r="L28" s="75" t="s">
        <v>98</v>
      </c>
      <c r="M28" s="75" t="s">
        <v>145</v>
      </c>
      <c r="N28" s="75" t="s">
        <v>99</v>
      </c>
      <c r="O28" s="75" t="s">
        <v>101</v>
      </c>
      <c r="P28" s="75" t="s">
        <v>146</v>
      </c>
    </row>
    <row r="29" spans="1:21" s="17" customFormat="1" ht="15.75" customHeight="1" x14ac:dyDescent="0.3">
      <c r="A29" s="129" t="s">
        <v>180</v>
      </c>
      <c r="B29" s="129"/>
      <c r="C29" s="129"/>
      <c r="D29" s="129"/>
      <c r="E29" s="129"/>
      <c r="F29" s="129"/>
      <c r="G29" s="129"/>
      <c r="I29" s="50"/>
      <c r="J29" s="119" t="s">
        <v>147</v>
      </c>
      <c r="K29" s="119"/>
      <c r="L29" s="119"/>
      <c r="M29" s="119"/>
      <c r="N29" s="119"/>
      <c r="O29" s="119"/>
      <c r="P29" s="119"/>
    </row>
    <row r="30" spans="1:21" s="17" customFormat="1" ht="16.5" x14ac:dyDescent="0.3">
      <c r="A30" s="35" t="s">
        <v>181</v>
      </c>
      <c r="B30" s="125">
        <f>ROUND(300000*596.2/499.6,-3)</f>
        <v>358000</v>
      </c>
      <c r="C30" s="127">
        <v>0</v>
      </c>
      <c r="D30" s="125">
        <f>B30*C30</f>
        <v>0</v>
      </c>
      <c r="E30" s="125">
        <f>ROUND(50000*596.2/499.6,-2)</f>
        <v>59700</v>
      </c>
      <c r="F30" s="126">
        <v>0</v>
      </c>
      <c r="G30" s="125">
        <f>E30*F30</f>
        <v>0</v>
      </c>
      <c r="H30" s="79"/>
      <c r="J30" s="76" t="s">
        <v>148</v>
      </c>
      <c r="K30" s="122" t="s">
        <v>149</v>
      </c>
      <c r="L30" s="122">
        <v>16</v>
      </c>
      <c r="M30" s="120">
        <v>5952000</v>
      </c>
      <c r="N30" s="122" t="s">
        <v>150</v>
      </c>
      <c r="O30" s="122">
        <v>32</v>
      </c>
      <c r="P30" s="120">
        <v>1984000</v>
      </c>
    </row>
    <row r="31" spans="1:21" s="17" customFormat="1" ht="15.5" x14ac:dyDescent="0.3">
      <c r="A31" s="35" t="s">
        <v>182</v>
      </c>
      <c r="B31" s="126"/>
      <c r="C31" s="127"/>
      <c r="D31" s="125"/>
      <c r="E31" s="126"/>
      <c r="F31" s="126"/>
      <c r="G31" s="125"/>
      <c r="I31" s="55"/>
      <c r="J31" s="76" t="s">
        <v>151</v>
      </c>
      <c r="K31" s="122"/>
      <c r="L31" s="122"/>
      <c r="M31" s="120"/>
      <c r="N31" s="122"/>
      <c r="O31" s="122"/>
      <c r="P31" s="120"/>
    </row>
    <row r="32" spans="1:21" s="17" customFormat="1" ht="28.5" x14ac:dyDescent="0.3">
      <c r="A32" s="35" t="s">
        <v>110</v>
      </c>
      <c r="B32" s="49">
        <f>ROUND(130000*596.2/499.6,-3)</f>
        <v>155000</v>
      </c>
      <c r="C32" s="56">
        <f>ROUND((B9-B20)/2,0)</f>
        <v>29</v>
      </c>
      <c r="D32" s="49">
        <f>B32*C32</f>
        <v>4495000</v>
      </c>
      <c r="E32" s="49">
        <f>ROUND(21000*596.2/499.6,-3)</f>
        <v>25000</v>
      </c>
      <c r="F32" s="27">
        <f>C32*2</f>
        <v>58</v>
      </c>
      <c r="G32" s="49">
        <f>E32*F32</f>
        <v>1450000</v>
      </c>
      <c r="I32" s="55"/>
      <c r="J32" s="76" t="s">
        <v>161</v>
      </c>
      <c r="K32" s="91" t="s">
        <v>153</v>
      </c>
      <c r="L32" s="91">
        <v>34</v>
      </c>
      <c r="M32" s="90">
        <v>5474000</v>
      </c>
      <c r="N32" s="91" t="s">
        <v>154</v>
      </c>
      <c r="O32" s="91">
        <v>68</v>
      </c>
      <c r="P32" s="90">
        <v>1700000</v>
      </c>
    </row>
    <row r="33" spans="1:16" s="17" customFormat="1" ht="28.5" x14ac:dyDescent="0.3">
      <c r="A33" s="35" t="s">
        <v>111</v>
      </c>
      <c r="B33" s="49">
        <f>86000</f>
        <v>86000</v>
      </c>
      <c r="C33" s="56">
        <f>C32</f>
        <v>29</v>
      </c>
      <c r="D33" s="49">
        <f>B33*C33</f>
        <v>2494000</v>
      </c>
      <c r="E33" s="49">
        <v>100000</v>
      </c>
      <c r="F33" s="27">
        <f>C33*2</f>
        <v>58</v>
      </c>
      <c r="G33" s="49">
        <f>E33*F33</f>
        <v>5800000</v>
      </c>
      <c r="I33" s="51"/>
      <c r="J33" s="76" t="s">
        <v>162</v>
      </c>
      <c r="K33" s="91" t="s">
        <v>156</v>
      </c>
      <c r="L33" s="91">
        <v>34</v>
      </c>
      <c r="M33" s="90">
        <v>2924000</v>
      </c>
      <c r="N33" s="91" t="s">
        <v>157</v>
      </c>
      <c r="O33" s="91">
        <v>68</v>
      </c>
      <c r="P33" s="90">
        <v>6800000</v>
      </c>
    </row>
    <row r="34" spans="1:16" s="17" customFormat="1" ht="15.75" customHeight="1" x14ac:dyDescent="0.3">
      <c r="A34" s="129" t="s">
        <v>144</v>
      </c>
      <c r="B34" s="129"/>
      <c r="C34" s="129"/>
      <c r="D34" s="129"/>
      <c r="E34" s="129"/>
      <c r="F34" s="129"/>
      <c r="G34" s="129"/>
      <c r="I34" s="51"/>
      <c r="J34" s="119" t="s">
        <v>158</v>
      </c>
      <c r="K34" s="119"/>
      <c r="L34" s="119"/>
      <c r="M34" s="119"/>
      <c r="N34" s="119"/>
      <c r="O34" s="119"/>
      <c r="P34" s="119"/>
    </row>
    <row r="35" spans="1:16" s="17" customFormat="1" ht="16.5" x14ac:dyDescent="0.3">
      <c r="A35" s="35" t="s">
        <v>142</v>
      </c>
      <c r="B35" s="125">
        <f>B30</f>
        <v>358000</v>
      </c>
      <c r="C35" s="126">
        <v>0</v>
      </c>
      <c r="D35" s="125">
        <f>B35*C35</f>
        <v>0</v>
      </c>
      <c r="E35" s="125">
        <f>E30</f>
        <v>59700</v>
      </c>
      <c r="F35" s="131">
        <f>ROUND(487*0.7,0)</f>
        <v>341</v>
      </c>
      <c r="G35" s="125">
        <f>E35*F35</f>
        <v>20357700</v>
      </c>
      <c r="H35" s="70"/>
      <c r="I35" s="54"/>
      <c r="J35" s="76" t="s">
        <v>148</v>
      </c>
      <c r="K35" s="122" t="s">
        <v>149</v>
      </c>
      <c r="L35" s="122">
        <v>0</v>
      </c>
      <c r="M35" s="120">
        <v>0</v>
      </c>
      <c r="N35" s="122" t="s">
        <v>150</v>
      </c>
      <c r="O35" s="122">
        <v>280</v>
      </c>
      <c r="P35" s="120">
        <v>17360000</v>
      </c>
    </row>
    <row r="36" spans="1:16" s="17" customFormat="1" ht="15.5" x14ac:dyDescent="0.3">
      <c r="A36" s="35" t="s">
        <v>143</v>
      </c>
      <c r="B36" s="126"/>
      <c r="C36" s="126"/>
      <c r="D36" s="125"/>
      <c r="E36" s="126"/>
      <c r="F36" s="131"/>
      <c r="G36" s="125"/>
      <c r="H36" s="70"/>
      <c r="I36" s="51"/>
      <c r="J36" s="76" t="s">
        <v>151</v>
      </c>
      <c r="K36" s="122"/>
      <c r="L36" s="122"/>
      <c r="M36" s="120"/>
      <c r="N36" s="122"/>
      <c r="O36" s="122"/>
      <c r="P36" s="120"/>
    </row>
    <row r="37" spans="1:16" s="17" customFormat="1" ht="20.25" customHeight="1" x14ac:dyDescent="0.3">
      <c r="A37" s="35" t="s">
        <v>140</v>
      </c>
      <c r="B37" s="49">
        <f>B32</f>
        <v>155000</v>
      </c>
      <c r="C37" s="2">
        <v>0</v>
      </c>
      <c r="D37" s="49">
        <f>B37*C37</f>
        <v>0</v>
      </c>
      <c r="E37" s="49">
        <f>E32</f>
        <v>25000</v>
      </c>
      <c r="F37" s="89">
        <f>(600+(3*68))</f>
        <v>804</v>
      </c>
      <c r="G37" s="49">
        <f>E37*F37</f>
        <v>20100000</v>
      </c>
      <c r="H37" s="70"/>
      <c r="I37" s="51"/>
      <c r="J37" s="76" t="s">
        <v>152</v>
      </c>
      <c r="K37" s="75" t="s">
        <v>153</v>
      </c>
      <c r="L37" s="75">
        <v>0</v>
      </c>
      <c r="M37" s="77">
        <v>0</v>
      </c>
      <c r="N37" s="75" t="s">
        <v>154</v>
      </c>
      <c r="O37" s="75">
        <v>600</v>
      </c>
      <c r="P37" s="77">
        <v>15000000</v>
      </c>
    </row>
    <row r="38" spans="1:16" s="17" customFormat="1" ht="26" x14ac:dyDescent="0.3">
      <c r="A38" s="35" t="s">
        <v>141</v>
      </c>
      <c r="B38" s="49">
        <f>B33</f>
        <v>86000</v>
      </c>
      <c r="C38" s="2">
        <v>0</v>
      </c>
      <c r="D38" s="49">
        <f>B38*C38</f>
        <v>0</v>
      </c>
      <c r="E38" s="49">
        <v>50000</v>
      </c>
      <c r="F38" s="89">
        <f>(900+(3*68*2))</f>
        <v>1308</v>
      </c>
      <c r="G38" s="49">
        <f>E38*F38</f>
        <v>65400000</v>
      </c>
      <c r="H38" s="70"/>
      <c r="I38" s="51"/>
      <c r="J38" s="76" t="s">
        <v>155</v>
      </c>
      <c r="K38" s="75" t="s">
        <v>156</v>
      </c>
      <c r="L38" s="75">
        <v>0</v>
      </c>
      <c r="M38" s="77">
        <v>0</v>
      </c>
      <c r="N38" s="75" t="s">
        <v>159</v>
      </c>
      <c r="O38" s="75">
        <v>900</v>
      </c>
      <c r="P38" s="77">
        <v>45000000</v>
      </c>
    </row>
    <row r="39" spans="1:16" s="17" customFormat="1" ht="15" x14ac:dyDescent="0.3">
      <c r="A39" s="38" t="s">
        <v>113</v>
      </c>
      <c r="B39" s="2"/>
      <c r="C39" s="2"/>
      <c r="D39" s="49">
        <f>SUM(D30,D32,D33,D35,D37,D38)</f>
        <v>6989000</v>
      </c>
      <c r="E39" s="2"/>
      <c r="F39" s="2"/>
      <c r="G39" s="53">
        <f>SUM(G30,G32,G33,G35,G37,G38)</f>
        <v>113107700</v>
      </c>
      <c r="H39" s="51">
        <f>D39+G39</f>
        <v>120096700</v>
      </c>
      <c r="J39" s="78" t="s">
        <v>160</v>
      </c>
      <c r="K39" s="75"/>
      <c r="L39" s="75">
        <v>50</v>
      </c>
      <c r="M39" s="77">
        <v>14400000</v>
      </c>
      <c r="N39" s="75"/>
      <c r="O39" s="75"/>
      <c r="P39" s="77">
        <v>87800000</v>
      </c>
    </row>
    <row r="40" spans="1:16" s="17" customFormat="1" x14ac:dyDescent="0.35">
      <c r="A40" s="57" t="s">
        <v>103</v>
      </c>
      <c r="B40" s="52"/>
      <c r="C40" s="52"/>
      <c r="D40" s="52"/>
      <c r="E40" s="52"/>
      <c r="F40" s="52"/>
      <c r="G40" s="52"/>
      <c r="J40" s="71" t="s">
        <v>103</v>
      </c>
      <c r="K40" s="72"/>
      <c r="L40" s="72"/>
      <c r="M40" s="72"/>
      <c r="N40" s="72"/>
      <c r="O40" s="72"/>
      <c r="P40" s="72"/>
    </row>
    <row r="41" spans="1:16" s="17" customFormat="1" ht="45.75" customHeight="1" x14ac:dyDescent="0.3">
      <c r="A41" s="117" t="s">
        <v>179</v>
      </c>
      <c r="B41" s="117"/>
      <c r="C41" s="117"/>
      <c r="D41" s="117"/>
      <c r="E41" s="117"/>
      <c r="F41" s="117"/>
      <c r="G41" s="117"/>
      <c r="J41" s="73" t="s">
        <v>104</v>
      </c>
      <c r="K41" s="74"/>
      <c r="L41" s="74"/>
      <c r="M41" s="74"/>
      <c r="N41" s="74"/>
      <c r="O41" s="74"/>
      <c r="P41" s="74"/>
    </row>
    <row r="42" spans="1:16" s="17" customFormat="1" ht="46.5" customHeight="1" x14ac:dyDescent="0.3">
      <c r="A42" s="117" t="s">
        <v>183</v>
      </c>
      <c r="B42" s="117"/>
      <c r="C42" s="117"/>
      <c r="D42" s="117"/>
      <c r="E42" s="117"/>
      <c r="F42" s="117"/>
      <c r="G42" s="117"/>
      <c r="J42" s="73" t="s">
        <v>163</v>
      </c>
      <c r="K42" s="74"/>
      <c r="L42" s="74"/>
      <c r="M42" s="74"/>
      <c r="N42" s="74"/>
      <c r="O42" s="74"/>
      <c r="P42" s="74"/>
    </row>
    <row r="43" spans="1:16" s="17" customFormat="1" ht="61.5" customHeight="1" x14ac:dyDescent="0.3">
      <c r="A43" s="117" t="s">
        <v>199</v>
      </c>
      <c r="B43" s="117"/>
      <c r="C43" s="117"/>
      <c r="D43" s="117"/>
      <c r="E43" s="117"/>
      <c r="F43" s="117"/>
      <c r="G43" s="117"/>
      <c r="J43" s="73" t="s">
        <v>105</v>
      </c>
      <c r="K43" s="74"/>
      <c r="L43" s="74"/>
      <c r="M43" s="74"/>
      <c r="N43" s="74"/>
      <c r="O43" s="74"/>
      <c r="P43" s="74"/>
    </row>
    <row r="44" spans="1:16" s="17" customFormat="1" ht="44.25" customHeight="1" x14ac:dyDescent="0.3">
      <c r="A44" s="117" t="s">
        <v>175</v>
      </c>
      <c r="B44" s="117"/>
      <c r="C44" s="117"/>
      <c r="D44" s="117"/>
      <c r="E44" s="117"/>
      <c r="F44" s="117"/>
      <c r="G44" s="117"/>
      <c r="J44" s="73"/>
      <c r="K44" s="74"/>
      <c r="L44" s="74"/>
      <c r="M44" s="74"/>
      <c r="N44" s="74"/>
      <c r="O44" s="74"/>
      <c r="P44" s="74"/>
    </row>
    <row r="45" spans="1:16" s="17" customFormat="1" ht="33" customHeight="1" x14ac:dyDescent="0.3">
      <c r="A45" s="117" t="s">
        <v>116</v>
      </c>
      <c r="B45" s="117"/>
      <c r="C45" s="117"/>
      <c r="D45" s="117"/>
      <c r="E45" s="117"/>
      <c r="F45" s="117"/>
      <c r="G45" s="117"/>
      <c r="J45" s="73" t="s">
        <v>164</v>
      </c>
      <c r="K45" s="74"/>
      <c r="L45" s="74"/>
      <c r="M45" s="74"/>
      <c r="N45" s="74"/>
      <c r="O45" s="74"/>
      <c r="P45" s="74"/>
    </row>
    <row r="46" spans="1:16" s="17" customFormat="1" ht="58.5" customHeight="1" x14ac:dyDescent="0.3">
      <c r="A46" s="117" t="s">
        <v>184</v>
      </c>
      <c r="B46" s="117"/>
      <c r="C46" s="117"/>
      <c r="D46" s="117"/>
      <c r="E46" s="117"/>
      <c r="F46" s="117"/>
      <c r="G46" s="117"/>
      <c r="J46" s="73" t="s">
        <v>165</v>
      </c>
      <c r="K46" s="74"/>
      <c r="L46" s="74"/>
      <c r="M46" s="74"/>
      <c r="N46" s="74"/>
      <c r="O46" s="74"/>
      <c r="P46" s="74"/>
    </row>
    <row r="47" spans="1:16" s="17" customFormat="1" ht="30.75" customHeight="1" x14ac:dyDescent="0.3">
      <c r="A47" s="117" t="s">
        <v>117</v>
      </c>
      <c r="B47" s="117"/>
      <c r="C47" s="117"/>
      <c r="D47" s="117"/>
      <c r="E47" s="117"/>
      <c r="F47" s="117"/>
      <c r="G47" s="117"/>
      <c r="J47" s="73" t="s">
        <v>166</v>
      </c>
      <c r="K47" s="74"/>
      <c r="L47" s="74"/>
      <c r="M47" s="74"/>
      <c r="N47" s="74"/>
      <c r="O47" s="74"/>
      <c r="P47" s="74"/>
    </row>
    <row r="48" spans="1:16" s="17" customFormat="1" ht="30.75" customHeight="1" x14ac:dyDescent="0.3">
      <c r="A48" s="117" t="s">
        <v>112</v>
      </c>
      <c r="B48" s="117"/>
      <c r="C48" s="117"/>
      <c r="D48" s="117"/>
      <c r="E48" s="117"/>
      <c r="F48" s="117"/>
      <c r="G48" s="117"/>
      <c r="J48" s="73" t="s">
        <v>167</v>
      </c>
      <c r="K48" s="74"/>
      <c r="L48" s="74"/>
      <c r="M48" s="74"/>
      <c r="N48" s="74"/>
      <c r="O48" s="74"/>
      <c r="P48" s="74"/>
    </row>
    <row r="49" spans="1:16" s="17" customFormat="1" ht="36.75" customHeight="1" x14ac:dyDescent="0.3">
      <c r="A49" s="118" t="s">
        <v>197</v>
      </c>
      <c r="B49" s="118"/>
      <c r="C49" s="118"/>
      <c r="D49" s="118"/>
      <c r="E49" s="118"/>
      <c r="F49" s="118"/>
      <c r="G49" s="118"/>
      <c r="H49" s="85"/>
      <c r="J49" s="73" t="s">
        <v>168</v>
      </c>
      <c r="K49" s="74"/>
      <c r="L49" s="74"/>
      <c r="M49" s="74"/>
      <c r="N49" s="74"/>
      <c r="O49" s="74"/>
      <c r="P49" s="74"/>
    </row>
    <row r="50" spans="1:16" s="17" customFormat="1" ht="37.5" customHeight="1" x14ac:dyDescent="0.3">
      <c r="A50" s="118" t="s">
        <v>198</v>
      </c>
      <c r="B50" s="118"/>
      <c r="C50" s="118"/>
      <c r="D50" s="118"/>
      <c r="E50" s="118"/>
      <c r="F50" s="118"/>
      <c r="G50" s="118"/>
      <c r="H50" s="85"/>
      <c r="J50" s="73" t="s">
        <v>106</v>
      </c>
      <c r="K50" s="74"/>
      <c r="L50" s="74"/>
      <c r="M50" s="74"/>
      <c r="N50" s="74"/>
      <c r="O50" s="74"/>
      <c r="P50" s="74"/>
    </row>
    <row r="51" spans="1:16" s="17" customFormat="1" ht="82.5" customHeight="1" x14ac:dyDescent="0.35">
      <c r="A51" s="116" t="s">
        <v>185</v>
      </c>
      <c r="B51" s="116"/>
      <c r="C51" s="116"/>
      <c r="D51" s="116"/>
      <c r="E51" s="116"/>
      <c r="F51" s="116"/>
      <c r="G51" s="116"/>
      <c r="J51" s="73" t="s">
        <v>169</v>
      </c>
      <c r="K51" s="72"/>
      <c r="L51" s="72"/>
      <c r="M51" s="72"/>
      <c r="N51" s="72"/>
      <c r="O51" s="72"/>
      <c r="P51" s="72"/>
    </row>
    <row r="52" spans="1:16" s="17" customFormat="1" ht="44.25" customHeight="1" x14ac:dyDescent="0.35">
      <c r="A52" s="116" t="s">
        <v>177</v>
      </c>
      <c r="B52" s="116"/>
      <c r="C52" s="116"/>
      <c r="D52" s="116"/>
      <c r="E52" s="116"/>
      <c r="F52" s="116"/>
      <c r="G52" s="116"/>
      <c r="J52" s="73" t="s">
        <v>170</v>
      </c>
      <c r="K52" s="72"/>
      <c r="L52" s="72"/>
      <c r="M52" s="72"/>
      <c r="N52" s="72"/>
      <c r="O52" s="72"/>
      <c r="P52" s="72"/>
    </row>
    <row r="53" spans="1:16" s="17" customFormat="1" ht="18.75" customHeight="1" x14ac:dyDescent="0.35">
      <c r="A53" s="117" t="s">
        <v>114</v>
      </c>
      <c r="B53" s="117"/>
      <c r="C53" s="117"/>
      <c r="D53" s="117"/>
      <c r="E53" s="117"/>
      <c r="F53" s="117"/>
      <c r="G53" s="117"/>
      <c r="J53" s="73" t="s">
        <v>171</v>
      </c>
      <c r="K53" s="72"/>
      <c r="L53" s="72"/>
      <c r="M53" s="72"/>
      <c r="N53" s="72"/>
      <c r="O53" s="72"/>
      <c r="P53" s="72"/>
    </row>
    <row r="54" spans="1:16" s="17" customFormat="1" ht="18" customHeight="1" x14ac:dyDescent="0.35">
      <c r="A54" s="117" t="s">
        <v>115</v>
      </c>
      <c r="B54" s="117"/>
      <c r="C54" s="117"/>
      <c r="D54" s="117"/>
      <c r="E54" s="117"/>
      <c r="F54" s="117"/>
      <c r="G54" s="117"/>
      <c r="J54" s="73" t="s">
        <v>172</v>
      </c>
      <c r="K54" s="72"/>
      <c r="L54" s="72"/>
      <c r="M54" s="72"/>
      <c r="N54" s="72"/>
      <c r="O54" s="72"/>
      <c r="P54" s="72"/>
    </row>
    <row r="55" spans="1:16" ht="30.75" customHeight="1" x14ac:dyDescent="0.35"/>
  </sheetData>
  <mergeCells count="50">
    <mergeCell ref="A34:G34"/>
    <mergeCell ref="B35:B36"/>
    <mergeCell ref="C35:C36"/>
    <mergeCell ref="D35:D36"/>
    <mergeCell ref="E35:E36"/>
    <mergeCell ref="F35:F36"/>
    <mergeCell ref="G35:G36"/>
    <mergeCell ref="A2:F2"/>
    <mergeCell ref="B3:C3"/>
    <mergeCell ref="G30:G31"/>
    <mergeCell ref="B30:B31"/>
    <mergeCell ref="C30:C31"/>
    <mergeCell ref="D30:D31"/>
    <mergeCell ref="E30:E31"/>
    <mergeCell ref="F30:F31"/>
    <mergeCell ref="A10:F10"/>
    <mergeCell ref="A13:E13"/>
    <mergeCell ref="A26:G26"/>
    <mergeCell ref="A29:G29"/>
    <mergeCell ref="A24:E24"/>
    <mergeCell ref="J34:P34"/>
    <mergeCell ref="P35:P36"/>
    <mergeCell ref="J25:P25"/>
    <mergeCell ref="J26:P26"/>
    <mergeCell ref="J29:P29"/>
    <mergeCell ref="K30:K31"/>
    <mergeCell ref="L30:L31"/>
    <mergeCell ref="M30:M31"/>
    <mergeCell ref="N30:N31"/>
    <mergeCell ref="O30:O31"/>
    <mergeCell ref="P30:P31"/>
    <mergeCell ref="K35:K36"/>
    <mergeCell ref="L35:L36"/>
    <mergeCell ref="M35:M36"/>
    <mergeCell ref="N35:N36"/>
    <mergeCell ref="O35:O36"/>
    <mergeCell ref="A41:G41"/>
    <mergeCell ref="A42:G42"/>
    <mergeCell ref="A43:G43"/>
    <mergeCell ref="A44:G44"/>
    <mergeCell ref="A45:G45"/>
    <mergeCell ref="A51:G51"/>
    <mergeCell ref="A52:G52"/>
    <mergeCell ref="A53:G53"/>
    <mergeCell ref="A54:G54"/>
    <mergeCell ref="A46:G46"/>
    <mergeCell ref="A47:G47"/>
    <mergeCell ref="A48:G48"/>
    <mergeCell ref="A49:G49"/>
    <mergeCell ref="A50:G5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1</vt:lpstr>
      <vt:lpstr>Table 2</vt:lpstr>
      <vt:lpstr>Capital O&amp;M</vt:lpstr>
      <vt:lpstr>'Capital O&amp;M'!_Hlk1641465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2015-08-28T14:46:03Z</dcterms:created>
  <dcterms:modified xsi:type="dcterms:W3CDTF">2022-03-23T13:46:30Z</dcterms:modified>
</cp:coreProperties>
</file>