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usepa-my.sharepoint.com/personal/salahuddin_diane_epa_gov/Documents/Documents/"/>
    </mc:Choice>
  </mc:AlternateContent>
  <xr:revisionPtr revIDLastSave="0" documentId="8_{2BC2F420-F844-4C82-BB1C-4F2587996B5F}" xr6:coauthVersionLast="47" xr6:coauthVersionMax="47" xr10:uidLastSave="{00000000-0000-0000-0000-000000000000}"/>
  <bookViews>
    <workbookView xWindow="-110" yWindow="-110" windowWidth="19420" windowHeight="10420" tabRatio="752" activeTab="5" xr2:uid="{00000000-000D-0000-FFFF-FFFF00000000}"/>
  </bookViews>
  <sheets>
    <sheet name="Labor" sheetId="1" r:id="rId1"/>
    <sheet name="Source &amp; PA Inputs" sheetId="11" r:id="rId2"/>
    <sheet name="Burden Inputs, Tbls 1-3" sheetId="9" r:id="rId3"/>
    <sheet name="Calcs" sheetId="13" r:id="rId4"/>
    <sheet name="Tables 4-7" sheetId="2" r:id="rId5"/>
    <sheet name="Btm Line, Tbls 8-12" sheetId="14" r:id="rId6"/>
  </sheets>
  <definedNames>
    <definedName name="_xlnm.Print_Area" localSheetId="5">'Btm Line, Tbls 8-12'!$A$1:$L$43</definedName>
    <definedName name="_xlnm.Print_Area" localSheetId="2">'Burden Inputs, Tbls 1-3'!$B$1:$E$42</definedName>
    <definedName name="_xlnm.Print_Area" localSheetId="3">Calcs!$B$1:$J$31</definedName>
    <definedName name="_xlnm.Print_Area" localSheetId="0">Labor!$B$1:$I$64</definedName>
    <definedName name="_xlnm.Print_Area" localSheetId="1">'Source &amp; PA Inputs'!$B$1:$E$27</definedName>
    <definedName name="_xlnm.Print_Area" localSheetId="4">'Tables 4-7'!$B$29:$H$93</definedName>
    <definedName name="Z_56789525_1043_4BBD_BF2D_ADA53B860844_.wvu.PrintArea" localSheetId="4" hidden="1">'Tables 4-7'!$B$39:$K$124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2" l="1"/>
  <c r="C26" i="1" l="1"/>
  <c r="C52" i="1"/>
  <c r="C40" i="1"/>
  <c r="C58" i="1"/>
  <c r="D11" i="11"/>
  <c r="D10" i="11"/>
  <c r="D9" i="11"/>
  <c r="H32" i="2" l="1"/>
  <c r="D16" i="11"/>
  <c r="C32" i="2" s="1"/>
  <c r="D15" i="13"/>
  <c r="C8" i="11" l="1"/>
  <c r="C9" i="11"/>
  <c r="D88" i="2" l="1"/>
  <c r="B87" i="2"/>
  <c r="F25" i="2" l="1"/>
  <c r="F24" i="2"/>
  <c r="C35" i="14" l="1"/>
  <c r="D17" i="13" l="1"/>
  <c r="F34" i="2" l="1"/>
  <c r="D18" i="2" l="1"/>
  <c r="D10" i="2"/>
  <c r="C17" i="14" l="1"/>
  <c r="C8" i="14"/>
  <c r="D25" i="2"/>
  <c r="D24" i="2"/>
  <c r="D21" i="2"/>
  <c r="D17" i="2"/>
  <c r="D13" i="2"/>
  <c r="D9" i="2"/>
  <c r="D8" i="2"/>
  <c r="B25" i="2"/>
  <c r="B18" i="2"/>
  <c r="B21" i="2"/>
  <c r="B17" i="2"/>
  <c r="B13" i="2"/>
  <c r="B10" i="2"/>
  <c r="B9" i="2"/>
  <c r="B8" i="2"/>
  <c r="B92" i="2"/>
  <c r="B89" i="2"/>
  <c r="B88" i="2"/>
  <c r="B79" i="2"/>
  <c r="B82" i="2"/>
  <c r="B64" i="2"/>
  <c r="F92" i="2"/>
  <c r="F82" i="2"/>
  <c r="D79" i="2"/>
  <c r="D92" i="2"/>
  <c r="D82" i="2"/>
  <c r="G82" i="2" s="1"/>
  <c r="D64" i="2"/>
  <c r="G92" i="2" l="1"/>
  <c r="G24" i="2"/>
  <c r="G25" i="2"/>
  <c r="C14" i="13" l="1"/>
  <c r="F15" i="13" s="1"/>
  <c r="G15" i="13" s="1"/>
  <c r="H15" i="13" s="1"/>
  <c r="I15" i="13" l="1"/>
  <c r="D6" i="13" l="1"/>
  <c r="D7" i="13"/>
  <c r="D8" i="13"/>
  <c r="C8" i="13"/>
  <c r="C7" i="13"/>
  <c r="C6" i="13"/>
  <c r="C5" i="13"/>
  <c r="D5" i="13"/>
  <c r="D9" i="13" l="1"/>
  <c r="F32" i="2"/>
  <c r="C27" i="13" l="1"/>
  <c r="D16" i="13"/>
  <c r="D27" i="13" l="1"/>
  <c r="E27" i="13"/>
  <c r="F89" i="2"/>
  <c r="F50" i="2"/>
  <c r="F47" i="2"/>
  <c r="C42" i="14"/>
  <c r="B85" i="2"/>
  <c r="B84" i="2"/>
  <c r="B83" i="2"/>
  <c r="B81" i="2"/>
  <c r="B80" i="2"/>
  <c r="B78" i="2"/>
  <c r="B77" i="2"/>
  <c r="B76" i="2"/>
  <c r="B75" i="2"/>
  <c r="B74" i="2"/>
  <c r="B66" i="2"/>
  <c r="B65" i="2"/>
  <c r="B60" i="2"/>
  <c r="B57" i="2"/>
  <c r="B54" i="2"/>
  <c r="B50" i="2"/>
  <c r="B47" i="2"/>
  <c r="B46" i="2"/>
  <c r="B45" i="2"/>
  <c r="B44" i="2"/>
  <c r="B43" i="2"/>
  <c r="F33" i="2"/>
  <c r="F27" i="13"/>
  <c r="F17" i="13"/>
  <c r="F35" i="2"/>
  <c r="C11" i="11"/>
  <c r="C10" i="11"/>
  <c r="D87" i="2"/>
  <c r="D85" i="2"/>
  <c r="D84" i="2"/>
  <c r="D83" i="2"/>
  <c r="D81" i="2"/>
  <c r="D80" i="2"/>
  <c r="D78" i="2"/>
  <c r="D77" i="2"/>
  <c r="D76" i="2"/>
  <c r="D75" i="2"/>
  <c r="D74" i="2"/>
  <c r="G74" i="2" s="1"/>
  <c r="D66" i="2"/>
  <c r="D65" i="2"/>
  <c r="D60" i="2"/>
  <c r="D57" i="2"/>
  <c r="D54" i="2"/>
  <c r="D50" i="2"/>
  <c r="D47" i="2"/>
  <c r="D46" i="2"/>
  <c r="D45" i="2"/>
  <c r="D44" i="2"/>
  <c r="D43" i="2"/>
  <c r="B54" i="1"/>
  <c r="B42" i="1"/>
  <c r="B28" i="1"/>
  <c r="F11" i="1"/>
  <c r="C11" i="1" s="1"/>
  <c r="F18" i="2" l="1"/>
  <c r="F10" i="2"/>
  <c r="G47" i="2"/>
  <c r="D5" i="2"/>
  <c r="D8" i="1"/>
  <c r="F8" i="1" s="1"/>
  <c r="C8" i="1" s="1"/>
  <c r="D72" i="2" s="1"/>
  <c r="H74" i="2" s="1"/>
  <c r="D89" i="2"/>
  <c r="G89" i="2" s="1"/>
  <c r="G50" i="2"/>
  <c r="D34" i="2"/>
  <c r="G34" i="2" s="1"/>
  <c r="D33" i="2"/>
  <c r="C33" i="2" s="1"/>
  <c r="D35" i="2"/>
  <c r="G35" i="2" s="1"/>
  <c r="D18" i="13"/>
  <c r="G17" i="13"/>
  <c r="F16" i="13"/>
  <c r="G16" i="13" s="1"/>
  <c r="F60" i="2"/>
  <c r="G60" i="2" s="1"/>
  <c r="G10" i="2" l="1"/>
  <c r="H10" i="2" s="1"/>
  <c r="G18" i="2"/>
  <c r="H18" i="2" s="1"/>
  <c r="F54" i="2"/>
  <c r="H92" i="2"/>
  <c r="H82" i="2"/>
  <c r="H89" i="2"/>
  <c r="H17" i="13"/>
  <c r="I17" i="13" s="1"/>
  <c r="H16" i="13"/>
  <c r="H24" i="2"/>
  <c r="H25" i="2"/>
  <c r="G33" i="2"/>
  <c r="H33" i="2" s="1"/>
  <c r="C34" i="2"/>
  <c r="C35" i="2" s="1"/>
  <c r="G18" i="13"/>
  <c r="F18" i="13"/>
  <c r="D36" i="2"/>
  <c r="F43" i="2" s="1"/>
  <c r="C28" i="13" l="1"/>
  <c r="F51" i="2"/>
  <c r="H18" i="13"/>
  <c r="F13" i="2"/>
  <c r="G13" i="2" s="1"/>
  <c r="H13" i="2" s="1"/>
  <c r="F21" i="2"/>
  <c r="G21" i="2" s="1"/>
  <c r="H21" i="2" s="1"/>
  <c r="I16" i="13"/>
  <c r="I18" i="13" s="1"/>
  <c r="G36" i="2"/>
  <c r="F75" i="2"/>
  <c r="G75" i="2" s="1"/>
  <c r="H75" i="2" s="1"/>
  <c r="G43" i="2"/>
  <c r="G54" i="2"/>
  <c r="F57" i="2"/>
  <c r="G57" i="2" s="1"/>
  <c r="F17" i="2" l="1"/>
  <c r="G17" i="2" s="1"/>
  <c r="H17" i="2" s="1"/>
  <c r="F8" i="2"/>
  <c r="G8" i="2" s="1"/>
  <c r="H8" i="2" s="1"/>
  <c r="F76" i="2"/>
  <c r="F9" i="2"/>
  <c r="G9" i="2" s="1"/>
  <c r="H9" i="2" s="1"/>
  <c r="F87" i="2"/>
  <c r="G87" i="2" s="1"/>
  <c r="H87" i="2" s="1"/>
  <c r="E28" i="13"/>
  <c r="D28" i="13"/>
  <c r="F65" i="2"/>
  <c r="F66" i="2" s="1"/>
  <c r="G66" i="2" s="1"/>
  <c r="H34" i="2"/>
  <c r="F49" i="2" s="1"/>
  <c r="F90" i="2"/>
  <c r="F48" i="2"/>
  <c r="G48" i="2" s="1"/>
  <c r="G51" i="2"/>
  <c r="F88" i="2"/>
  <c r="G88" i="2" s="1"/>
  <c r="H88" i="2" s="1"/>
  <c r="F64" i="2"/>
  <c r="G64" i="2" s="1"/>
  <c r="F44" i="2"/>
  <c r="G44" i="2" s="1"/>
  <c r="G90" i="2"/>
  <c r="H90" i="2" s="1"/>
  <c r="F46" i="2"/>
  <c r="G46" i="2" s="1"/>
  <c r="F79" i="2"/>
  <c r="G79" i="2" s="1"/>
  <c r="H79" i="2" s="1"/>
  <c r="F80" i="2"/>
  <c r="F45" i="2"/>
  <c r="G45" i="2" s="1"/>
  <c r="F28" i="13"/>
  <c r="F61" i="2" s="1"/>
  <c r="G61" i="2" s="1"/>
  <c r="F91" i="2" l="1"/>
  <c r="G91" i="2" s="1"/>
  <c r="H91" i="2" s="1"/>
  <c r="H35" i="2"/>
  <c r="F52" i="2"/>
  <c r="G52" i="2" s="1"/>
  <c r="C16" i="14"/>
  <c r="C18" i="14" s="1"/>
  <c r="C29" i="13"/>
  <c r="G65" i="2"/>
  <c r="C7" i="14"/>
  <c r="G49" i="2"/>
  <c r="F58" i="2"/>
  <c r="G58" i="2" s="1"/>
  <c r="F22" i="2"/>
  <c r="G22" i="2" s="1"/>
  <c r="H22" i="2" s="1"/>
  <c r="F14" i="2"/>
  <c r="F55" i="2"/>
  <c r="G55" i="2" s="1"/>
  <c r="F19" i="2"/>
  <c r="F11" i="2"/>
  <c r="G11" i="2" s="1"/>
  <c r="F77" i="2"/>
  <c r="G77" i="2" s="1"/>
  <c r="H77" i="2" s="1"/>
  <c r="G76" i="2"/>
  <c r="H76" i="2" s="1"/>
  <c r="G80" i="2"/>
  <c r="H80" i="2" s="1"/>
  <c r="F78" i="2"/>
  <c r="G78" i="2" s="1"/>
  <c r="H78" i="2" s="1"/>
  <c r="F81" i="2" l="1"/>
  <c r="C41" i="14"/>
  <c r="B26" i="14"/>
  <c r="E29" i="13"/>
  <c r="E30" i="13" s="1"/>
  <c r="D29" i="13"/>
  <c r="D30" i="13" s="1"/>
  <c r="C30" i="13"/>
  <c r="F29" i="13"/>
  <c r="F62" i="2" s="1"/>
  <c r="G62" i="2" s="1"/>
  <c r="G19" i="2"/>
  <c r="H19" i="2" s="1"/>
  <c r="G14" i="2"/>
  <c r="H14" i="2" s="1"/>
  <c r="H11" i="2"/>
  <c r="G81" i="2"/>
  <c r="H81" i="2" s="1"/>
  <c r="C9" i="14"/>
  <c r="F30" i="13" l="1"/>
  <c r="F85" i="2" s="1"/>
  <c r="G85" i="2" s="1"/>
  <c r="H85" i="2" s="1"/>
  <c r="F23" i="2"/>
  <c r="G23" i="2" s="1"/>
  <c r="H23" i="2" s="1"/>
  <c r="F15" i="2"/>
  <c r="G15" i="2" s="1"/>
  <c r="H15" i="2" s="1"/>
  <c r="F12" i="2"/>
  <c r="G12" i="2" s="1"/>
  <c r="F20" i="2"/>
  <c r="G20" i="2" s="1"/>
  <c r="H20" i="2" s="1"/>
  <c r="F83" i="2"/>
  <c r="G83" i="2" s="1"/>
  <c r="F56" i="2"/>
  <c r="G56" i="2" s="1"/>
  <c r="F84" i="2"/>
  <c r="G84" i="2" s="1"/>
  <c r="H84" i="2" s="1"/>
  <c r="F59" i="2"/>
  <c r="G59" i="2" s="1"/>
  <c r="G86" i="2" l="1"/>
  <c r="G63" i="2"/>
  <c r="H12" i="2"/>
  <c r="H26" i="2" s="1"/>
  <c r="G26" i="2"/>
  <c r="H83" i="2"/>
  <c r="H93" i="2" s="1"/>
  <c r="H94" i="2" s="1"/>
  <c r="G93" i="2"/>
  <c r="G67" i="2"/>
  <c r="G68" i="2" l="1"/>
  <c r="D7" i="14" s="1"/>
  <c r="G94" i="2"/>
  <c r="D8" i="14" s="1"/>
  <c r="D34" i="14"/>
  <c r="E34" i="14" s="1"/>
  <c r="F34" i="14" s="1"/>
  <c r="C26" i="14"/>
  <c r="D26" i="14" s="1"/>
  <c r="G27" i="2"/>
  <c r="D41" i="14"/>
  <c r="F41" i="14" s="1"/>
  <c r="D33" i="14"/>
  <c r="E33" i="14" s="1"/>
  <c r="F33" i="14" s="1"/>
  <c r="D42" i="14"/>
  <c r="H86" i="2"/>
  <c r="C61" i="1"/>
  <c r="B63" i="1" s="1"/>
  <c r="D5" i="1" s="1"/>
  <c r="F42" i="14" l="1"/>
  <c r="E42" i="14"/>
  <c r="D17" i="14"/>
  <c r="F17" i="14" s="1"/>
  <c r="E26" i="14"/>
  <c r="F26" i="14" s="1"/>
  <c r="H27" i="2"/>
  <c r="E7" i="14"/>
  <c r="F7" i="14"/>
  <c r="E8" i="14"/>
  <c r="F8" i="14"/>
  <c r="F5" i="1"/>
  <c r="C5" i="1" s="1"/>
  <c r="E17" i="14" l="1"/>
  <c r="E41" i="14"/>
  <c r="D41" i="2"/>
  <c r="H43" i="2" s="1"/>
  <c r="H51" i="2" l="1"/>
  <c r="H64" i="2"/>
  <c r="H65" i="2"/>
  <c r="H66" i="2"/>
  <c r="H45" i="2"/>
  <c r="H59" i="2"/>
  <c r="H55" i="2"/>
  <c r="H48" i="2"/>
  <c r="H44" i="2"/>
  <c r="H46" i="2"/>
  <c r="H60" i="2"/>
  <c r="H57" i="2"/>
  <c r="H50" i="2"/>
  <c r="H54" i="2"/>
  <c r="H56" i="2"/>
  <c r="H47" i="2"/>
  <c r="H49" i="2"/>
  <c r="H61" i="2"/>
  <c r="H62" i="2"/>
  <c r="H58" i="2"/>
  <c r="H52" i="2"/>
  <c r="D35" i="14"/>
  <c r="D9" i="14"/>
  <c r="H63" i="2" l="1"/>
  <c r="H67" i="2"/>
  <c r="H68" i="2" s="1"/>
  <c r="E35" i="14"/>
  <c r="D16" i="14" l="1"/>
  <c r="F16" i="14" s="1"/>
  <c r="E16" i="14" l="1"/>
  <c r="D1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Gmyr, Joanna</author>
  </authors>
  <commentList>
    <comment ref="E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Gmyr, Joanna:
</t>
        </r>
        <r>
          <rPr>
            <sz val="9"/>
            <color indexed="81"/>
            <rFont val="Tahoma"/>
            <family val="2"/>
          </rPr>
          <t xml:space="preserve">Use 80% factor (typically 40% to 80%) </t>
        </r>
      </text>
    </comment>
  </commentList>
</comments>
</file>

<file path=xl/sharedStrings.xml><?xml version="1.0" encoding="utf-8"?>
<sst xmlns="http://schemas.openxmlformats.org/spreadsheetml/2006/main" count="358" uniqueCount="201">
  <si>
    <t>DRAFT CALCS</t>
  </si>
  <si>
    <t>Source Labor Rate</t>
  </si>
  <si>
    <t>2018 Hourly</t>
  </si>
  <si>
    <t>Wage Rate</t>
  </si>
  <si>
    <t>Benfits &amp; Overhead</t>
  </si>
  <si>
    <t>Total</t>
  </si>
  <si>
    <t xml:space="preserve">State/Local Agency Labor Rate - Applies only to Part 70. </t>
  </si>
  <si>
    <r>
      <t xml:space="preserve">EPA Rates </t>
    </r>
    <r>
      <rPr>
        <b/>
        <i/>
        <sz val="11"/>
        <rFont val="Times New Roman"/>
        <family val="1"/>
      </rPr>
      <t>[1]</t>
    </r>
  </si>
  <si>
    <t>Benefits</t>
  </si>
  <si>
    <t>[1]    This is "base rate." Per David Painter, use this rather than "locality payment" rates.</t>
  </si>
  <si>
    <t xml:space="preserve">Federal Labor Cost obtained from U.S. Office of Personnel Management 2021 General Schedule Table 2021-GS. </t>
  </si>
  <si>
    <t xml:space="preserve">Hourly labor rate assumed is GS-12, Step 5 (Technical Labor).  60% benefits assumed. </t>
  </si>
  <si>
    <t>https://www.opm.gov/policy-data-oversight/pay-leave/salaries-wages/salary-tables/pdf/2018/GS_h.pdf</t>
  </si>
  <si>
    <t>STATE/LOCAL LABOR RATE</t>
  </si>
  <si>
    <t xml:space="preserve"> = 25th percentile hourly wage for Environmental Engineers</t>
  </si>
  <si>
    <t>Date of &amp; Link to Wage Data</t>
  </si>
  <si>
    <t>http://www.bls.gov/oes/current/oes172081.htm</t>
  </si>
  <si>
    <t>ECI Value</t>
  </si>
  <si>
    <t>Date of &amp; Link to ECI Data</t>
  </si>
  <si>
    <t>http://www.bls.gov/web/eci/echistrynaics.pdf</t>
  </si>
  <si>
    <t xml:space="preserve"> = Adjustment Factor</t>
  </si>
  <si>
    <t xml:space="preserve"> = Escalated State Wages in $/hr</t>
  </si>
  <si>
    <t>SOURCE LABOR RATE</t>
  </si>
  <si>
    <t>Environmental Engineers</t>
  </si>
  <si>
    <t xml:space="preserve"> = Mean hourly wage for Environmental Engineers</t>
  </si>
  <si>
    <t>Environmental Engineer Technicians</t>
  </si>
  <si>
    <t xml:space="preserve"> = Mean hourly wage for Environmental Engineering Technicians</t>
  </si>
  <si>
    <t>http://www.bls.gov/oes/current/oes173025.htm</t>
  </si>
  <si>
    <t>Dates of &amp; Links to ECI Data</t>
  </si>
  <si>
    <t>Weighted Average Wage for Combination of Environmental  Engineers and Technicians</t>
  </si>
  <si>
    <t>Technicians perform 50% of labor hrs for Operating gap-filling monitoring &amp;  Preparing monitoring/compliance reports.</t>
  </si>
  <si>
    <t xml:space="preserve"> = Technician labor hours for ICR period</t>
  </si>
  <si>
    <t>Engineers perform all source labor hours - the hours performed by technicians.</t>
  </si>
  <si>
    <t xml:space="preserve"> = Engineer labor hours for ICR period</t>
  </si>
  <si>
    <t xml:space="preserve"> = Weighted Avg Wage for Combination of Env. Engineers and Techs</t>
  </si>
  <si>
    <t>Starting Permits</t>
  </si>
  <si>
    <t>Notes</t>
  </si>
  <si>
    <t># of issued permits (all types) =</t>
  </si>
  <si>
    <t>TOPS Data that has been adjusted</t>
  </si>
  <si>
    <t>Permit Backlog</t>
  </si>
  <si>
    <t># of Permits</t>
  </si>
  <si>
    <t>Start of yr 1</t>
  </si>
  <si>
    <t>End of Yr 1</t>
  </si>
  <si>
    <t>Divide the number @ start of ICR by 3 &amp; spread it across the 3 yr life of ICR.</t>
  </si>
  <si>
    <t>End of Yr 2</t>
  </si>
  <si>
    <t>End of Yr 3</t>
  </si>
  <si>
    <t>SOURCE POPULATION</t>
  </si>
  <si>
    <t>Existing and Projected Part 70 Sources (Permitted + Backlog + New Sources)</t>
  </si>
  <si>
    <t># of Sources</t>
  </si>
  <si>
    <t>Start of ICR</t>
  </si>
  <si>
    <t>Automatic Calc Cell =  Issued permits + BACKLOG</t>
  </si>
  <si>
    <t>Assume 100 added each year. (new)</t>
  </si>
  <si>
    <t>Renewal Backlog</t>
  </si>
  <si>
    <t>Tops Data (oustanding renewal permits + expired permits)</t>
  </si>
  <si>
    <t>Permitting Authories</t>
  </si>
  <si>
    <t># of PAs</t>
  </si>
  <si>
    <t>Table 1. Average Source Burden by Activity</t>
  </si>
  <si>
    <t>ACTIVITY</t>
  </si>
  <si>
    <t>Hours per permit/program</t>
  </si>
  <si>
    <t xml:space="preserve">Previous ICR </t>
  </si>
  <si>
    <t>Hrs per permit</t>
  </si>
  <si>
    <t>Summary of changes during 2021 ICR Renewal</t>
  </si>
  <si>
    <t>SOURCE BURDEN</t>
  </si>
  <si>
    <t>Initial Permit Application</t>
  </si>
  <si>
    <t>No change</t>
  </si>
  <si>
    <t>Draft Permit Interaction</t>
  </si>
  <si>
    <t>Gap Filling Monitoring Development</t>
  </si>
  <si>
    <t>Public Hearing Participation</t>
  </si>
  <si>
    <t>Operate Gap Filling Monitoring</t>
  </si>
  <si>
    <t>Prep Monitoring/Compliance Reports &amp; Compliance Certifications</t>
  </si>
  <si>
    <t>Significant Permit Revisions (11% of permits)</t>
  </si>
  <si>
    <t>Minor Permit Revisions  (35% of permits)</t>
  </si>
  <si>
    <r>
      <t xml:space="preserve">Administrative Amendments </t>
    </r>
    <r>
      <rPr>
        <sz val="10"/>
        <rFont val="Times New Roman"/>
        <family val="1"/>
      </rPr>
      <t>(50% of permits)</t>
    </r>
  </si>
  <si>
    <t>General Permit</t>
  </si>
  <si>
    <t>Permit Renewal Application</t>
  </si>
  <si>
    <t>Other Permit Renewal Activities</t>
  </si>
  <si>
    <t>Table 2. Average Permitting Authority Burden by Activity</t>
  </si>
  <si>
    <t>PERMITTING AUTHORITY BURDEN</t>
  </si>
  <si>
    <t>Program Administration</t>
  </si>
  <si>
    <t>Permit Application Review</t>
  </si>
  <si>
    <t>Draft Permit Preparation</t>
  </si>
  <si>
    <t>Comment Period Notification</t>
  </si>
  <si>
    <t>Public Hearing (2% of permits)</t>
  </si>
  <si>
    <t>Interaction with EPA</t>
  </si>
  <si>
    <t>Analyze Public Comments (2% of permits)</t>
  </si>
  <si>
    <t>Permit Issuance</t>
  </si>
  <si>
    <t>General Permit Adminstration</t>
  </si>
  <si>
    <t>Minor Permit Revisions (35% of permits)</t>
  </si>
  <si>
    <t>Administrative Amendments (50% of permits)</t>
  </si>
  <si>
    <t>Renewals Single Source Permits</t>
  </si>
  <si>
    <t>Renewals General Permits</t>
  </si>
  <si>
    <t>Review Monitoring/Compliance Reports</t>
  </si>
  <si>
    <t>Annual Enforcement Activity</t>
  </si>
  <si>
    <t>Table 3. EPA Burden</t>
  </si>
  <si>
    <t>New Permit Review*</t>
  </si>
  <si>
    <t>Renewal Review*</t>
  </si>
  <si>
    <t>Significant Modification Review*</t>
  </si>
  <si>
    <t>Minor Modification Review</t>
  </si>
  <si>
    <t>Resolving issues in New Permit</t>
  </si>
  <si>
    <t>Resolving issues in Significant Mod.</t>
  </si>
  <si>
    <t>Resolving issues in Minor Mod.</t>
  </si>
  <si>
    <t>Program Oversight</t>
  </si>
  <si>
    <t>Review Enforcement Reports</t>
  </si>
  <si>
    <t>* Includes the burden for review of periodic monitoring, when required</t>
  </si>
  <si>
    <t>Types of Existing and Projected Permitted Sources*</t>
  </si>
  <si>
    <t>Total Polulation</t>
  </si>
  <si>
    <t>Start of Yr 1:</t>
  </si>
  <si>
    <t>End of Yr 1:</t>
  </si>
  <si>
    <t>End of Yr 2:</t>
  </si>
  <si>
    <t>End of Yr 3:</t>
  </si>
  <si>
    <t xml:space="preserve">Total Permitted Sources  = </t>
  </si>
  <si>
    <t>* Does not include permits in backlog because we do not have information on the type of sources at this time.</t>
  </si>
  <si>
    <t>RENEWALS</t>
  </si>
  <si>
    <t xml:space="preserve">Renewal backlog = </t>
  </si>
  <si>
    <t>Newly Expired</t>
  </si>
  <si>
    <t>Backlog Reduced</t>
  </si>
  <si>
    <t>Renewal Issd</t>
  </si>
  <si>
    <t>Single Permit</t>
  </si>
  <si>
    <t xml:space="preserve">Renewals YR 1 </t>
  </si>
  <si>
    <t xml:space="preserve">Renewals YR 2 </t>
  </si>
  <si>
    <t xml:space="preserve">Renewals YR 3 </t>
  </si>
  <si>
    <r>
      <t xml:space="preserve">Total Renewals </t>
    </r>
    <r>
      <rPr>
        <b/>
        <sz val="8"/>
        <rFont val="Times New Roman"/>
        <family val="1"/>
      </rPr>
      <t xml:space="preserve">(End of ICR) =   </t>
    </r>
  </si>
  <si>
    <t>MODIFICATIONS</t>
  </si>
  <si>
    <t>SIGNIFICANT MODIFICATIONS</t>
  </si>
  <si>
    <t>MINOR MODIFICATIONS</t>
  </si>
  <si>
    <t>ADMIN. AMENDMENTS</t>
  </si>
  <si>
    <t>Issued</t>
  </si>
  <si>
    <t>Baseline %</t>
  </si>
  <si>
    <t xml:space="preserve">single </t>
  </si>
  <si>
    <t>revisions Yr-1</t>
  </si>
  <si>
    <t>revisions Yr-2</t>
  </si>
  <si>
    <t>revisions yr-3</t>
  </si>
  <si>
    <t xml:space="preserve">Totals = </t>
  </si>
  <si>
    <t>* Significant mods and minor mods have been adjusted for FAP and the Tailoring Rule as explained in attachment.</t>
  </si>
  <si>
    <t>Table 4. Baseline Burden and Cost of EPA Activities</t>
  </si>
  <si>
    <t xml:space="preserve">EPA Hourly Labor Rate = </t>
  </si>
  <si>
    <t>Activity</t>
  </si>
  <si>
    <t>Burden per Permit (Hours)</t>
  </si>
  <si>
    <t>Number of Affected Permits/PAs over 3 Year ICR</t>
  </si>
  <si>
    <t>Total 
3-Year Burden   (Hours)</t>
  </si>
  <si>
    <t>Total 
3-Year Cost 
(2018 $)</t>
  </si>
  <si>
    <t>Review Permits and Revisions</t>
  </si>
  <si>
    <t>Yr 1:</t>
  </si>
  <si>
    <t>Yr 2:</t>
  </si>
  <si>
    <t>Yr 3:</t>
  </si>
  <si>
    <t>Consult with Permiting Authorities</t>
  </si>
  <si>
    <t xml:space="preserve">Total Burden and Cost Over 3 Yrs = </t>
  </si>
  <si>
    <t xml:space="preserve">Average Annual Burden and Cost  = </t>
  </si>
  <si>
    <t>Table 5. Identification of Affected Entities and Permit Issuance Schedule</t>
  </si>
  <si>
    <t>Interval</t>
  </si>
  <si>
    <t>Source 
Population</t>
  </si>
  <si>
    <t>New 
Sources</t>
  </si>
  <si>
    <t>Permitting Backlog</t>
  </si>
  <si>
    <t>Additional Permits Issued</t>
  </si>
  <si>
    <t>Total Permits Issued</t>
  </si>
  <si>
    <t xml:space="preserve">3 YR totals = </t>
  </si>
  <si>
    <t xml:space="preserve">Population = total # subject to permitting.   Backlog = unissued permits.   Additional issued = New sources + some of backlog.      </t>
  </si>
  <si>
    <t>Table 6.  Burden and Cost of Source Activities</t>
  </si>
  <si>
    <t xml:space="preserve">Sources Hourly Labor Rate = </t>
  </si>
  <si>
    <t>Number of Affected Permits over 3 Year ICR</t>
  </si>
  <si>
    <t>Revisions/Modifications:</t>
  </si>
  <si>
    <t xml:space="preserve">Revision Subtotals = </t>
  </si>
  <si>
    <t xml:space="preserve">Total Burden and Cost for All Sources Over 3 Yrs = </t>
  </si>
  <si>
    <t>Table 7.  Burden and Cost of Permitting Authority Activities</t>
  </si>
  <si>
    <t xml:space="preserve">PA Hourly Labor Rate = </t>
  </si>
  <si>
    <t xml:space="preserve">Total Burden and Cost for All Permit Authorities Over 3 Yrs = </t>
  </si>
  <si>
    <t>Table 8. Bottom Line Average Annual Respondent Burden (Hours)</t>
  </si>
  <si>
    <t>Respondent</t>
  </si>
  <si>
    <t>Number of Affected Entities</t>
  </si>
  <si>
    <t xml:space="preserve">Average Annual  Burden </t>
  </si>
  <si>
    <t>Average Annual  Burden per Respondent</t>
  </si>
  <si>
    <t>Average Annual Burden per Source</t>
  </si>
  <si>
    <t>(hours)</t>
  </si>
  <si>
    <t>Sources</t>
  </si>
  <si>
    <t>Permitting Authorities</t>
  </si>
  <si>
    <t>NA</t>
  </si>
  <si>
    <t>Table 9. Bottom Line Average Annual Respondent Cost (2018$)</t>
  </si>
  <si>
    <t>Average Annual Cost per Respondent</t>
  </si>
  <si>
    <t>Average Annual Cost per Source</t>
  </si>
  <si>
    <t xml:space="preserve">Table 10. Bottom Line Average Annual EPA Burden and Cost </t>
  </si>
  <si>
    <t>EPA Burden</t>
  </si>
  <si>
    <t>EPA Cost</t>
  </si>
  <si>
    <t>Number of Sources</t>
  </si>
  <si>
    <t>Annual 
EPA Burden</t>
  </si>
  <si>
    <t>Average Annual 
EPA Cost</t>
  </si>
  <si>
    <t>Type of Respondent</t>
  </si>
  <si>
    <t>Average Annual Burden in ICR Renewal</t>
  </si>
  <si>
    <t>Difference</t>
  </si>
  <si>
    <t>% Change</t>
  </si>
  <si>
    <t xml:space="preserve">Total = </t>
  </si>
  <si>
    <t>Table 12. Burden Statement (hours)</t>
  </si>
  <si>
    <t>Number of Respondents</t>
  </si>
  <si>
    <t>Total Annual Burden (Hours)</t>
  </si>
  <si>
    <t>Annual Burden per Respondent (Hours)</t>
  </si>
  <si>
    <t>Annual Burden per Source* (Hours)</t>
  </si>
  <si>
    <t>TOPS Data = 213 (Outstanding Initial Part 70 Applications)</t>
  </si>
  <si>
    <t>Increase based on more accurate data collection</t>
  </si>
  <si>
    <t>(2021$)</t>
  </si>
  <si>
    <t>Average Annual Cost (2021$)</t>
  </si>
  <si>
    <t>Table 11. Burden Change from 2018 ICR to Current ICR (hours)</t>
  </si>
  <si>
    <t>Average 
Annual Burden in 2018 ICR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</si>
</sst>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&quot;$&quot;#,##0.00"/>
    <numFmt numFmtId="166" formatCode="0.0"/>
    <numFmt numFmtId="167" formatCode="_(* #,##0_);_(* \(#,##0\);_(* &quot;-&quot;??_);_(@_)"/>
    <numFmt numFmtId="168" formatCode="_(* #,##0.0000_);_(* \(#,##0.0000\);_(* &quot;-&quot;??_);_(@_)"/>
    <numFmt numFmtId="169" formatCode="&quot;$&quot;#,##0"/>
    <numFmt numFmtId="170" formatCode="[$-409]mmmm\ d\,\ yyyy;@"/>
    <numFmt numFmtId="171" formatCode="mmm\ yyyy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0"/>
      <color theme="0" tint="-0.499984740745262"/>
      <name val="Times New Roman"/>
      <family val="1"/>
    </font>
    <font>
      <sz val="10"/>
      <color theme="0" tint="-0.499984740745262"/>
      <name val="Times New Roman"/>
      <family val="1"/>
    </font>
    <font>
      <i/>
      <sz val="9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1"/>
      <color theme="0" tint="-0.499984740745262"/>
      <name val="Times New Roman"/>
      <family val="1"/>
    </font>
    <font>
      <sz val="11"/>
      <color rgb="FF0070C0"/>
      <name val="Times New Roman"/>
      <family val="1"/>
    </font>
    <font>
      <u/>
      <sz val="11"/>
      <name val="Times New Roman"/>
      <family val="1"/>
    </font>
    <font>
      <u/>
      <sz val="11"/>
      <color indexed="12"/>
      <name val="Times New Roman"/>
      <family val="1"/>
    </font>
    <font>
      <b/>
      <u/>
      <sz val="11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8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i/>
      <sz val="11"/>
      <color theme="1" tint="0.499984740745262"/>
      <name val="Times New Roman"/>
      <family val="1"/>
    </font>
    <font>
      <sz val="11"/>
      <color theme="1" tint="0.499984740745262"/>
      <name val="Times New Roman"/>
      <family val="1"/>
    </font>
    <font>
      <b/>
      <i/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683">
    <xf numFmtId="0" fontId="0" fillId="0" borderId="0" xfId="0"/>
    <xf numFmtId="0" fontId="8" fillId="0" borderId="0" xfId="0" applyFont="1"/>
    <xf numFmtId="0" fontId="8" fillId="0" borderId="26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49" fontId="7" fillId="3" borderId="67" xfId="0" applyNumberFormat="1" applyFont="1" applyFill="1" applyBorder="1" applyAlignment="1">
      <alignment horizontal="center" wrapText="1"/>
    </xf>
    <xf numFmtId="49" fontId="7" fillId="3" borderId="68" xfId="0" applyNumberFormat="1" applyFont="1" applyFill="1" applyBorder="1" applyAlignment="1">
      <alignment horizontal="center" wrapText="1"/>
    </xf>
    <xf numFmtId="49" fontId="7" fillId="3" borderId="61" xfId="0" applyNumberFormat="1" applyFont="1" applyFill="1" applyBorder="1" applyAlignment="1">
      <alignment horizontal="center" wrapText="1"/>
    </xf>
    <xf numFmtId="49" fontId="7" fillId="3" borderId="23" xfId="0" applyNumberFormat="1" applyFont="1" applyFill="1" applyBorder="1" applyAlignment="1">
      <alignment horizontal="center" wrapText="1"/>
    </xf>
    <xf numFmtId="49" fontId="7" fillId="3" borderId="24" xfId="0" applyNumberFormat="1" applyFont="1" applyFill="1" applyBorder="1" applyAlignment="1">
      <alignment horizontal="center" wrapText="1"/>
    </xf>
    <xf numFmtId="0" fontId="8" fillId="0" borderId="26" xfId="0" applyFont="1" applyBorder="1" applyAlignment="1">
      <alignment vertical="center"/>
    </xf>
    <xf numFmtId="37" fontId="8" fillId="0" borderId="27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10" xfId="0" applyNumberFormat="1" applyFont="1" applyBorder="1" applyAlignment="1">
      <alignment horizontal="center" vertical="center"/>
    </xf>
    <xf numFmtId="37" fontId="8" fillId="0" borderId="11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37" fontId="8" fillId="0" borderId="103" xfId="0" applyNumberFormat="1" applyFont="1" applyBorder="1" applyAlignment="1">
      <alignment horizontal="center" vertical="center"/>
    </xf>
    <xf numFmtId="37" fontId="8" fillId="0" borderId="17" xfId="0" applyNumberFormat="1" applyFont="1" applyBorder="1" applyAlignment="1">
      <alignment horizontal="center" vertical="center"/>
    </xf>
    <xf numFmtId="37" fontId="8" fillId="0" borderId="18" xfId="0" applyNumberFormat="1" applyFont="1" applyBorder="1" applyAlignment="1">
      <alignment horizontal="center" vertical="center"/>
    </xf>
    <xf numFmtId="37" fontId="8" fillId="0" borderId="19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right" vertical="center"/>
    </xf>
    <xf numFmtId="37" fontId="7" fillId="0" borderId="37" xfId="0" applyNumberFormat="1" applyFont="1" applyBorder="1" applyAlignment="1">
      <alignment horizontal="center" vertical="center"/>
    </xf>
    <xf numFmtId="37" fontId="7" fillId="0" borderId="22" xfId="0" applyNumberFormat="1" applyFont="1" applyBorder="1" applyAlignment="1">
      <alignment horizontal="center" vertical="center"/>
    </xf>
    <xf numFmtId="37" fontId="7" fillId="0" borderId="23" xfId="0" applyNumberFormat="1" applyFont="1" applyBorder="1" applyAlignment="1">
      <alignment horizontal="center" vertical="center"/>
    </xf>
    <xf numFmtId="37" fontId="7" fillId="0" borderId="24" xfId="0" applyNumberFormat="1" applyFont="1" applyBorder="1" applyAlignment="1">
      <alignment horizontal="center" vertical="center"/>
    </xf>
    <xf numFmtId="49" fontId="7" fillId="3" borderId="80" xfId="0" applyNumberFormat="1" applyFont="1" applyFill="1" applyBorder="1" applyAlignment="1">
      <alignment horizontal="center" wrapText="1"/>
    </xf>
    <xf numFmtId="49" fontId="7" fillId="3" borderId="21" xfId="0" applyNumberFormat="1" applyFont="1" applyFill="1" applyBorder="1" applyAlignment="1">
      <alignment horizontal="center" wrapText="1"/>
    </xf>
    <xf numFmtId="169" fontId="8" fillId="0" borderId="9" xfId="2" applyNumberFormat="1" applyFont="1" applyBorder="1" applyAlignment="1">
      <alignment horizontal="center" vertical="center"/>
    </xf>
    <xf numFmtId="169" fontId="8" fillId="0" borderId="10" xfId="2" applyNumberFormat="1" applyFont="1" applyBorder="1" applyAlignment="1">
      <alignment horizontal="center" vertical="center"/>
    </xf>
    <xf numFmtId="169" fontId="8" fillId="0" borderId="11" xfId="2" applyNumberFormat="1" applyFont="1" applyBorder="1" applyAlignment="1">
      <alignment horizontal="center" vertical="center"/>
    </xf>
    <xf numFmtId="169" fontId="8" fillId="0" borderId="17" xfId="2" applyNumberFormat="1" applyFont="1" applyBorder="1" applyAlignment="1">
      <alignment horizontal="center" vertical="center"/>
    </xf>
    <xf numFmtId="169" fontId="8" fillId="0" borderId="18" xfId="2" applyNumberFormat="1" applyFont="1" applyBorder="1" applyAlignment="1">
      <alignment horizontal="center" vertical="center"/>
    </xf>
    <xf numFmtId="169" fontId="8" fillId="0" borderId="19" xfId="2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37" fontId="7" fillId="0" borderId="0" xfId="0" applyNumberFormat="1" applyFont="1" applyBorder="1" applyAlignment="1">
      <alignment horizontal="center" vertical="center"/>
    </xf>
    <xf numFmtId="49" fontId="7" fillId="3" borderId="67" xfId="0" applyNumberFormat="1" applyFont="1" applyFill="1" applyBorder="1" applyAlignment="1">
      <alignment horizontal="centerContinuous" vertical="center" wrapText="1"/>
    </xf>
    <xf numFmtId="49" fontId="7" fillId="3" borderId="61" xfId="0" applyNumberFormat="1" applyFont="1" applyFill="1" applyBorder="1" applyAlignment="1">
      <alignment horizontal="centerContinuous" vertical="center" wrapText="1"/>
    </xf>
    <xf numFmtId="49" fontId="7" fillId="3" borderId="79" xfId="0" applyNumberFormat="1" applyFont="1" applyFill="1" applyBorder="1" applyAlignment="1">
      <alignment horizontal="centerContinuous" vertical="center" wrapText="1"/>
    </xf>
    <xf numFmtId="49" fontId="7" fillId="3" borderId="36" xfId="0" applyNumberFormat="1" applyFont="1" applyFill="1" applyBorder="1" applyAlignment="1">
      <alignment horizontal="centerContinuous" vertical="center" wrapText="1"/>
    </xf>
    <xf numFmtId="49" fontId="7" fillId="3" borderId="36" xfId="0" applyNumberFormat="1" applyFont="1" applyFill="1" applyBorder="1" applyAlignment="1">
      <alignment horizontal="center" wrapText="1"/>
    </xf>
    <xf numFmtId="49" fontId="7" fillId="3" borderId="67" xfId="0" applyNumberFormat="1" applyFont="1" applyFill="1" applyBorder="1" applyAlignment="1">
      <alignment horizontal="centerContinuous" wrapText="1"/>
    </xf>
    <xf numFmtId="49" fontId="7" fillId="3" borderId="22" xfId="0" applyNumberFormat="1" applyFont="1" applyFill="1" applyBorder="1" applyAlignment="1">
      <alignment horizontal="center" vertical="center" wrapText="1"/>
    </xf>
    <xf numFmtId="49" fontId="7" fillId="3" borderId="80" xfId="0" applyNumberFormat="1" applyFont="1" applyFill="1" applyBorder="1" applyAlignment="1">
      <alignment horizontal="center" vertical="center" wrapText="1"/>
    </xf>
    <xf numFmtId="49" fontId="7" fillId="3" borderId="21" xfId="0" applyNumberFormat="1" applyFont="1" applyFill="1" applyBorder="1" applyAlignment="1">
      <alignment horizontal="center" vertical="center" wrapText="1"/>
    </xf>
    <xf numFmtId="37" fontId="8" fillId="0" borderId="16" xfId="0" applyNumberFormat="1" applyFont="1" applyFill="1" applyBorder="1" applyAlignment="1">
      <alignment horizontal="center" vertical="center"/>
    </xf>
    <xf numFmtId="169" fontId="8" fillId="0" borderId="16" xfId="2" applyNumberFormat="1" applyFont="1" applyBorder="1" applyAlignment="1">
      <alignment horizontal="center" vertical="center"/>
    </xf>
    <xf numFmtId="37" fontId="7" fillId="0" borderId="21" xfId="0" applyNumberFormat="1" applyFont="1" applyBorder="1" applyAlignment="1">
      <alignment horizontal="center" vertical="center"/>
    </xf>
    <xf numFmtId="49" fontId="7" fillId="3" borderId="36" xfId="0" applyNumberFormat="1" applyFont="1" applyFill="1" applyBorder="1" applyAlignment="1">
      <alignment horizontal="centerContinuous" wrapText="1"/>
    </xf>
    <xf numFmtId="37" fontId="8" fillId="0" borderId="57" xfId="0" applyNumberFormat="1" applyFont="1" applyBorder="1" applyAlignment="1">
      <alignment horizontal="center" vertical="center"/>
    </xf>
    <xf numFmtId="37" fontId="8" fillId="0" borderId="44" xfId="0" applyNumberFormat="1" applyFont="1" applyBorder="1" applyAlignment="1">
      <alignment horizontal="center" vertical="center"/>
    </xf>
    <xf numFmtId="3" fontId="8" fillId="0" borderId="57" xfId="0" applyNumberFormat="1" applyFont="1" applyBorder="1" applyAlignment="1">
      <alignment horizontal="center" vertical="center"/>
    </xf>
    <xf numFmtId="9" fontId="8" fillId="0" borderId="44" xfId="4" applyFont="1" applyBorder="1" applyAlignment="1">
      <alignment horizontal="center" vertical="center"/>
    </xf>
    <xf numFmtId="9" fontId="8" fillId="0" borderId="19" xfId="4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49" fontId="7" fillId="3" borderId="25" xfId="0" applyNumberFormat="1" applyFont="1" applyFill="1" applyBorder="1" applyAlignment="1">
      <alignment horizontal="centerContinuous" vertical="center" wrapText="1"/>
    </xf>
    <xf numFmtId="49" fontId="7" fillId="3" borderId="49" xfId="0" applyNumberFormat="1" applyFont="1" applyFill="1" applyBorder="1" applyAlignment="1">
      <alignment horizontal="centerContinuous" wrapText="1"/>
    </xf>
    <xf numFmtId="49" fontId="7" fillId="3" borderId="4" xfId="0" applyNumberFormat="1" applyFont="1" applyFill="1" applyBorder="1" applyAlignment="1">
      <alignment horizontal="centerContinuous" wrapText="1"/>
    </xf>
    <xf numFmtId="49" fontId="7" fillId="3" borderId="5" xfId="0" applyNumberFormat="1" applyFont="1" applyFill="1" applyBorder="1" applyAlignment="1">
      <alignment horizontal="centerContinuous" wrapText="1"/>
    </xf>
    <xf numFmtId="49" fontId="7" fillId="3" borderId="3" xfId="0" applyNumberFormat="1" applyFont="1" applyFill="1" applyBorder="1" applyAlignment="1">
      <alignment horizontal="centerContinuous" wrapText="1"/>
    </xf>
    <xf numFmtId="0" fontId="8" fillId="0" borderId="27" xfId="0" applyFont="1" applyBorder="1" applyAlignment="1">
      <alignment vertical="center"/>
    </xf>
    <xf numFmtId="37" fontId="8" fillId="0" borderId="42" xfId="0" applyNumberFormat="1" applyFont="1" applyBorder="1" applyAlignment="1">
      <alignment horizontal="center" vertical="center"/>
    </xf>
    <xf numFmtId="37" fontId="8" fillId="0" borderId="43" xfId="0" applyNumberFormat="1" applyFont="1" applyBorder="1" applyAlignment="1">
      <alignment horizontal="center" vertical="center"/>
    </xf>
    <xf numFmtId="0" fontId="8" fillId="0" borderId="102" xfId="0" applyFont="1" applyBorder="1" applyAlignment="1">
      <alignment vertical="center"/>
    </xf>
    <xf numFmtId="37" fontId="8" fillId="0" borderId="59" xfId="0" applyNumberFormat="1" applyFont="1" applyBorder="1" applyAlignment="1">
      <alignment horizontal="center" vertical="center"/>
    </xf>
    <xf numFmtId="37" fontId="8" fillId="0" borderId="46" xfId="0" applyNumberFormat="1" applyFont="1" applyBorder="1" applyAlignment="1">
      <alignment horizontal="center" vertical="center"/>
    </xf>
    <xf numFmtId="37" fontId="8" fillId="0" borderId="47" xfId="0" applyNumberFormat="1" applyFont="1" applyBorder="1" applyAlignment="1">
      <alignment horizontal="center" vertical="center"/>
    </xf>
    <xf numFmtId="37" fontId="8" fillId="0" borderId="48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NumberFormat="1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7" fillId="0" borderId="0" xfId="0" applyNumberFormat="1" applyFont="1" applyFill="1" applyAlignment="1">
      <alignment horizontal="center"/>
    </xf>
    <xf numFmtId="16" fontId="11" fillId="0" borderId="7" xfId="0" quotePrefix="1" applyNumberFormat="1" applyFont="1" applyFill="1" applyBorder="1" applyAlignment="1">
      <alignment horizontal="center"/>
    </xf>
    <xf numFmtId="0" fontId="12" fillId="0" borderId="0" xfId="0" applyNumberFormat="1" applyFont="1" applyFill="1" applyAlignment="1">
      <alignment horizontal="left"/>
    </xf>
    <xf numFmtId="16" fontId="11" fillId="0" borderId="12" xfId="0" quotePrefix="1" applyNumberFormat="1" applyFont="1" applyFill="1" applyBorder="1" applyAlignment="1">
      <alignment horizontal="center"/>
    </xf>
    <xf numFmtId="16" fontId="11" fillId="0" borderId="15" xfId="0" quotePrefix="1" applyNumberFormat="1" applyFont="1" applyFill="1" applyBorder="1" applyAlignment="1">
      <alignment horizontal="center"/>
    </xf>
    <xf numFmtId="0" fontId="7" fillId="0" borderId="94" xfId="0" applyNumberFormat="1" applyFont="1" applyFill="1" applyBorder="1" applyAlignment="1">
      <alignment horizontal="right"/>
    </xf>
    <xf numFmtId="0" fontId="7" fillId="0" borderId="80" xfId="0" applyNumberFormat="1" applyFont="1" applyFill="1" applyBorder="1" applyAlignment="1">
      <alignment horizontal="right"/>
    </xf>
    <xf numFmtId="0" fontId="7" fillId="0" borderId="23" xfId="0" applyNumberFormat="1" applyFont="1" applyFill="1" applyBorder="1" applyAlignment="1">
      <alignment horizontal="center"/>
    </xf>
    <xf numFmtId="0" fontId="8" fillId="0" borderId="24" xfId="0" applyNumberFormat="1" applyFont="1" applyFill="1" applyBorder="1" applyAlignment="1">
      <alignment horizontal="center"/>
    </xf>
    <xf numFmtId="0" fontId="11" fillId="0" borderId="0" xfId="0" applyFont="1" applyFill="1" applyBorder="1"/>
    <xf numFmtId="41" fontId="11" fillId="0" borderId="0" xfId="0" applyNumberFormat="1" applyFont="1" applyFill="1" applyBorder="1"/>
    <xf numFmtId="0" fontId="11" fillId="0" borderId="0" xfId="0" applyFont="1" applyFill="1"/>
    <xf numFmtId="0" fontId="8" fillId="0" borderId="0" xfId="0" applyFont="1" applyAlignment="1">
      <alignment horizontal="right"/>
    </xf>
    <xf numFmtId="0" fontId="7" fillId="2" borderId="34" xfId="0" applyNumberFormat="1" applyFont="1" applyFill="1" applyBorder="1" applyAlignment="1">
      <alignment horizontal="centerContinuous" wrapText="1"/>
    </xf>
    <xf numFmtId="0" fontId="7" fillId="2" borderId="23" xfId="0" applyNumberFormat="1" applyFont="1" applyFill="1" applyBorder="1" applyAlignment="1">
      <alignment horizontal="center" wrapText="1"/>
    </xf>
    <xf numFmtId="0" fontId="7" fillId="2" borderId="2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56" xfId="0" applyFont="1" applyBorder="1" applyAlignment="1"/>
    <xf numFmtId="0" fontId="8" fillId="0" borderId="10" xfId="0" applyNumberFormat="1" applyFont="1" applyBorder="1" applyAlignment="1">
      <alignment horizontal="center"/>
    </xf>
    <xf numFmtId="0" fontId="10" fillId="0" borderId="82" xfId="0" applyNumberFormat="1" applyFont="1" applyBorder="1" applyAlignment="1">
      <alignment horizontal="center"/>
    </xf>
    <xf numFmtId="0" fontId="8" fillId="0" borderId="56" xfId="0" applyNumberFormat="1" applyFont="1" applyFill="1" applyBorder="1" applyAlignment="1">
      <alignment horizontal="center"/>
    </xf>
    <xf numFmtId="0" fontId="8" fillId="0" borderId="55" xfId="0" applyFont="1" applyBorder="1" applyAlignment="1"/>
    <xf numFmtId="0" fontId="8" fillId="0" borderId="1" xfId="0" applyNumberFormat="1" applyFont="1" applyBorder="1" applyAlignment="1">
      <alignment horizontal="center"/>
    </xf>
    <xf numFmtId="0" fontId="10" fillId="0" borderId="4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90" xfId="0" applyFont="1" applyFill="1" applyBorder="1" applyAlignment="1">
      <alignment horizontal="right" vertical="center"/>
    </xf>
    <xf numFmtId="167" fontId="8" fillId="0" borderId="0" xfId="0" applyNumberFormat="1" applyFont="1" applyAlignment="1">
      <alignment horizontal="left" indent="3"/>
    </xf>
    <xf numFmtId="41" fontId="8" fillId="0" borderId="0" xfId="0" applyNumberFormat="1" applyFont="1"/>
    <xf numFmtId="0" fontId="10" fillId="0" borderId="89" xfId="0" applyFont="1" applyFill="1" applyBorder="1" applyAlignment="1">
      <alignment horizontal="right" vertical="center"/>
    </xf>
    <xf numFmtId="41" fontId="8" fillId="0" borderId="0" xfId="0" applyNumberFormat="1" applyFont="1" applyAlignment="1">
      <alignment horizontal="left" indent="3"/>
    </xf>
    <xf numFmtId="0" fontId="10" fillId="0" borderId="91" xfId="0" applyFont="1" applyFill="1" applyBorder="1" applyAlignment="1">
      <alignment horizontal="right" vertical="center"/>
    </xf>
    <xf numFmtId="41" fontId="8" fillId="0" borderId="0" xfId="0" applyNumberFormat="1" applyFont="1" applyAlignment="1">
      <alignment horizontal="left"/>
    </xf>
    <xf numFmtId="0" fontId="8" fillId="0" borderId="53" xfId="0" applyFont="1" applyBorder="1"/>
    <xf numFmtId="0" fontId="10" fillId="0" borderId="98" xfId="0" applyFont="1" applyFill="1" applyBorder="1" applyAlignment="1">
      <alignment horizontal="right" vertical="center"/>
    </xf>
    <xf numFmtId="0" fontId="7" fillId="0" borderId="56" xfId="0" applyFont="1" applyBorder="1" applyAlignment="1">
      <alignment horizontal="right"/>
    </xf>
    <xf numFmtId="0" fontId="8" fillId="0" borderId="12" xfId="0" applyFont="1" applyFill="1" applyBorder="1" applyAlignment="1"/>
    <xf numFmtId="0" fontId="8" fillId="0" borderId="55" xfId="0" applyFont="1" applyFill="1" applyBorder="1" applyAlignment="1"/>
    <xf numFmtId="0" fontId="8" fillId="0" borderId="40" xfId="0" applyNumberFormat="1" applyFont="1" applyBorder="1" applyAlignment="1">
      <alignment horizontal="center"/>
    </xf>
    <xf numFmtId="0" fontId="8" fillId="0" borderId="77" xfId="0" applyFont="1" applyBorder="1" applyAlignment="1"/>
    <xf numFmtId="0" fontId="8" fillId="0" borderId="18" xfId="0" applyNumberFormat="1" applyFont="1" applyBorder="1" applyAlignment="1">
      <alignment horizontal="center"/>
    </xf>
    <xf numFmtId="0" fontId="8" fillId="0" borderId="52" xfId="0" applyNumberFormat="1" applyFont="1" applyBorder="1" applyAlignment="1">
      <alignment horizontal="center"/>
    </xf>
    <xf numFmtId="0" fontId="7" fillId="0" borderId="94" xfId="0" applyFont="1" applyBorder="1" applyAlignment="1"/>
    <xf numFmtId="0" fontId="7" fillId="0" borderId="93" xfId="0" applyFont="1" applyBorder="1" applyAlignment="1">
      <alignment horizontal="right"/>
    </xf>
    <xf numFmtId="0" fontId="8" fillId="0" borderId="93" xfId="0" applyNumberFormat="1" applyFont="1" applyBorder="1" applyAlignment="1">
      <alignment horizontal="center"/>
    </xf>
    <xf numFmtId="0" fontId="7" fillId="0" borderId="93" xfId="0" applyNumberFormat="1" applyFont="1" applyBorder="1" applyAlignment="1">
      <alignment horizontal="right"/>
    </xf>
    <xf numFmtId="0" fontId="8" fillId="0" borderId="7" xfId="0" applyFont="1" applyBorder="1"/>
    <xf numFmtId="0" fontId="8" fillId="0" borderId="56" xfId="0" applyFont="1" applyBorder="1"/>
    <xf numFmtId="0" fontId="8" fillId="0" borderId="12" xfId="0" applyFont="1" applyBorder="1"/>
    <xf numFmtId="0" fontId="8" fillId="0" borderId="55" xfId="0" applyFont="1" applyFill="1" applyBorder="1"/>
    <xf numFmtId="41" fontId="8" fillId="0" borderId="0" xfId="0" applyNumberFormat="1" applyFont="1" applyFill="1"/>
    <xf numFmtId="0" fontId="8" fillId="0" borderId="26" xfId="0" applyFont="1" applyBorder="1"/>
    <xf numFmtId="0" fontId="8" fillId="0" borderId="14" xfId="0" applyFont="1" applyBorder="1" applyAlignment="1"/>
    <xf numFmtId="0" fontId="8" fillId="0" borderId="1" xfId="0" applyFont="1" applyBorder="1"/>
    <xf numFmtId="0" fontId="8" fillId="0" borderId="55" xfId="0" applyFont="1" applyBorder="1"/>
    <xf numFmtId="0" fontId="7" fillId="0" borderId="96" xfId="0" applyFont="1" applyBorder="1" applyAlignment="1">
      <alignment horizontal="right"/>
    </xf>
    <xf numFmtId="0" fontId="7" fillId="0" borderId="94" xfId="0" applyFont="1" applyBorder="1" applyAlignment="1">
      <alignment horizontal="right"/>
    </xf>
    <xf numFmtId="0" fontId="7" fillId="0" borderId="92" xfId="0" applyNumberFormat="1" applyFont="1" applyBorder="1" applyAlignment="1">
      <alignment horizontal="right"/>
    </xf>
    <xf numFmtId="169" fontId="7" fillId="0" borderId="0" xfId="2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41" fontId="8" fillId="0" borderId="0" xfId="0" applyNumberFormat="1" applyFont="1" applyFill="1" applyAlignment="1">
      <alignment vertical="center"/>
    </xf>
    <xf numFmtId="0" fontId="10" fillId="0" borderId="0" xfId="0" applyFont="1" applyFill="1"/>
    <xf numFmtId="0" fontId="1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Border="1"/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right"/>
    </xf>
    <xf numFmtId="0" fontId="7" fillId="0" borderId="0" xfId="0" applyFont="1" applyBorder="1"/>
    <xf numFmtId="0" fontId="13" fillId="0" borderId="0" xfId="0" applyFont="1"/>
    <xf numFmtId="0" fontId="9" fillId="0" borderId="0" xfId="0" applyFont="1" applyFill="1" applyBorder="1"/>
    <xf numFmtId="0" fontId="20" fillId="3" borderId="7" xfId="0" applyFont="1" applyFill="1" applyBorder="1" applyAlignment="1" applyProtection="1">
      <alignment horizontal="left" vertical="top"/>
    </xf>
    <xf numFmtId="0" fontId="9" fillId="3" borderId="42" xfId="0" applyFont="1" applyFill="1" applyBorder="1" applyAlignment="1" applyProtection="1">
      <alignment horizontal="left" vertical="top" wrapText="1"/>
    </xf>
    <xf numFmtId="0" fontId="9" fillId="3" borderId="8" xfId="0" applyFont="1" applyFill="1" applyBorder="1" applyAlignment="1" applyProtection="1">
      <alignment horizontal="left" vertical="top" wrapText="1"/>
    </xf>
    <xf numFmtId="0" fontId="9" fillId="0" borderId="0" xfId="0" applyFont="1" applyFill="1" applyAlignment="1" applyProtection="1">
      <alignment horizontal="left" vertical="top" wrapText="1"/>
    </xf>
    <xf numFmtId="0" fontId="9" fillId="0" borderId="0" xfId="0" applyFont="1"/>
    <xf numFmtId="0" fontId="20" fillId="3" borderId="2" xfId="0" applyFont="1" applyFill="1" applyBorder="1" applyAlignment="1" applyProtection="1">
      <alignment horizontal="left" vertical="top"/>
    </xf>
    <xf numFmtId="0" fontId="9" fillId="3" borderId="49" xfId="0" applyFont="1" applyFill="1" applyBorder="1" applyAlignment="1" applyProtection="1">
      <alignment horizontal="left" vertical="top" wrapText="1"/>
    </xf>
    <xf numFmtId="0" fontId="9" fillId="3" borderId="3" xfId="0" applyFont="1" applyFill="1" applyBorder="1" applyAlignment="1" applyProtection="1">
      <alignment horizontal="left" vertical="top" wrapText="1"/>
    </xf>
    <xf numFmtId="0" fontId="9" fillId="0" borderId="36" xfId="0" applyFont="1" applyFill="1" applyBorder="1" applyAlignment="1" applyProtection="1">
      <alignment vertical="top" wrapText="1"/>
    </xf>
    <xf numFmtId="0" fontId="13" fillId="0" borderId="0" xfId="0" applyFont="1" applyFill="1"/>
    <xf numFmtId="0" fontId="9" fillId="0" borderId="39" xfId="0" applyFont="1" applyFill="1" applyBorder="1" applyAlignment="1" applyProtection="1">
      <alignment vertical="top" wrapText="1"/>
    </xf>
    <xf numFmtId="0" fontId="20" fillId="8" borderId="7" xfId="0" applyFont="1" applyFill="1" applyBorder="1" applyAlignment="1" applyProtection="1">
      <alignment vertical="top"/>
    </xf>
    <xf numFmtId="0" fontId="9" fillId="8" borderId="42" xfId="0" applyFont="1" applyFill="1" applyBorder="1" applyAlignment="1" applyProtection="1">
      <alignment vertical="top" wrapText="1"/>
    </xf>
    <xf numFmtId="0" fontId="9" fillId="8" borderId="8" xfId="0" applyFont="1" applyFill="1" applyBorder="1" applyAlignment="1" applyProtection="1">
      <alignment vertical="top" wrapText="1"/>
    </xf>
    <xf numFmtId="0" fontId="15" fillId="0" borderId="87" xfId="0" applyFont="1" applyBorder="1" applyAlignment="1"/>
    <xf numFmtId="0" fontId="9" fillId="3" borderId="49" xfId="0" applyFont="1" applyFill="1" applyBorder="1" applyProtection="1"/>
    <xf numFmtId="0" fontId="9" fillId="3" borderId="3" xfId="0" applyFont="1" applyFill="1" applyBorder="1" applyProtection="1"/>
    <xf numFmtId="0" fontId="9" fillId="0" borderId="0" xfId="0" applyFont="1" applyFill="1" applyProtection="1"/>
    <xf numFmtId="0" fontId="9" fillId="0" borderId="0" xfId="0" applyFont="1" applyProtection="1"/>
    <xf numFmtId="0" fontId="21" fillId="0" borderId="10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7" fontId="21" fillId="0" borderId="47" xfId="0" applyNumberFormat="1" applyFont="1" applyFill="1" applyBorder="1" applyAlignment="1" applyProtection="1">
      <alignment horizontal="center"/>
    </xf>
    <xf numFmtId="7" fontId="9" fillId="0" borderId="0" xfId="0" applyNumberFormat="1" applyFont="1" applyFill="1" applyBorder="1" applyProtection="1"/>
    <xf numFmtId="164" fontId="9" fillId="0" borderId="0" xfId="0" applyNumberFormat="1" applyFont="1" applyFill="1" applyBorder="1" applyProtection="1"/>
    <xf numFmtId="0" fontId="9" fillId="0" borderId="0" xfId="0" applyFont="1" applyFill="1" applyBorder="1" applyProtection="1"/>
    <xf numFmtId="164" fontId="22" fillId="0" borderId="0" xfId="0" applyNumberFormat="1" applyFont="1" applyFill="1" applyBorder="1" applyProtection="1"/>
    <xf numFmtId="0" fontId="9" fillId="0" borderId="20" xfId="0" applyFont="1" applyFill="1" applyBorder="1" applyAlignment="1" applyProtection="1">
      <alignment horizontal="centerContinuous"/>
    </xf>
    <xf numFmtId="164" fontId="9" fillId="0" borderId="34" xfId="0" applyNumberFormat="1" applyFont="1" applyFill="1" applyBorder="1" applyAlignment="1" applyProtection="1">
      <alignment horizontal="centerContinuous"/>
    </xf>
    <xf numFmtId="0" fontId="9" fillId="0" borderId="34" xfId="0" applyFont="1" applyFill="1" applyBorder="1" applyAlignment="1" applyProtection="1">
      <alignment horizontal="centerContinuous"/>
    </xf>
    <xf numFmtId="0" fontId="9" fillId="0" borderId="21" xfId="0" applyFont="1" applyFill="1" applyBorder="1" applyAlignment="1" applyProtection="1">
      <alignment horizontal="centerContinuous"/>
    </xf>
    <xf numFmtId="0" fontId="27" fillId="0" borderId="35" xfId="0" applyFont="1" applyFill="1" applyBorder="1" applyAlignment="1" applyProtection="1">
      <alignment horizontal="left" vertical="top" indent="1"/>
    </xf>
    <xf numFmtId="0" fontId="9" fillId="0" borderId="54" xfId="0" applyFont="1" applyFill="1" applyBorder="1" applyAlignment="1" applyProtection="1">
      <alignment horizontal="left" vertical="top" wrapText="1"/>
    </xf>
    <xf numFmtId="165" fontId="9" fillId="0" borderId="87" xfId="0" applyNumberFormat="1" applyFont="1" applyFill="1" applyBorder="1"/>
    <xf numFmtId="49" fontId="9" fillId="0" borderId="0" xfId="0" applyNumberFormat="1" applyFont="1" applyFill="1" applyBorder="1"/>
    <xf numFmtId="0" fontId="9" fillId="0" borderId="39" xfId="0" applyFont="1" applyFill="1" applyBorder="1"/>
    <xf numFmtId="0" fontId="9" fillId="0" borderId="0" xfId="0" applyFont="1" applyFill="1"/>
    <xf numFmtId="0" fontId="25" fillId="0" borderId="0" xfId="3" applyFont="1" applyBorder="1" applyAlignment="1" applyProtection="1">
      <alignment horizontal="right"/>
    </xf>
    <xf numFmtId="171" fontId="9" fillId="0" borderId="0" xfId="0" applyNumberFormat="1" applyFont="1" applyBorder="1" applyAlignment="1">
      <alignment vertical="center"/>
    </xf>
    <xf numFmtId="0" fontId="9" fillId="0" borderId="87" xfId="0" applyFont="1" applyFill="1" applyBorder="1"/>
    <xf numFmtId="0" fontId="26" fillId="0" borderId="0" xfId="3" applyFont="1" applyFill="1" applyBorder="1" applyAlignment="1" applyProtection="1"/>
    <xf numFmtId="0" fontId="27" fillId="0" borderId="0" xfId="0" applyFont="1" applyBorder="1" applyAlignment="1">
      <alignment horizontal="center"/>
    </xf>
    <xf numFmtId="0" fontId="25" fillId="0" borderId="0" xfId="3" applyFont="1" applyBorder="1" applyAlignment="1" applyProtection="1">
      <alignment horizontal="left" indent="1"/>
    </xf>
    <xf numFmtId="0" fontId="9" fillId="0" borderId="0" xfId="0" applyFont="1" applyFill="1" applyBorder="1" applyAlignment="1">
      <alignment horizontal="left"/>
    </xf>
    <xf numFmtId="0" fontId="24" fillId="0" borderId="0" xfId="0" applyFont="1" applyBorder="1"/>
    <xf numFmtId="17" fontId="9" fillId="0" borderId="0" xfId="0" applyNumberFormat="1" applyFont="1" applyBorder="1" applyAlignment="1">
      <alignment horizontal="right"/>
    </xf>
    <xf numFmtId="166" fontId="9" fillId="0" borderId="0" xfId="0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/>
    </xf>
    <xf numFmtId="2" fontId="9" fillId="0" borderId="0" xfId="1" applyNumberFormat="1" applyFont="1" applyBorder="1" applyAlignment="1">
      <alignment horizontal="right"/>
    </xf>
    <xf numFmtId="17" fontId="9" fillId="0" borderId="0" xfId="0" applyNumberFormat="1" applyFont="1" applyBorder="1" applyAlignment="1">
      <alignment horizontal="left"/>
    </xf>
    <xf numFmtId="2" fontId="9" fillId="0" borderId="0" xfId="1" applyNumberFormat="1" applyFont="1" applyBorder="1" applyAlignment="1">
      <alignment horizontal="center"/>
    </xf>
    <xf numFmtId="165" fontId="20" fillId="0" borderId="87" xfId="0" applyNumberFormat="1" applyFont="1" applyFill="1" applyBorder="1"/>
    <xf numFmtId="0" fontId="20" fillId="0" borderId="0" xfId="0" applyFont="1" applyFill="1" applyBorder="1"/>
    <xf numFmtId="165" fontId="20" fillId="0" borderId="26" xfId="0" applyNumberFormat="1" applyFont="1" applyBorder="1"/>
    <xf numFmtId="0" fontId="20" fillId="0" borderId="69" xfId="0" applyFont="1" applyBorder="1"/>
    <xf numFmtId="0" fontId="26" fillId="0" borderId="69" xfId="3" applyFont="1" applyFill="1" applyBorder="1" applyAlignment="1" applyProtection="1"/>
    <xf numFmtId="0" fontId="9" fillId="0" borderId="69" xfId="0" applyFont="1" applyFill="1" applyBorder="1"/>
    <xf numFmtId="0" fontId="9" fillId="0" borderId="28" xfId="0" applyFont="1" applyFill="1" applyBorder="1"/>
    <xf numFmtId="0" fontId="27" fillId="0" borderId="87" xfId="0" applyFont="1" applyFill="1" applyBorder="1" applyAlignment="1" applyProtection="1">
      <alignment horizontal="left" vertical="top" indent="1"/>
    </xf>
    <xf numFmtId="0" fontId="9" fillId="0" borderId="0" xfId="0" applyFont="1" applyFill="1" applyBorder="1" applyAlignment="1" applyProtection="1">
      <alignment horizontal="left" vertical="top" wrapText="1"/>
    </xf>
    <xf numFmtId="165" fontId="9" fillId="0" borderId="87" xfId="0" applyNumberFormat="1" applyFont="1" applyBorder="1"/>
    <xf numFmtId="0" fontId="9" fillId="0" borderId="0" xfId="0" applyFont="1" applyBorder="1"/>
    <xf numFmtId="0" fontId="9" fillId="0" borderId="39" xfId="0" applyFont="1" applyBorder="1"/>
    <xf numFmtId="0" fontId="9" fillId="0" borderId="87" xfId="0" applyFont="1" applyBorder="1"/>
    <xf numFmtId="0" fontId="24" fillId="0" borderId="0" xfId="0" applyFont="1" applyBorder="1" applyAlignment="1"/>
    <xf numFmtId="0" fontId="26" fillId="0" borderId="0" xfId="3" applyFont="1" applyFill="1" applyBorder="1" applyAlignment="1" applyProtection="1">
      <alignment horizontal="left"/>
    </xf>
    <xf numFmtId="165" fontId="20" fillId="0" borderId="20" xfId="0" applyNumberFormat="1" applyFont="1" applyBorder="1"/>
    <xf numFmtId="0" fontId="20" fillId="0" borderId="0" xfId="0" applyFont="1" applyBorder="1"/>
    <xf numFmtId="0" fontId="9" fillId="0" borderId="34" xfId="0" applyFont="1" applyBorder="1"/>
    <xf numFmtId="44" fontId="20" fillId="0" borderId="0" xfId="2" applyFont="1" applyBorder="1"/>
    <xf numFmtId="168" fontId="9" fillId="0" borderId="0" xfId="0" applyNumberFormat="1" applyFont="1"/>
    <xf numFmtId="0" fontId="28" fillId="0" borderId="0" xfId="0" applyFont="1" applyBorder="1"/>
    <xf numFmtId="0" fontId="9" fillId="0" borderId="20" xfId="0" applyFont="1" applyBorder="1"/>
    <xf numFmtId="0" fontId="9" fillId="0" borderId="21" xfId="0" applyFont="1" applyBorder="1"/>
    <xf numFmtId="49" fontId="20" fillId="3" borderId="8" xfId="5" applyNumberFormat="1" applyFont="1" applyFill="1" applyBorder="1" applyAlignment="1">
      <alignment vertical="center"/>
    </xf>
    <xf numFmtId="49" fontId="20" fillId="3" borderId="26" xfId="5" applyNumberFormat="1" applyFont="1" applyFill="1" applyBorder="1" applyAlignment="1">
      <alignment horizontal="left" vertical="center"/>
    </xf>
    <xf numFmtId="49" fontId="20" fillId="3" borderId="69" xfId="5" applyNumberFormat="1" applyFont="1" applyFill="1" applyBorder="1" applyAlignment="1">
      <alignment horizontal="left" vertical="center"/>
    </xf>
    <xf numFmtId="49" fontId="20" fillId="3" borderId="28" xfId="5" applyNumberFormat="1" applyFont="1" applyFill="1" applyBorder="1" applyAlignment="1">
      <alignment vertical="center"/>
    </xf>
    <xf numFmtId="16" fontId="13" fillId="3" borderId="14" xfId="5" quotePrefix="1" applyNumberFormat="1" applyFont="1" applyFill="1" applyBorder="1" applyAlignment="1">
      <alignment horizontal="left"/>
    </xf>
    <xf numFmtId="170" fontId="13" fillId="3" borderId="40" xfId="5" quotePrefix="1" applyNumberFormat="1" applyFont="1" applyFill="1" applyBorder="1" applyAlignment="1">
      <alignment horizontal="center"/>
    </xf>
    <xf numFmtId="0" fontId="9" fillId="3" borderId="13" xfId="5" applyFont="1" applyFill="1" applyBorder="1"/>
    <xf numFmtId="16" fontId="13" fillId="0" borderId="14" xfId="5" quotePrefix="1" applyNumberFormat="1" applyFont="1" applyFill="1" applyBorder="1" applyAlignment="1">
      <alignment horizontal="left"/>
    </xf>
    <xf numFmtId="170" fontId="13" fillId="0" borderId="40" xfId="5" quotePrefix="1" applyNumberFormat="1" applyFont="1" applyFill="1" applyBorder="1" applyAlignment="1">
      <alignment horizontal="center"/>
    </xf>
    <xf numFmtId="0" fontId="9" fillId="0" borderId="1" xfId="5" applyNumberFormat="1" applyFont="1" applyFill="1" applyBorder="1" applyAlignment="1">
      <alignment horizontal="center"/>
    </xf>
    <xf numFmtId="0" fontId="9" fillId="0" borderId="13" xfId="5" applyFont="1" applyBorder="1"/>
    <xf numFmtId="16" fontId="13" fillId="0" borderId="46" xfId="5" quotePrefix="1" applyNumberFormat="1" applyFont="1" applyFill="1" applyBorder="1" applyAlignment="1">
      <alignment horizontal="left"/>
    </xf>
    <xf numFmtId="170" fontId="13" fillId="0" borderId="104" xfId="5" quotePrefix="1" applyNumberFormat="1" applyFont="1" applyFill="1" applyBorder="1" applyAlignment="1">
      <alignment horizontal="center"/>
    </xf>
    <xf numFmtId="0" fontId="9" fillId="0" borderId="47" xfId="5" applyNumberFormat="1" applyFont="1" applyFill="1" applyBorder="1" applyAlignment="1">
      <alignment horizontal="center"/>
    </xf>
    <xf numFmtId="0" fontId="20" fillId="3" borderId="2" xfId="5" applyFont="1" applyFill="1" applyBorder="1" applyAlignment="1">
      <alignment vertical="center"/>
    </xf>
    <xf numFmtId="0" fontId="20" fillId="3" borderId="49" xfId="5" applyFont="1" applyFill="1" applyBorder="1" applyAlignment="1">
      <alignment vertical="center"/>
    </xf>
    <xf numFmtId="49" fontId="20" fillId="3" borderId="3" xfId="5" applyNumberFormat="1" applyFont="1" applyFill="1" applyBorder="1" applyAlignment="1">
      <alignment vertical="center"/>
    </xf>
    <xf numFmtId="0" fontId="9" fillId="0" borderId="0" xfId="5" applyFont="1"/>
    <xf numFmtId="0" fontId="20" fillId="0" borderId="2" xfId="5" applyFont="1" applyFill="1" applyBorder="1" applyAlignment="1">
      <alignment vertical="center"/>
    </xf>
    <xf numFmtId="0" fontId="9" fillId="0" borderId="0" xfId="5" applyFont="1" applyFill="1"/>
    <xf numFmtId="0" fontId="9" fillId="0" borderId="2" xfId="5" applyFont="1" applyFill="1" applyBorder="1"/>
    <xf numFmtId="0" fontId="9" fillId="0" borderId="60" xfId="5" applyFont="1" applyFill="1" applyBorder="1" applyAlignment="1">
      <alignment horizontal="right"/>
    </xf>
    <xf numFmtId="0" fontId="9" fillId="0" borderId="3" xfId="5" applyFont="1" applyBorder="1"/>
    <xf numFmtId="0" fontId="9" fillId="0" borderId="35" xfId="5" applyFont="1" applyFill="1" applyBorder="1"/>
    <xf numFmtId="0" fontId="9" fillId="0" borderId="54" xfId="5" applyFont="1" applyFill="1" applyBorder="1" applyAlignment="1">
      <alignment horizontal="right"/>
    </xf>
    <xf numFmtId="0" fontId="9" fillId="0" borderId="54" xfId="5" applyNumberFormat="1" applyFont="1" applyFill="1" applyBorder="1" applyAlignment="1">
      <alignment horizontal="center"/>
    </xf>
    <xf numFmtId="0" fontId="9" fillId="0" borderId="36" xfId="5" applyFont="1" applyBorder="1"/>
    <xf numFmtId="16" fontId="20" fillId="3" borderId="7" xfId="5" applyNumberFormat="1" applyFont="1" applyFill="1" applyBorder="1" applyAlignment="1">
      <alignment horizontal="left" vertical="center"/>
    </xf>
    <xf numFmtId="16" fontId="20" fillId="3" borderId="42" xfId="5" applyNumberFormat="1" applyFont="1" applyFill="1" applyBorder="1" applyAlignment="1">
      <alignment horizontal="left" vertical="center"/>
    </xf>
    <xf numFmtId="16" fontId="20" fillId="3" borderId="87" xfId="5" applyNumberFormat="1" applyFont="1" applyFill="1" applyBorder="1" applyAlignment="1">
      <alignment horizontal="left" vertical="center"/>
    </xf>
    <xf numFmtId="0" fontId="9" fillId="3" borderId="0" xfId="5" applyFont="1" applyFill="1" applyBorder="1" applyAlignment="1">
      <alignment vertical="center"/>
    </xf>
    <xf numFmtId="49" fontId="20" fillId="3" borderId="24" xfId="5" applyNumberFormat="1" applyFont="1" applyFill="1" applyBorder="1" applyAlignment="1">
      <alignment vertical="center"/>
    </xf>
    <xf numFmtId="0" fontId="9" fillId="0" borderId="1" xfId="5" applyFont="1" applyBorder="1" applyAlignment="1">
      <alignment horizontal="center"/>
    </xf>
    <xf numFmtId="0" fontId="9" fillId="0" borderId="44" xfId="5" applyFont="1" applyBorder="1"/>
    <xf numFmtId="0" fontId="9" fillId="0" borderId="0" xfId="5" applyFont="1" applyAlignment="1">
      <alignment vertical="center"/>
    </xf>
    <xf numFmtId="0" fontId="9" fillId="0" borderId="0" xfId="5" applyFont="1" applyFill="1" applyBorder="1" applyAlignment="1">
      <alignment horizontal="left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0" xfId="5" applyFont="1" applyFill="1" applyBorder="1"/>
    <xf numFmtId="16" fontId="20" fillId="3" borderId="57" xfId="5" applyNumberFormat="1" applyFont="1" applyFill="1" applyBorder="1" applyAlignment="1">
      <alignment horizontal="left" vertical="center"/>
    </xf>
    <xf numFmtId="49" fontId="20" fillId="3" borderId="8" xfId="5" applyNumberFormat="1" applyFont="1" applyFill="1" applyBorder="1" applyAlignment="1">
      <alignment horizontal="left" vertical="center"/>
    </xf>
    <xf numFmtId="16" fontId="20" fillId="3" borderId="0" xfId="5" applyNumberFormat="1" applyFont="1" applyFill="1" applyBorder="1" applyAlignment="1">
      <alignment horizontal="left" vertical="center"/>
    </xf>
    <xf numFmtId="49" fontId="20" fillId="3" borderId="11" xfId="5" applyNumberFormat="1" applyFont="1" applyFill="1" applyBorder="1" applyAlignment="1">
      <alignment horizontal="left" vertical="center"/>
    </xf>
    <xf numFmtId="16" fontId="20" fillId="3" borderId="20" xfId="5" applyNumberFormat="1" applyFont="1" applyFill="1" applyBorder="1" applyAlignment="1">
      <alignment horizontal="left" vertical="center"/>
    </xf>
    <xf numFmtId="16" fontId="20" fillId="3" borderId="34" xfId="5" applyNumberFormat="1" applyFont="1" applyFill="1" applyBorder="1" applyAlignment="1">
      <alignment horizontal="left" vertical="center"/>
    </xf>
    <xf numFmtId="0" fontId="9" fillId="0" borderId="47" xfId="5" applyFont="1" applyBorder="1" applyAlignment="1">
      <alignment horizontal="center"/>
    </xf>
    <xf numFmtId="0" fontId="9" fillId="0" borderId="48" xfId="5" applyFont="1" applyBorder="1"/>
    <xf numFmtId="0" fontId="9" fillId="0" borderId="0" xfId="5" applyFont="1" applyBorder="1" applyAlignment="1">
      <alignment horizontal="center"/>
    </xf>
    <xf numFmtId="0" fontId="9" fillId="0" borderId="0" xfId="5" applyFont="1" applyBorder="1"/>
    <xf numFmtId="16" fontId="20" fillId="3" borderId="78" xfId="5" applyNumberFormat="1" applyFont="1" applyFill="1" applyBorder="1" applyAlignment="1">
      <alignment horizontal="left" vertical="center"/>
    </xf>
    <xf numFmtId="49" fontId="20" fillId="3" borderId="45" xfId="5" applyNumberFormat="1" applyFont="1" applyFill="1" applyBorder="1" applyAlignment="1"/>
    <xf numFmtId="170" fontId="13" fillId="0" borderId="1" xfId="5" applyNumberFormat="1" applyFont="1" applyBorder="1" applyAlignment="1">
      <alignment horizontal="center"/>
    </xf>
    <xf numFmtId="170" fontId="13" fillId="0" borderId="47" xfId="5" applyNumberFormat="1" applyFont="1" applyBorder="1" applyAlignment="1">
      <alignment horizontal="center"/>
    </xf>
    <xf numFmtId="0" fontId="20" fillId="3" borderId="60" xfId="5" applyFont="1" applyFill="1" applyBorder="1" applyAlignment="1">
      <alignment horizontal="center" vertical="center"/>
    </xf>
    <xf numFmtId="16" fontId="20" fillId="3" borderId="42" xfId="5" applyNumberFormat="1" applyFont="1" applyFill="1" applyBorder="1" applyAlignment="1">
      <alignment horizontal="center" vertical="center"/>
    </xf>
    <xf numFmtId="49" fontId="20" fillId="3" borderId="66" xfId="5" applyNumberFormat="1" applyFont="1" applyFill="1" applyBorder="1" applyAlignment="1">
      <alignment horizontal="center" vertical="center"/>
    </xf>
    <xf numFmtId="0" fontId="9" fillId="0" borderId="0" xfId="5" applyFont="1" applyAlignment="1">
      <alignment horizontal="center"/>
    </xf>
    <xf numFmtId="49" fontId="20" fillId="3" borderId="10" xfId="5" applyNumberFormat="1" applyFont="1" applyFill="1" applyBorder="1" applyAlignment="1">
      <alignment horizontal="center" vertical="center"/>
    </xf>
    <xf numFmtId="49" fontId="20" fillId="3" borderId="1" xfId="5" applyNumberFormat="1" applyFont="1" applyFill="1" applyBorder="1" applyAlignment="1">
      <alignment horizontal="center" vertical="center"/>
    </xf>
    <xf numFmtId="49" fontId="20" fillId="3" borderId="1" xfId="5" applyNumberFormat="1" applyFont="1" applyFill="1" applyBorder="1" applyAlignment="1">
      <alignment horizontal="center"/>
    </xf>
    <xf numFmtId="0" fontId="13" fillId="0" borderId="34" xfId="5" applyFont="1" applyFill="1" applyBorder="1" applyAlignment="1">
      <alignment horizontal="center" vertical="center"/>
    </xf>
    <xf numFmtId="0" fontId="32" fillId="3" borderId="61" xfId="5" applyFont="1" applyFill="1" applyBorder="1" applyAlignment="1">
      <alignment horizontal="center" vertical="center" wrapText="1"/>
    </xf>
    <xf numFmtId="0" fontId="32" fillId="3" borderId="62" xfId="5" applyFont="1" applyFill="1" applyBorder="1" applyAlignment="1">
      <alignment horizontal="center" vertical="center" wrapText="1"/>
    </xf>
    <xf numFmtId="0" fontId="33" fillId="3" borderId="24" xfId="5" applyFont="1" applyFill="1" applyBorder="1" applyAlignment="1">
      <alignment horizontal="left" vertical="center" wrapText="1"/>
    </xf>
    <xf numFmtId="0" fontId="20" fillId="0" borderId="20" xfId="5" applyFont="1" applyFill="1" applyBorder="1" applyAlignment="1">
      <alignment vertical="center"/>
    </xf>
    <xf numFmtId="0" fontId="9" fillId="0" borderId="21" xfId="5" applyFont="1" applyFill="1" applyBorder="1" applyAlignment="1">
      <alignment vertical="center"/>
    </xf>
    <xf numFmtId="0" fontId="9" fillId="0" borderId="3" xfId="5" applyFont="1" applyFill="1" applyBorder="1" applyAlignment="1">
      <alignment vertical="center"/>
    </xf>
    <xf numFmtId="1" fontId="9" fillId="0" borderId="0" xfId="5" applyNumberFormat="1" applyFont="1" applyFill="1" applyAlignment="1">
      <alignment horizontal="center"/>
    </xf>
    <xf numFmtId="0" fontId="9" fillId="0" borderId="0" xfId="5" applyFont="1" applyFill="1" applyAlignment="1">
      <alignment horizontal="center" vertical="center"/>
    </xf>
    <xf numFmtId="0" fontId="13" fillId="0" borderId="49" xfId="5" applyFont="1" applyFill="1" applyBorder="1" applyAlignment="1">
      <alignment horizontal="center" vertical="center"/>
    </xf>
    <xf numFmtId="0" fontId="13" fillId="0" borderId="0" xfId="5" applyFont="1" applyFill="1" applyAlignment="1">
      <alignment horizontal="center"/>
    </xf>
    <xf numFmtId="0" fontId="29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13" fillId="0" borderId="0" xfId="0" applyFont="1" applyAlignment="1">
      <alignment horizontal="right"/>
    </xf>
    <xf numFmtId="49" fontId="14" fillId="3" borderId="2" xfId="0" applyNumberFormat="1" applyFont="1" applyFill="1" applyBorder="1" applyAlignment="1">
      <alignment horizontal="center"/>
    </xf>
    <xf numFmtId="49" fontId="14" fillId="3" borderId="3" xfId="0" applyNumberFormat="1" applyFont="1" applyFill="1" applyBorder="1" applyAlignment="1">
      <alignment horizontal="center"/>
    </xf>
    <xf numFmtId="49" fontId="14" fillId="3" borderId="61" xfId="0" applyNumberFormat="1" applyFont="1" applyFill="1" applyBorder="1" applyAlignment="1">
      <alignment horizontal="center" wrapText="1"/>
    </xf>
    <xf numFmtId="49" fontId="14" fillId="0" borderId="0" xfId="0" applyNumberFormat="1" applyFont="1" applyFill="1" applyBorder="1" applyAlignment="1">
      <alignment horizontal="center" wrapText="1"/>
    </xf>
    <xf numFmtId="0" fontId="31" fillId="0" borderId="0" xfId="0" applyFont="1" applyFill="1" applyAlignment="1">
      <alignment horizontal="right"/>
    </xf>
    <xf numFmtId="49" fontId="14" fillId="0" borderId="0" xfId="0" applyNumberFormat="1" applyFont="1" applyFill="1" applyAlignment="1">
      <alignment horizontal="center"/>
    </xf>
    <xf numFmtId="16" fontId="13" fillId="0" borderId="7" xfId="0" quotePrefix="1" applyNumberFormat="1" applyFont="1" applyFill="1" applyBorder="1" applyAlignment="1">
      <alignment horizontal="center"/>
    </xf>
    <xf numFmtId="170" fontId="13" fillId="0" borderId="42" xfId="0" quotePrefix="1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 vertical="center"/>
    </xf>
    <xf numFmtId="49" fontId="30" fillId="0" borderId="0" xfId="0" applyNumberFormat="1" applyFont="1" applyFill="1" applyAlignment="1">
      <alignment horizontal="center"/>
    </xf>
    <xf numFmtId="16" fontId="13" fillId="0" borderId="12" xfId="0" quotePrefix="1" applyNumberFormat="1" applyFont="1" applyFill="1" applyBorder="1" applyAlignment="1">
      <alignment horizontal="center"/>
    </xf>
    <xf numFmtId="170" fontId="13" fillId="0" borderId="41" xfId="0" quotePrefix="1" applyNumberFormat="1" applyFont="1" applyFill="1" applyBorder="1" applyAlignment="1">
      <alignment horizontal="center"/>
    </xf>
    <xf numFmtId="16" fontId="13" fillId="0" borderId="15" xfId="0" quotePrefix="1" applyNumberFormat="1" applyFont="1" applyFill="1" applyBorder="1" applyAlignment="1">
      <alignment horizontal="center"/>
    </xf>
    <xf numFmtId="170" fontId="13" fillId="0" borderId="81" xfId="0" quotePrefix="1" applyNumberFormat="1" applyFont="1" applyFill="1" applyBorder="1" applyAlignment="1">
      <alignment horizontal="center"/>
    </xf>
    <xf numFmtId="16" fontId="14" fillId="0" borderId="20" xfId="0" applyNumberFormat="1" applyFont="1" applyFill="1" applyBorder="1" applyAlignment="1">
      <alignment horizontal="right"/>
    </xf>
    <xf numFmtId="16" fontId="14" fillId="0" borderId="34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16" fontId="19" fillId="0" borderId="54" xfId="0" applyNumberFormat="1" applyFont="1" applyFill="1" applyBorder="1" applyAlignment="1">
      <alignment horizontal="left"/>
    </xf>
    <xf numFmtId="16" fontId="14" fillId="3" borderId="2" xfId="0" applyNumberFormat="1" applyFont="1" applyFill="1" applyBorder="1" applyAlignment="1">
      <alignment vertical="center"/>
    </xf>
    <xf numFmtId="0" fontId="13" fillId="3" borderId="49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41" fontId="13" fillId="0" borderId="0" xfId="0" applyNumberFormat="1" applyFont="1" applyFill="1"/>
    <xf numFmtId="43" fontId="13" fillId="0" borderId="0" xfId="0" applyNumberFormat="1" applyFont="1" applyFill="1"/>
    <xf numFmtId="0" fontId="14" fillId="0" borderId="20" xfId="0" applyFont="1" applyFill="1" applyBorder="1" applyAlignment="1">
      <alignment horizontal="right" vertical="center"/>
    </xf>
    <xf numFmtId="0" fontId="14" fillId="3" borderId="20" xfId="0" applyFont="1" applyFill="1" applyBorder="1" applyAlignment="1">
      <alignment horizontal="centerContinuous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wrapText="1"/>
    </xf>
    <xf numFmtId="0" fontId="13" fillId="0" borderId="7" xfId="0" applyFont="1" applyFill="1" applyBorder="1" applyAlignment="1">
      <alignment vertical="center"/>
    </xf>
    <xf numFmtId="0" fontId="16" fillId="0" borderId="42" xfId="0" applyFont="1" applyFill="1" applyBorder="1" applyAlignment="1">
      <alignment horizontal="right" vertical="center"/>
    </xf>
    <xf numFmtId="41" fontId="13" fillId="0" borderId="0" xfId="0" applyNumberFormat="1" applyFont="1" applyFill="1" applyAlignment="1">
      <alignment horizontal="right"/>
    </xf>
    <xf numFmtId="0" fontId="31" fillId="0" borderId="0" xfId="0" applyFont="1" applyFill="1" applyAlignment="1">
      <alignment horizontal="right" wrapText="1"/>
    </xf>
    <xf numFmtId="43" fontId="13" fillId="0" borderId="0" xfId="0" applyNumberFormat="1" applyFont="1" applyFill="1" applyAlignment="1">
      <alignment wrapText="1"/>
    </xf>
    <xf numFmtId="0" fontId="13" fillId="0" borderId="12" xfId="0" applyFont="1" applyFill="1" applyBorder="1" applyAlignment="1">
      <alignment vertical="center"/>
    </xf>
    <xf numFmtId="0" fontId="16" fillId="0" borderId="41" xfId="0" applyFont="1" applyFill="1" applyBorder="1" applyAlignment="1">
      <alignment horizontal="right" vertical="center"/>
    </xf>
    <xf numFmtId="0" fontId="13" fillId="0" borderId="30" xfId="0" applyFont="1" applyFill="1" applyBorder="1" applyAlignment="1">
      <alignment vertical="center"/>
    </xf>
    <xf numFmtId="0" fontId="16" fillId="0" borderId="59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right" vertical="center"/>
    </xf>
    <xf numFmtId="0" fontId="14" fillId="0" borderId="49" xfId="0" applyFont="1" applyFill="1" applyBorder="1" applyAlignment="1">
      <alignment horizontal="right" vertical="center"/>
    </xf>
    <xf numFmtId="0" fontId="13" fillId="0" borderId="0" xfId="0" applyNumberFormat="1" applyFont="1" applyFill="1"/>
    <xf numFmtId="0" fontId="13" fillId="0" borderId="0" xfId="0" applyNumberFormat="1" applyFont="1" applyFill="1" applyAlignment="1"/>
    <xf numFmtId="41" fontId="13" fillId="0" borderId="0" xfId="0" applyNumberFormat="1" applyFont="1" applyFill="1" applyAlignment="1"/>
    <xf numFmtId="0" fontId="13" fillId="0" borderId="0" xfId="0" applyFont="1" applyFill="1" applyAlignment="1">
      <alignment vertical="center"/>
    </xf>
    <xf numFmtId="0" fontId="13" fillId="3" borderId="67" xfId="0" applyFont="1" applyFill="1" applyBorder="1" applyAlignment="1">
      <alignment vertical="center"/>
    </xf>
    <xf numFmtId="0" fontId="14" fillId="3" borderId="61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right" vertical="center"/>
    </xf>
    <xf numFmtId="0" fontId="13" fillId="3" borderId="63" xfId="0" applyFont="1" applyFill="1" applyBorder="1" applyAlignment="1">
      <alignment vertical="center"/>
    </xf>
    <xf numFmtId="0" fontId="14" fillId="3" borderId="62" xfId="0" applyFont="1" applyFill="1" applyBorder="1" applyAlignment="1">
      <alignment horizontal="center" vertical="center"/>
    </xf>
    <xf numFmtId="0" fontId="14" fillId="4" borderId="63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14" fillId="6" borderId="88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vertical="center"/>
    </xf>
    <xf numFmtId="49" fontId="14" fillId="3" borderId="24" xfId="0" applyNumberFormat="1" applyFont="1" applyFill="1" applyBorder="1" applyAlignment="1">
      <alignment horizontal="center" vertical="center"/>
    </xf>
    <xf numFmtId="9" fontId="14" fillId="4" borderId="22" xfId="0" applyNumberFormat="1" applyFont="1" applyFill="1" applyBorder="1" applyAlignment="1">
      <alignment horizontal="center" vertical="center"/>
    </xf>
    <xf numFmtId="9" fontId="14" fillId="5" borderId="22" xfId="0" applyNumberFormat="1" applyFont="1" applyFill="1" applyBorder="1" applyAlignment="1">
      <alignment horizontal="centerContinuous" vertical="center"/>
    </xf>
    <xf numFmtId="9" fontId="14" fillId="6" borderId="24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right" vertical="center"/>
    </xf>
    <xf numFmtId="0" fontId="34" fillId="0" borderId="0" xfId="0" applyFont="1" applyFill="1"/>
    <xf numFmtId="0" fontId="20" fillId="3" borderId="49" xfId="0" applyFont="1" applyFill="1" applyBorder="1" applyAlignment="1">
      <alignment vertical="center"/>
    </xf>
    <xf numFmtId="0" fontId="9" fillId="3" borderId="49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16" fontId="35" fillId="0" borderId="0" xfId="0" applyNumberFormat="1" applyFont="1" applyFill="1" applyBorder="1"/>
    <xf numFmtId="0" fontId="27" fillId="0" borderId="0" xfId="0" applyFont="1" applyAlignment="1"/>
    <xf numFmtId="7" fontId="20" fillId="3" borderId="49" xfId="2" applyNumberFormat="1" applyFont="1" applyFill="1" applyBorder="1" applyAlignment="1">
      <alignment horizontal="left" vertical="center"/>
    </xf>
    <xf numFmtId="0" fontId="20" fillId="3" borderId="2" xfId="0" applyNumberFormat="1" applyFont="1" applyFill="1" applyBorder="1" applyAlignment="1">
      <alignment horizontal="left" vertical="center"/>
    </xf>
    <xf numFmtId="0" fontId="20" fillId="3" borderId="2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2" borderId="80" xfId="0" applyNumberFormat="1" applyFont="1" applyFill="1" applyBorder="1" applyAlignment="1">
      <alignment horizontal="centerContinuous" wrapText="1"/>
    </xf>
    <xf numFmtId="0" fontId="20" fillId="3" borderId="49" xfId="0" applyNumberFormat="1" applyFont="1" applyFill="1" applyBorder="1" applyAlignment="1">
      <alignment horizontal="right" vertical="center"/>
    </xf>
    <xf numFmtId="169" fontId="7" fillId="0" borderId="22" xfId="0" applyNumberFormat="1" applyFont="1" applyBorder="1" applyAlignment="1">
      <alignment horizontal="center" vertical="center"/>
    </xf>
    <xf numFmtId="0" fontId="9" fillId="0" borderId="12" xfId="5" applyFont="1" applyFill="1" applyBorder="1" applyAlignment="1"/>
    <xf numFmtId="0" fontId="32" fillId="0" borderId="45" xfId="5" applyFont="1" applyFill="1" applyBorder="1"/>
    <xf numFmtId="0" fontId="9" fillId="0" borderId="12" xfId="5" applyFont="1" applyFill="1" applyBorder="1" applyAlignment="1">
      <alignment vertical="center"/>
    </xf>
    <xf numFmtId="0" fontId="32" fillId="0" borderId="45" xfId="5" applyFont="1" applyFill="1" applyBorder="1" applyAlignment="1">
      <alignment wrapText="1"/>
    </xf>
    <xf numFmtId="0" fontId="9" fillId="0" borderId="0" xfId="5" applyFont="1" applyFill="1" applyAlignment="1"/>
    <xf numFmtId="0" fontId="9" fillId="0" borderId="31" xfId="5" applyFont="1" applyFill="1" applyBorder="1" applyAlignment="1"/>
    <xf numFmtId="0" fontId="32" fillId="0" borderId="71" xfId="5" applyFont="1" applyFill="1" applyBorder="1" applyAlignment="1">
      <alignment vertical="center"/>
    </xf>
    <xf numFmtId="0" fontId="9" fillId="0" borderId="31" xfId="5" applyFont="1" applyFill="1" applyBorder="1" applyAlignment="1" applyProtection="1">
      <alignment wrapText="1"/>
      <protection locked="0"/>
    </xf>
    <xf numFmtId="0" fontId="9" fillId="0" borderId="72" xfId="5" applyFont="1" applyFill="1" applyBorder="1" applyAlignment="1"/>
    <xf numFmtId="0" fontId="32" fillId="0" borderId="74" xfId="5" applyFont="1" applyFill="1" applyBorder="1"/>
    <xf numFmtId="0" fontId="9" fillId="0" borderId="30" xfId="5" applyFont="1" applyFill="1" applyBorder="1" applyAlignment="1"/>
    <xf numFmtId="0" fontId="32" fillId="0" borderId="48" xfId="5" applyFont="1" applyFill="1" applyBorder="1"/>
    <xf numFmtId="0" fontId="9" fillId="0" borderId="0" xfId="5" applyFont="1" applyFill="1" applyBorder="1" applyAlignment="1"/>
    <xf numFmtId="0" fontId="18" fillId="0" borderId="0" xfId="5" applyNumberFormat="1" applyFont="1" applyFill="1" applyBorder="1" applyAlignment="1">
      <alignment horizontal="center"/>
    </xf>
    <xf numFmtId="0" fontId="9" fillId="0" borderId="0" xfId="5" applyNumberFormat="1" applyFont="1" applyFill="1" applyBorder="1" applyAlignment="1">
      <alignment horizontal="center"/>
    </xf>
    <xf numFmtId="0" fontId="32" fillId="0" borderId="0" xfId="5" applyFont="1" applyFill="1" applyBorder="1"/>
    <xf numFmtId="0" fontId="9" fillId="9" borderId="26" xfId="5" applyFont="1" applyFill="1" applyBorder="1"/>
    <xf numFmtId="0" fontId="32" fillId="9" borderId="45" xfId="5" applyFont="1" applyFill="1" applyBorder="1"/>
    <xf numFmtId="0" fontId="9" fillId="9" borderId="0" xfId="5" applyFont="1" applyFill="1"/>
    <xf numFmtId="0" fontId="9" fillId="9" borderId="12" xfId="5" applyFont="1" applyFill="1" applyBorder="1"/>
    <xf numFmtId="0" fontId="9" fillId="9" borderId="31" xfId="5" applyFont="1" applyFill="1" applyBorder="1"/>
    <xf numFmtId="0" fontId="9" fillId="9" borderId="14" xfId="5" applyFont="1" applyFill="1" applyBorder="1"/>
    <xf numFmtId="0" fontId="32" fillId="9" borderId="74" xfId="5" applyFont="1" applyFill="1" applyBorder="1"/>
    <xf numFmtId="0" fontId="9" fillId="9" borderId="12" xfId="5" applyFont="1" applyFill="1" applyBorder="1" applyAlignment="1"/>
    <xf numFmtId="0" fontId="9" fillId="9" borderId="45" xfId="5" applyFont="1" applyFill="1" applyBorder="1"/>
    <xf numFmtId="0" fontId="9" fillId="9" borderId="14" xfId="5" applyFont="1" applyFill="1" applyBorder="1" applyAlignment="1" applyProtection="1">
      <alignment horizontal="left"/>
      <protection locked="0"/>
    </xf>
    <xf numFmtId="0" fontId="9" fillId="9" borderId="22" xfId="5" applyFont="1" applyFill="1" applyBorder="1" applyAlignment="1" applyProtection="1">
      <alignment horizontal="left"/>
      <protection locked="0"/>
    </xf>
    <xf numFmtId="0" fontId="36" fillId="0" borderId="0" xfId="0" applyFont="1" applyAlignment="1">
      <alignment horizontal="centerContinuous"/>
    </xf>
    <xf numFmtId="0" fontId="37" fillId="0" borderId="0" xfId="0" applyFont="1" applyAlignment="1">
      <alignment horizontal="centerContinuous"/>
    </xf>
    <xf numFmtId="0" fontId="37" fillId="0" borderId="0" xfId="0" applyFont="1"/>
    <xf numFmtId="0" fontId="20" fillId="0" borderId="0" xfId="5" applyFont="1" applyFill="1" applyAlignment="1">
      <alignment horizontal="center" vertical="center"/>
    </xf>
    <xf numFmtId="0" fontId="38" fillId="0" borderId="0" xfId="0" applyFont="1"/>
    <xf numFmtId="0" fontId="39" fillId="0" borderId="0" xfId="0" applyFont="1"/>
    <xf numFmtId="0" fontId="38" fillId="0" borderId="0" xfId="0" applyFont="1" applyFill="1"/>
    <xf numFmtId="0" fontId="38" fillId="0" borderId="0" xfId="0" applyFont="1" applyAlignment="1">
      <alignment horizontal="right"/>
    </xf>
    <xf numFmtId="0" fontId="36" fillId="0" borderId="0" xfId="0" applyFont="1" applyAlignment="1">
      <alignment horizontal="left"/>
    </xf>
    <xf numFmtId="0" fontId="19" fillId="0" borderId="0" xfId="0" applyFont="1" applyFill="1" applyAlignment="1" applyProtection="1">
      <alignment vertical="top"/>
    </xf>
    <xf numFmtId="0" fontId="40" fillId="0" borderId="0" xfId="0" applyFont="1" applyFill="1" applyAlignment="1" applyProtection="1">
      <alignment vertical="top" wrapText="1"/>
    </xf>
    <xf numFmtId="0" fontId="40" fillId="0" borderId="0" xfId="0" applyFont="1"/>
    <xf numFmtId="0" fontId="19" fillId="0" borderId="0" xfId="0" applyFont="1" applyFill="1" applyAlignment="1" applyProtection="1">
      <alignment horizontal="left" vertical="top" indent="2"/>
    </xf>
    <xf numFmtId="0" fontId="40" fillId="0" borderId="0" xfId="0" applyFont="1" applyFill="1" applyAlignment="1" applyProtection="1">
      <alignment horizontal="left" vertical="top" wrapText="1"/>
    </xf>
    <xf numFmtId="0" fontId="36" fillId="0" borderId="0" xfId="5" applyFont="1" applyAlignment="1">
      <alignment horizontal="center"/>
    </xf>
    <xf numFmtId="0" fontId="41" fillId="0" borderId="10" xfId="0" applyFont="1" applyBorder="1" applyAlignment="1" applyProtection="1">
      <alignment horizontal="center"/>
    </xf>
    <xf numFmtId="0" fontId="41" fillId="0" borderId="10" xfId="0" applyFont="1" applyFill="1" applyBorder="1" applyAlignment="1" applyProtection="1">
      <alignment horizontal="center" wrapText="1"/>
    </xf>
    <xf numFmtId="0" fontId="41" fillId="0" borderId="11" xfId="0" applyFont="1" applyFill="1" applyBorder="1" applyAlignment="1" applyProtection="1">
      <alignment horizontal="center"/>
    </xf>
    <xf numFmtId="7" fontId="42" fillId="0" borderId="47" xfId="0" applyNumberFormat="1" applyFont="1" applyFill="1" applyBorder="1" applyAlignment="1" applyProtection="1">
      <alignment horizontal="center"/>
    </xf>
    <xf numFmtId="0" fontId="42" fillId="0" borderId="47" xfId="0" applyFont="1" applyBorder="1" applyAlignment="1">
      <alignment horizontal="center"/>
    </xf>
    <xf numFmtId="7" fontId="42" fillId="0" borderId="48" xfId="0" applyNumberFormat="1" applyFont="1" applyFill="1" applyBorder="1" applyAlignment="1" applyProtection="1">
      <alignment horizontal="center"/>
    </xf>
    <xf numFmtId="0" fontId="42" fillId="3" borderId="34" xfId="0" applyFont="1" applyFill="1" applyBorder="1" applyProtection="1"/>
    <xf numFmtId="0" fontId="42" fillId="3" borderId="21" xfId="0" applyFont="1" applyFill="1" applyBorder="1" applyProtection="1"/>
    <xf numFmtId="0" fontId="42" fillId="3" borderId="49" xfId="0" applyFont="1" applyFill="1" applyBorder="1" applyProtection="1"/>
    <xf numFmtId="0" fontId="42" fillId="3" borderId="3" xfId="0" applyFont="1" applyFill="1" applyBorder="1" applyProtection="1"/>
    <xf numFmtId="0" fontId="3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3" borderId="49" xfId="0" applyFont="1" applyFill="1" applyBorder="1" applyAlignment="1">
      <alignment horizontal="center" vertical="center"/>
    </xf>
    <xf numFmtId="41" fontId="8" fillId="0" borderId="0" xfId="0" applyNumberFormat="1" applyFont="1" applyAlignment="1">
      <alignment horizontal="center"/>
    </xf>
    <xf numFmtId="41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37" fontId="8" fillId="0" borderId="10" xfId="1" applyNumberFormat="1" applyFont="1" applyBorder="1" applyAlignment="1">
      <alignment horizontal="center"/>
    </xf>
    <xf numFmtId="37" fontId="8" fillId="0" borderId="1" xfId="1" applyNumberFormat="1" applyFont="1" applyBorder="1" applyAlignment="1">
      <alignment horizontal="center"/>
    </xf>
    <xf numFmtId="37" fontId="8" fillId="0" borderId="73" xfId="1" applyNumberFormat="1" applyFont="1" applyFill="1" applyBorder="1" applyAlignment="1">
      <alignment horizontal="center"/>
    </xf>
    <xf numFmtId="37" fontId="8" fillId="0" borderId="75" xfId="1" applyNumberFormat="1" applyFont="1" applyFill="1" applyBorder="1" applyAlignment="1">
      <alignment horizontal="center"/>
    </xf>
    <xf numFmtId="37" fontId="8" fillId="0" borderId="76" xfId="1" applyNumberFormat="1" applyFont="1" applyFill="1" applyBorder="1" applyAlignment="1">
      <alignment horizontal="center"/>
    </xf>
    <xf numFmtId="37" fontId="8" fillId="0" borderId="100" xfId="1" applyNumberFormat="1" applyFont="1" applyFill="1" applyBorder="1" applyAlignment="1">
      <alignment horizontal="center"/>
    </xf>
    <xf numFmtId="37" fontId="7" fillId="0" borderId="10" xfId="1" applyNumberFormat="1" applyFont="1" applyBorder="1" applyAlignment="1">
      <alignment horizontal="center"/>
    </xf>
    <xf numFmtId="37" fontId="8" fillId="0" borderId="1" xfId="1" applyNumberFormat="1" applyFont="1" applyFill="1" applyBorder="1" applyAlignment="1">
      <alignment horizontal="center"/>
    </xf>
    <xf numFmtId="37" fontId="8" fillId="0" borderId="18" xfId="1" applyNumberFormat="1" applyFont="1" applyBorder="1" applyAlignment="1">
      <alignment horizontal="center"/>
    </xf>
    <xf numFmtId="37" fontId="7" fillId="0" borderId="95" xfId="1" applyNumberFormat="1" applyFont="1" applyBorder="1" applyAlignment="1">
      <alignment horizontal="center"/>
    </xf>
    <xf numFmtId="169" fontId="8" fillId="0" borderId="11" xfId="2" applyNumberFormat="1" applyFont="1" applyBorder="1" applyAlignment="1">
      <alignment horizontal="center"/>
    </xf>
    <xf numFmtId="169" fontId="8" fillId="0" borderId="74" xfId="2" applyNumberFormat="1" applyFont="1" applyFill="1" applyBorder="1" applyAlignment="1">
      <alignment horizontal="center"/>
    </xf>
    <xf numFmtId="169" fontId="8" fillId="0" borderId="105" xfId="2" applyNumberFormat="1" applyFont="1" applyFill="1" applyBorder="1" applyAlignment="1">
      <alignment horizontal="center"/>
    </xf>
    <xf numFmtId="169" fontId="8" fillId="0" borderId="86" xfId="2" applyNumberFormat="1" applyFont="1" applyFill="1" applyBorder="1" applyAlignment="1">
      <alignment horizontal="center"/>
    </xf>
    <xf numFmtId="169" fontId="8" fillId="0" borderId="106" xfId="1" applyNumberFormat="1" applyFont="1" applyFill="1" applyBorder="1" applyAlignment="1">
      <alignment horizontal="center"/>
    </xf>
    <xf numFmtId="169" fontId="8" fillId="0" borderId="105" xfId="1" applyNumberFormat="1" applyFont="1" applyFill="1" applyBorder="1" applyAlignment="1">
      <alignment horizontal="center"/>
    </xf>
    <xf numFmtId="169" fontId="8" fillId="0" borderId="86" xfId="1" applyNumberFormat="1" applyFont="1" applyFill="1" applyBorder="1" applyAlignment="1">
      <alignment horizontal="center"/>
    </xf>
    <xf numFmtId="169" fontId="8" fillId="0" borderId="74" xfId="1" applyNumberFormat="1" applyFont="1" applyFill="1" applyBorder="1" applyAlignment="1">
      <alignment horizontal="center"/>
    </xf>
    <xf numFmtId="169" fontId="7" fillId="0" borderId="11" xfId="2" applyNumberFormat="1" applyFont="1" applyBorder="1" applyAlignment="1">
      <alignment horizontal="center"/>
    </xf>
    <xf numFmtId="169" fontId="8" fillId="0" borderId="45" xfId="2" applyNumberFormat="1" applyFont="1" applyFill="1" applyBorder="1" applyAlignment="1">
      <alignment horizontal="center"/>
    </xf>
    <xf numFmtId="169" fontId="7" fillId="0" borderId="96" xfId="2" applyNumberFormat="1" applyFont="1" applyBorder="1" applyAlignment="1">
      <alignment horizontal="center"/>
    </xf>
    <xf numFmtId="169" fontId="7" fillId="0" borderId="11" xfId="1" applyNumberFormat="1" applyFont="1" applyBorder="1" applyAlignment="1">
      <alignment horizontal="center"/>
    </xf>
    <xf numFmtId="169" fontId="8" fillId="0" borderId="74" xfId="1" applyNumberFormat="1" applyFont="1" applyBorder="1" applyAlignment="1">
      <alignment horizontal="center"/>
    </xf>
    <xf numFmtId="169" fontId="8" fillId="0" borderId="105" xfId="1" applyNumberFormat="1" applyFont="1" applyBorder="1" applyAlignment="1">
      <alignment horizontal="center"/>
    </xf>
    <xf numFmtId="3" fontId="8" fillId="0" borderId="10" xfId="1" applyNumberFormat="1" applyFont="1" applyBorder="1" applyAlignment="1">
      <alignment horizontal="center"/>
    </xf>
    <xf numFmtId="3" fontId="8" fillId="0" borderId="1" xfId="1" applyNumberFormat="1" applyFont="1" applyFill="1" applyBorder="1" applyAlignment="1">
      <alignment horizontal="center"/>
    </xf>
    <xf numFmtId="3" fontId="8" fillId="0" borderId="1" xfId="1" applyNumberFormat="1" applyFont="1" applyBorder="1" applyAlignment="1">
      <alignment horizontal="center"/>
    </xf>
    <xf numFmtId="3" fontId="7" fillId="0" borderId="10" xfId="1" applyNumberFormat="1" applyFont="1" applyBorder="1" applyAlignment="1">
      <alignment horizontal="center"/>
    </xf>
    <xf numFmtId="3" fontId="8" fillId="0" borderId="73" xfId="1" applyNumberFormat="1" applyFont="1" applyBorder="1" applyAlignment="1">
      <alignment horizontal="center"/>
    </xf>
    <xf numFmtId="3" fontId="8" fillId="0" borderId="75" xfId="1" applyNumberFormat="1" applyFont="1" applyBorder="1" applyAlignment="1">
      <alignment horizontal="center"/>
    </xf>
    <xf numFmtId="0" fontId="21" fillId="7" borderId="87" xfId="0" applyFont="1" applyFill="1" applyBorder="1" applyAlignment="1" applyProtection="1">
      <alignment horizontal="center"/>
    </xf>
    <xf numFmtId="0" fontId="21" fillId="7" borderId="22" xfId="0" applyFont="1" applyFill="1" applyBorder="1" applyProtection="1"/>
    <xf numFmtId="0" fontId="20" fillId="3" borderId="2" xfId="0" applyFont="1" applyFill="1" applyBorder="1" applyAlignment="1" applyProtection="1">
      <alignment horizontal="left" indent="1"/>
    </xf>
    <xf numFmtId="0" fontId="21" fillId="7" borderId="87" xfId="0" applyFont="1" applyFill="1" applyBorder="1" applyAlignment="1" applyProtection="1">
      <alignment horizontal="left" indent="1"/>
    </xf>
    <xf numFmtId="0" fontId="21" fillId="7" borderId="20" xfId="0" applyFont="1" applyFill="1" applyBorder="1" applyAlignment="1" applyProtection="1">
      <alignment horizontal="left" indent="1"/>
    </xf>
    <xf numFmtId="0" fontId="8" fillId="0" borderId="66" xfId="0" applyNumberFormat="1" applyFont="1" applyBorder="1" applyAlignment="1">
      <alignment horizontal="center"/>
    </xf>
    <xf numFmtId="0" fontId="8" fillId="0" borderId="64" xfId="0" applyNumberFormat="1" applyFont="1" applyBorder="1" applyAlignment="1">
      <alignment horizontal="center"/>
    </xf>
    <xf numFmtId="3" fontId="8" fillId="0" borderId="76" xfId="1" applyNumberFormat="1" applyFont="1" applyBorder="1" applyAlignment="1">
      <alignment horizontal="center"/>
    </xf>
    <xf numFmtId="169" fontId="8" fillId="0" borderId="86" xfId="1" applyNumberFormat="1" applyFont="1" applyBorder="1" applyAlignment="1">
      <alignment horizontal="center"/>
    </xf>
    <xf numFmtId="3" fontId="7" fillId="0" borderId="95" xfId="1" applyNumberFormat="1" applyFont="1" applyBorder="1" applyAlignment="1">
      <alignment horizontal="center"/>
    </xf>
    <xf numFmtId="0" fontId="10" fillId="0" borderId="108" xfId="0" applyFont="1" applyFill="1" applyBorder="1" applyAlignment="1">
      <alignment horizontal="right" vertical="center"/>
    </xf>
    <xf numFmtId="0" fontId="8" fillId="0" borderId="69" xfId="0" applyFont="1" applyBorder="1" applyAlignment="1"/>
    <xf numFmtId="0" fontId="8" fillId="0" borderId="41" xfId="0" applyFont="1" applyBorder="1" applyAlignment="1"/>
    <xf numFmtId="0" fontId="10" fillId="0" borderId="110" xfId="0" applyFont="1" applyFill="1" applyBorder="1" applyAlignment="1">
      <alignment horizontal="right" vertical="center"/>
    </xf>
    <xf numFmtId="165" fontId="9" fillId="0" borderId="87" xfId="2" applyNumberFormat="1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horizontal="left" vertical="top"/>
    </xf>
    <xf numFmtId="17" fontId="9" fillId="0" borderId="39" xfId="0" applyNumberFormat="1" applyFont="1" applyFill="1" applyBorder="1" applyAlignment="1" applyProtection="1">
      <alignment horizontal="left" vertical="top" wrapText="1"/>
    </xf>
    <xf numFmtId="0" fontId="25" fillId="0" borderId="0" xfId="3" applyFont="1" applyFill="1" applyBorder="1" applyAlignment="1" applyProtection="1">
      <alignment horizontal="left" indent="5"/>
    </xf>
    <xf numFmtId="0" fontId="25" fillId="0" borderId="0" xfId="3" applyFont="1" applyFill="1" applyBorder="1" applyAlignment="1" applyProtection="1">
      <alignment horizontal="right"/>
    </xf>
    <xf numFmtId="171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 applyProtection="1">
      <alignment horizontal="right" vertical="top" wrapText="1"/>
    </xf>
    <xf numFmtId="0" fontId="27" fillId="0" borderId="0" xfId="0" applyFont="1" applyFill="1" applyBorder="1" applyAlignment="1">
      <alignment horizontal="center"/>
    </xf>
    <xf numFmtId="0" fontId="25" fillId="0" borderId="0" xfId="3" applyFont="1" applyFill="1" applyBorder="1" applyAlignment="1" applyProtection="1">
      <alignment horizontal="left" indent="1"/>
    </xf>
    <xf numFmtId="0" fontId="9" fillId="0" borderId="87" xfId="0" applyFont="1" applyFill="1" applyBorder="1" applyAlignment="1">
      <alignment horizontal="center"/>
    </xf>
    <xf numFmtId="0" fontId="24" fillId="0" borderId="0" xfId="0" applyFont="1" applyFill="1" applyBorder="1"/>
    <xf numFmtId="17" fontId="9" fillId="0" borderId="0" xfId="0" applyNumberFormat="1" applyFont="1" applyFill="1" applyBorder="1" applyAlignment="1">
      <alignment horizontal="right"/>
    </xf>
    <xf numFmtId="166" fontId="9" fillId="0" borderId="39" xfId="0" applyNumberFormat="1" applyFont="1" applyFill="1" applyBorder="1" applyAlignment="1">
      <alignment horizontal="left"/>
    </xf>
    <xf numFmtId="166" fontId="9" fillId="0" borderId="0" xfId="0" applyNumberFormat="1" applyFont="1" applyFill="1" applyBorder="1" applyAlignment="1">
      <alignment horizontal="center"/>
    </xf>
    <xf numFmtId="171" fontId="9" fillId="0" borderId="0" xfId="0" applyNumberFormat="1" applyFont="1" applyFill="1" applyBorder="1" applyAlignment="1"/>
    <xf numFmtId="2" fontId="9" fillId="0" borderId="0" xfId="1" applyNumberFormat="1" applyFont="1" applyFill="1" applyBorder="1" applyAlignment="1">
      <alignment horizontal="right"/>
    </xf>
    <xf numFmtId="17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43" fontId="9" fillId="0" borderId="0" xfId="1" applyFont="1" applyFill="1" applyBorder="1" applyAlignment="1">
      <alignment horizontal="left"/>
    </xf>
    <xf numFmtId="165" fontId="20" fillId="0" borderId="87" xfId="0" applyNumberFormat="1" applyFont="1" applyFill="1" applyBorder="1" applyAlignment="1">
      <alignment horizontal="right"/>
    </xf>
    <xf numFmtId="165" fontId="20" fillId="0" borderId="20" xfId="0" applyNumberFormat="1" applyFont="1" applyFill="1" applyBorder="1" applyAlignment="1">
      <alignment horizontal="center"/>
    </xf>
    <xf numFmtId="0" fontId="20" fillId="0" borderId="34" xfId="0" applyFont="1" applyFill="1" applyBorder="1"/>
    <xf numFmtId="0" fontId="9" fillId="0" borderId="34" xfId="0" applyFont="1" applyFill="1" applyBorder="1"/>
    <xf numFmtId="0" fontId="9" fillId="0" borderId="21" xfId="0" applyFont="1" applyFill="1" applyBorder="1"/>
    <xf numFmtId="0" fontId="33" fillId="3" borderId="20" xfId="0" applyFont="1" applyFill="1" applyBorder="1" applyAlignment="1" applyProtection="1">
      <alignment horizontal="left" indent="1"/>
    </xf>
    <xf numFmtId="0" fontId="32" fillId="3" borderId="34" xfId="0" applyFont="1" applyFill="1" applyBorder="1" applyProtection="1"/>
    <xf numFmtId="0" fontId="43" fillId="0" borderId="87" xfId="0" applyFont="1" applyFill="1" applyBorder="1" applyAlignment="1" applyProtection="1">
      <alignment horizontal="left" indent="1"/>
    </xf>
    <xf numFmtId="0" fontId="43" fillId="0" borderId="10" xfId="0" applyFont="1" applyFill="1" applyBorder="1" applyAlignment="1" applyProtection="1">
      <alignment horizontal="center"/>
    </xf>
    <xf numFmtId="0" fontId="43" fillId="0" borderId="20" xfId="0" applyFont="1" applyFill="1" applyBorder="1" applyAlignment="1" applyProtection="1">
      <alignment horizontal="left" indent="1"/>
    </xf>
    <xf numFmtId="7" fontId="43" fillId="0" borderId="47" xfId="0" applyNumberFormat="1" applyFont="1" applyFill="1" applyBorder="1" applyAlignment="1" applyProtection="1">
      <alignment horizontal="center"/>
    </xf>
    <xf numFmtId="169" fontId="8" fillId="0" borderId="112" xfId="2" applyNumberFormat="1" applyFont="1" applyFill="1" applyBorder="1" applyAlignment="1">
      <alignment horizontal="center"/>
    </xf>
    <xf numFmtId="169" fontId="8" fillId="0" borderId="113" xfId="2" applyNumberFormat="1" applyFont="1" applyFill="1" applyBorder="1" applyAlignment="1">
      <alignment horizontal="center"/>
    </xf>
    <xf numFmtId="169" fontId="8" fillId="0" borderId="114" xfId="2" applyNumberFormat="1" applyFont="1" applyFill="1" applyBorder="1" applyAlignment="1">
      <alignment horizontal="center"/>
    </xf>
    <xf numFmtId="169" fontId="8" fillId="0" borderId="73" xfId="2" applyNumberFormat="1" applyFont="1" applyFill="1" applyBorder="1" applyAlignment="1">
      <alignment horizontal="center"/>
    </xf>
    <xf numFmtId="169" fontId="8" fillId="0" borderId="75" xfId="2" applyNumberFormat="1" applyFont="1" applyFill="1" applyBorder="1" applyAlignment="1">
      <alignment horizontal="center"/>
    </xf>
    <xf numFmtId="169" fontId="8" fillId="0" borderId="76" xfId="2" applyNumberFormat="1" applyFont="1" applyFill="1" applyBorder="1" applyAlignment="1">
      <alignment horizontal="center"/>
    </xf>
    <xf numFmtId="3" fontId="9" fillId="3" borderId="1" xfId="5" applyNumberFormat="1" applyFont="1" applyFill="1" applyBorder="1" applyAlignment="1">
      <alignment horizontal="center"/>
    </xf>
    <xf numFmtId="3" fontId="9" fillId="0" borderId="5" xfId="5" applyNumberFormat="1" applyFont="1" applyFill="1" applyBorder="1" applyAlignment="1">
      <alignment horizontal="center"/>
    </xf>
    <xf numFmtId="3" fontId="9" fillId="0" borderId="47" xfId="5" applyNumberFormat="1" applyFont="1" applyBorder="1" applyAlignment="1">
      <alignment horizontal="center"/>
    </xf>
    <xf numFmtId="3" fontId="13" fillId="0" borderId="26" xfId="0" applyNumberFormat="1" applyFont="1" applyFill="1" applyBorder="1" applyAlignment="1">
      <alignment horizontal="centerContinuous" vertical="center"/>
    </xf>
    <xf numFmtId="3" fontId="13" fillId="0" borderId="27" xfId="0" applyNumberFormat="1" applyFont="1" applyFill="1" applyBorder="1" applyAlignment="1">
      <alignment horizontal="center" vertical="center"/>
    </xf>
    <xf numFmtId="3" fontId="13" fillId="0" borderId="28" xfId="0" applyNumberFormat="1" applyFont="1" applyFill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Continuous" vertical="center"/>
    </xf>
    <xf numFmtId="3" fontId="13" fillId="0" borderId="29" xfId="0" applyNumberFormat="1" applyFont="1" applyFill="1" applyBorder="1" applyAlignment="1">
      <alignment horizontal="center" vertical="center"/>
    </xf>
    <xf numFmtId="3" fontId="13" fillId="0" borderId="13" xfId="0" applyNumberFormat="1" applyFont="1" applyFill="1" applyBorder="1" applyAlignment="1">
      <alignment horizontal="center" vertical="center"/>
    </xf>
    <xf numFmtId="3" fontId="13" fillId="0" borderId="31" xfId="0" applyNumberFormat="1" applyFont="1" applyFill="1" applyBorder="1" applyAlignment="1">
      <alignment horizontal="centerContinuous" vertical="center"/>
    </xf>
    <xf numFmtId="3" fontId="13" fillId="0" borderId="32" xfId="0" applyNumberFormat="1" applyFont="1" applyFill="1" applyBorder="1" applyAlignment="1">
      <alignment horizontal="center" vertical="center"/>
    </xf>
    <xf numFmtId="3" fontId="13" fillId="0" borderId="33" xfId="0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Continuous" vertical="center"/>
    </xf>
    <xf numFmtId="3" fontId="14" fillId="0" borderId="25" xfId="0" applyNumberFormat="1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/>
    </xf>
    <xf numFmtId="3" fontId="13" fillId="4" borderId="9" xfId="0" applyNumberFormat="1" applyFont="1" applyFill="1" applyBorder="1" applyAlignment="1">
      <alignment horizontal="center" vertical="center"/>
    </xf>
    <xf numFmtId="3" fontId="13" fillId="5" borderId="9" xfId="0" applyNumberFormat="1" applyFont="1" applyFill="1" applyBorder="1" applyAlignment="1">
      <alignment horizontal="centerContinuous" vertical="center"/>
    </xf>
    <xf numFmtId="3" fontId="13" fillId="6" borderId="11" xfId="0" applyNumberFormat="1" applyFont="1" applyFill="1" applyBorder="1" applyAlignment="1">
      <alignment horizontal="center" vertical="center"/>
    </xf>
    <xf numFmtId="3" fontId="13" fillId="0" borderId="45" xfId="0" applyNumberFormat="1" applyFont="1" applyFill="1" applyBorder="1" applyAlignment="1">
      <alignment horizontal="center" vertical="center"/>
    </xf>
    <xf numFmtId="3" fontId="13" fillId="4" borderId="14" xfId="0" applyNumberFormat="1" applyFont="1" applyFill="1" applyBorder="1" applyAlignment="1">
      <alignment horizontal="center" vertical="center"/>
    </xf>
    <xf numFmtId="3" fontId="13" fillId="5" borderId="14" xfId="0" applyNumberFormat="1" applyFont="1" applyFill="1" applyBorder="1" applyAlignment="1">
      <alignment horizontal="centerContinuous" vertical="center"/>
    </xf>
    <xf numFmtId="3" fontId="13" fillId="6" borderId="45" xfId="0" applyNumberFormat="1" applyFont="1" applyFill="1" applyBorder="1" applyAlignment="1">
      <alignment horizontal="center" vertical="center"/>
    </xf>
    <xf numFmtId="3" fontId="13" fillId="0" borderId="19" xfId="0" applyNumberFormat="1" applyFont="1" applyFill="1" applyBorder="1" applyAlignment="1">
      <alignment horizontal="center" vertical="center"/>
    </xf>
    <xf numFmtId="3" fontId="13" fillId="4" borderId="17" xfId="0" applyNumberFormat="1" applyFont="1" applyFill="1" applyBorder="1" applyAlignment="1">
      <alignment horizontal="center" vertical="center"/>
    </xf>
    <xf numFmtId="3" fontId="13" fillId="5" borderId="17" xfId="0" applyNumberFormat="1" applyFont="1" applyFill="1" applyBorder="1" applyAlignment="1">
      <alignment horizontal="centerContinuous" vertical="center"/>
    </xf>
    <xf numFmtId="3" fontId="13" fillId="6" borderId="19" xfId="0" applyNumberFormat="1" applyFont="1" applyFill="1" applyBorder="1" applyAlignment="1">
      <alignment horizontal="center" vertical="center"/>
    </xf>
    <xf numFmtId="3" fontId="14" fillId="0" borderId="24" xfId="0" applyNumberFormat="1" applyFont="1" applyFill="1" applyBorder="1" applyAlignment="1">
      <alignment horizontal="center" vertical="center"/>
    </xf>
    <xf numFmtId="3" fontId="14" fillId="4" borderId="22" xfId="0" applyNumberFormat="1" applyFont="1" applyFill="1" applyBorder="1" applyAlignment="1">
      <alignment horizontal="center" vertical="center"/>
    </xf>
    <xf numFmtId="3" fontId="14" fillId="5" borderId="22" xfId="0" applyNumberFormat="1" applyFont="1" applyFill="1" applyBorder="1" applyAlignment="1">
      <alignment horizontal="centerContinuous" vertical="center"/>
    </xf>
    <xf numFmtId="3" fontId="14" fillId="6" borderId="24" xfId="0" applyNumberFormat="1" applyFont="1" applyFill="1" applyBorder="1" applyAlignment="1">
      <alignment horizontal="center" vertical="center"/>
    </xf>
    <xf numFmtId="3" fontId="13" fillId="0" borderId="44" xfId="0" applyNumberFormat="1" applyFont="1" applyFill="1" applyBorder="1" applyAlignment="1">
      <alignment horizontal="center"/>
    </xf>
    <xf numFmtId="3" fontId="13" fillId="0" borderId="11" xfId="0" applyNumberFormat="1" applyFont="1" applyFill="1" applyBorder="1" applyAlignment="1">
      <alignment horizontal="center"/>
    </xf>
    <xf numFmtId="3" fontId="13" fillId="0" borderId="19" xfId="0" applyNumberFormat="1" applyFont="1" applyFill="1" applyBorder="1" applyAlignment="1">
      <alignment horizontal="center"/>
    </xf>
    <xf numFmtId="3" fontId="14" fillId="0" borderId="24" xfId="0" applyNumberFormat="1" applyFont="1" applyFill="1" applyBorder="1" applyAlignment="1">
      <alignment horizontal="center"/>
    </xf>
    <xf numFmtId="3" fontId="8" fillId="0" borderId="56" xfId="0" applyNumberFormat="1" applyFont="1" applyFill="1" applyBorder="1" applyAlignment="1">
      <alignment horizontal="center"/>
    </xf>
    <xf numFmtId="3" fontId="8" fillId="0" borderId="83" xfId="0" applyNumberFormat="1" applyFont="1" applyFill="1" applyBorder="1" applyAlignment="1">
      <alignment horizontal="center"/>
    </xf>
    <xf numFmtId="3" fontId="8" fillId="0" borderId="84" xfId="1" applyNumberFormat="1" applyFont="1" applyFill="1" applyBorder="1" applyAlignment="1">
      <alignment horizontal="center"/>
    </xf>
    <xf numFmtId="3" fontId="8" fillId="0" borderId="85" xfId="0" applyNumberFormat="1" applyFont="1" applyFill="1" applyBorder="1" applyAlignment="1">
      <alignment horizontal="center"/>
    </xf>
    <xf numFmtId="3" fontId="8" fillId="0" borderId="84" xfId="0" applyNumberFormat="1" applyFont="1" applyFill="1" applyBorder="1" applyAlignment="1">
      <alignment horizontal="center"/>
    </xf>
    <xf numFmtId="3" fontId="8" fillId="0" borderId="111" xfId="0" applyNumberFormat="1" applyFont="1" applyFill="1" applyBorder="1" applyAlignment="1">
      <alignment horizontal="center"/>
    </xf>
    <xf numFmtId="3" fontId="8" fillId="0" borderId="77" xfId="0" applyNumberFormat="1" applyFont="1" applyBorder="1" applyAlignment="1">
      <alignment horizontal="center"/>
    </xf>
    <xf numFmtId="3" fontId="8" fillId="0" borderId="51" xfId="0" quotePrefix="1" applyNumberFormat="1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center"/>
    </xf>
    <xf numFmtId="3" fontId="8" fillId="0" borderId="1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3" fontId="8" fillId="0" borderId="45" xfId="0" applyNumberFormat="1" applyFont="1" applyFill="1" applyBorder="1" applyAlignment="1">
      <alignment horizontal="center"/>
    </xf>
    <xf numFmtId="3" fontId="8" fillId="0" borderId="18" xfId="0" applyNumberFormat="1" applyFont="1" applyFill="1" applyBorder="1" applyAlignment="1">
      <alignment horizontal="center"/>
    </xf>
    <xf numFmtId="3" fontId="8" fillId="0" borderId="19" xfId="0" applyNumberFormat="1" applyFont="1" applyFill="1" applyBorder="1" applyAlignment="1">
      <alignment horizontal="center"/>
    </xf>
    <xf numFmtId="3" fontId="8" fillId="0" borderId="99" xfId="0" applyNumberFormat="1" applyFont="1" applyFill="1" applyBorder="1" applyAlignment="1">
      <alignment horizontal="center"/>
    </xf>
    <xf numFmtId="3" fontId="8" fillId="0" borderId="109" xfId="0" applyNumberFormat="1" applyFont="1" applyFill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51" xfId="0" applyNumberFormat="1" applyFont="1" applyBorder="1" applyAlignment="1">
      <alignment horizontal="center"/>
    </xf>
    <xf numFmtId="3" fontId="8" fillId="0" borderId="56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40" xfId="0" applyNumberFormat="1" applyFont="1" applyBorder="1" applyAlignment="1">
      <alignment horizontal="center"/>
    </xf>
    <xf numFmtId="3" fontId="8" fillId="0" borderId="55" xfId="0" applyNumberFormat="1" applyFont="1" applyBorder="1" applyAlignment="1">
      <alignment horizontal="center"/>
    </xf>
    <xf numFmtId="3" fontId="8" fillId="0" borderId="97" xfId="0" applyNumberFormat="1" applyFont="1" applyBorder="1" applyAlignment="1">
      <alignment horizontal="center"/>
    </xf>
    <xf numFmtId="3" fontId="8" fillId="0" borderId="53" xfId="0" applyNumberFormat="1" applyFont="1" applyBorder="1" applyAlignment="1">
      <alignment horizontal="center"/>
    </xf>
    <xf numFmtId="3" fontId="8" fillId="0" borderId="103" xfId="0" applyNumberFormat="1" applyFont="1" applyBorder="1" applyAlignment="1">
      <alignment horizontal="center" vertical="center"/>
    </xf>
    <xf numFmtId="0" fontId="9" fillId="9" borderId="46" xfId="5" applyFont="1" applyFill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3" borderId="79" xfId="5" applyFont="1" applyFill="1" applyBorder="1" applyAlignment="1">
      <alignment horizontal="center" vertical="center" wrapText="1"/>
    </xf>
    <xf numFmtId="0" fontId="17" fillId="3" borderId="65" xfId="5" applyFont="1" applyFill="1" applyBorder="1" applyAlignment="1">
      <alignment horizontal="center" vertical="center" wrapText="1"/>
    </xf>
    <xf numFmtId="0" fontId="17" fillId="3" borderId="80" xfId="5" applyNumberFormat="1" applyFont="1" applyFill="1" applyBorder="1" applyAlignment="1">
      <alignment horizontal="center" vertical="center"/>
    </xf>
    <xf numFmtId="3" fontId="18" fillId="0" borderId="55" xfId="5" applyNumberFormat="1" applyFont="1" applyFill="1" applyBorder="1" applyAlignment="1">
      <alignment horizontal="center"/>
    </xf>
    <xf numFmtId="3" fontId="18" fillId="0" borderId="53" xfId="5" applyNumberFormat="1" applyFont="1" applyFill="1" applyBorder="1" applyAlignment="1">
      <alignment horizontal="center" vertical="center"/>
    </xf>
    <xf numFmtId="3" fontId="18" fillId="0" borderId="83" xfId="5" applyNumberFormat="1" applyFont="1" applyFill="1" applyBorder="1" applyAlignment="1">
      <alignment horizontal="center"/>
    </xf>
    <xf numFmtId="3" fontId="18" fillId="0" borderId="58" xfId="5" applyNumberFormat="1" applyFont="1" applyFill="1" applyBorder="1" applyAlignment="1">
      <alignment horizontal="center"/>
    </xf>
    <xf numFmtId="0" fontId="9" fillId="0" borderId="21" xfId="5" applyFont="1" applyFill="1" applyBorder="1" applyAlignment="1">
      <alignment horizontal="center" vertical="center"/>
    </xf>
    <xf numFmtId="3" fontId="9" fillId="0" borderId="45" xfId="5" applyNumberFormat="1" applyFont="1" applyFill="1" applyBorder="1" applyAlignment="1">
      <alignment horizontal="center"/>
    </xf>
    <xf numFmtId="3" fontId="9" fillId="0" borderId="45" xfId="5" applyNumberFormat="1" applyFont="1" applyFill="1" applyBorder="1" applyAlignment="1">
      <alignment horizontal="center" vertical="center"/>
    </xf>
    <xf numFmtId="3" fontId="9" fillId="0" borderId="71" xfId="5" applyNumberFormat="1" applyFont="1" applyFill="1" applyBorder="1" applyAlignment="1">
      <alignment horizontal="center" vertical="center"/>
    </xf>
    <xf numFmtId="3" fontId="9" fillId="0" borderId="74" xfId="5" applyNumberFormat="1" applyFont="1" applyFill="1" applyBorder="1" applyAlignment="1">
      <alignment horizontal="center"/>
    </xf>
    <xf numFmtId="3" fontId="9" fillId="0" borderId="48" xfId="5" applyNumberFormat="1" applyFont="1" applyFill="1" applyBorder="1" applyAlignment="1">
      <alignment horizontal="center"/>
    </xf>
    <xf numFmtId="3" fontId="18" fillId="9" borderId="56" xfId="5" applyNumberFormat="1" applyFont="1" applyFill="1" applyBorder="1" applyAlignment="1">
      <alignment horizontal="center"/>
    </xf>
    <xf numFmtId="3" fontId="18" fillId="9" borderId="55" xfId="5" applyNumberFormat="1" applyFont="1" applyFill="1" applyBorder="1" applyAlignment="1">
      <alignment horizontal="center"/>
    </xf>
    <xf numFmtId="3" fontId="18" fillId="9" borderId="53" xfId="5" applyNumberFormat="1" applyFont="1" applyFill="1" applyBorder="1" applyAlignment="1">
      <alignment horizontal="center"/>
    </xf>
    <xf numFmtId="3" fontId="18" fillId="9" borderId="80" xfId="5" applyNumberFormat="1" applyFont="1" applyFill="1" applyBorder="1" applyAlignment="1">
      <alignment horizontal="center"/>
    </xf>
    <xf numFmtId="0" fontId="23" fillId="0" borderId="3" xfId="5" applyFont="1" applyFill="1" applyBorder="1" applyAlignment="1">
      <alignment horizontal="center" vertical="center" wrapText="1"/>
    </xf>
    <xf numFmtId="3" fontId="9" fillId="9" borderId="11" xfId="5" applyNumberFormat="1" applyFont="1" applyFill="1" applyBorder="1" applyAlignment="1">
      <alignment horizontal="center"/>
    </xf>
    <xf numFmtId="3" fontId="9" fillId="9" borderId="45" xfId="5" applyNumberFormat="1" applyFont="1" applyFill="1" applyBorder="1" applyAlignment="1">
      <alignment horizontal="center"/>
    </xf>
    <xf numFmtId="3" fontId="9" fillId="9" borderId="24" xfId="5" applyNumberFormat="1" applyFont="1" applyFill="1" applyBorder="1" applyAlignment="1">
      <alignment horizontal="center"/>
    </xf>
    <xf numFmtId="3" fontId="18" fillId="9" borderId="58" xfId="5" applyNumberFormat="1" applyFont="1" applyFill="1" applyBorder="1" applyAlignment="1">
      <alignment horizontal="center"/>
    </xf>
    <xf numFmtId="3" fontId="9" fillId="9" borderId="48" xfId="5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4" fillId="0" borderId="0" xfId="3" applyFill="1" applyBorder="1" applyAlignment="1" applyProtection="1"/>
    <xf numFmtId="0" fontId="7" fillId="0" borderId="2" xfId="0" applyFont="1" applyBorder="1" applyAlignment="1"/>
    <xf numFmtId="0" fontId="7" fillId="0" borderId="49" xfId="0" applyFont="1" applyBorder="1" applyAlignment="1">
      <alignment horizontal="right"/>
    </xf>
    <xf numFmtId="0" fontId="8" fillId="0" borderId="49" xfId="0" applyNumberFormat="1" applyFont="1" applyBorder="1" applyAlignment="1">
      <alignment horizontal="center"/>
    </xf>
    <xf numFmtId="0" fontId="7" fillId="0" borderId="49" xfId="0" applyNumberFormat="1" applyFont="1" applyBorder="1" applyAlignment="1">
      <alignment horizontal="right"/>
    </xf>
    <xf numFmtId="37" fontId="7" fillId="0" borderId="5" xfId="1" applyNumberFormat="1" applyFont="1" applyBorder="1" applyAlignment="1">
      <alignment horizontal="center"/>
    </xf>
    <xf numFmtId="169" fontId="7" fillId="0" borderId="3" xfId="2" applyNumberFormat="1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2" borderId="23" xfId="0" applyNumberFormat="1" applyFont="1" applyFill="1" applyBorder="1" applyAlignment="1">
      <alignment horizontal="center" vertical="center" wrapText="1"/>
    </xf>
    <xf numFmtId="0" fontId="7" fillId="2" borderId="34" xfId="0" applyNumberFormat="1" applyFont="1" applyFill="1" applyBorder="1" applyAlignment="1">
      <alignment horizontal="centerContinuous" vertical="center" wrapText="1"/>
    </xf>
    <xf numFmtId="0" fontId="7" fillId="2" borderId="80" xfId="0" applyNumberFormat="1" applyFont="1" applyFill="1" applyBorder="1" applyAlignment="1">
      <alignment horizontal="centerContinuous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50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167" fontId="14" fillId="0" borderId="34" xfId="1" applyNumberFormat="1" applyFont="1" applyFill="1" applyBorder="1" applyAlignment="1">
      <alignment horizontal="left" vertical="center" wrapText="1" indent="1"/>
    </xf>
    <xf numFmtId="49" fontId="7" fillId="3" borderId="25" xfId="0" applyNumberFormat="1" applyFont="1" applyFill="1" applyBorder="1" applyAlignment="1">
      <alignment vertical="center" wrapText="1"/>
    </xf>
    <xf numFmtId="3" fontId="8" fillId="0" borderId="70" xfId="0" applyNumberFormat="1" applyFont="1" applyBorder="1" applyAlignment="1">
      <alignment horizontal="center"/>
    </xf>
    <xf numFmtId="0" fontId="14" fillId="4" borderId="5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41" fontId="14" fillId="6" borderId="38" xfId="0" applyNumberFormat="1" applyFont="1" applyFill="1" applyBorder="1" applyAlignment="1">
      <alignment horizontal="center" vertical="center" wrapText="1"/>
    </xf>
    <xf numFmtId="0" fontId="4" fillId="0" borderId="0" xfId="3" applyAlignment="1" applyProtection="1">
      <alignment horizontal="left" indent="2"/>
    </xf>
    <xf numFmtId="165" fontId="7" fillId="0" borderId="3" xfId="2" applyNumberFormat="1" applyFont="1" applyBorder="1" applyAlignment="1">
      <alignment horizontal="center"/>
    </xf>
    <xf numFmtId="3" fontId="8" fillId="0" borderId="40" xfId="0" applyNumberFormat="1" applyFont="1" applyFill="1" applyBorder="1" applyAlignment="1">
      <alignment horizontal="center"/>
    </xf>
    <xf numFmtId="3" fontId="8" fillId="0" borderId="55" xfId="0" applyNumberFormat="1" applyFont="1" applyFill="1" applyBorder="1" applyAlignment="1">
      <alignment horizontal="center"/>
    </xf>
    <xf numFmtId="3" fontId="8" fillId="0" borderId="52" xfId="0" applyNumberFormat="1" applyFont="1" applyFill="1" applyBorder="1" applyAlignment="1">
      <alignment horizontal="center"/>
    </xf>
    <xf numFmtId="0" fontId="9" fillId="0" borderId="45" xfId="5" applyFont="1" applyFill="1" applyBorder="1"/>
    <xf numFmtId="49" fontId="7" fillId="3" borderId="67" xfId="0" applyNumberFormat="1" applyFont="1" applyFill="1" applyBorder="1" applyAlignment="1">
      <alignment horizontal="center" vertical="center" wrapText="1"/>
    </xf>
    <xf numFmtId="0" fontId="9" fillId="0" borderId="71" xfId="5" applyFont="1" applyBorder="1" applyAlignment="1">
      <alignment horizontal="left" vertical="center"/>
    </xf>
    <xf numFmtId="0" fontId="9" fillId="0" borderId="62" xfId="5" applyFont="1" applyBorder="1" applyAlignment="1">
      <alignment horizontal="left" vertical="center"/>
    </xf>
    <xf numFmtId="0" fontId="9" fillId="0" borderId="24" xfId="5" applyFont="1" applyBorder="1" applyAlignment="1">
      <alignment horizontal="left" vertical="center"/>
    </xf>
    <xf numFmtId="0" fontId="20" fillId="3" borderId="2" xfId="5" applyFont="1" applyFill="1" applyBorder="1" applyAlignment="1">
      <alignment horizontal="left" vertical="center" indent="16"/>
    </xf>
    <xf numFmtId="0" fontId="20" fillId="3" borderId="49" xfId="5" applyFont="1" applyFill="1" applyBorder="1" applyAlignment="1">
      <alignment horizontal="left" vertical="center" indent="16"/>
    </xf>
    <xf numFmtId="0" fontId="20" fillId="3" borderId="3" xfId="5" applyFont="1" applyFill="1" applyBorder="1" applyAlignment="1">
      <alignment horizontal="left" vertical="center" indent="16"/>
    </xf>
    <xf numFmtId="0" fontId="20" fillId="5" borderId="2" xfId="5" applyFont="1" applyFill="1" applyBorder="1" applyAlignment="1">
      <alignment horizontal="left" vertical="center"/>
    </xf>
    <xf numFmtId="0" fontId="20" fillId="5" borderId="49" xfId="5" applyFont="1" applyFill="1" applyBorder="1" applyAlignment="1">
      <alignment horizontal="left" vertical="center"/>
    </xf>
    <xf numFmtId="0" fontId="20" fillId="5" borderId="3" xfId="5" applyFont="1" applyFill="1" applyBorder="1" applyAlignment="1">
      <alignment horizontal="left" vertical="center"/>
    </xf>
    <xf numFmtId="0" fontId="20" fillId="3" borderId="67" xfId="5" applyNumberFormat="1" applyFont="1" applyFill="1" applyBorder="1" applyAlignment="1">
      <alignment horizontal="center" vertical="center"/>
    </xf>
    <xf numFmtId="0" fontId="20" fillId="3" borderId="63" xfId="5" applyNumberFormat="1" applyFont="1" applyFill="1" applyBorder="1" applyAlignment="1">
      <alignment horizontal="center" vertical="center"/>
    </xf>
    <xf numFmtId="0" fontId="20" fillId="3" borderId="22" xfId="5" applyNumberFormat="1" applyFont="1" applyFill="1" applyBorder="1" applyAlignment="1">
      <alignment horizontal="center" vertical="center"/>
    </xf>
    <xf numFmtId="0" fontId="14" fillId="3" borderId="61" xfId="5" applyNumberFormat="1" applyFont="1" applyFill="1" applyBorder="1" applyAlignment="1">
      <alignment horizontal="center" vertical="center" wrapText="1"/>
    </xf>
    <xf numFmtId="0" fontId="14" fillId="3" borderId="62" xfId="5" applyNumberFormat="1" applyFont="1" applyFill="1" applyBorder="1" applyAlignment="1">
      <alignment horizontal="center" vertical="center" wrapText="1"/>
    </xf>
    <xf numFmtId="0" fontId="14" fillId="3" borderId="24" xfId="5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70" xfId="0" applyNumberFormat="1" applyFont="1" applyBorder="1" applyAlignment="1">
      <alignment horizontal="center" vertical="center"/>
    </xf>
    <xf numFmtId="0" fontId="8" fillId="0" borderId="66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87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31" xfId="0" applyFont="1" applyBorder="1" applyAlignment="1" applyProtection="1">
      <alignment horizontal="left" vertical="center" wrapText="1"/>
      <protection locked="0"/>
    </xf>
    <xf numFmtId="0" fontId="8" fillId="0" borderId="53" xfId="0" applyFont="1" applyBorder="1" applyAlignment="1" applyProtection="1">
      <alignment horizontal="left" vertical="center" wrapText="1"/>
      <protection locked="0"/>
    </xf>
    <xf numFmtId="0" fontId="8" fillId="0" borderId="87" xfId="0" applyFont="1" applyBorder="1" applyAlignment="1" applyProtection="1">
      <alignment horizontal="left" vertical="center" wrapText="1"/>
      <protection locked="0"/>
    </xf>
    <xf numFmtId="0" fontId="8" fillId="0" borderId="65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56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49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right"/>
    </xf>
    <xf numFmtId="0" fontId="7" fillId="0" borderId="41" xfId="0" applyFont="1" applyBorder="1" applyAlignment="1">
      <alignment horizontal="right"/>
    </xf>
    <xf numFmtId="0" fontId="7" fillId="0" borderId="55" xfId="0" applyFont="1" applyBorder="1" applyAlignment="1">
      <alignment horizontal="right"/>
    </xf>
    <xf numFmtId="0" fontId="8" fillId="0" borderId="68" xfId="0" applyNumberFormat="1" applyFont="1" applyBorder="1" applyAlignment="1">
      <alignment horizontal="center" vertical="center"/>
    </xf>
    <xf numFmtId="0" fontId="8" fillId="0" borderId="70" xfId="0" applyNumberFormat="1" applyFont="1" applyFill="1" applyBorder="1" applyAlignment="1">
      <alignment horizontal="center" vertical="center"/>
    </xf>
    <xf numFmtId="0" fontId="8" fillId="0" borderId="66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60" xfId="0" applyNumberFormat="1" applyFont="1" applyFill="1" applyBorder="1" applyAlignment="1">
      <alignment horizontal="center" vertical="center" wrapText="1"/>
    </xf>
    <xf numFmtId="1" fontId="8" fillId="0" borderId="70" xfId="0" applyNumberFormat="1" applyFont="1" applyBorder="1" applyAlignment="1">
      <alignment horizontal="center" vertical="center"/>
    </xf>
    <xf numFmtId="1" fontId="8" fillId="0" borderId="66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3" fontId="8" fillId="0" borderId="51" xfId="0" applyNumberFormat="1" applyFont="1" applyFill="1" applyBorder="1" applyAlignment="1">
      <alignment horizontal="center"/>
    </xf>
    <xf numFmtId="3" fontId="8" fillId="0" borderId="78" xfId="0" applyNumberFormat="1" applyFont="1" applyFill="1" applyBorder="1" applyAlignment="1">
      <alignment horizontal="center"/>
    </xf>
    <xf numFmtId="3" fontId="8" fillId="0" borderId="40" xfId="0" applyNumberFormat="1" applyFont="1" applyFill="1" applyBorder="1" applyAlignment="1">
      <alignment horizontal="center"/>
    </xf>
    <xf numFmtId="3" fontId="8" fillId="0" borderId="55" xfId="0" applyNumberFormat="1" applyFont="1" applyFill="1" applyBorder="1" applyAlignment="1">
      <alignment horizontal="center"/>
    </xf>
    <xf numFmtId="3" fontId="8" fillId="0" borderId="52" xfId="0" applyNumberFormat="1" applyFont="1" applyFill="1" applyBorder="1" applyAlignment="1">
      <alignment horizontal="center"/>
    </xf>
    <xf numFmtId="3" fontId="8" fillId="0" borderId="77" xfId="0" applyNumberFormat="1" applyFont="1" applyFill="1" applyBorder="1" applyAlignment="1">
      <alignment horizontal="center"/>
    </xf>
    <xf numFmtId="0" fontId="7" fillId="0" borderId="107" xfId="0" applyNumberFormat="1" applyFont="1" applyFill="1" applyBorder="1" applyAlignment="1">
      <alignment horizontal="center"/>
    </xf>
    <xf numFmtId="0" fontId="7" fillId="0" borderId="92" xfId="0" applyNumberFormat="1" applyFont="1" applyFill="1" applyBorder="1" applyAlignment="1">
      <alignment horizontal="center"/>
    </xf>
    <xf numFmtId="0" fontId="7" fillId="3" borderId="50" xfId="0" applyNumberFormat="1" applyFont="1" applyFill="1" applyBorder="1" applyAlignment="1">
      <alignment horizontal="center" vertical="center" wrapText="1"/>
    </xf>
    <xf numFmtId="0" fontId="7" fillId="3" borderId="60" xfId="0" applyNumberFormat="1" applyFont="1" applyFill="1" applyBorder="1" applyAlignment="1">
      <alignment horizontal="center" vertical="center" wrapText="1"/>
    </xf>
    <xf numFmtId="49" fontId="7" fillId="3" borderId="67" xfId="0" applyNumberFormat="1" applyFont="1" applyFill="1" applyBorder="1" applyAlignment="1">
      <alignment horizontal="center" vertical="center" wrapText="1"/>
    </xf>
    <xf numFmtId="49" fontId="7" fillId="3" borderId="22" xfId="0" applyNumberFormat="1" applyFont="1" applyFill="1" applyBorder="1" applyAlignment="1">
      <alignment horizontal="center" vertical="center" wrapText="1"/>
    </xf>
    <xf numFmtId="49" fontId="7" fillId="3" borderId="101" xfId="0" applyNumberFormat="1" applyFont="1" applyFill="1" applyBorder="1" applyAlignment="1">
      <alignment horizontal="center" vertical="center" wrapText="1"/>
    </xf>
    <xf numFmtId="49" fontId="7" fillId="3" borderId="37" xfId="0" applyNumberFormat="1" applyFont="1" applyFill="1" applyBorder="1" applyAlignment="1">
      <alignment horizontal="center" vertical="center" wrapText="1"/>
    </xf>
    <xf numFmtId="49" fontId="7" fillId="3" borderId="101" xfId="0" applyNumberFormat="1" applyFont="1" applyFill="1" applyBorder="1" applyAlignment="1">
      <alignment horizontal="center" wrapText="1"/>
    </xf>
    <xf numFmtId="49" fontId="7" fillId="3" borderId="37" xfId="0" applyNumberFormat="1" applyFont="1" applyFill="1" applyBorder="1" applyAlignment="1">
      <alignment horizontal="center" wrapText="1"/>
    </xf>
  </cellXfs>
  <cellStyles count="11">
    <cellStyle name="Comma" xfId="1" builtinId="3"/>
    <cellStyle name="Currency" xfId="2" builtinId="4"/>
    <cellStyle name="Currency 2" xfId="7" xr:uid="{00000000-0005-0000-0000-000002000000}"/>
    <cellStyle name="Currency 2 2" xfId="9" xr:uid="{00000000-0005-0000-0000-000003000000}"/>
    <cellStyle name="Hyperlink" xfId="3" builtinId="8"/>
    <cellStyle name="Normal" xfId="0" builtinId="0"/>
    <cellStyle name="Normal 2" xfId="5" xr:uid="{00000000-0005-0000-0000-000006000000}"/>
    <cellStyle name="Normal 3" xfId="6" xr:uid="{00000000-0005-0000-0000-000007000000}"/>
    <cellStyle name="Normal 3 2" xfId="10" xr:uid="{00000000-0005-0000-0000-000008000000}"/>
    <cellStyle name="Normal 4" xfId="8" xr:uid="{00000000-0005-0000-0000-000009000000}"/>
    <cellStyle name="Percent" xfId="4" builtinId="5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www.bls.gov/web/eci/echistrynaics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bls.gov/oes/current/oes172081.htm" TargetMode="External"/><Relationship Id="rId1" Type="http://schemas.openxmlformats.org/officeDocument/2006/relationships/hyperlink" Target="http://www.bls.gov/oes/current/oes172081.ht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opm.gov/policy-data-oversight/pay-leave/salaries-wages/salary-tables/pdf/2018/GS_h.pdf" TargetMode="External"/><Relationship Id="rId4" Type="http://schemas.openxmlformats.org/officeDocument/2006/relationships/hyperlink" Target="http://www.bls.gov/web/eci/echistrynaic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64"/>
  <sheetViews>
    <sheetView showGridLines="0" zoomScaleNormal="100" zoomScaleSheetLayoutView="100" zoomScalePageLayoutView="70" workbookViewId="0">
      <selection activeCell="C11" sqref="C11"/>
    </sheetView>
  </sheetViews>
  <sheetFormatPr defaultColWidth="9.1796875" defaultRowHeight="14" x14ac:dyDescent="0.3"/>
  <cols>
    <col min="1" max="1" width="3.7265625" style="145" customWidth="1"/>
    <col min="2" max="2" width="12.7265625" style="145" customWidth="1"/>
    <col min="3" max="3" width="16.7265625" style="145" customWidth="1"/>
    <col min="4" max="4" width="12.453125" style="145" customWidth="1"/>
    <col min="5" max="5" width="19.81640625" style="145" customWidth="1"/>
    <col min="6" max="6" width="7.26953125" style="145" bestFit="1" customWidth="1"/>
    <col min="7" max="7" width="10.7265625" style="145" bestFit="1" customWidth="1"/>
    <col min="8" max="8" width="7.453125" style="145" customWidth="1"/>
    <col min="9" max="9" width="8.7265625" style="145" customWidth="1"/>
    <col min="10" max="15" width="9.1796875" style="145"/>
    <col min="16" max="16" width="14.26953125" style="145" customWidth="1"/>
    <col min="17" max="17" width="8.54296875" style="145" customWidth="1"/>
    <col min="18" max="18" width="9.1796875" style="145"/>
    <col min="19" max="19" width="12" style="145" customWidth="1"/>
    <col min="20" max="20" width="9.1796875" style="145"/>
    <col min="21" max="21" width="5.54296875" style="145" customWidth="1"/>
    <col min="22" max="16384" width="9.1796875" style="145"/>
  </cols>
  <sheetData>
    <row r="1" spans="2:10" s="392" customFormat="1" ht="18" x14ac:dyDescent="0.4">
      <c r="B1" s="390"/>
      <c r="C1" s="391"/>
      <c r="D1" s="398" t="s">
        <v>0</v>
      </c>
      <c r="E1" s="391"/>
      <c r="F1" s="391"/>
      <c r="G1" s="391"/>
      <c r="H1" s="391"/>
      <c r="I1" s="391"/>
      <c r="J1" s="391"/>
    </row>
    <row r="2" spans="2:10" s="392" customFormat="1" ht="18.5" thickBot="1" x14ac:dyDescent="0.45">
      <c r="B2" s="390"/>
      <c r="C2" s="391"/>
      <c r="D2" s="398"/>
      <c r="E2" s="391"/>
      <c r="F2" s="391"/>
      <c r="G2" s="391"/>
      <c r="H2" s="391"/>
      <c r="I2" s="391"/>
      <c r="J2" s="391"/>
    </row>
    <row r="3" spans="2:10" ht="14.5" thickBot="1" x14ac:dyDescent="0.35">
      <c r="B3" s="455" t="s">
        <v>1</v>
      </c>
      <c r="C3" s="156"/>
      <c r="D3" s="156"/>
      <c r="E3" s="156"/>
      <c r="F3" s="157"/>
      <c r="G3" s="158"/>
      <c r="H3" s="159"/>
      <c r="I3" s="140"/>
    </row>
    <row r="4" spans="2:10" x14ac:dyDescent="0.3">
      <c r="B4" s="456"/>
      <c r="C4" s="160" t="s">
        <v>2</v>
      </c>
      <c r="D4" s="405" t="s">
        <v>3</v>
      </c>
      <c r="E4" s="406" t="s">
        <v>4</v>
      </c>
      <c r="F4" s="407" t="s">
        <v>5</v>
      </c>
      <c r="G4" s="161"/>
      <c r="H4" s="162"/>
      <c r="I4" s="162"/>
    </row>
    <row r="5" spans="2:10" ht="14.5" thickBot="1" x14ac:dyDescent="0.35">
      <c r="B5" s="457"/>
      <c r="C5" s="163">
        <f>ROUND(F5,0)</f>
        <v>70</v>
      </c>
      <c r="D5" s="408">
        <f>B63</f>
        <v>38.94</v>
      </c>
      <c r="E5" s="409">
        <v>1.8</v>
      </c>
      <c r="F5" s="410">
        <f>E5*D5</f>
        <v>70.091999999999999</v>
      </c>
      <c r="G5" s="164"/>
      <c r="H5" s="165"/>
      <c r="I5" s="164"/>
    </row>
    <row r="6" spans="2:10" ht="14.5" thickBot="1" x14ac:dyDescent="0.35">
      <c r="B6" s="491" t="s">
        <v>6</v>
      </c>
      <c r="C6" s="492"/>
      <c r="D6" s="411"/>
      <c r="E6" s="411"/>
      <c r="F6" s="412"/>
      <c r="G6" s="164"/>
      <c r="H6" s="166"/>
      <c r="I6" s="166"/>
    </row>
    <row r="7" spans="2:10" x14ac:dyDescent="0.3">
      <c r="B7" s="493"/>
      <c r="C7" s="494" t="s">
        <v>2</v>
      </c>
      <c r="D7" s="405" t="s">
        <v>3</v>
      </c>
      <c r="E7" s="406" t="s">
        <v>4</v>
      </c>
      <c r="F7" s="407" t="s">
        <v>5</v>
      </c>
      <c r="G7" s="161"/>
      <c r="H7" s="162"/>
      <c r="I7" s="162"/>
    </row>
    <row r="8" spans="2:10" ht="14.5" thickBot="1" x14ac:dyDescent="0.35">
      <c r="B8" s="495"/>
      <c r="C8" s="496">
        <f>ROUND(F8,0)</f>
        <v>62</v>
      </c>
      <c r="D8" s="408">
        <f>B28</f>
        <v>34.305856189770196</v>
      </c>
      <c r="E8" s="409">
        <v>1.8</v>
      </c>
      <c r="F8" s="410">
        <f>E8*D8</f>
        <v>61.750541141586353</v>
      </c>
      <c r="G8" s="164"/>
      <c r="H8" s="167"/>
      <c r="I8" s="164"/>
    </row>
    <row r="9" spans="2:10" ht="14.5" thickBot="1" x14ac:dyDescent="0.35">
      <c r="B9" s="455" t="s">
        <v>7</v>
      </c>
      <c r="C9" s="156"/>
      <c r="D9" s="413"/>
      <c r="E9" s="413"/>
      <c r="F9" s="414"/>
      <c r="G9" s="164"/>
      <c r="H9" s="164"/>
      <c r="I9" s="166"/>
    </row>
    <row r="10" spans="2:10" x14ac:dyDescent="0.3">
      <c r="B10" s="453"/>
      <c r="C10" s="160" t="s">
        <v>2</v>
      </c>
      <c r="D10" s="405" t="s">
        <v>3</v>
      </c>
      <c r="E10" s="406" t="s">
        <v>8</v>
      </c>
      <c r="F10" s="407" t="s">
        <v>5</v>
      </c>
      <c r="G10" s="161"/>
      <c r="H10" s="162"/>
      <c r="I10" s="162"/>
    </row>
    <row r="11" spans="2:10" ht="14.5" thickBot="1" x14ac:dyDescent="0.35">
      <c r="B11" s="454"/>
      <c r="C11" s="163">
        <f>ROUND(F11,0)</f>
        <v>58</v>
      </c>
      <c r="D11" s="408">
        <v>36.29</v>
      </c>
      <c r="E11" s="409">
        <v>1.6</v>
      </c>
      <c r="F11" s="410">
        <f>E11*D11</f>
        <v>58.064</v>
      </c>
      <c r="G11" s="164"/>
      <c r="I11" s="164"/>
    </row>
    <row r="12" spans="2:10" ht="15.75" hidden="1" customHeight="1" thickBot="1" x14ac:dyDescent="0.35">
      <c r="B12" s="168"/>
      <c r="C12" s="169"/>
      <c r="D12" s="170"/>
      <c r="E12" s="170"/>
      <c r="F12" s="171"/>
      <c r="G12" s="158"/>
      <c r="H12" s="159"/>
      <c r="I12" s="140"/>
    </row>
    <row r="13" spans="2:10" s="401" customFormat="1" ht="11.5" x14ac:dyDescent="0.25">
      <c r="B13" s="399" t="s">
        <v>9</v>
      </c>
      <c r="C13" s="400"/>
      <c r="D13" s="400"/>
      <c r="E13" s="400"/>
      <c r="F13" s="400"/>
      <c r="G13" s="400"/>
      <c r="H13" s="400"/>
      <c r="I13" s="400"/>
    </row>
    <row r="14" spans="2:10" s="401" customFormat="1" ht="11.5" x14ac:dyDescent="0.25">
      <c r="B14" s="402" t="s">
        <v>10</v>
      </c>
      <c r="C14" s="400"/>
      <c r="D14" s="400"/>
      <c r="E14" s="400"/>
      <c r="F14" s="400"/>
      <c r="G14" s="400"/>
      <c r="H14" s="400"/>
      <c r="I14" s="400"/>
    </row>
    <row r="15" spans="2:10" s="401" customFormat="1" ht="11.5" x14ac:dyDescent="0.25">
      <c r="B15" s="402" t="s">
        <v>11</v>
      </c>
      <c r="C15" s="400"/>
      <c r="D15" s="400"/>
      <c r="E15" s="400"/>
      <c r="F15" s="400"/>
      <c r="G15" s="400"/>
      <c r="H15" s="400"/>
      <c r="I15" s="400"/>
    </row>
    <row r="16" spans="2:10" s="401" customFormat="1" ht="12.5" x14ac:dyDescent="0.25">
      <c r="B16" s="613" t="s">
        <v>12</v>
      </c>
      <c r="C16" s="403"/>
      <c r="D16" s="403"/>
      <c r="E16" s="403"/>
      <c r="F16" s="403"/>
      <c r="G16" s="403"/>
      <c r="H16" s="403"/>
      <c r="I16" s="403"/>
    </row>
    <row r="17" spans="2:9" ht="13.5" customHeight="1" thickBot="1" x14ac:dyDescent="0.35">
      <c r="B17" s="144"/>
      <c r="C17" s="144"/>
      <c r="D17" s="144"/>
      <c r="E17" s="144"/>
      <c r="F17" s="144"/>
      <c r="G17" s="144"/>
      <c r="H17" s="144"/>
      <c r="I17" s="144"/>
    </row>
    <row r="18" spans="2:9" x14ac:dyDescent="0.3">
      <c r="B18" s="141" t="s">
        <v>13</v>
      </c>
      <c r="C18" s="142"/>
      <c r="D18" s="142"/>
      <c r="E18" s="142"/>
      <c r="F18" s="142"/>
      <c r="G18" s="142"/>
      <c r="H18" s="142"/>
      <c r="I18" s="143"/>
    </row>
    <row r="19" spans="2:9" x14ac:dyDescent="0.3">
      <c r="B19" s="467">
        <v>33.78</v>
      </c>
      <c r="C19" s="468" t="s">
        <v>14</v>
      </c>
      <c r="D19" s="140"/>
      <c r="E19" s="200"/>
      <c r="F19" s="200"/>
      <c r="G19" s="140"/>
      <c r="H19" s="140"/>
      <c r="I19" s="469"/>
    </row>
    <row r="20" spans="2:9" x14ac:dyDescent="0.3">
      <c r="B20" s="467"/>
      <c r="C20" s="470"/>
      <c r="D20" s="471" t="s">
        <v>15</v>
      </c>
      <c r="E20" s="140"/>
      <c r="F20" s="200"/>
      <c r="G20" s="140"/>
      <c r="H20" s="140"/>
      <c r="I20" s="469"/>
    </row>
    <row r="21" spans="2:9" x14ac:dyDescent="0.3">
      <c r="B21" s="467"/>
      <c r="C21" s="472">
        <v>43952</v>
      </c>
      <c r="D21" s="590" t="s">
        <v>16</v>
      </c>
      <c r="E21" s="140"/>
      <c r="F21" s="140"/>
      <c r="G21" s="473"/>
      <c r="H21" s="473"/>
      <c r="I21" s="469"/>
    </row>
    <row r="22" spans="2:9" x14ac:dyDescent="0.3">
      <c r="B22" s="467"/>
      <c r="C22" s="181"/>
      <c r="D22" s="140"/>
      <c r="E22" s="200"/>
      <c r="F22" s="140"/>
      <c r="G22" s="473"/>
      <c r="H22" s="473"/>
      <c r="I22" s="469"/>
    </row>
    <row r="23" spans="2:9" x14ac:dyDescent="0.3">
      <c r="B23" s="180"/>
      <c r="C23" s="474" t="s">
        <v>17</v>
      </c>
      <c r="D23" s="475" t="s">
        <v>18</v>
      </c>
      <c r="E23" s="193"/>
      <c r="F23" s="140"/>
      <c r="G23" s="140"/>
      <c r="H23" s="140"/>
      <c r="I23" s="176"/>
    </row>
    <row r="24" spans="2:9" x14ac:dyDescent="0.3">
      <c r="B24" s="476"/>
      <c r="C24" s="480">
        <v>134.9</v>
      </c>
      <c r="D24" s="472">
        <v>43891</v>
      </c>
      <c r="E24" s="590" t="s">
        <v>19</v>
      </c>
      <c r="F24" s="478"/>
      <c r="G24" s="478"/>
      <c r="H24" s="478"/>
      <c r="I24" s="479"/>
    </row>
    <row r="25" spans="2:9" x14ac:dyDescent="0.3">
      <c r="B25" s="476"/>
      <c r="C25" s="480">
        <v>137</v>
      </c>
      <c r="D25" s="481">
        <v>44256</v>
      </c>
      <c r="E25" s="590" t="s">
        <v>19</v>
      </c>
      <c r="F25" s="140"/>
      <c r="G25" s="140"/>
      <c r="H25" s="140"/>
      <c r="I25" s="176"/>
    </row>
    <row r="26" spans="2:9" x14ac:dyDescent="0.3">
      <c r="B26" s="476"/>
      <c r="C26" s="482">
        <f>+C24/C25</f>
        <v>0.98467153284671538</v>
      </c>
      <c r="D26" s="483" t="s">
        <v>20</v>
      </c>
      <c r="E26" s="140"/>
      <c r="F26" s="140"/>
      <c r="G26" s="140"/>
      <c r="H26" s="140"/>
      <c r="I26" s="176"/>
    </row>
    <row r="27" spans="2:9" x14ac:dyDescent="0.3">
      <c r="B27" s="476"/>
      <c r="C27" s="484"/>
      <c r="D27" s="478"/>
      <c r="E27" s="485"/>
      <c r="F27" s="140"/>
      <c r="G27" s="140"/>
      <c r="H27" s="140"/>
      <c r="I27" s="176"/>
    </row>
    <row r="28" spans="2:9" ht="12" customHeight="1" x14ac:dyDescent="0.3">
      <c r="B28" s="486">
        <f>B19*(C25/C24)</f>
        <v>34.305856189770196</v>
      </c>
      <c r="C28" s="193" t="s">
        <v>21</v>
      </c>
      <c r="D28" s="140"/>
      <c r="E28" s="140"/>
      <c r="F28" s="140"/>
      <c r="G28" s="140"/>
      <c r="H28" s="140"/>
      <c r="I28" s="176"/>
    </row>
    <row r="29" spans="2:9" ht="12" customHeight="1" thickBot="1" x14ac:dyDescent="0.35">
      <c r="B29" s="487"/>
      <c r="C29" s="488"/>
      <c r="D29" s="489"/>
      <c r="E29" s="489"/>
      <c r="F29" s="489"/>
      <c r="G29" s="489"/>
      <c r="H29" s="489"/>
      <c r="I29" s="490"/>
    </row>
    <row r="30" spans="2:9" ht="14.5" thickBot="1" x14ac:dyDescent="0.35"/>
    <row r="31" spans="2:9" ht="14.5" thickBot="1" x14ac:dyDescent="0.35">
      <c r="B31" s="146" t="s">
        <v>22</v>
      </c>
      <c r="C31" s="147"/>
      <c r="D31" s="147"/>
      <c r="E31" s="147"/>
      <c r="F31" s="147"/>
      <c r="G31" s="147"/>
      <c r="H31" s="147"/>
      <c r="I31" s="148"/>
    </row>
    <row r="32" spans="2:9" x14ac:dyDescent="0.3">
      <c r="B32" s="172" t="s">
        <v>23</v>
      </c>
      <c r="C32" s="173"/>
      <c r="D32" s="173"/>
      <c r="E32" s="173"/>
      <c r="F32" s="173"/>
      <c r="G32" s="173"/>
      <c r="H32" s="173"/>
      <c r="I32" s="149"/>
    </row>
    <row r="33" spans="2:9" s="177" customFormat="1" x14ac:dyDescent="0.3">
      <c r="B33" s="174">
        <v>46.58</v>
      </c>
      <c r="C33" s="175" t="s">
        <v>24</v>
      </c>
      <c r="D33" s="140"/>
      <c r="E33" s="140"/>
      <c r="F33" s="140"/>
      <c r="G33" s="140"/>
      <c r="H33" s="140"/>
      <c r="I33" s="176"/>
    </row>
    <row r="34" spans="2:9" s="177" customFormat="1" x14ac:dyDescent="0.3">
      <c r="B34" s="174"/>
      <c r="C34" s="140"/>
      <c r="D34" s="178" t="s">
        <v>15</v>
      </c>
      <c r="E34" s="140"/>
      <c r="F34" s="140"/>
      <c r="G34" s="140"/>
      <c r="H34" s="140"/>
      <c r="I34" s="176"/>
    </row>
    <row r="35" spans="2:9" s="177" customFormat="1" x14ac:dyDescent="0.3">
      <c r="B35" s="174"/>
      <c r="C35" s="472">
        <v>43952</v>
      </c>
      <c r="D35" s="185" t="s">
        <v>16</v>
      </c>
      <c r="E35" s="140"/>
      <c r="F35" s="140"/>
      <c r="G35" s="140"/>
      <c r="H35" s="140"/>
      <c r="I35" s="176"/>
    </row>
    <row r="36" spans="2:9" s="177" customFormat="1" x14ac:dyDescent="0.3">
      <c r="B36" s="180"/>
      <c r="C36" s="181"/>
      <c r="D36" s="140"/>
      <c r="E36" s="140"/>
      <c r="F36" s="140"/>
      <c r="G36" s="140"/>
      <c r="H36" s="140"/>
      <c r="I36" s="176"/>
    </row>
    <row r="37" spans="2:9" s="177" customFormat="1" x14ac:dyDescent="0.3">
      <c r="B37" s="174"/>
      <c r="C37" s="182" t="s">
        <v>17</v>
      </c>
      <c r="D37" s="183" t="s">
        <v>18</v>
      </c>
      <c r="E37" s="140"/>
      <c r="F37" s="140"/>
      <c r="G37" s="140"/>
      <c r="H37" s="184"/>
      <c r="I37" s="176"/>
    </row>
    <row r="38" spans="2:9" s="177" customFormat="1" x14ac:dyDescent="0.3">
      <c r="B38" s="174"/>
      <c r="C38" s="480">
        <v>139.19999999999999</v>
      </c>
      <c r="D38" s="472">
        <v>43891</v>
      </c>
      <c r="E38" s="477" t="s">
        <v>19</v>
      </c>
      <c r="F38" s="186"/>
      <c r="G38" s="186"/>
      <c r="H38" s="187"/>
      <c r="I38" s="176"/>
    </row>
    <row r="39" spans="2:9" s="177" customFormat="1" x14ac:dyDescent="0.3">
      <c r="B39" s="174"/>
      <c r="C39" s="480">
        <v>143.19999999999999</v>
      </c>
      <c r="D39" s="481">
        <v>44256</v>
      </c>
      <c r="E39" s="185" t="s">
        <v>19</v>
      </c>
      <c r="F39" s="186"/>
      <c r="G39" s="186"/>
      <c r="H39" s="188"/>
      <c r="I39" s="176"/>
    </row>
    <row r="40" spans="2:9" s="177" customFormat="1" x14ac:dyDescent="0.3">
      <c r="B40" s="174"/>
      <c r="C40" s="189">
        <f>+C38/C39</f>
        <v>0.97206703910614523</v>
      </c>
      <c r="D40" s="190" t="s">
        <v>20</v>
      </c>
      <c r="E40" s="140"/>
      <c r="F40" s="140"/>
      <c r="G40" s="140"/>
      <c r="H40" s="140"/>
      <c r="I40" s="176"/>
    </row>
    <row r="41" spans="2:9" s="177" customFormat="1" x14ac:dyDescent="0.3">
      <c r="B41" s="174"/>
      <c r="C41" s="175"/>
      <c r="D41" s="186"/>
      <c r="E41" s="191"/>
      <c r="F41" s="140"/>
      <c r="G41" s="140"/>
      <c r="H41" s="140"/>
      <c r="I41" s="176"/>
    </row>
    <row r="42" spans="2:9" s="177" customFormat="1" x14ac:dyDescent="0.3">
      <c r="B42" s="192">
        <f>B33*C40</f>
        <v>45.278882681564241</v>
      </c>
      <c r="C42" s="193" t="s">
        <v>21</v>
      </c>
      <c r="D42" s="181"/>
      <c r="E42" s="140"/>
      <c r="F42" s="140"/>
      <c r="G42" s="140"/>
      <c r="H42" s="140"/>
      <c r="I42" s="176"/>
    </row>
    <row r="43" spans="2:9" s="177" customFormat="1" x14ac:dyDescent="0.3">
      <c r="B43" s="194"/>
      <c r="C43" s="195"/>
      <c r="D43" s="196"/>
      <c r="E43" s="197"/>
      <c r="F43" s="197"/>
      <c r="G43" s="197"/>
      <c r="H43" s="197"/>
      <c r="I43" s="198"/>
    </row>
    <row r="44" spans="2:9" x14ac:dyDescent="0.3">
      <c r="B44" s="199" t="s">
        <v>25</v>
      </c>
      <c r="C44" s="200"/>
      <c r="D44" s="200"/>
      <c r="E44" s="200"/>
      <c r="F44" s="200"/>
      <c r="G44" s="200"/>
      <c r="H44" s="200"/>
      <c r="I44" s="151"/>
    </row>
    <row r="45" spans="2:9" x14ac:dyDescent="0.3">
      <c r="B45" s="201">
        <v>27.2</v>
      </c>
      <c r="C45" s="202" t="s">
        <v>26</v>
      </c>
      <c r="D45" s="202"/>
      <c r="E45" s="202"/>
      <c r="F45" s="202"/>
      <c r="G45" s="202"/>
      <c r="H45" s="202"/>
      <c r="I45" s="203"/>
    </row>
    <row r="46" spans="2:9" x14ac:dyDescent="0.3">
      <c r="B46" s="201"/>
      <c r="C46" s="140"/>
      <c r="D46" s="178" t="s">
        <v>15</v>
      </c>
      <c r="E46" s="202"/>
      <c r="F46" s="202"/>
      <c r="G46" s="202"/>
      <c r="H46" s="202"/>
      <c r="I46" s="203"/>
    </row>
    <row r="47" spans="2:9" x14ac:dyDescent="0.3">
      <c r="B47" s="204"/>
      <c r="C47" s="472">
        <v>43952</v>
      </c>
      <c r="D47" s="205" t="s">
        <v>27</v>
      </c>
      <c r="E47" s="202"/>
      <c r="F47" s="179"/>
      <c r="G47" s="202"/>
      <c r="H47" s="202"/>
      <c r="I47" s="203"/>
    </row>
    <row r="48" spans="2:9" x14ac:dyDescent="0.3">
      <c r="B48" s="204"/>
      <c r="C48" s="206"/>
      <c r="D48" s="202"/>
      <c r="E48" s="202"/>
      <c r="F48" s="202"/>
      <c r="G48" s="202"/>
      <c r="H48" s="202"/>
      <c r="I48" s="203"/>
    </row>
    <row r="49" spans="2:17" x14ac:dyDescent="0.3">
      <c r="B49" s="204"/>
      <c r="C49" s="182" t="s">
        <v>17</v>
      </c>
      <c r="D49" s="183" t="s">
        <v>28</v>
      </c>
      <c r="E49" s="202"/>
      <c r="F49" s="202"/>
      <c r="G49" s="202"/>
      <c r="H49" s="202"/>
      <c r="I49" s="203"/>
    </row>
    <row r="50" spans="2:17" x14ac:dyDescent="0.3">
      <c r="B50" s="204"/>
      <c r="C50" s="480">
        <v>139.19999999999999</v>
      </c>
      <c r="D50" s="472">
        <v>43891</v>
      </c>
      <c r="E50" s="477" t="s">
        <v>19</v>
      </c>
      <c r="F50" s="202"/>
      <c r="G50" s="202"/>
      <c r="H50" s="202"/>
      <c r="I50" s="203"/>
    </row>
    <row r="51" spans="2:17" x14ac:dyDescent="0.3">
      <c r="B51" s="204"/>
      <c r="C51" s="480">
        <v>143.19999999999999</v>
      </c>
      <c r="D51" s="481">
        <v>44256</v>
      </c>
      <c r="E51" s="185" t="s">
        <v>19</v>
      </c>
      <c r="F51" s="202"/>
      <c r="G51" s="202"/>
      <c r="H51" s="202"/>
      <c r="I51" s="203"/>
    </row>
    <row r="52" spans="2:17" x14ac:dyDescent="0.3">
      <c r="B52" s="204"/>
      <c r="C52" s="189">
        <f>C50/C51</f>
        <v>0.97206703910614523</v>
      </c>
      <c r="D52" s="190" t="s">
        <v>20</v>
      </c>
      <c r="E52" s="202"/>
      <c r="F52" s="202"/>
      <c r="G52" s="202"/>
      <c r="H52" s="202"/>
      <c r="I52" s="203"/>
    </row>
    <row r="53" spans="2:17" x14ac:dyDescent="0.3">
      <c r="B53" s="204"/>
      <c r="C53" s="186"/>
      <c r="D53" s="191"/>
      <c r="E53" s="202"/>
      <c r="F53" s="202"/>
      <c r="G53" s="202"/>
      <c r="H53" s="202"/>
      <c r="I53" s="203"/>
    </row>
    <row r="54" spans="2:17" x14ac:dyDescent="0.3">
      <c r="B54" s="192">
        <f>B45*C52</f>
        <v>26.44022346368715</v>
      </c>
      <c r="C54" s="193" t="s">
        <v>21</v>
      </c>
      <c r="D54" s="140"/>
      <c r="E54" s="202"/>
      <c r="F54" s="202"/>
      <c r="G54" s="202"/>
      <c r="H54" s="202"/>
      <c r="I54" s="203"/>
    </row>
    <row r="55" spans="2:17" ht="14.5" thickBot="1" x14ac:dyDescent="0.35">
      <c r="B55" s="207"/>
      <c r="C55" s="202"/>
      <c r="D55" s="208"/>
      <c r="E55" s="202"/>
      <c r="F55" s="202"/>
      <c r="G55" s="209"/>
      <c r="H55" s="209"/>
      <c r="I55" s="203"/>
    </row>
    <row r="56" spans="2:17" x14ac:dyDescent="0.3">
      <c r="B56" s="152" t="s">
        <v>29</v>
      </c>
      <c r="C56" s="153"/>
      <c r="D56" s="153"/>
      <c r="E56" s="153"/>
      <c r="F56" s="153"/>
      <c r="G56" s="153"/>
      <c r="H56" s="153"/>
      <c r="I56" s="154"/>
    </row>
    <row r="57" spans="2:17" ht="14.5" x14ac:dyDescent="0.35">
      <c r="B57" s="155" t="s">
        <v>30</v>
      </c>
      <c r="C57" s="202"/>
      <c r="D57" s="202"/>
      <c r="E57" s="202"/>
      <c r="F57" s="202"/>
      <c r="G57" s="202"/>
      <c r="H57" s="202"/>
      <c r="I57" s="203"/>
    </row>
    <row r="58" spans="2:17" x14ac:dyDescent="0.3">
      <c r="B58" s="204"/>
      <c r="C58" s="210">
        <f>0.5*SUM('Tables 4-7'!G47:G52)</f>
        <v>3822980</v>
      </c>
      <c r="D58" s="208" t="s">
        <v>31</v>
      </c>
      <c r="E58" s="202"/>
      <c r="F58" s="202"/>
      <c r="G58" s="202"/>
      <c r="H58" s="202"/>
      <c r="I58" s="203"/>
      <c r="Q58" s="211"/>
    </row>
    <row r="59" spans="2:17" x14ac:dyDescent="0.3">
      <c r="B59" s="204"/>
      <c r="C59" s="212"/>
      <c r="D59" s="208"/>
      <c r="E59" s="202"/>
      <c r="F59" s="202"/>
      <c r="G59" s="212"/>
      <c r="H59" s="202"/>
      <c r="I59" s="203"/>
      <c r="Q59" s="211"/>
    </row>
    <row r="60" spans="2:17" ht="14.5" x14ac:dyDescent="0.35">
      <c r="B60" s="155" t="s">
        <v>32</v>
      </c>
      <c r="C60" s="202"/>
      <c r="D60" s="202"/>
      <c r="E60" s="202"/>
      <c r="F60" s="202"/>
      <c r="G60" s="202"/>
      <c r="H60" s="202"/>
      <c r="I60" s="203"/>
    </row>
    <row r="61" spans="2:17" x14ac:dyDescent="0.3">
      <c r="B61" s="204"/>
      <c r="C61" s="210">
        <f>'Tables 4-7'!G67-Labor!C58</f>
        <v>7538270</v>
      </c>
      <c r="D61" s="208" t="s">
        <v>33</v>
      </c>
      <c r="E61" s="202"/>
      <c r="F61" s="202"/>
      <c r="G61" s="202"/>
      <c r="H61" s="202"/>
      <c r="I61" s="203"/>
    </row>
    <row r="62" spans="2:17" x14ac:dyDescent="0.3">
      <c r="B62" s="204"/>
      <c r="C62" s="202"/>
      <c r="D62" s="202"/>
      <c r="E62" s="202"/>
      <c r="F62" s="202"/>
      <c r="G62" s="202"/>
      <c r="H62" s="202"/>
      <c r="I62" s="203"/>
    </row>
    <row r="63" spans="2:17" x14ac:dyDescent="0.3">
      <c r="B63" s="192">
        <f>ROUND(((C58*B54)+(C61*B42))/(C58+C61),2)</f>
        <v>38.94</v>
      </c>
      <c r="C63" s="193" t="s">
        <v>34</v>
      </c>
      <c r="D63" s="140"/>
      <c r="E63" s="140"/>
      <c r="F63" s="140"/>
      <c r="G63" s="140"/>
      <c r="H63" s="140"/>
      <c r="I63" s="203"/>
    </row>
    <row r="64" spans="2:17" ht="14.5" thickBot="1" x14ac:dyDescent="0.35">
      <c r="B64" s="213"/>
      <c r="C64" s="209"/>
      <c r="D64" s="209"/>
      <c r="E64" s="209"/>
      <c r="F64" s="209"/>
      <c r="G64" s="209"/>
      <c r="H64" s="209"/>
      <c r="I64" s="214"/>
    </row>
  </sheetData>
  <hyperlinks>
    <hyperlink ref="D35" r:id="rId1" xr:uid="{00000000-0004-0000-0000-000000000000}"/>
    <hyperlink ref="D21" r:id="rId2" xr:uid="{00000000-0004-0000-0000-000001000000}"/>
    <hyperlink ref="E24" r:id="rId3" xr:uid="{00000000-0004-0000-0000-000002000000}"/>
    <hyperlink ref="E25" r:id="rId4" xr:uid="{00000000-0004-0000-0000-000003000000}"/>
    <hyperlink ref="B16" r:id="rId5" xr:uid="{00000000-0004-0000-0000-000004000000}"/>
  </hyperlinks>
  <pageMargins left="0.56999999999999995" right="0.25" top="0.61" bottom="0.46" header="0.3" footer="0.23"/>
  <pageSetup orientation="portrait" r:id="rId6"/>
  <headerFooter>
    <oddHeader>&amp;R&amp;8&amp;F
&amp;D&amp;T</oddHeader>
    <oddFooter>&amp;R&amp;A</oddFooter>
  </headerFooter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27"/>
  <sheetViews>
    <sheetView showGridLines="0" topLeftCell="A16" zoomScale="85" zoomScaleNormal="85" zoomScalePageLayoutView="55" workbookViewId="0">
      <selection activeCell="D16" sqref="D16"/>
    </sheetView>
  </sheetViews>
  <sheetFormatPr defaultColWidth="9.1796875" defaultRowHeight="14" x14ac:dyDescent="0.3"/>
  <cols>
    <col min="1" max="1" width="4.81640625" style="232" customWidth="1"/>
    <col min="2" max="2" width="13.26953125" style="232" customWidth="1"/>
    <col min="3" max="3" width="16.54296875" style="232" customWidth="1"/>
    <col min="4" max="4" width="18.453125" style="270" customWidth="1"/>
    <col min="5" max="5" width="93.1796875" style="232" customWidth="1"/>
    <col min="6" max="6" width="9.1796875" style="232"/>
    <col min="7" max="7" width="9.81640625" style="232" customWidth="1"/>
    <col min="8" max="16384" width="9.1796875" style="232"/>
  </cols>
  <sheetData>
    <row r="1" spans="2:5" ht="17.5" x14ac:dyDescent="0.35">
      <c r="D1" s="404" t="s">
        <v>0</v>
      </c>
    </row>
    <row r="2" spans="2:5" ht="14.5" thickBot="1" x14ac:dyDescent="0.35"/>
    <row r="3" spans="2:5" ht="21.75" customHeight="1" thickBot="1" x14ac:dyDescent="0.35">
      <c r="B3" s="229" t="s">
        <v>35</v>
      </c>
      <c r="C3" s="230"/>
      <c r="D3" s="267"/>
      <c r="E3" s="231" t="s">
        <v>36</v>
      </c>
    </row>
    <row r="4" spans="2:5" ht="14.5" thickBot="1" x14ac:dyDescent="0.35">
      <c r="B4" s="235"/>
      <c r="C4" s="236" t="s">
        <v>37</v>
      </c>
      <c r="D4" s="504">
        <v>13988</v>
      </c>
      <c r="E4" s="237" t="s">
        <v>38</v>
      </c>
    </row>
    <row r="5" spans="2:5" ht="14.5" thickBot="1" x14ac:dyDescent="0.35">
      <c r="B5" s="238"/>
      <c r="C5" s="239"/>
      <c r="D5" s="240"/>
      <c r="E5" s="241"/>
    </row>
    <row r="6" spans="2:5" x14ac:dyDescent="0.3">
      <c r="B6" s="242" t="s">
        <v>39</v>
      </c>
      <c r="C6" s="243"/>
      <c r="D6" s="268"/>
      <c r="E6" s="215"/>
    </row>
    <row r="7" spans="2:5" ht="14.5" thickBot="1" x14ac:dyDescent="0.35">
      <c r="B7" s="244"/>
      <c r="C7" s="245"/>
      <c r="D7" s="269" t="s">
        <v>40</v>
      </c>
      <c r="E7" s="246" t="s">
        <v>36</v>
      </c>
    </row>
    <row r="8" spans="2:5" x14ac:dyDescent="0.3">
      <c r="B8" s="222" t="s">
        <v>41</v>
      </c>
      <c r="C8" s="265">
        <f>C16</f>
        <v>43100</v>
      </c>
      <c r="D8" s="247">
        <v>213</v>
      </c>
      <c r="E8" s="248" t="s">
        <v>195</v>
      </c>
    </row>
    <row r="9" spans="2:5" x14ac:dyDescent="0.3">
      <c r="B9" s="222" t="s">
        <v>42</v>
      </c>
      <c r="C9" s="265">
        <f>+C17</f>
        <v>43465</v>
      </c>
      <c r="D9" s="247">
        <f>D8/3</f>
        <v>71</v>
      </c>
      <c r="E9" s="620" t="s">
        <v>43</v>
      </c>
    </row>
    <row r="10" spans="2:5" x14ac:dyDescent="0.3">
      <c r="B10" s="222" t="s">
        <v>44</v>
      </c>
      <c r="C10" s="265">
        <f>+C18</f>
        <v>43830</v>
      </c>
      <c r="D10" s="247">
        <f>D8/3</f>
        <v>71</v>
      </c>
      <c r="E10" s="621"/>
    </row>
    <row r="11" spans="2:5" ht="14.5" thickBot="1" x14ac:dyDescent="0.35">
      <c r="B11" s="226" t="s">
        <v>45</v>
      </c>
      <c r="C11" s="266">
        <f>+C19</f>
        <v>44196</v>
      </c>
      <c r="D11" s="247">
        <f>D8/3</f>
        <v>71</v>
      </c>
      <c r="E11" s="622"/>
    </row>
    <row r="12" spans="2:5" ht="14.5" thickBot="1" x14ac:dyDescent="0.35"/>
    <row r="13" spans="2:5" ht="21" customHeight="1" thickBot="1" x14ac:dyDescent="0.35">
      <c r="B13" s="626" t="s">
        <v>46</v>
      </c>
      <c r="C13" s="627"/>
      <c r="D13" s="627"/>
      <c r="E13" s="628"/>
    </row>
    <row r="14" spans="2:5" ht="21.75" customHeight="1" thickBot="1" x14ac:dyDescent="0.35">
      <c r="B14" s="623" t="s">
        <v>47</v>
      </c>
      <c r="C14" s="624"/>
      <c r="D14" s="624"/>
      <c r="E14" s="625"/>
    </row>
    <row r="15" spans="2:5" s="249" customFormat="1" x14ac:dyDescent="0.25">
      <c r="B15" s="216"/>
      <c r="C15" s="217"/>
      <c r="D15" s="271" t="s">
        <v>48</v>
      </c>
      <c r="E15" s="218" t="s">
        <v>36</v>
      </c>
    </row>
    <row r="16" spans="2:5" x14ac:dyDescent="0.3">
      <c r="B16" s="219" t="s">
        <v>49</v>
      </c>
      <c r="C16" s="220">
        <v>43100</v>
      </c>
      <c r="D16" s="503">
        <f>D4+D8</f>
        <v>14201</v>
      </c>
      <c r="E16" s="221" t="s">
        <v>50</v>
      </c>
    </row>
    <row r="17" spans="2:6" x14ac:dyDescent="0.3">
      <c r="B17" s="222" t="s">
        <v>42</v>
      </c>
      <c r="C17" s="223">
        <v>43465</v>
      </c>
      <c r="D17" s="224">
        <v>100</v>
      </c>
      <c r="E17" s="225" t="s">
        <v>51</v>
      </c>
    </row>
    <row r="18" spans="2:6" x14ac:dyDescent="0.3">
      <c r="B18" s="222" t="s">
        <v>44</v>
      </c>
      <c r="C18" s="223">
        <v>43830</v>
      </c>
      <c r="D18" s="224">
        <v>100</v>
      </c>
      <c r="E18" s="225" t="s">
        <v>51</v>
      </c>
    </row>
    <row r="19" spans="2:6" ht="14.5" thickBot="1" x14ac:dyDescent="0.35">
      <c r="B19" s="226" t="s">
        <v>45</v>
      </c>
      <c r="C19" s="227">
        <v>44196</v>
      </c>
      <c r="D19" s="228">
        <v>100</v>
      </c>
      <c r="E19" s="225" t="s">
        <v>51</v>
      </c>
    </row>
    <row r="20" spans="2:6" s="234" customFormat="1" ht="21.75" customHeight="1" thickBot="1" x14ac:dyDescent="0.35">
      <c r="B20" s="250"/>
      <c r="C20" s="250"/>
      <c r="D20" s="251"/>
      <c r="E20" s="250"/>
      <c r="F20" s="252"/>
    </row>
    <row r="21" spans="2:6" x14ac:dyDescent="0.3">
      <c r="B21" s="253" t="s">
        <v>52</v>
      </c>
      <c r="C21" s="242"/>
      <c r="D21" s="268"/>
      <c r="E21" s="254"/>
    </row>
    <row r="22" spans="2:6" x14ac:dyDescent="0.3">
      <c r="B22" s="244"/>
      <c r="C22" s="255"/>
      <c r="D22" s="272" t="s">
        <v>40</v>
      </c>
      <c r="E22" s="256" t="s">
        <v>36</v>
      </c>
    </row>
    <row r="23" spans="2:6" ht="14.5" thickBot="1" x14ac:dyDescent="0.35">
      <c r="B23" s="257"/>
      <c r="C23" s="258"/>
      <c r="D23" s="505">
        <v>2200</v>
      </c>
      <c r="E23" s="260" t="s">
        <v>53</v>
      </c>
    </row>
    <row r="24" spans="2:6" ht="20.25" customHeight="1" thickBot="1" x14ac:dyDescent="0.35">
      <c r="B24" s="252"/>
      <c r="C24" s="252"/>
      <c r="D24" s="261"/>
      <c r="E24" s="262"/>
    </row>
    <row r="25" spans="2:6" x14ac:dyDescent="0.3">
      <c r="B25" s="253" t="s">
        <v>54</v>
      </c>
      <c r="C25" s="263"/>
      <c r="D25" s="268"/>
      <c r="E25" s="215"/>
    </row>
    <row r="26" spans="2:6" x14ac:dyDescent="0.3">
      <c r="B26" s="244"/>
      <c r="C26" s="255"/>
      <c r="D26" s="273" t="s">
        <v>55</v>
      </c>
      <c r="E26" s="264" t="s">
        <v>36</v>
      </c>
    </row>
    <row r="27" spans="2:6" ht="14.5" thickBot="1" x14ac:dyDescent="0.35">
      <c r="B27" s="257"/>
      <c r="C27" s="258"/>
      <c r="D27" s="259">
        <v>117</v>
      </c>
      <c r="E27" s="260"/>
    </row>
  </sheetData>
  <mergeCells count="3">
    <mergeCell ref="E9:E11"/>
    <mergeCell ref="B14:E14"/>
    <mergeCell ref="B13:E13"/>
  </mergeCells>
  <pageMargins left="0.62" right="0.27" top="0.72" bottom="0.45" header="0.31" footer="0.3"/>
  <pageSetup scale="70" orientation="portrait" r:id="rId1"/>
  <headerFooter>
    <oddHeader>&amp;R&amp;9&amp;F
&amp;D&amp;T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E58"/>
  <sheetViews>
    <sheetView showGridLines="0" topLeftCell="A42" zoomScale="115" zoomScaleNormal="115" zoomScaleSheetLayoutView="70" workbookViewId="0">
      <selection activeCell="B46" sqref="B46:C58"/>
    </sheetView>
  </sheetViews>
  <sheetFormatPr defaultColWidth="9.1796875" defaultRowHeight="14" x14ac:dyDescent="0.3"/>
  <cols>
    <col min="1" max="1" width="1" style="234" customWidth="1"/>
    <col min="2" max="2" width="40.7265625" style="234" bestFit="1" customWidth="1"/>
    <col min="3" max="3" width="13.7265625" style="282" customWidth="1"/>
    <col min="4" max="4" width="12.54296875" style="284" customWidth="1"/>
    <col min="5" max="5" width="85.54296875" style="234" bestFit="1" customWidth="1"/>
    <col min="6" max="16384" width="9.1796875" style="234"/>
  </cols>
  <sheetData>
    <row r="1" spans="2:5" ht="27" customHeight="1" x14ac:dyDescent="0.3">
      <c r="B1" s="252"/>
      <c r="C1" s="393" t="s">
        <v>0</v>
      </c>
    </row>
    <row r="2" spans="2:5" ht="15" x14ac:dyDescent="0.3">
      <c r="B2" s="564" t="s">
        <v>56</v>
      </c>
      <c r="C2" s="564"/>
      <c r="D2" s="564"/>
      <c r="E2" s="564"/>
    </row>
    <row r="3" spans="2:5" s="252" customFormat="1" ht="5.25" customHeight="1" thickBot="1" x14ac:dyDescent="0.35">
      <c r="B3" s="564"/>
      <c r="C3" s="564"/>
      <c r="D3" s="564"/>
      <c r="E3" s="564"/>
    </row>
    <row r="4" spans="2:5" s="232" customFormat="1" x14ac:dyDescent="0.3">
      <c r="B4" s="629" t="s">
        <v>57</v>
      </c>
      <c r="C4" s="632" t="s">
        <v>58</v>
      </c>
      <c r="D4" s="566" t="s">
        <v>59</v>
      </c>
      <c r="E4" s="275"/>
    </row>
    <row r="5" spans="2:5" s="232" customFormat="1" x14ac:dyDescent="0.3">
      <c r="B5" s="630"/>
      <c r="C5" s="633"/>
      <c r="D5" s="567">
        <v>2018</v>
      </c>
      <c r="E5" s="276"/>
    </row>
    <row r="6" spans="2:5" s="232" customFormat="1" ht="14.5" thickBot="1" x14ac:dyDescent="0.35">
      <c r="B6" s="631"/>
      <c r="C6" s="634"/>
      <c r="D6" s="568" t="s">
        <v>60</v>
      </c>
      <c r="E6" s="277" t="s">
        <v>61</v>
      </c>
    </row>
    <row r="7" spans="2:5" s="232" customFormat="1" ht="14.5" hidden="1" thickBot="1" x14ac:dyDescent="0.35">
      <c r="B7" s="278" t="s">
        <v>62</v>
      </c>
      <c r="C7" s="573"/>
      <c r="D7" s="274"/>
      <c r="E7" s="279"/>
    </row>
    <row r="8" spans="2:5" x14ac:dyDescent="0.3">
      <c r="B8" s="363" t="s">
        <v>63</v>
      </c>
      <c r="C8" s="574">
        <v>330</v>
      </c>
      <c r="D8" s="569">
        <v>330</v>
      </c>
      <c r="E8" s="364" t="s">
        <v>64</v>
      </c>
    </row>
    <row r="9" spans="2:5" s="367" customFormat="1" x14ac:dyDescent="0.3">
      <c r="B9" s="365" t="s">
        <v>65</v>
      </c>
      <c r="C9" s="575">
        <v>50</v>
      </c>
      <c r="D9" s="569">
        <v>50</v>
      </c>
      <c r="E9" s="366" t="s">
        <v>64</v>
      </c>
    </row>
    <row r="10" spans="2:5" x14ac:dyDescent="0.3">
      <c r="B10" s="363" t="s">
        <v>66</v>
      </c>
      <c r="C10" s="574">
        <v>44</v>
      </c>
      <c r="D10" s="569">
        <v>44</v>
      </c>
      <c r="E10" s="364" t="s">
        <v>64</v>
      </c>
    </row>
    <row r="11" spans="2:5" x14ac:dyDescent="0.3">
      <c r="B11" s="363" t="s">
        <v>67</v>
      </c>
      <c r="C11" s="574">
        <v>11</v>
      </c>
      <c r="D11" s="569">
        <v>11</v>
      </c>
      <c r="E11" s="364" t="s">
        <v>64</v>
      </c>
    </row>
    <row r="12" spans="2:5" x14ac:dyDescent="0.3">
      <c r="B12" s="368" t="s">
        <v>68</v>
      </c>
      <c r="C12" s="576">
        <v>200</v>
      </c>
      <c r="D12" s="570">
        <v>200</v>
      </c>
      <c r="E12" s="369" t="s">
        <v>64</v>
      </c>
    </row>
    <row r="13" spans="2:5" ht="29.25" customHeight="1" x14ac:dyDescent="0.3">
      <c r="B13" s="370" t="s">
        <v>69</v>
      </c>
      <c r="C13" s="576">
        <v>80</v>
      </c>
      <c r="D13" s="570">
        <v>80</v>
      </c>
      <c r="E13" s="369" t="s">
        <v>64</v>
      </c>
    </row>
    <row r="14" spans="2:5" x14ac:dyDescent="0.3">
      <c r="B14" s="371" t="s">
        <v>70</v>
      </c>
      <c r="C14" s="577">
        <v>84</v>
      </c>
      <c r="D14" s="571">
        <v>84</v>
      </c>
      <c r="E14" s="372" t="s">
        <v>64</v>
      </c>
    </row>
    <row r="15" spans="2:5" x14ac:dyDescent="0.3">
      <c r="B15" s="371" t="s">
        <v>71</v>
      </c>
      <c r="C15" s="577">
        <v>44</v>
      </c>
      <c r="D15" s="571">
        <v>44</v>
      </c>
      <c r="E15" s="372" t="s">
        <v>64</v>
      </c>
    </row>
    <row r="16" spans="2:5" x14ac:dyDescent="0.3">
      <c r="B16" s="363" t="s">
        <v>72</v>
      </c>
      <c r="C16" s="574">
        <v>8</v>
      </c>
      <c r="D16" s="569">
        <v>8</v>
      </c>
      <c r="E16" s="364" t="s">
        <v>64</v>
      </c>
    </row>
    <row r="17" spans="2:5" x14ac:dyDescent="0.3">
      <c r="B17" s="363" t="s">
        <v>73</v>
      </c>
      <c r="C17" s="574">
        <v>2</v>
      </c>
      <c r="D17" s="569">
        <v>2</v>
      </c>
      <c r="E17" s="364" t="s">
        <v>64</v>
      </c>
    </row>
    <row r="18" spans="2:5" x14ac:dyDescent="0.3">
      <c r="B18" s="363" t="s">
        <v>74</v>
      </c>
      <c r="C18" s="574">
        <v>216</v>
      </c>
      <c r="D18" s="569">
        <v>216</v>
      </c>
      <c r="E18" s="364" t="s">
        <v>64</v>
      </c>
    </row>
    <row r="19" spans="2:5" ht="14.5" thickBot="1" x14ac:dyDescent="0.35">
      <c r="B19" s="373" t="s">
        <v>75</v>
      </c>
      <c r="C19" s="578">
        <v>22</v>
      </c>
      <c r="D19" s="572">
        <v>22</v>
      </c>
      <c r="E19" s="374" t="s">
        <v>64</v>
      </c>
    </row>
    <row r="20" spans="2:5" x14ac:dyDescent="0.3">
      <c r="B20" s="375"/>
      <c r="C20" s="377"/>
      <c r="D20" s="376"/>
      <c r="E20" s="378"/>
    </row>
    <row r="21" spans="2:5" ht="15" x14ac:dyDescent="0.3">
      <c r="B21" s="589" t="s">
        <v>76</v>
      </c>
      <c r="C21" s="565"/>
      <c r="D21" s="565"/>
      <c r="E21" s="565"/>
    </row>
    <row r="22" spans="2:5" s="252" customFormat="1" ht="5.25" customHeight="1" thickBot="1" x14ac:dyDescent="0.35">
      <c r="B22" s="564"/>
      <c r="C22" s="564"/>
      <c r="D22" s="564"/>
      <c r="E22" s="564"/>
    </row>
    <row r="23" spans="2:5" s="232" customFormat="1" ht="15" customHeight="1" x14ac:dyDescent="0.3">
      <c r="B23" s="629" t="s">
        <v>57</v>
      </c>
      <c r="C23" s="632" t="s">
        <v>58</v>
      </c>
      <c r="D23" s="566" t="s">
        <v>59</v>
      </c>
      <c r="E23" s="275"/>
    </row>
    <row r="24" spans="2:5" s="232" customFormat="1" ht="15" customHeight="1" x14ac:dyDescent="0.3">
      <c r="B24" s="630"/>
      <c r="C24" s="633"/>
      <c r="D24" s="567">
        <v>2018</v>
      </c>
      <c r="E24" s="276"/>
    </row>
    <row r="25" spans="2:5" s="232" customFormat="1" ht="14.5" thickBot="1" x14ac:dyDescent="0.35">
      <c r="B25" s="631"/>
      <c r="C25" s="634"/>
      <c r="D25" s="568" t="s">
        <v>60</v>
      </c>
      <c r="E25" s="277" t="s">
        <v>61</v>
      </c>
    </row>
    <row r="26" spans="2:5" s="232" customFormat="1" ht="15.75" hidden="1" customHeight="1" thickBot="1" x14ac:dyDescent="0.35">
      <c r="B26" s="233" t="s">
        <v>77</v>
      </c>
      <c r="C26" s="583"/>
      <c r="D26" s="283"/>
      <c r="E26" s="280"/>
    </row>
    <row r="27" spans="2:5" s="381" customFormat="1" x14ac:dyDescent="0.3">
      <c r="B27" s="379" t="s">
        <v>78</v>
      </c>
      <c r="C27" s="584">
        <v>3500</v>
      </c>
      <c r="D27" s="579">
        <v>3500</v>
      </c>
      <c r="E27" s="380" t="s">
        <v>64</v>
      </c>
    </row>
    <row r="28" spans="2:5" s="381" customFormat="1" x14ac:dyDescent="0.3">
      <c r="B28" s="382" t="s">
        <v>79</v>
      </c>
      <c r="C28" s="584">
        <v>110</v>
      </c>
      <c r="D28" s="580">
        <v>110</v>
      </c>
      <c r="E28" s="380" t="s">
        <v>64</v>
      </c>
    </row>
    <row r="29" spans="2:5" s="381" customFormat="1" x14ac:dyDescent="0.3">
      <c r="B29" s="382" t="s">
        <v>80</v>
      </c>
      <c r="C29" s="584">
        <v>170</v>
      </c>
      <c r="D29" s="580">
        <v>170</v>
      </c>
      <c r="E29" s="380" t="s">
        <v>64</v>
      </c>
    </row>
    <row r="30" spans="2:5" s="381" customFormat="1" x14ac:dyDescent="0.3">
      <c r="B30" s="382" t="s">
        <v>81</v>
      </c>
      <c r="C30" s="584">
        <v>11</v>
      </c>
      <c r="D30" s="580">
        <v>11</v>
      </c>
      <c r="E30" s="380" t="s">
        <v>64</v>
      </c>
    </row>
    <row r="31" spans="2:5" s="381" customFormat="1" x14ac:dyDescent="0.3">
      <c r="B31" s="382" t="s">
        <v>82</v>
      </c>
      <c r="C31" s="584">
        <v>110</v>
      </c>
      <c r="D31" s="580">
        <v>110</v>
      </c>
      <c r="E31" s="380" t="s">
        <v>64</v>
      </c>
    </row>
    <row r="32" spans="2:5" s="381" customFormat="1" x14ac:dyDescent="0.3">
      <c r="B32" s="382" t="s">
        <v>83</v>
      </c>
      <c r="C32" s="584">
        <v>20</v>
      </c>
      <c r="D32" s="580">
        <v>20</v>
      </c>
      <c r="E32" s="364" t="s">
        <v>64</v>
      </c>
    </row>
    <row r="33" spans="2:5" s="381" customFormat="1" x14ac:dyDescent="0.3">
      <c r="B33" s="382" t="s">
        <v>84</v>
      </c>
      <c r="C33" s="584">
        <v>44</v>
      </c>
      <c r="D33" s="580">
        <v>44</v>
      </c>
      <c r="E33" s="380" t="s">
        <v>64</v>
      </c>
    </row>
    <row r="34" spans="2:5" s="381" customFormat="1" x14ac:dyDescent="0.3">
      <c r="B34" s="383" t="s">
        <v>85</v>
      </c>
      <c r="C34" s="584">
        <v>9</v>
      </c>
      <c r="D34" s="581">
        <v>9</v>
      </c>
      <c r="E34" s="380" t="s">
        <v>64</v>
      </c>
    </row>
    <row r="35" spans="2:5" s="381" customFormat="1" x14ac:dyDescent="0.3">
      <c r="B35" s="383" t="s">
        <v>86</v>
      </c>
      <c r="C35" s="584">
        <v>80</v>
      </c>
      <c r="D35" s="581">
        <v>80</v>
      </c>
      <c r="E35" s="364" t="s">
        <v>64</v>
      </c>
    </row>
    <row r="36" spans="2:5" s="381" customFormat="1" x14ac:dyDescent="0.3">
      <c r="B36" s="384" t="s">
        <v>70</v>
      </c>
      <c r="C36" s="585">
        <v>94</v>
      </c>
      <c r="D36" s="580">
        <v>94</v>
      </c>
      <c r="E36" s="385" t="s">
        <v>64</v>
      </c>
    </row>
    <row r="37" spans="2:5" s="381" customFormat="1" x14ac:dyDescent="0.3">
      <c r="B37" s="384" t="s">
        <v>87</v>
      </c>
      <c r="C37" s="585">
        <v>34</v>
      </c>
      <c r="D37" s="580">
        <v>34</v>
      </c>
      <c r="E37" s="385" t="s">
        <v>64</v>
      </c>
    </row>
    <row r="38" spans="2:5" s="381" customFormat="1" x14ac:dyDescent="0.3">
      <c r="B38" s="386" t="s">
        <v>88</v>
      </c>
      <c r="C38" s="585">
        <v>5</v>
      </c>
      <c r="D38" s="580">
        <v>5</v>
      </c>
      <c r="E38" s="387" t="s">
        <v>64</v>
      </c>
    </row>
    <row r="39" spans="2:5" s="381" customFormat="1" x14ac:dyDescent="0.3">
      <c r="B39" s="384" t="s">
        <v>89</v>
      </c>
      <c r="C39" s="585">
        <v>97</v>
      </c>
      <c r="D39" s="580">
        <v>97</v>
      </c>
      <c r="E39" s="380" t="s">
        <v>64</v>
      </c>
    </row>
    <row r="40" spans="2:5" s="381" customFormat="1" x14ac:dyDescent="0.3">
      <c r="B40" s="384" t="s">
        <v>90</v>
      </c>
      <c r="C40" s="585">
        <v>10</v>
      </c>
      <c r="D40" s="580">
        <v>10</v>
      </c>
      <c r="E40" s="364" t="s">
        <v>64</v>
      </c>
    </row>
    <row r="41" spans="2:5" s="381" customFormat="1" x14ac:dyDescent="0.3">
      <c r="B41" s="388" t="s">
        <v>91</v>
      </c>
      <c r="C41" s="585">
        <v>15</v>
      </c>
      <c r="D41" s="580">
        <v>15</v>
      </c>
      <c r="E41" s="387" t="s">
        <v>64</v>
      </c>
    </row>
    <row r="42" spans="2:5" s="381" customFormat="1" ht="14.5" thickBot="1" x14ac:dyDescent="0.35">
      <c r="B42" s="389" t="s">
        <v>92</v>
      </c>
      <c r="C42" s="586">
        <v>40</v>
      </c>
      <c r="D42" s="582">
        <v>40</v>
      </c>
      <c r="E42" s="374" t="s">
        <v>64</v>
      </c>
    </row>
    <row r="43" spans="2:5" x14ac:dyDescent="0.3">
      <c r="C43" s="281"/>
    </row>
    <row r="44" spans="2:5" ht="15" x14ac:dyDescent="0.3">
      <c r="B44" s="565" t="s">
        <v>93</v>
      </c>
      <c r="C44" s="565"/>
      <c r="D44" s="565"/>
      <c r="E44" s="565"/>
    </row>
    <row r="45" spans="2:5" s="252" customFormat="1" ht="3.75" customHeight="1" thickBot="1" x14ac:dyDescent="0.35">
      <c r="B45" s="565"/>
      <c r="C45" s="565"/>
      <c r="D45" s="565"/>
      <c r="E45" s="565"/>
    </row>
    <row r="46" spans="2:5" ht="15" customHeight="1" x14ac:dyDescent="0.3">
      <c r="B46" s="629" t="s">
        <v>57</v>
      </c>
      <c r="C46" s="632" t="s">
        <v>58</v>
      </c>
      <c r="D46" s="566" t="s">
        <v>59</v>
      </c>
      <c r="E46" s="275"/>
    </row>
    <row r="47" spans="2:5" x14ac:dyDescent="0.3">
      <c r="B47" s="630"/>
      <c r="C47" s="633"/>
      <c r="D47" s="567">
        <v>2018</v>
      </c>
      <c r="E47" s="276"/>
    </row>
    <row r="48" spans="2:5" x14ac:dyDescent="0.3">
      <c r="B48" s="631"/>
      <c r="C48" s="634"/>
      <c r="D48" s="568" t="s">
        <v>60</v>
      </c>
      <c r="E48" s="277" t="s">
        <v>61</v>
      </c>
    </row>
    <row r="49" spans="2:5" x14ac:dyDescent="0.3">
      <c r="B49" s="379" t="s">
        <v>94</v>
      </c>
      <c r="C49" s="584">
        <v>20</v>
      </c>
      <c r="D49" s="579">
        <v>20</v>
      </c>
      <c r="E49" s="387" t="s">
        <v>64</v>
      </c>
    </row>
    <row r="50" spans="2:5" x14ac:dyDescent="0.3">
      <c r="B50" s="382" t="s">
        <v>95</v>
      </c>
      <c r="C50" s="584">
        <v>20</v>
      </c>
      <c r="D50" s="580">
        <v>20</v>
      </c>
      <c r="E50" s="387" t="s">
        <v>64</v>
      </c>
    </row>
    <row r="51" spans="2:5" x14ac:dyDescent="0.3">
      <c r="B51" s="382" t="s">
        <v>96</v>
      </c>
      <c r="C51" s="584">
        <v>8.4</v>
      </c>
      <c r="D51" s="580">
        <v>8.4</v>
      </c>
      <c r="E51" s="387" t="s">
        <v>64</v>
      </c>
    </row>
    <row r="52" spans="2:5" x14ac:dyDescent="0.3">
      <c r="B52" s="382" t="s">
        <v>97</v>
      </c>
      <c r="C52" s="584">
        <v>1</v>
      </c>
      <c r="D52" s="580">
        <v>1</v>
      </c>
      <c r="E52" s="387" t="s">
        <v>64</v>
      </c>
    </row>
    <row r="53" spans="2:5" x14ac:dyDescent="0.3">
      <c r="B53" s="382" t="s">
        <v>98</v>
      </c>
      <c r="C53" s="584">
        <v>8</v>
      </c>
      <c r="D53" s="580">
        <v>8</v>
      </c>
      <c r="E53" s="387" t="s">
        <v>64</v>
      </c>
    </row>
    <row r="54" spans="2:5" x14ac:dyDescent="0.3">
      <c r="B54" s="382" t="s">
        <v>99</v>
      </c>
      <c r="C54" s="584">
        <v>8.4</v>
      </c>
      <c r="D54" s="580">
        <v>8.4</v>
      </c>
      <c r="E54" s="387" t="s">
        <v>64</v>
      </c>
    </row>
    <row r="55" spans="2:5" x14ac:dyDescent="0.3">
      <c r="B55" s="383" t="s">
        <v>100</v>
      </c>
      <c r="C55" s="584">
        <v>1</v>
      </c>
      <c r="D55" s="581">
        <v>1</v>
      </c>
      <c r="E55" s="380" t="s">
        <v>64</v>
      </c>
    </row>
    <row r="56" spans="2:5" x14ac:dyDescent="0.3">
      <c r="B56" s="384" t="s">
        <v>101</v>
      </c>
      <c r="C56" s="585">
        <v>435</v>
      </c>
      <c r="D56" s="580">
        <v>50</v>
      </c>
      <c r="E56" s="618" t="s">
        <v>196</v>
      </c>
    </row>
    <row r="57" spans="2:5" ht="14.5" thickBot="1" x14ac:dyDescent="0.35">
      <c r="B57" s="563" t="s">
        <v>102</v>
      </c>
      <c r="C57" s="588">
        <v>10</v>
      </c>
      <c r="D57" s="587">
        <v>10</v>
      </c>
      <c r="E57" s="374" t="s">
        <v>64</v>
      </c>
    </row>
    <row r="58" spans="2:5" x14ac:dyDescent="0.3">
      <c r="B58" s="139" t="s">
        <v>103</v>
      </c>
    </row>
  </sheetData>
  <mergeCells count="6">
    <mergeCell ref="B4:B6"/>
    <mergeCell ref="B46:B48"/>
    <mergeCell ref="B23:B25"/>
    <mergeCell ref="C4:C6"/>
    <mergeCell ref="C23:C25"/>
    <mergeCell ref="C46:C48"/>
  </mergeCells>
  <pageMargins left="0.62" right="0.25" top="0.71" bottom="0.75" header="0.3" footer="0.3"/>
  <pageSetup scale="65" orientation="portrait" r:id="rId1"/>
  <headerFooter>
    <oddHeader>&amp;R&amp;8&amp;F
&amp;D&amp;T</oddHead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31"/>
  <sheetViews>
    <sheetView showGridLines="0" topLeftCell="A10" zoomScale="130" zoomScaleNormal="130" zoomScaleSheetLayoutView="130" workbookViewId="0">
      <selection activeCell="D15" sqref="D15"/>
    </sheetView>
  </sheetViews>
  <sheetFormatPr defaultColWidth="9.1796875" defaultRowHeight="13" x14ac:dyDescent="0.3"/>
  <cols>
    <col min="1" max="1" width="2.26953125" style="139" customWidth="1"/>
    <col min="2" max="2" width="19.1796875" style="139" customWidth="1"/>
    <col min="3" max="3" width="23.81640625" style="139" bestFit="1" customWidth="1"/>
    <col min="4" max="4" width="20.7265625" style="139" customWidth="1"/>
    <col min="5" max="5" width="18.1796875" style="139" customWidth="1"/>
    <col min="6" max="6" width="15.7265625" style="139" customWidth="1"/>
    <col min="7" max="7" width="10.453125" style="139" bestFit="1" customWidth="1"/>
    <col min="8" max="9" width="10.453125" style="139" customWidth="1"/>
    <col min="10" max="10" width="23" style="139" bestFit="1" customWidth="1"/>
    <col min="11" max="16384" width="9.1796875" style="139"/>
  </cols>
  <sheetData>
    <row r="1" spans="2:13" ht="14" x14ac:dyDescent="0.3">
      <c r="B1" s="635" t="s">
        <v>0</v>
      </c>
      <c r="C1" s="635"/>
      <c r="D1" s="635"/>
      <c r="E1" s="635"/>
      <c r="F1" s="635"/>
      <c r="G1" s="635"/>
      <c r="H1" s="354"/>
      <c r="I1" s="354"/>
    </row>
    <row r="2" spans="2:13" ht="13.5" thickBot="1" x14ac:dyDescent="0.35"/>
    <row r="3" spans="2:13" s="150" customFormat="1" ht="13.5" thickBot="1" x14ac:dyDescent="0.35">
      <c r="B3" s="285" t="s">
        <v>104</v>
      </c>
      <c r="C3" s="286"/>
      <c r="D3" s="287"/>
      <c r="E3" s="288"/>
      <c r="F3" s="288"/>
      <c r="G3" s="288"/>
      <c r="H3" s="139"/>
    </row>
    <row r="4" spans="2:13" s="294" customFormat="1" ht="13.5" thickBot="1" x14ac:dyDescent="0.35">
      <c r="B4" s="289"/>
      <c r="C4" s="290"/>
      <c r="D4" s="291" t="s">
        <v>105</v>
      </c>
      <c r="E4" s="292"/>
      <c r="F4" s="150"/>
      <c r="G4" s="293"/>
      <c r="H4" s="150"/>
    </row>
    <row r="5" spans="2:13" s="150" customFormat="1" x14ac:dyDescent="0.3">
      <c r="B5" s="295" t="s">
        <v>106</v>
      </c>
      <c r="C5" s="296">
        <f>+'Source &amp; PA Inputs'!C16</f>
        <v>43100</v>
      </c>
      <c r="D5" s="534">
        <f>+'Source &amp; PA Inputs'!D16</f>
        <v>14201</v>
      </c>
      <c r="E5" s="297"/>
      <c r="F5" s="294"/>
      <c r="G5" s="298"/>
      <c r="H5" s="294"/>
    </row>
    <row r="6" spans="2:13" s="150" customFormat="1" x14ac:dyDescent="0.3">
      <c r="B6" s="299" t="s">
        <v>107</v>
      </c>
      <c r="C6" s="300">
        <f>+'Source &amp; PA Inputs'!C17</f>
        <v>43465</v>
      </c>
      <c r="D6" s="535">
        <f>'Source &amp; PA Inputs'!D17</f>
        <v>100</v>
      </c>
      <c r="E6" s="297"/>
      <c r="G6" s="293"/>
    </row>
    <row r="7" spans="2:13" s="150" customFormat="1" x14ac:dyDescent="0.3">
      <c r="B7" s="299" t="s">
        <v>108</v>
      </c>
      <c r="C7" s="300">
        <f>+'Source &amp; PA Inputs'!C18</f>
        <v>43830</v>
      </c>
      <c r="D7" s="535">
        <f>'Source &amp; PA Inputs'!D18</f>
        <v>100</v>
      </c>
      <c r="E7" s="297"/>
      <c r="G7" s="293"/>
    </row>
    <row r="8" spans="2:13" s="150" customFormat="1" ht="13.5" thickBot="1" x14ac:dyDescent="0.35">
      <c r="B8" s="301" t="s">
        <v>109</v>
      </c>
      <c r="C8" s="302">
        <f>+'Source &amp; PA Inputs'!C19</f>
        <v>44196</v>
      </c>
      <c r="D8" s="536">
        <f>'Source &amp; PA Inputs'!D19</f>
        <v>100</v>
      </c>
      <c r="E8" s="297"/>
    </row>
    <row r="9" spans="2:13" s="306" customFormat="1" ht="14" thickTop="1" thickBot="1" x14ac:dyDescent="0.35">
      <c r="B9" s="303"/>
      <c r="C9" s="304" t="s">
        <v>110</v>
      </c>
      <c r="D9" s="537">
        <f>SUM(D5:D8)</f>
        <v>14501</v>
      </c>
      <c r="G9" s="305"/>
    </row>
    <row r="10" spans="2:13" x14ac:dyDescent="0.3">
      <c r="B10" s="307" t="s">
        <v>111</v>
      </c>
    </row>
    <row r="12" spans="2:13" ht="13.5" thickBot="1" x14ac:dyDescent="0.35"/>
    <row r="13" spans="2:13" s="150" customFormat="1" ht="13.5" thickBot="1" x14ac:dyDescent="0.35">
      <c r="B13" s="308" t="s">
        <v>112</v>
      </c>
      <c r="C13" s="309"/>
      <c r="D13" s="309"/>
      <c r="E13" s="309"/>
      <c r="F13" s="309"/>
      <c r="G13" s="309"/>
      <c r="H13" s="309"/>
      <c r="I13" s="310"/>
      <c r="J13" s="311"/>
      <c r="L13" s="293"/>
      <c r="M13" s="312"/>
    </row>
    <row r="14" spans="2:13" s="317" customFormat="1" ht="26.5" thickBot="1" x14ac:dyDescent="0.35">
      <c r="B14" s="313" t="s">
        <v>113</v>
      </c>
      <c r="C14" s="607">
        <f>+'Source &amp; PA Inputs'!D23</f>
        <v>2200</v>
      </c>
      <c r="D14" s="314" t="s">
        <v>114</v>
      </c>
      <c r="E14" s="314"/>
      <c r="F14" s="315" t="s">
        <v>115</v>
      </c>
      <c r="G14" s="316" t="s">
        <v>116</v>
      </c>
      <c r="H14" s="316" t="s">
        <v>117</v>
      </c>
      <c r="I14" s="316" t="s">
        <v>73</v>
      </c>
      <c r="K14" s="311"/>
      <c r="L14" s="293"/>
      <c r="M14" s="312"/>
    </row>
    <row r="15" spans="2:13" s="150" customFormat="1" x14ac:dyDescent="0.3">
      <c r="B15" s="318"/>
      <c r="C15" s="319" t="s">
        <v>118</v>
      </c>
      <c r="D15" s="506">
        <f>ROUND('Source &amp; PA Inputs'!$D$4/5,0)</f>
        <v>2798</v>
      </c>
      <c r="E15" s="506"/>
      <c r="F15" s="507">
        <f>C14/3</f>
        <v>733.33333333333337</v>
      </c>
      <c r="G15" s="508">
        <f>D15+F15</f>
        <v>3531.3333333333335</v>
      </c>
      <c r="H15" s="508">
        <f>+ROUND(0.84*G15,0)</f>
        <v>2966</v>
      </c>
      <c r="I15" s="508">
        <f>+G15-H15</f>
        <v>565.33333333333348</v>
      </c>
      <c r="J15" s="320"/>
      <c r="K15" s="317"/>
      <c r="L15" s="321"/>
      <c r="M15" s="322"/>
    </row>
    <row r="16" spans="2:13" s="150" customFormat="1" x14ac:dyDescent="0.3">
      <c r="B16" s="323"/>
      <c r="C16" s="324" t="s">
        <v>119</v>
      </c>
      <c r="D16" s="506">
        <f>ROUND('Source &amp; PA Inputs'!$D$4/5,0)</f>
        <v>2798</v>
      </c>
      <c r="E16" s="509"/>
      <c r="F16" s="510">
        <f>C14/3</f>
        <v>733.33333333333337</v>
      </c>
      <c r="G16" s="511">
        <f>D16+F16</f>
        <v>3531.3333333333335</v>
      </c>
      <c r="H16" s="508">
        <f>+ROUND(0.84*G16,0)</f>
        <v>2966</v>
      </c>
      <c r="I16" s="508">
        <f>+G16-H16</f>
        <v>565.33333333333348</v>
      </c>
      <c r="J16" s="320"/>
      <c r="K16" s="320"/>
      <c r="L16" s="293"/>
    </row>
    <row r="17" spans="2:12" s="150" customFormat="1" ht="13.5" thickBot="1" x14ac:dyDescent="0.35">
      <c r="B17" s="325"/>
      <c r="C17" s="326" t="s">
        <v>120</v>
      </c>
      <c r="D17" s="506">
        <f>ROUND('Source &amp; PA Inputs'!$D$4/5,0)+1</f>
        <v>2799</v>
      </c>
      <c r="E17" s="512"/>
      <c r="F17" s="513">
        <f>C14/3</f>
        <v>733.33333333333337</v>
      </c>
      <c r="G17" s="514">
        <f>D17+F17</f>
        <v>3532.3333333333335</v>
      </c>
      <c r="H17" s="508">
        <f>+ROUND(0.84*G17,0)</f>
        <v>2967</v>
      </c>
      <c r="I17" s="508">
        <f>+G17-H17</f>
        <v>565.33333333333348</v>
      </c>
      <c r="J17" s="320"/>
      <c r="K17" s="320"/>
      <c r="L17" s="293"/>
    </row>
    <row r="18" spans="2:12" s="150" customFormat="1" ht="13.5" thickBot="1" x14ac:dyDescent="0.35">
      <c r="B18" s="327"/>
      <c r="C18" s="328" t="s">
        <v>121</v>
      </c>
      <c r="D18" s="515">
        <f>SUM(D15:D17)</f>
        <v>8395</v>
      </c>
      <c r="E18" s="515"/>
      <c r="F18" s="516">
        <f>SUM(F15:F17)</f>
        <v>2200</v>
      </c>
      <c r="G18" s="517">
        <f>SUM(G15:G17)</f>
        <v>10595</v>
      </c>
      <c r="H18" s="517">
        <f>SUM(H15:H17)</f>
        <v>8899</v>
      </c>
      <c r="I18" s="517">
        <f>SUM(I15:I17)</f>
        <v>1696.0000000000005</v>
      </c>
      <c r="K18" s="320"/>
      <c r="L18" s="293"/>
    </row>
    <row r="19" spans="2:12" s="150" customFormat="1" x14ac:dyDescent="0.3">
      <c r="G19" s="329"/>
      <c r="H19" s="330"/>
      <c r="I19" s="330"/>
      <c r="J19" s="330"/>
    </row>
    <row r="20" spans="2:12" s="150" customFormat="1" x14ac:dyDescent="0.3">
      <c r="H20" s="331"/>
      <c r="I20" s="331"/>
      <c r="J20" s="331"/>
      <c r="K20" s="311"/>
      <c r="L20" s="293"/>
    </row>
    <row r="21" spans="2:12" s="150" customFormat="1" ht="13.5" thickBot="1" x14ac:dyDescent="0.35">
      <c r="H21" s="331"/>
      <c r="I21" s="331"/>
      <c r="J21" s="331"/>
      <c r="K21" s="311"/>
      <c r="L21" s="293"/>
    </row>
    <row r="22" spans="2:12" s="332" customFormat="1" ht="13.5" thickBot="1" x14ac:dyDescent="0.35">
      <c r="B22" s="286" t="s">
        <v>122</v>
      </c>
      <c r="C22" s="309"/>
      <c r="D22" s="309"/>
      <c r="E22" s="309"/>
      <c r="F22" s="310"/>
      <c r="G22" s="311"/>
      <c r="H22" s="293"/>
      <c r="I22" s="150"/>
    </row>
    <row r="23" spans="2:12" s="332" customFormat="1" ht="27" customHeight="1" x14ac:dyDescent="0.25">
      <c r="B23" s="333"/>
      <c r="C23" s="334"/>
      <c r="D23" s="610" t="s">
        <v>123</v>
      </c>
      <c r="E23" s="611" t="s">
        <v>124</v>
      </c>
      <c r="F23" s="612" t="s">
        <v>125</v>
      </c>
      <c r="G23" s="335"/>
    </row>
    <row r="24" spans="2:12" s="332" customFormat="1" x14ac:dyDescent="0.25">
      <c r="B24" s="336"/>
      <c r="C24" s="337"/>
      <c r="D24" s="338"/>
      <c r="E24" s="339"/>
      <c r="F24" s="340"/>
    </row>
    <row r="25" spans="2:12" s="332" customFormat="1" x14ac:dyDescent="0.25">
      <c r="B25" s="336"/>
      <c r="C25" s="337" t="s">
        <v>126</v>
      </c>
      <c r="D25" s="338" t="s">
        <v>127</v>
      </c>
      <c r="E25" s="339" t="s">
        <v>127</v>
      </c>
      <c r="F25" s="340" t="s">
        <v>127</v>
      </c>
    </row>
    <row r="26" spans="2:12" s="332" customFormat="1" ht="13.5" thickBot="1" x14ac:dyDescent="0.3">
      <c r="B26" s="341"/>
      <c r="C26" s="342" t="s">
        <v>128</v>
      </c>
      <c r="D26" s="343">
        <v>0.1</v>
      </c>
      <c r="E26" s="344">
        <v>0.5</v>
      </c>
      <c r="F26" s="345">
        <v>0.5</v>
      </c>
    </row>
    <row r="27" spans="2:12" s="332" customFormat="1" x14ac:dyDescent="0.25">
      <c r="B27" s="346" t="s">
        <v>129</v>
      </c>
      <c r="C27" s="518">
        <f>+'Source &amp; PA Inputs'!D4</f>
        <v>13988</v>
      </c>
      <c r="D27" s="519">
        <f>ROUND(D26*$C$27,0)</f>
        <v>1399</v>
      </c>
      <c r="E27" s="520">
        <f>ROUND($C$27*E26,0)</f>
        <v>6994</v>
      </c>
      <c r="F27" s="521">
        <f>ROUND(C27*F26,0)</f>
        <v>6994</v>
      </c>
    </row>
    <row r="28" spans="2:12" s="332" customFormat="1" x14ac:dyDescent="0.25">
      <c r="B28" s="347" t="s">
        <v>130</v>
      </c>
      <c r="C28" s="522">
        <f>'Tables 4-7'!H33</f>
        <v>14159</v>
      </c>
      <c r="D28" s="523">
        <f>ROUND(D26*$C$28,0)</f>
        <v>1416</v>
      </c>
      <c r="E28" s="524">
        <f>ROUND($C$28*E26,0)</f>
        <v>7080</v>
      </c>
      <c r="F28" s="525">
        <f>ROUND(F26*C28,0)</f>
        <v>7080</v>
      </c>
    </row>
    <row r="29" spans="2:12" s="332" customFormat="1" ht="13.5" thickBot="1" x14ac:dyDescent="0.3">
      <c r="B29" s="347" t="s">
        <v>131</v>
      </c>
      <c r="C29" s="526">
        <f>'Tables 4-7'!H34</f>
        <v>14330</v>
      </c>
      <c r="D29" s="527">
        <f>ROUND(D26*$C$29,0)</f>
        <v>1433</v>
      </c>
      <c r="E29" s="528">
        <f>ROUND($C$29*E26,0)</f>
        <v>7165</v>
      </c>
      <c r="F29" s="529">
        <f>ROUND(F26*C29,0)</f>
        <v>7165</v>
      </c>
    </row>
    <row r="30" spans="2:12" s="332" customFormat="1" ht="14.25" customHeight="1" thickTop="1" thickBot="1" x14ac:dyDescent="0.3">
      <c r="B30" s="348" t="s">
        <v>132</v>
      </c>
      <c r="C30" s="530">
        <f>SUM(C27:C29)</f>
        <v>42477</v>
      </c>
      <c r="D30" s="531">
        <f>SUM(D27:D29)</f>
        <v>4248</v>
      </c>
      <c r="E30" s="532">
        <f>SUM(E27:E29)</f>
        <v>21239</v>
      </c>
      <c r="F30" s="533">
        <f>SUM(F27:F29)</f>
        <v>21239</v>
      </c>
    </row>
    <row r="31" spans="2:12" x14ac:dyDescent="0.3">
      <c r="B31" s="349" t="s">
        <v>133</v>
      </c>
    </row>
  </sheetData>
  <mergeCells count="1">
    <mergeCell ref="B1:G1"/>
  </mergeCells>
  <pageMargins left="0.7" right="0.34" top="0.75" bottom="0.75" header="0.3" footer="0.3"/>
  <pageSetup scale="91" orientation="portrait" r:id="rId1"/>
  <headerFooter>
    <oddHeader>&amp;R&amp;8&amp;F
&amp;D&amp;T</oddHeader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143"/>
  <sheetViews>
    <sheetView showGridLines="0" topLeftCell="A82" zoomScale="85" zoomScaleNormal="85" zoomScaleSheetLayoutView="100" workbookViewId="0">
      <selection activeCell="G27" sqref="G27"/>
    </sheetView>
  </sheetViews>
  <sheetFormatPr defaultColWidth="9.1796875" defaultRowHeight="15.5" x14ac:dyDescent="0.35"/>
  <cols>
    <col min="1" max="1" width="1.1796875" style="1" customWidth="1"/>
    <col min="2" max="2" width="17.453125" style="1" customWidth="1"/>
    <col min="3" max="3" width="18.1796875" style="1" customWidth="1"/>
    <col min="4" max="4" width="10.54296875" style="1" customWidth="1"/>
    <col min="5" max="5" width="6.1796875" style="1" customWidth="1"/>
    <col min="6" max="6" width="14.453125" style="1" customWidth="1"/>
    <col min="7" max="7" width="16.7265625" style="416" bestFit="1" customWidth="1"/>
    <col min="8" max="8" width="18.81640625" style="1" bestFit="1" customWidth="1"/>
    <col min="9" max="9" width="15" style="69" bestFit="1" customWidth="1"/>
    <col min="10" max="10" width="12.453125" style="1" customWidth="1"/>
    <col min="11" max="11" width="11.26953125" style="83" bestFit="1" customWidth="1"/>
    <col min="12" max="12" width="11.26953125" style="1" bestFit="1" customWidth="1"/>
    <col min="13" max="13" width="12" style="1" bestFit="1" customWidth="1"/>
    <col min="14" max="16384" width="9.1796875" style="1"/>
  </cols>
  <sheetData>
    <row r="1" spans="2:12" s="394" customFormat="1" ht="20.5" x14ac:dyDescent="0.45">
      <c r="D1" s="395" t="s">
        <v>0</v>
      </c>
      <c r="G1" s="415"/>
      <c r="I1" s="396"/>
      <c r="K1" s="397"/>
    </row>
    <row r="3" spans="2:12" s="3" customFormat="1" x14ac:dyDescent="0.35">
      <c r="B3" s="359" t="s">
        <v>134</v>
      </c>
      <c r="C3" s="1"/>
      <c r="D3" s="1"/>
      <c r="E3" s="1"/>
      <c r="F3" s="1"/>
      <c r="G3" s="416"/>
      <c r="H3" s="4"/>
    </row>
    <row r="4" spans="2:12" s="3" customFormat="1" ht="7.5" customHeight="1" thickBot="1" x14ac:dyDescent="0.4">
      <c r="B4" s="359"/>
      <c r="C4" s="1"/>
      <c r="D4" s="1"/>
      <c r="E4" s="1"/>
      <c r="F4" s="1"/>
      <c r="G4" s="416"/>
      <c r="H4" s="4"/>
    </row>
    <row r="5" spans="2:12" s="67" customFormat="1" ht="14.5" thickBot="1" x14ac:dyDescent="0.3">
      <c r="B5" s="356"/>
      <c r="C5" s="361" t="s">
        <v>135</v>
      </c>
      <c r="D5" s="355">
        <f>Labor!C11</f>
        <v>58</v>
      </c>
      <c r="E5" s="350"/>
      <c r="F5" s="351"/>
      <c r="G5" s="418"/>
      <c r="H5" s="352"/>
    </row>
    <row r="6" spans="2:12" s="87" customFormat="1" ht="65.25" customHeight="1" thickBot="1" x14ac:dyDescent="0.4">
      <c r="B6" s="662" t="s">
        <v>136</v>
      </c>
      <c r="C6" s="663"/>
      <c r="D6" s="599" t="s">
        <v>137</v>
      </c>
      <c r="E6" s="600" t="s">
        <v>138</v>
      </c>
      <c r="F6" s="601"/>
      <c r="G6" s="599" t="s">
        <v>139</v>
      </c>
      <c r="H6" s="602" t="s">
        <v>140</v>
      </c>
    </row>
    <row r="7" spans="2:12" ht="16" thickBot="1" x14ac:dyDescent="0.4">
      <c r="B7" s="651" t="s">
        <v>141</v>
      </c>
      <c r="C7" s="652"/>
      <c r="D7" s="652"/>
      <c r="E7" s="652"/>
      <c r="F7" s="652"/>
      <c r="G7" s="652"/>
      <c r="H7" s="653"/>
      <c r="K7" s="1"/>
    </row>
    <row r="8" spans="2:12" x14ac:dyDescent="0.35">
      <c r="B8" s="2" t="str">
        <f>'Burden Inputs, Tbls 1-3'!B49</f>
        <v>New Permit Review*</v>
      </c>
      <c r="C8" s="464"/>
      <c r="D8" s="597">
        <f>'Burden Inputs, Tbls 1-3'!C49</f>
        <v>20</v>
      </c>
      <c r="E8" s="90"/>
      <c r="F8" s="538">
        <f>ROUND(G36*0.25,0)</f>
        <v>128</v>
      </c>
      <c r="G8" s="423">
        <f>D8*F8</f>
        <v>2560</v>
      </c>
      <c r="H8" s="433">
        <f t="shared" ref="H8:H15" si="0">G8*$D$5</f>
        <v>148480</v>
      </c>
      <c r="I8" s="1"/>
      <c r="K8" s="1"/>
    </row>
    <row r="9" spans="2:12" x14ac:dyDescent="0.35">
      <c r="B9" s="2" t="str">
        <f>'Burden Inputs, Tbls 1-3'!B50</f>
        <v>Renewal Review*</v>
      </c>
      <c r="C9" s="465"/>
      <c r="D9" s="598">
        <f>'Burden Inputs, Tbls 1-3'!C50</f>
        <v>20</v>
      </c>
      <c r="E9" s="94"/>
      <c r="F9" s="616">
        <f>ROUND(Calcs!H18*0.05,0)</f>
        <v>445</v>
      </c>
      <c r="G9" s="424">
        <f>D9*F9</f>
        <v>8900</v>
      </c>
      <c r="H9" s="433">
        <f t="shared" si="0"/>
        <v>516200</v>
      </c>
      <c r="I9" s="1"/>
      <c r="K9" s="1"/>
    </row>
    <row r="10" spans="2:12" x14ac:dyDescent="0.35">
      <c r="B10" s="639" t="str">
        <f>'Burden Inputs, Tbls 1-3'!B51</f>
        <v>Significant Modification Review*</v>
      </c>
      <c r="C10" s="640"/>
      <c r="D10" s="658">
        <f>'Burden Inputs, Tbls 1-3'!C53</f>
        <v>8</v>
      </c>
      <c r="E10" s="96" t="s">
        <v>142</v>
      </c>
      <c r="F10" s="539">
        <f>Calcs!D27</f>
        <v>1399</v>
      </c>
      <c r="G10" s="500">
        <f>$D$10*F10</f>
        <v>11192</v>
      </c>
      <c r="H10" s="497">
        <f t="shared" si="0"/>
        <v>649136</v>
      </c>
      <c r="I10" s="97"/>
      <c r="J10" s="98"/>
      <c r="K10" s="98"/>
      <c r="L10" s="98"/>
    </row>
    <row r="11" spans="2:12" x14ac:dyDescent="0.35">
      <c r="B11" s="641"/>
      <c r="C11" s="642"/>
      <c r="D11" s="659"/>
      <c r="E11" s="99" t="s">
        <v>143</v>
      </c>
      <c r="F11" s="540">
        <f>Calcs!D28</f>
        <v>1416</v>
      </c>
      <c r="G11" s="501">
        <f>$D$10*F11</f>
        <v>11328</v>
      </c>
      <c r="H11" s="498">
        <f t="shared" si="0"/>
        <v>657024</v>
      </c>
      <c r="I11" s="100"/>
      <c r="K11" s="1"/>
    </row>
    <row r="12" spans="2:12" x14ac:dyDescent="0.35">
      <c r="B12" s="643"/>
      <c r="C12" s="644"/>
      <c r="D12" s="660"/>
      <c r="E12" s="101" t="s">
        <v>144</v>
      </c>
      <c r="F12" s="541">
        <f>Calcs!D29</f>
        <v>1433</v>
      </c>
      <c r="G12" s="502">
        <f>$D$10*F12</f>
        <v>11464</v>
      </c>
      <c r="H12" s="499">
        <f t="shared" si="0"/>
        <v>664912</v>
      </c>
      <c r="I12" s="100"/>
      <c r="K12" s="1"/>
    </row>
    <row r="13" spans="2:12" x14ac:dyDescent="0.35">
      <c r="B13" s="645" t="str">
        <f>'Burden Inputs, Tbls 1-3'!B52</f>
        <v>Minor Modification Review</v>
      </c>
      <c r="C13" s="646"/>
      <c r="D13" s="636">
        <f>'Burden Inputs, Tbls 1-3'!C52</f>
        <v>1</v>
      </c>
      <c r="E13" s="96" t="s">
        <v>142</v>
      </c>
      <c r="F13" s="539">
        <f>Calcs!E27</f>
        <v>6994</v>
      </c>
      <c r="G13" s="500">
        <f>$D$13*F13</f>
        <v>6994</v>
      </c>
      <c r="H13" s="434">
        <f t="shared" si="0"/>
        <v>405652</v>
      </c>
      <c r="I13" s="100"/>
      <c r="K13" s="1"/>
    </row>
    <row r="14" spans="2:12" x14ac:dyDescent="0.35">
      <c r="B14" s="647"/>
      <c r="C14" s="648"/>
      <c r="D14" s="637"/>
      <c r="E14" s="99" t="s">
        <v>143</v>
      </c>
      <c r="F14" s="542">
        <f>Calcs!E28</f>
        <v>7080</v>
      </c>
      <c r="G14" s="501">
        <f>$D$13*F14</f>
        <v>7080</v>
      </c>
      <c r="H14" s="435">
        <f t="shared" si="0"/>
        <v>410640</v>
      </c>
      <c r="I14" s="102"/>
      <c r="K14" s="1"/>
    </row>
    <row r="15" spans="2:12" ht="16" thickBot="1" x14ac:dyDescent="0.4">
      <c r="B15" s="649"/>
      <c r="C15" s="650"/>
      <c r="D15" s="661"/>
      <c r="E15" s="466" t="s">
        <v>144</v>
      </c>
      <c r="F15" s="543">
        <f>Calcs!E29</f>
        <v>7165</v>
      </c>
      <c r="G15" s="502">
        <f>$D$13*F15</f>
        <v>7165</v>
      </c>
      <c r="H15" s="436">
        <f t="shared" si="0"/>
        <v>415570</v>
      </c>
      <c r="K15" s="1"/>
    </row>
    <row r="16" spans="2:12" ht="16" thickBot="1" x14ac:dyDescent="0.4">
      <c r="B16" s="651" t="s">
        <v>145</v>
      </c>
      <c r="C16" s="652"/>
      <c r="D16" s="652"/>
      <c r="E16" s="652"/>
      <c r="F16" s="652"/>
      <c r="G16" s="652"/>
      <c r="H16" s="653"/>
      <c r="K16" s="1"/>
    </row>
    <row r="17" spans="2:13" x14ac:dyDescent="0.35">
      <c r="B17" s="2" t="str">
        <f>'Burden Inputs, Tbls 1-3'!B53</f>
        <v>Resolving issues in New Permit</v>
      </c>
      <c r="C17" s="88"/>
      <c r="D17" s="89">
        <f>'Burden Inputs, Tbls 1-3'!C53</f>
        <v>8</v>
      </c>
      <c r="E17" s="90"/>
      <c r="F17" s="91">
        <f>ROUND(G36*0.25,0)</f>
        <v>128</v>
      </c>
      <c r="G17" s="423">
        <f>D17*F17</f>
        <v>1024</v>
      </c>
      <c r="H17" s="433">
        <f t="shared" ref="H17:H25" si="1">G17*$D$5</f>
        <v>59392</v>
      </c>
      <c r="I17" s="1"/>
      <c r="K17" s="1"/>
    </row>
    <row r="18" spans="2:13" x14ac:dyDescent="0.35">
      <c r="B18" s="645" t="str">
        <f>'Burden Inputs, Tbls 1-3'!B54</f>
        <v>Resolving issues in Significant Mod.</v>
      </c>
      <c r="C18" s="646"/>
      <c r="D18" s="636">
        <f>'Burden Inputs, Tbls 1-3'!C54</f>
        <v>8.4</v>
      </c>
      <c r="E18" s="96" t="s">
        <v>142</v>
      </c>
      <c r="F18" s="539">
        <f>ROUND(Calcs!D27*0.25,0)</f>
        <v>350</v>
      </c>
      <c r="G18" s="428">
        <f>D18*F18</f>
        <v>2940</v>
      </c>
      <c r="H18" s="437">
        <f t="shared" si="1"/>
        <v>170520</v>
      </c>
    </row>
    <row r="19" spans="2:13" x14ac:dyDescent="0.35">
      <c r="B19" s="647"/>
      <c r="C19" s="648"/>
      <c r="D19" s="637"/>
      <c r="E19" s="99" t="s">
        <v>143</v>
      </c>
      <c r="F19" s="540">
        <f>ROUND(Calcs!D28*0.25,0)</f>
        <v>354</v>
      </c>
      <c r="G19" s="426">
        <f>F19*D18</f>
        <v>2973.6</v>
      </c>
      <c r="H19" s="438">
        <f t="shared" si="1"/>
        <v>172468.8</v>
      </c>
    </row>
    <row r="20" spans="2:13" x14ac:dyDescent="0.35">
      <c r="B20" s="649"/>
      <c r="C20" s="650"/>
      <c r="D20" s="638"/>
      <c r="E20" s="101" t="s">
        <v>144</v>
      </c>
      <c r="F20" s="541">
        <f>ROUND(Calcs!D29*0.25,0)</f>
        <v>358</v>
      </c>
      <c r="G20" s="427">
        <f>F20*D18</f>
        <v>3007.2000000000003</v>
      </c>
      <c r="H20" s="439">
        <f t="shared" si="1"/>
        <v>174417.6</v>
      </c>
    </row>
    <row r="21" spans="2:13" x14ac:dyDescent="0.35">
      <c r="B21" s="645" t="str">
        <f>'Burden Inputs, Tbls 1-3'!B55</f>
        <v>Resolving issues in Minor Mod.</v>
      </c>
      <c r="C21" s="646"/>
      <c r="D21" s="664">
        <f>'Burden Inputs, Tbls 1-3'!C55</f>
        <v>1</v>
      </c>
      <c r="E21" s="96" t="s">
        <v>142</v>
      </c>
      <c r="F21" s="539">
        <f>ROUND(Calcs!E27*0.25,0)</f>
        <v>1749</v>
      </c>
      <c r="G21" s="425">
        <f>F21*D21</f>
        <v>1749</v>
      </c>
      <c r="H21" s="440">
        <f t="shared" si="1"/>
        <v>101442</v>
      </c>
    </row>
    <row r="22" spans="2:13" ht="15.75" customHeight="1" thickBot="1" x14ac:dyDescent="0.4">
      <c r="B22" s="647"/>
      <c r="C22" s="648"/>
      <c r="D22" s="665"/>
      <c r="E22" s="99" t="s">
        <v>143</v>
      </c>
      <c r="F22" s="540">
        <f>ROUND(Calcs!E28*0.25,0)</f>
        <v>1770</v>
      </c>
      <c r="G22" s="426">
        <f>F22*D21</f>
        <v>1770</v>
      </c>
      <c r="H22" s="438">
        <f t="shared" si="1"/>
        <v>102660</v>
      </c>
      <c r="J22" s="163"/>
    </row>
    <row r="23" spans="2:13" x14ac:dyDescent="0.35">
      <c r="B23" s="649"/>
      <c r="C23" s="650"/>
      <c r="D23" s="666"/>
      <c r="E23" s="101" t="s">
        <v>144</v>
      </c>
      <c r="F23" s="541">
        <f>ROUND(Calcs!E29*0.25,0)</f>
        <v>1791</v>
      </c>
      <c r="G23" s="427">
        <f>F23*D21</f>
        <v>1791</v>
      </c>
      <c r="H23" s="439">
        <f t="shared" si="1"/>
        <v>103878</v>
      </c>
    </row>
    <row r="24" spans="2:13" s="69" customFormat="1" x14ac:dyDescent="0.35">
      <c r="B24" s="106" t="str">
        <f>'Burden Inputs, Tbls 1-3'!B56</f>
        <v>Program Oversight</v>
      </c>
      <c r="C24" s="107"/>
      <c r="D24" s="93">
        <f>'Burden Inputs, Tbls 1-3'!C56</f>
        <v>435</v>
      </c>
      <c r="E24" s="108"/>
      <c r="F24" s="616">
        <f>'Source &amp; PA Inputs'!D27</f>
        <v>117</v>
      </c>
      <c r="G24" s="430">
        <f>D24*F24</f>
        <v>50895</v>
      </c>
      <c r="H24" s="442">
        <f t="shared" si="1"/>
        <v>2951910</v>
      </c>
      <c r="J24" s="1"/>
      <c r="K24" s="83"/>
      <c r="L24" s="1"/>
    </row>
    <row r="25" spans="2:13" ht="16" thickBot="1" x14ac:dyDescent="0.4">
      <c r="B25" s="106" t="str">
        <f>'Burden Inputs, Tbls 1-3'!B57</f>
        <v>Review Enforcement Reports</v>
      </c>
      <c r="C25" s="109"/>
      <c r="D25" s="110">
        <f>'Burden Inputs, Tbls 1-3'!C57</f>
        <v>10</v>
      </c>
      <c r="E25" s="111"/>
      <c r="F25" s="544">
        <f>'Source &amp; PA Inputs'!D27</f>
        <v>117</v>
      </c>
      <c r="G25" s="431">
        <f>D25*F25</f>
        <v>1170</v>
      </c>
      <c r="H25" s="442">
        <f t="shared" si="1"/>
        <v>67860</v>
      </c>
      <c r="J25" s="69"/>
      <c r="K25" s="69"/>
      <c r="L25" s="69"/>
    </row>
    <row r="26" spans="2:13" ht="18" customHeight="1" thickTop="1" thickBot="1" x14ac:dyDescent="0.4">
      <c r="B26" s="112"/>
      <c r="C26" s="113"/>
      <c r="D26" s="114"/>
      <c r="E26" s="114"/>
      <c r="F26" s="115" t="s">
        <v>146</v>
      </c>
      <c r="G26" s="432">
        <f>SUM(G8:G15)+SUM(G17:G25)</f>
        <v>134002.79999999999</v>
      </c>
      <c r="H26" s="443">
        <f>SUM(H8:H15)+SUM(H17:H25)</f>
        <v>7772162.4000000004</v>
      </c>
    </row>
    <row r="27" spans="2:13" ht="18" customHeight="1" thickBot="1" x14ac:dyDescent="0.4">
      <c r="B27" s="591"/>
      <c r="C27" s="592"/>
      <c r="D27" s="593"/>
      <c r="E27" s="593"/>
      <c r="F27" s="594" t="s">
        <v>147</v>
      </c>
      <c r="G27" s="595">
        <f>G26/3</f>
        <v>44667.6</v>
      </c>
      <c r="H27" s="596">
        <f>H26/3</f>
        <v>2590720.8000000003</v>
      </c>
    </row>
    <row r="29" spans="2:13" s="68" customFormat="1" ht="22.5" customHeight="1" x14ac:dyDescent="0.35">
      <c r="B29" s="359" t="s">
        <v>148</v>
      </c>
      <c r="C29" s="1"/>
      <c r="D29" s="1"/>
      <c r="E29" s="1"/>
      <c r="F29" s="1"/>
      <c r="G29" s="416"/>
      <c r="H29" s="4"/>
      <c r="K29" s="69"/>
      <c r="L29" s="70"/>
      <c r="M29" s="69"/>
    </row>
    <row r="30" spans="2:13" s="3" customFormat="1" ht="6" customHeight="1" thickBot="1" x14ac:dyDescent="0.4">
      <c r="B30" s="359"/>
      <c r="C30" s="1"/>
      <c r="D30" s="1"/>
      <c r="E30" s="1"/>
      <c r="F30" s="1"/>
      <c r="G30" s="416"/>
      <c r="H30" s="4"/>
    </row>
    <row r="31" spans="2:13" s="71" customFormat="1" ht="30.5" thickBot="1" x14ac:dyDescent="0.4">
      <c r="B31" s="603" t="s">
        <v>149</v>
      </c>
      <c r="C31" s="604" t="s">
        <v>150</v>
      </c>
      <c r="D31" s="675" t="s">
        <v>151</v>
      </c>
      <c r="E31" s="676"/>
      <c r="F31" s="605" t="s">
        <v>152</v>
      </c>
      <c r="G31" s="605" t="s">
        <v>153</v>
      </c>
      <c r="H31" s="606" t="s">
        <v>154</v>
      </c>
      <c r="K31" s="68"/>
      <c r="L31" s="68"/>
      <c r="M31" s="68"/>
    </row>
    <row r="32" spans="2:13" s="68" customFormat="1" x14ac:dyDescent="0.35">
      <c r="B32" s="72" t="s">
        <v>106</v>
      </c>
      <c r="C32" s="545">
        <f>'Source &amp; PA Inputs'!D16</f>
        <v>14201</v>
      </c>
      <c r="D32" s="667">
        <v>0</v>
      </c>
      <c r="E32" s="668"/>
      <c r="F32" s="546">
        <f>'Source &amp; PA Inputs'!D8</f>
        <v>213</v>
      </c>
      <c r="G32" s="546">
        <v>0</v>
      </c>
      <c r="H32" s="547">
        <f>'Source &amp; PA Inputs'!D4</f>
        <v>13988</v>
      </c>
      <c r="I32" s="73"/>
      <c r="K32" s="71"/>
      <c r="L32" s="71"/>
      <c r="M32" s="71"/>
    </row>
    <row r="33" spans="2:13" s="68" customFormat="1" x14ac:dyDescent="0.35">
      <c r="B33" s="74" t="s">
        <v>107</v>
      </c>
      <c r="C33" s="615">
        <f>C32+D33</f>
        <v>14301</v>
      </c>
      <c r="D33" s="669">
        <f>SUM(Calcs!D6:D6)</f>
        <v>100</v>
      </c>
      <c r="E33" s="670"/>
      <c r="F33" s="546">
        <f>'Source &amp; PA Inputs'!D9</f>
        <v>71</v>
      </c>
      <c r="G33" s="548">
        <f>D33+F33</f>
        <v>171</v>
      </c>
      <c r="H33" s="549">
        <f>H32+G33</f>
        <v>14159</v>
      </c>
    </row>
    <row r="34" spans="2:13" s="68" customFormat="1" x14ac:dyDescent="0.35">
      <c r="B34" s="74" t="s">
        <v>108</v>
      </c>
      <c r="C34" s="615">
        <f>C33+D34</f>
        <v>14401</v>
      </c>
      <c r="D34" s="669">
        <f>SUM(Calcs!D7:D7)</f>
        <v>100</v>
      </c>
      <c r="E34" s="670"/>
      <c r="F34" s="546">
        <f>'Source &amp; PA Inputs'!D10</f>
        <v>71</v>
      </c>
      <c r="G34" s="548">
        <f>D34+F34</f>
        <v>171</v>
      </c>
      <c r="H34" s="549">
        <f>H33+G34</f>
        <v>14330</v>
      </c>
    </row>
    <row r="35" spans="2:13" s="68" customFormat="1" ht="16" thickBot="1" x14ac:dyDescent="0.4">
      <c r="B35" s="75" t="s">
        <v>109</v>
      </c>
      <c r="C35" s="617">
        <f>C34+D35</f>
        <v>14501</v>
      </c>
      <c r="D35" s="671">
        <f>SUM(Calcs!D8:D8)</f>
        <v>100</v>
      </c>
      <c r="E35" s="672"/>
      <c r="F35" s="550">
        <f>'Source &amp; PA Inputs'!D11</f>
        <v>71</v>
      </c>
      <c r="G35" s="550">
        <f>D35+F35</f>
        <v>171</v>
      </c>
      <c r="H35" s="551">
        <f>H34+G35</f>
        <v>14501</v>
      </c>
    </row>
    <row r="36" spans="2:13" s="68" customFormat="1" ht="16.5" thickTop="1" thickBot="1" x14ac:dyDescent="0.4">
      <c r="B36" s="76"/>
      <c r="C36" s="77" t="s">
        <v>155</v>
      </c>
      <c r="D36" s="673">
        <f>+SUM(D33:D35)</f>
        <v>300</v>
      </c>
      <c r="E36" s="674"/>
      <c r="F36" s="78"/>
      <c r="G36" s="78">
        <f>SUM(G33:G35)</f>
        <v>513</v>
      </c>
      <c r="H36" s="79"/>
    </row>
    <row r="37" spans="2:13" s="82" customFormat="1" x14ac:dyDescent="0.35">
      <c r="B37" s="353" t="s">
        <v>156</v>
      </c>
      <c r="C37" s="80"/>
      <c r="D37" s="80"/>
      <c r="E37" s="80"/>
      <c r="F37" s="81"/>
      <c r="G37" s="417"/>
      <c r="H37" s="81"/>
      <c r="I37" s="81"/>
      <c r="J37" s="81"/>
      <c r="M37" s="68"/>
    </row>
    <row r="38" spans="2:13" x14ac:dyDescent="0.35">
      <c r="B38" s="4"/>
      <c r="H38" s="4"/>
    </row>
    <row r="39" spans="2:13" s="3" customFormat="1" ht="24" customHeight="1" x14ac:dyDescent="0.35">
      <c r="B39" s="359" t="s">
        <v>157</v>
      </c>
      <c r="C39" s="1"/>
      <c r="D39" s="1"/>
      <c r="E39" s="1"/>
      <c r="F39" s="1"/>
      <c r="G39" s="416"/>
      <c r="H39" s="4"/>
    </row>
    <row r="40" spans="2:13" s="3" customFormat="1" ht="6" customHeight="1" thickBot="1" x14ac:dyDescent="0.4">
      <c r="B40" s="359"/>
      <c r="C40" s="1"/>
      <c r="D40" s="1"/>
      <c r="E40" s="1"/>
      <c r="F40" s="1"/>
      <c r="G40" s="416"/>
      <c r="H40" s="4"/>
    </row>
    <row r="41" spans="2:13" s="67" customFormat="1" ht="14.5" thickBot="1" x14ac:dyDescent="0.3">
      <c r="B41" s="356"/>
      <c r="C41" s="361" t="s">
        <v>158</v>
      </c>
      <c r="D41" s="355">
        <f>Labor!C5</f>
        <v>70</v>
      </c>
      <c r="E41" s="350"/>
      <c r="F41" s="351"/>
      <c r="G41" s="418"/>
      <c r="H41" s="352"/>
    </row>
    <row r="42" spans="2:13" s="87" customFormat="1" ht="61" thickBot="1" x14ac:dyDescent="0.4">
      <c r="B42" s="662" t="s">
        <v>136</v>
      </c>
      <c r="C42" s="663"/>
      <c r="D42" s="85" t="s">
        <v>137</v>
      </c>
      <c r="E42" s="84" t="s">
        <v>159</v>
      </c>
      <c r="F42" s="360"/>
      <c r="G42" s="85" t="s">
        <v>139</v>
      </c>
      <c r="H42" s="86" t="s">
        <v>140</v>
      </c>
    </row>
    <row r="43" spans="2:13" x14ac:dyDescent="0.35">
      <c r="B43" s="2" t="str">
        <f>+'Burden Inputs, Tbls 1-3'!B8</f>
        <v>Initial Permit Application</v>
      </c>
      <c r="C43" s="88"/>
      <c r="D43" s="89">
        <f>'Burden Inputs, Tbls 1-3'!C8</f>
        <v>330</v>
      </c>
      <c r="E43" s="90"/>
      <c r="F43" s="538">
        <f>D36</f>
        <v>300</v>
      </c>
      <c r="G43" s="423">
        <f>D43*F43</f>
        <v>99000</v>
      </c>
      <c r="H43" s="433">
        <f>G43*$D$41</f>
        <v>6930000</v>
      </c>
      <c r="I43" s="1"/>
      <c r="K43" s="1"/>
    </row>
    <row r="44" spans="2:13" x14ac:dyDescent="0.35">
      <c r="B44" s="2" t="str">
        <f>+'Burden Inputs, Tbls 1-3'!B9</f>
        <v>Draft Permit Interaction</v>
      </c>
      <c r="C44" s="92"/>
      <c r="D44" s="93">
        <f>'Burden Inputs, Tbls 1-3'!C9</f>
        <v>50</v>
      </c>
      <c r="E44" s="94"/>
      <c r="F44" s="616">
        <f>+G36</f>
        <v>513</v>
      </c>
      <c r="G44" s="424">
        <f>D44*F44</f>
        <v>25650</v>
      </c>
      <c r="H44" s="433">
        <f t="shared" ref="H44:H52" si="2">G44*$D$41</f>
        <v>1795500</v>
      </c>
      <c r="I44" s="1"/>
      <c r="K44" s="1"/>
    </row>
    <row r="45" spans="2:13" x14ac:dyDescent="0.35">
      <c r="B45" s="2" t="str">
        <f>+'Burden Inputs, Tbls 1-3'!B10</f>
        <v>Gap Filling Monitoring Development</v>
      </c>
      <c r="C45" s="92"/>
      <c r="D45" s="93">
        <f>'Burden Inputs, Tbls 1-3'!C10</f>
        <v>44</v>
      </c>
      <c r="E45" s="94"/>
      <c r="F45" s="616">
        <f>ROUND(G36/2,0)</f>
        <v>257</v>
      </c>
      <c r="G45" s="424">
        <f>D45*F45</f>
        <v>11308</v>
      </c>
      <c r="H45" s="433">
        <f t="shared" si="2"/>
        <v>791560</v>
      </c>
      <c r="I45" s="1"/>
      <c r="K45" s="1"/>
    </row>
    <row r="46" spans="2:13" x14ac:dyDescent="0.35">
      <c r="B46" s="2" t="str">
        <f>+'Burden Inputs, Tbls 1-3'!B11</f>
        <v>Public Hearing Participation</v>
      </c>
      <c r="C46" s="88"/>
      <c r="D46" s="93">
        <f>'Burden Inputs, Tbls 1-3'!C11</f>
        <v>11</v>
      </c>
      <c r="E46" s="94"/>
      <c r="F46" s="616">
        <f>ROUND(G36/50,0)</f>
        <v>10</v>
      </c>
      <c r="G46" s="424">
        <f>D46*F46</f>
        <v>110</v>
      </c>
      <c r="H46" s="433">
        <f t="shared" si="2"/>
        <v>7700</v>
      </c>
      <c r="I46" s="1"/>
      <c r="K46" s="1"/>
    </row>
    <row r="47" spans="2:13" x14ac:dyDescent="0.35">
      <c r="B47" s="639" t="str">
        <f>+'Burden Inputs, Tbls 1-3'!B12</f>
        <v>Operate Gap Filling Monitoring</v>
      </c>
      <c r="C47" s="640"/>
      <c r="D47" s="658">
        <f>'Burden Inputs, Tbls 1-3'!C12</f>
        <v>200</v>
      </c>
      <c r="E47" s="96" t="s">
        <v>142</v>
      </c>
      <c r="F47" s="539">
        <f>ROUND(0.5*H32,0)</f>
        <v>6994</v>
      </c>
      <c r="G47" s="425">
        <f>$D$47*F47</f>
        <v>1398800</v>
      </c>
      <c r="H47" s="434">
        <f t="shared" si="2"/>
        <v>97916000</v>
      </c>
      <c r="I47" s="97"/>
      <c r="J47" s="98"/>
      <c r="K47" s="98"/>
      <c r="L47" s="98"/>
    </row>
    <row r="48" spans="2:13" x14ac:dyDescent="0.35">
      <c r="B48" s="641"/>
      <c r="C48" s="642"/>
      <c r="D48" s="659"/>
      <c r="E48" s="99" t="s">
        <v>143</v>
      </c>
      <c r="F48" s="542">
        <f>ROUND(0.5*(H33),0)</f>
        <v>7080</v>
      </c>
      <c r="G48" s="426">
        <f>+$D$47*F48</f>
        <v>1416000</v>
      </c>
      <c r="H48" s="435">
        <f t="shared" si="2"/>
        <v>99120000</v>
      </c>
      <c r="I48" s="100"/>
      <c r="K48" s="1"/>
    </row>
    <row r="49" spans="2:11" x14ac:dyDescent="0.35">
      <c r="B49" s="643"/>
      <c r="C49" s="644"/>
      <c r="D49" s="660"/>
      <c r="E49" s="101" t="s">
        <v>144</v>
      </c>
      <c r="F49" s="541">
        <f>ROUND(0.5*(H34),0)</f>
        <v>7165</v>
      </c>
      <c r="G49" s="427">
        <f>$D$47*F49</f>
        <v>1433000</v>
      </c>
      <c r="H49" s="436">
        <f t="shared" si="2"/>
        <v>100310000</v>
      </c>
      <c r="I49" s="100"/>
      <c r="K49" s="1"/>
    </row>
    <row r="50" spans="2:11" x14ac:dyDescent="0.35">
      <c r="B50" s="645" t="str">
        <f>+'Burden Inputs, Tbls 1-3'!B13</f>
        <v>Prep Monitoring/Compliance Reports &amp; Compliance Certifications</v>
      </c>
      <c r="C50" s="646"/>
      <c r="D50" s="636">
        <f>'Burden Inputs, Tbls 1-3'!C13</f>
        <v>80</v>
      </c>
      <c r="E50" s="96" t="s">
        <v>142</v>
      </c>
      <c r="F50" s="539">
        <f>H32</f>
        <v>13988</v>
      </c>
      <c r="G50" s="425">
        <f>$D$50*F50</f>
        <v>1119040</v>
      </c>
      <c r="H50" s="434">
        <f t="shared" si="2"/>
        <v>78332800</v>
      </c>
      <c r="I50" s="100"/>
      <c r="K50" s="1"/>
    </row>
    <row r="51" spans="2:11" x14ac:dyDescent="0.35">
      <c r="B51" s="647"/>
      <c r="C51" s="648"/>
      <c r="D51" s="637"/>
      <c r="E51" s="99" t="s">
        <v>143</v>
      </c>
      <c r="F51" s="542">
        <f>H33</f>
        <v>14159</v>
      </c>
      <c r="G51" s="426">
        <f>$D$50*F51</f>
        <v>1132720</v>
      </c>
      <c r="H51" s="435">
        <f t="shared" si="2"/>
        <v>79290400</v>
      </c>
      <c r="I51" s="102"/>
      <c r="K51" s="1"/>
    </row>
    <row r="52" spans="2:11" ht="16" thickBot="1" x14ac:dyDescent="0.4">
      <c r="B52" s="649"/>
      <c r="C52" s="650"/>
      <c r="D52" s="661"/>
      <c r="E52" s="101" t="s">
        <v>144</v>
      </c>
      <c r="F52" s="541">
        <f>H34</f>
        <v>14330</v>
      </c>
      <c r="G52" s="427">
        <f>F52*D50</f>
        <v>1146400</v>
      </c>
      <c r="H52" s="436">
        <f t="shared" si="2"/>
        <v>80248000</v>
      </c>
      <c r="K52" s="1"/>
    </row>
    <row r="53" spans="2:11" ht="16" thickBot="1" x14ac:dyDescent="0.4">
      <c r="B53" s="651" t="s">
        <v>160</v>
      </c>
      <c r="C53" s="652"/>
      <c r="D53" s="652"/>
      <c r="E53" s="652"/>
      <c r="F53" s="652"/>
      <c r="G53" s="652"/>
      <c r="H53" s="653"/>
      <c r="K53" s="1"/>
    </row>
    <row r="54" spans="2:11" ht="15.75" customHeight="1" x14ac:dyDescent="0.35">
      <c r="B54" s="645" t="str">
        <f>+'Burden Inputs, Tbls 1-3'!B14</f>
        <v>Significant Permit Revisions (11% of permits)</v>
      </c>
      <c r="C54" s="646"/>
      <c r="D54" s="657">
        <f>'Burden Inputs, Tbls 1-3'!C14</f>
        <v>84</v>
      </c>
      <c r="E54" s="104" t="s">
        <v>142</v>
      </c>
      <c r="F54" s="552">
        <f>Calcs!D27</f>
        <v>1399</v>
      </c>
      <c r="G54" s="428">
        <f>D54*F54</f>
        <v>117516</v>
      </c>
      <c r="H54" s="437">
        <f t="shared" ref="H54:H62" si="3">G54*$D$41</f>
        <v>8226120</v>
      </c>
    </row>
    <row r="55" spans="2:11" x14ac:dyDescent="0.35">
      <c r="B55" s="647"/>
      <c r="C55" s="648"/>
      <c r="D55" s="637"/>
      <c r="E55" s="99" t="s">
        <v>143</v>
      </c>
      <c r="F55" s="542">
        <f>Calcs!D28</f>
        <v>1416</v>
      </c>
      <c r="G55" s="426">
        <f>F55*D54</f>
        <v>118944</v>
      </c>
      <c r="H55" s="438">
        <f t="shared" si="3"/>
        <v>8326080</v>
      </c>
    </row>
    <row r="56" spans="2:11" x14ac:dyDescent="0.35">
      <c r="B56" s="649"/>
      <c r="C56" s="650"/>
      <c r="D56" s="638"/>
      <c r="E56" s="101" t="s">
        <v>144</v>
      </c>
      <c r="F56" s="541">
        <f>Calcs!D29</f>
        <v>1433</v>
      </c>
      <c r="G56" s="427">
        <f>F56*D54</f>
        <v>120372</v>
      </c>
      <c r="H56" s="439">
        <f t="shared" si="3"/>
        <v>8426040</v>
      </c>
    </row>
    <row r="57" spans="2:11" ht="15.75" customHeight="1" x14ac:dyDescent="0.35">
      <c r="B57" s="645" t="str">
        <f>+'Burden Inputs, Tbls 1-3'!B15</f>
        <v>Minor Permit Revisions  (35% of permits)</v>
      </c>
      <c r="C57" s="646"/>
      <c r="D57" s="636">
        <f>'Burden Inputs, Tbls 1-3'!C15</f>
        <v>44</v>
      </c>
      <c r="E57" s="96" t="s">
        <v>142</v>
      </c>
      <c r="F57" s="539">
        <f>Calcs!E27</f>
        <v>6994</v>
      </c>
      <c r="G57" s="425">
        <f>F57*D57</f>
        <v>307736</v>
      </c>
      <c r="H57" s="440">
        <f t="shared" si="3"/>
        <v>21541520</v>
      </c>
    </row>
    <row r="58" spans="2:11" x14ac:dyDescent="0.35">
      <c r="B58" s="647"/>
      <c r="C58" s="648"/>
      <c r="D58" s="637"/>
      <c r="E58" s="99" t="s">
        <v>143</v>
      </c>
      <c r="F58" s="542">
        <f>Calcs!E28</f>
        <v>7080</v>
      </c>
      <c r="G58" s="426">
        <f>F58*D57</f>
        <v>311520</v>
      </c>
      <c r="H58" s="438">
        <f t="shared" si="3"/>
        <v>21806400</v>
      </c>
    </row>
    <row r="59" spans="2:11" x14ac:dyDescent="0.35">
      <c r="B59" s="649"/>
      <c r="C59" s="650"/>
      <c r="D59" s="638"/>
      <c r="E59" s="101" t="s">
        <v>144</v>
      </c>
      <c r="F59" s="541">
        <f>Calcs!E29</f>
        <v>7165</v>
      </c>
      <c r="G59" s="427">
        <f>F59*D57</f>
        <v>315260</v>
      </c>
      <c r="H59" s="439">
        <f t="shared" si="3"/>
        <v>22068200</v>
      </c>
    </row>
    <row r="60" spans="2:11" ht="15.75" customHeight="1" x14ac:dyDescent="0.35">
      <c r="B60" s="645" t="str">
        <f>+'Burden Inputs, Tbls 1-3'!B16</f>
        <v>Administrative Amendments (50% of permits)</v>
      </c>
      <c r="C60" s="646"/>
      <c r="D60" s="636">
        <f>'Burden Inputs, Tbls 1-3'!C16</f>
        <v>8</v>
      </c>
      <c r="E60" s="96" t="s">
        <v>142</v>
      </c>
      <c r="F60" s="539">
        <f>Calcs!F27</f>
        <v>6994</v>
      </c>
      <c r="G60" s="425">
        <f>D60*F60</f>
        <v>55952</v>
      </c>
      <c r="H60" s="440">
        <f t="shared" si="3"/>
        <v>3916640</v>
      </c>
    </row>
    <row r="61" spans="2:11" x14ac:dyDescent="0.35">
      <c r="B61" s="647"/>
      <c r="C61" s="648"/>
      <c r="D61" s="637"/>
      <c r="E61" s="99" t="s">
        <v>143</v>
      </c>
      <c r="F61" s="542">
        <f>Calcs!F28</f>
        <v>7080</v>
      </c>
      <c r="G61" s="426">
        <f>F61*D60</f>
        <v>56640</v>
      </c>
      <c r="H61" s="438">
        <f t="shared" si="3"/>
        <v>3964800</v>
      </c>
    </row>
    <row r="62" spans="2:11" x14ac:dyDescent="0.35">
      <c r="B62" s="649"/>
      <c r="C62" s="650"/>
      <c r="D62" s="638"/>
      <c r="E62" s="463" t="s">
        <v>144</v>
      </c>
      <c r="F62" s="553">
        <f>Calcs!F29</f>
        <v>7165</v>
      </c>
      <c r="G62" s="427">
        <f>F62*D60</f>
        <v>57320</v>
      </c>
      <c r="H62" s="439">
        <f t="shared" si="3"/>
        <v>4012400</v>
      </c>
    </row>
    <row r="63" spans="2:11" x14ac:dyDescent="0.35">
      <c r="B63" s="654" t="s">
        <v>161</v>
      </c>
      <c r="C63" s="655"/>
      <c r="D63" s="655"/>
      <c r="E63" s="655"/>
      <c r="F63" s="656"/>
      <c r="G63" s="429">
        <f>SUM(G54:G62)</f>
        <v>1461260</v>
      </c>
      <c r="H63" s="441">
        <f>SUM(H54:H62)</f>
        <v>102288200</v>
      </c>
    </row>
    <row r="64" spans="2:11" x14ac:dyDescent="0.35">
      <c r="B64" s="106" t="str">
        <f>+'Burden Inputs, Tbls 1-3'!B17</f>
        <v>General Permit</v>
      </c>
      <c r="C64" s="105"/>
      <c r="D64" s="93">
        <f>'Burden Inputs, Tbls 1-3'!C17</f>
        <v>2</v>
      </c>
      <c r="E64" s="108"/>
      <c r="F64" s="616">
        <f>+Calcs!I18</f>
        <v>1696.0000000000005</v>
      </c>
      <c r="G64" s="430">
        <f>D64*F64</f>
        <v>3392.0000000000009</v>
      </c>
      <c r="H64" s="442">
        <f>G64*$D$41</f>
        <v>237440.00000000006</v>
      </c>
    </row>
    <row r="65" spans="2:12" s="69" customFormat="1" x14ac:dyDescent="0.35">
      <c r="B65" s="106" t="str">
        <f>+'Burden Inputs, Tbls 1-3'!B18</f>
        <v>Permit Renewal Application</v>
      </c>
      <c r="C65" s="107"/>
      <c r="D65" s="93">
        <f>'Burden Inputs, Tbls 1-3'!C18</f>
        <v>216</v>
      </c>
      <c r="E65" s="108"/>
      <c r="F65" s="616">
        <f>Calcs!H18</f>
        <v>8899</v>
      </c>
      <c r="G65" s="430">
        <f>D65*F65</f>
        <v>1922184</v>
      </c>
      <c r="H65" s="442">
        <f>G65*$D$41</f>
        <v>134552880</v>
      </c>
      <c r="J65" s="1"/>
      <c r="K65" s="83"/>
      <c r="L65" s="1"/>
    </row>
    <row r="66" spans="2:12" ht="16" thickBot="1" x14ac:dyDescent="0.4">
      <c r="B66" s="106" t="str">
        <f>+'Burden Inputs, Tbls 1-3'!B19</f>
        <v>Other Permit Renewal Activities</v>
      </c>
      <c r="C66" s="109"/>
      <c r="D66" s="110">
        <f>'Burden Inputs, Tbls 1-3'!C19</f>
        <v>22</v>
      </c>
      <c r="E66" s="111"/>
      <c r="F66" s="544">
        <f>F65</f>
        <v>8899</v>
      </c>
      <c r="G66" s="431">
        <f>D66*F66</f>
        <v>195778</v>
      </c>
      <c r="H66" s="442">
        <f>G66*$D$41</f>
        <v>13704460</v>
      </c>
      <c r="J66" s="69"/>
      <c r="K66" s="69"/>
      <c r="L66" s="69"/>
    </row>
    <row r="67" spans="2:12" ht="18" customHeight="1" thickTop="1" thickBot="1" x14ac:dyDescent="0.4">
      <c r="B67" s="112"/>
      <c r="C67" s="113"/>
      <c r="D67" s="114"/>
      <c r="E67" s="114"/>
      <c r="F67" s="115" t="s">
        <v>162</v>
      </c>
      <c r="G67" s="432">
        <f>SUM(G43:G62)+SUM(G65:G66)</f>
        <v>11361250</v>
      </c>
      <c r="H67" s="443">
        <f>SUM(H43:H62)+SUM(H65:H66)</f>
        <v>795287500</v>
      </c>
    </row>
    <row r="68" spans="2:12" ht="18" customHeight="1" thickBot="1" x14ac:dyDescent="0.4">
      <c r="B68" s="591"/>
      <c r="C68" s="592"/>
      <c r="D68" s="593"/>
      <c r="E68" s="593"/>
      <c r="F68" s="594" t="s">
        <v>147</v>
      </c>
      <c r="G68" s="595">
        <f>G67/3</f>
        <v>3787083.3333333335</v>
      </c>
      <c r="H68" s="596">
        <f>H67/3</f>
        <v>265095833.33333334</v>
      </c>
    </row>
    <row r="69" spans="2:12" x14ac:dyDescent="0.35">
      <c r="F69" s="98"/>
      <c r="G69" s="419"/>
      <c r="H69" s="98"/>
      <c r="J69" s="3"/>
      <c r="K69" s="3"/>
      <c r="L69" s="3"/>
    </row>
    <row r="70" spans="2:12" ht="24" customHeight="1" x14ac:dyDescent="0.35">
      <c r="B70" s="359" t="s">
        <v>163</v>
      </c>
      <c r="H70" s="4"/>
      <c r="I70" s="1"/>
      <c r="K70" s="1"/>
    </row>
    <row r="71" spans="2:12" s="3" customFormat="1" ht="6" customHeight="1" thickBot="1" x14ac:dyDescent="0.4">
      <c r="B71" s="359"/>
      <c r="C71" s="1"/>
      <c r="D71" s="1"/>
      <c r="E71" s="1"/>
      <c r="F71" s="1"/>
      <c r="G71" s="416"/>
      <c r="H71" s="4"/>
    </row>
    <row r="72" spans="2:12" s="67" customFormat="1" ht="14.5" thickBot="1" x14ac:dyDescent="0.3">
      <c r="B72" s="358"/>
      <c r="C72" s="357" t="s">
        <v>164</v>
      </c>
      <c r="D72" s="355">
        <f>Labor!C8</f>
        <v>62</v>
      </c>
      <c r="E72" s="350"/>
      <c r="F72" s="351"/>
      <c r="G72" s="418"/>
      <c r="H72" s="352"/>
    </row>
    <row r="73" spans="2:12" ht="60.5" thickBot="1" x14ac:dyDescent="0.4">
      <c r="B73" s="662" t="s">
        <v>136</v>
      </c>
      <c r="C73" s="663"/>
      <c r="D73" s="599" t="s">
        <v>137</v>
      </c>
      <c r="E73" s="600" t="s">
        <v>138</v>
      </c>
      <c r="F73" s="601"/>
      <c r="G73" s="599" t="s">
        <v>139</v>
      </c>
      <c r="H73" s="602" t="s">
        <v>140</v>
      </c>
      <c r="I73" s="1"/>
      <c r="K73" s="1"/>
    </row>
    <row r="74" spans="2:12" x14ac:dyDescent="0.35">
      <c r="B74" s="116" t="str">
        <f>+'Burden Inputs, Tbls 1-3'!B27</f>
        <v>Program Administration</v>
      </c>
      <c r="C74" s="117"/>
      <c r="D74" s="554">
        <f>'Burden Inputs, Tbls 1-3'!C27</f>
        <v>3500</v>
      </c>
      <c r="E74" s="555"/>
      <c r="F74" s="556">
        <v>1</v>
      </c>
      <c r="G74" s="447">
        <f>D74*F74*3</f>
        <v>10500</v>
      </c>
      <c r="H74" s="433">
        <f t="shared" ref="H74:H85" si="4">G74*$D$72</f>
        <v>651000</v>
      </c>
      <c r="I74" s="1"/>
      <c r="K74" s="1"/>
    </row>
    <row r="75" spans="2:12" x14ac:dyDescent="0.35">
      <c r="B75" s="118" t="str">
        <f>+'Burden Inputs, Tbls 1-3'!B28</f>
        <v>Permit Application Review</v>
      </c>
      <c r="C75" s="119"/>
      <c r="D75" s="557">
        <f>'Burden Inputs, Tbls 1-3'!C28</f>
        <v>110</v>
      </c>
      <c r="E75" s="558"/>
      <c r="F75" s="616">
        <f>D36</f>
        <v>300</v>
      </c>
      <c r="G75" s="448">
        <f t="shared" ref="G75:G85" si="5">D75*F75</f>
        <v>33000</v>
      </c>
      <c r="H75" s="433">
        <f t="shared" si="4"/>
        <v>2046000</v>
      </c>
      <c r="I75" s="1"/>
      <c r="K75" s="1"/>
    </row>
    <row r="76" spans="2:12" x14ac:dyDescent="0.35">
      <c r="B76" s="118" t="str">
        <f>+'Burden Inputs, Tbls 1-3'!B29</f>
        <v>Draft Permit Preparation</v>
      </c>
      <c r="C76" s="119"/>
      <c r="D76" s="557">
        <f>'Burden Inputs, Tbls 1-3'!C29</f>
        <v>170</v>
      </c>
      <c r="E76" s="558"/>
      <c r="F76" s="616">
        <f>G36</f>
        <v>513</v>
      </c>
      <c r="G76" s="448">
        <f t="shared" si="5"/>
        <v>87210</v>
      </c>
      <c r="H76" s="433">
        <f t="shared" si="4"/>
        <v>5407020</v>
      </c>
      <c r="I76" s="1"/>
      <c r="K76" s="1"/>
    </row>
    <row r="77" spans="2:12" x14ac:dyDescent="0.35">
      <c r="B77" s="118" t="str">
        <f>+'Burden Inputs, Tbls 1-3'!B30</f>
        <v>Comment Period Notification</v>
      </c>
      <c r="C77" s="119"/>
      <c r="D77" s="557">
        <f>'Burden Inputs, Tbls 1-3'!C30</f>
        <v>11</v>
      </c>
      <c r="E77" s="558"/>
      <c r="F77" s="616">
        <f>F76</f>
        <v>513</v>
      </c>
      <c r="G77" s="448">
        <f t="shared" si="5"/>
        <v>5643</v>
      </c>
      <c r="H77" s="433">
        <f t="shared" si="4"/>
        <v>349866</v>
      </c>
    </row>
    <row r="78" spans="2:12" x14ac:dyDescent="0.35">
      <c r="B78" s="118" t="str">
        <f>+'Burden Inputs, Tbls 1-3'!B31</f>
        <v>Public Hearing (2% of permits)</v>
      </c>
      <c r="C78" s="119"/>
      <c r="D78" s="557">
        <f>'Burden Inputs, Tbls 1-3'!C31</f>
        <v>110</v>
      </c>
      <c r="E78" s="558"/>
      <c r="F78" s="616">
        <f>F80</f>
        <v>10</v>
      </c>
      <c r="G78" s="448">
        <f t="shared" si="5"/>
        <v>1100</v>
      </c>
      <c r="H78" s="433">
        <f t="shared" si="4"/>
        <v>68200</v>
      </c>
    </row>
    <row r="79" spans="2:12" x14ac:dyDescent="0.35">
      <c r="B79" s="121" t="str">
        <f>+'Burden Inputs, Tbls 1-3'!B32</f>
        <v>Interaction with EPA</v>
      </c>
      <c r="C79" s="119"/>
      <c r="D79" s="557">
        <f>'Burden Inputs, Tbls 1-3'!C32</f>
        <v>20</v>
      </c>
      <c r="E79" s="558"/>
      <c r="F79" s="616">
        <f>G36</f>
        <v>513</v>
      </c>
      <c r="G79" s="448">
        <f>D79*F79</f>
        <v>10260</v>
      </c>
      <c r="H79" s="433">
        <f t="shared" si="4"/>
        <v>636120</v>
      </c>
    </row>
    <row r="80" spans="2:12" x14ac:dyDescent="0.35">
      <c r="B80" s="118" t="str">
        <f>+'Burden Inputs, Tbls 1-3'!B33</f>
        <v>Analyze Public Comments (2% of permits)</v>
      </c>
      <c r="C80" s="119"/>
      <c r="D80" s="557">
        <f>'Burden Inputs, Tbls 1-3'!C33</f>
        <v>44</v>
      </c>
      <c r="E80" s="558"/>
      <c r="F80" s="616">
        <f>ROUND(F76/50,0)</f>
        <v>10</v>
      </c>
      <c r="G80" s="448">
        <f t="shared" si="5"/>
        <v>440</v>
      </c>
      <c r="H80" s="433">
        <f t="shared" si="4"/>
        <v>27280</v>
      </c>
      <c r="I80" s="120"/>
    </row>
    <row r="81" spans="2:11" x14ac:dyDescent="0.35">
      <c r="B81" s="121" t="str">
        <f>+'Burden Inputs, Tbls 1-3'!B34</f>
        <v>Permit Issuance</v>
      </c>
      <c r="C81" s="119"/>
      <c r="D81" s="557">
        <f>'Burden Inputs, Tbls 1-3'!C34</f>
        <v>9</v>
      </c>
      <c r="E81" s="558"/>
      <c r="F81" s="616">
        <f>F77</f>
        <v>513</v>
      </c>
      <c r="G81" s="448">
        <f>D81*F81</f>
        <v>4617</v>
      </c>
      <c r="H81" s="433">
        <f t="shared" si="4"/>
        <v>286254</v>
      </c>
      <c r="I81" s="120"/>
    </row>
    <row r="82" spans="2:11" x14ac:dyDescent="0.35">
      <c r="B82" s="121" t="str">
        <f>+'Burden Inputs, Tbls 1-3'!B35</f>
        <v>General Permit Adminstration</v>
      </c>
      <c r="C82" s="119"/>
      <c r="D82" s="557">
        <f>'Burden Inputs, Tbls 1-3'!C35</f>
        <v>80</v>
      </c>
      <c r="E82" s="558"/>
      <c r="F82" s="616">
        <f>'Source &amp; PA Inputs'!D27</f>
        <v>117</v>
      </c>
      <c r="G82" s="448">
        <f>D82*F82</f>
        <v>9360</v>
      </c>
      <c r="H82" s="433">
        <f t="shared" si="4"/>
        <v>580320</v>
      </c>
      <c r="I82" s="120"/>
    </row>
    <row r="83" spans="2:11" x14ac:dyDescent="0.35">
      <c r="B83" s="122" t="str">
        <f>+'Burden Inputs, Tbls 1-3'!B36</f>
        <v>Significant Permit Revisions (11% of permits)</v>
      </c>
      <c r="C83" s="123"/>
      <c r="D83" s="557">
        <f>'Burden Inputs, Tbls 1-3'!C36</f>
        <v>94</v>
      </c>
      <c r="E83" s="558"/>
      <c r="F83" s="616">
        <f>Calcs!D30</f>
        <v>4248</v>
      </c>
      <c r="G83" s="449">
        <f t="shared" si="5"/>
        <v>399312</v>
      </c>
      <c r="H83" s="433">
        <f t="shared" si="4"/>
        <v>24757344</v>
      </c>
      <c r="I83" s="120"/>
    </row>
    <row r="84" spans="2:11" x14ac:dyDescent="0.35">
      <c r="B84" s="122" t="str">
        <f>+'Burden Inputs, Tbls 1-3'!B37</f>
        <v>Minor Permit Revisions (35% of permits)</v>
      </c>
      <c r="C84" s="123"/>
      <c r="D84" s="557">
        <f>'Burden Inputs, Tbls 1-3'!C37</f>
        <v>34</v>
      </c>
      <c r="E84" s="558"/>
      <c r="F84" s="616">
        <f>Calcs!E30</f>
        <v>21239</v>
      </c>
      <c r="G84" s="449">
        <f t="shared" si="5"/>
        <v>722126</v>
      </c>
      <c r="H84" s="433">
        <f t="shared" si="4"/>
        <v>44771812</v>
      </c>
      <c r="I84" s="120"/>
    </row>
    <row r="85" spans="2:11" x14ac:dyDescent="0.35">
      <c r="B85" s="122" t="str">
        <f>+'Burden Inputs, Tbls 1-3'!B38</f>
        <v>Administrative Amendments (50% of permits)</v>
      </c>
      <c r="C85" s="123"/>
      <c r="D85" s="557">
        <f>'Burden Inputs, Tbls 1-3'!C38</f>
        <v>5</v>
      </c>
      <c r="E85" s="558"/>
      <c r="F85" s="559">
        <f>Calcs!F30</f>
        <v>21239</v>
      </c>
      <c r="G85" s="449">
        <f t="shared" si="5"/>
        <v>106195</v>
      </c>
      <c r="H85" s="433">
        <f t="shared" si="4"/>
        <v>6584090</v>
      </c>
      <c r="I85" s="120"/>
    </row>
    <row r="86" spans="2:11" x14ac:dyDescent="0.35">
      <c r="B86" s="654" t="s">
        <v>161</v>
      </c>
      <c r="C86" s="655"/>
      <c r="D86" s="655"/>
      <c r="E86" s="655"/>
      <c r="F86" s="656"/>
      <c r="G86" s="450">
        <f>SUM(G83:G85)</f>
        <v>1227633</v>
      </c>
      <c r="H86" s="444">
        <f>SUM(H83:H85)</f>
        <v>76113246</v>
      </c>
      <c r="I86" s="120"/>
    </row>
    <row r="87" spans="2:11" x14ac:dyDescent="0.35">
      <c r="B87" s="122" t="str">
        <f>+'Burden Inputs, Tbls 1-3'!B39</f>
        <v>Renewals Single Source Permits</v>
      </c>
      <c r="C87" s="124"/>
      <c r="D87" s="557">
        <f>'Burden Inputs, Tbls 1-3'!C39</f>
        <v>97</v>
      </c>
      <c r="E87" s="558"/>
      <c r="F87" s="559">
        <f>Calcs!H18</f>
        <v>8899</v>
      </c>
      <c r="G87" s="449">
        <f>D87*F87</f>
        <v>863203</v>
      </c>
      <c r="H87" s="433">
        <f t="shared" ref="H87:H92" si="6">G87*$D$72</f>
        <v>53518586</v>
      </c>
      <c r="I87" s="120"/>
    </row>
    <row r="88" spans="2:11" x14ac:dyDescent="0.35">
      <c r="B88" s="122" t="str">
        <f>+'Burden Inputs, Tbls 1-3'!B40</f>
        <v>Renewals General Permits</v>
      </c>
      <c r="C88" s="103"/>
      <c r="D88" s="609">
        <f>'Burden Inputs, Tbls 1-3'!C40</f>
        <v>10</v>
      </c>
      <c r="E88" s="560"/>
      <c r="F88" s="561">
        <f>Calcs!I18</f>
        <v>1696.0000000000005</v>
      </c>
      <c r="G88" s="449">
        <f>D88*F88</f>
        <v>16960.000000000004</v>
      </c>
      <c r="H88" s="445">
        <f t="shared" si="6"/>
        <v>1051520.0000000002</v>
      </c>
      <c r="I88" s="120"/>
    </row>
    <row r="89" spans="2:11" x14ac:dyDescent="0.35">
      <c r="B89" s="639" t="str">
        <f>+'Burden Inputs, Tbls 1-3'!B41</f>
        <v>Review Monitoring/Compliance Reports</v>
      </c>
      <c r="C89" s="640"/>
      <c r="D89" s="636">
        <f>'Burden Inputs, Tbls 1-3'!C41</f>
        <v>15</v>
      </c>
      <c r="E89" s="96" t="s">
        <v>142</v>
      </c>
      <c r="F89" s="539">
        <f>H32</f>
        <v>13988</v>
      </c>
      <c r="G89" s="451">
        <f>D89*F89</f>
        <v>209820</v>
      </c>
      <c r="H89" s="445">
        <f t="shared" si="6"/>
        <v>13008840</v>
      </c>
      <c r="I89" s="120"/>
    </row>
    <row r="90" spans="2:11" x14ac:dyDescent="0.35">
      <c r="B90" s="641"/>
      <c r="C90" s="642"/>
      <c r="D90" s="637"/>
      <c r="E90" s="99" t="s">
        <v>143</v>
      </c>
      <c r="F90" s="542">
        <f>H33</f>
        <v>14159</v>
      </c>
      <c r="G90" s="452">
        <f>F90*D89</f>
        <v>212385</v>
      </c>
      <c r="H90" s="446">
        <f t="shared" si="6"/>
        <v>13167870</v>
      </c>
      <c r="I90" s="120"/>
    </row>
    <row r="91" spans="2:11" x14ac:dyDescent="0.35">
      <c r="B91" s="643"/>
      <c r="C91" s="644"/>
      <c r="D91" s="638"/>
      <c r="E91" s="101" t="s">
        <v>144</v>
      </c>
      <c r="F91" s="541">
        <f>H34</f>
        <v>14330</v>
      </c>
      <c r="G91" s="460">
        <f>F91*D89</f>
        <v>214950</v>
      </c>
      <c r="H91" s="461">
        <f t="shared" si="6"/>
        <v>13326900</v>
      </c>
      <c r="I91" s="120"/>
    </row>
    <row r="92" spans="2:11" ht="16" thickBot="1" x14ac:dyDescent="0.4">
      <c r="B92" s="121" t="str">
        <f>+'Burden Inputs, Tbls 1-3'!B42</f>
        <v>Annual Enforcement Activity</v>
      </c>
      <c r="C92" s="103"/>
      <c r="D92" s="458">
        <f>'Burden Inputs, Tbls 1-3'!C42</f>
        <v>40</v>
      </c>
      <c r="E92" s="459"/>
      <c r="F92" s="616">
        <f>'Source &amp; PA Inputs'!D27</f>
        <v>117</v>
      </c>
      <c r="G92" s="448">
        <f>D92*F92</f>
        <v>4680</v>
      </c>
      <c r="H92" s="433">
        <f t="shared" si="6"/>
        <v>290160</v>
      </c>
      <c r="I92" s="120"/>
    </row>
    <row r="93" spans="2:11" ht="18.75" customHeight="1" thickTop="1" thickBot="1" x14ac:dyDescent="0.4">
      <c r="B93" s="591"/>
      <c r="C93" s="125"/>
      <c r="D93" s="126"/>
      <c r="E93" s="115"/>
      <c r="F93" s="127" t="s">
        <v>165</v>
      </c>
      <c r="G93" s="462">
        <f>SUM(G74:G85)+SUM(G87:G91)</f>
        <v>2907081</v>
      </c>
      <c r="H93" s="443">
        <f>SUM(H74:H85)+SUM(H87:H91)</f>
        <v>180239022</v>
      </c>
      <c r="I93" s="128"/>
    </row>
    <row r="94" spans="2:11" ht="18" customHeight="1" thickBot="1" x14ac:dyDescent="0.4">
      <c r="B94" s="591"/>
      <c r="C94" s="592"/>
      <c r="D94" s="593"/>
      <c r="E94" s="593"/>
      <c r="F94" s="594" t="s">
        <v>147</v>
      </c>
      <c r="G94" s="595">
        <f>G93/3</f>
        <v>969027</v>
      </c>
      <c r="H94" s="614">
        <f>H93/3</f>
        <v>60079674</v>
      </c>
    </row>
    <row r="95" spans="2:11" s="69" customFormat="1" x14ac:dyDescent="0.35">
      <c r="B95" s="82"/>
      <c r="D95" s="129"/>
      <c r="E95" s="129"/>
      <c r="F95" s="129"/>
      <c r="G95" s="420"/>
      <c r="H95" s="130"/>
      <c r="I95" s="130"/>
      <c r="K95" s="70"/>
    </row>
    <row r="96" spans="2:11" s="69" customFormat="1" x14ac:dyDescent="0.35">
      <c r="B96" s="82"/>
      <c r="D96" s="129"/>
      <c r="E96" s="129"/>
      <c r="F96" s="129"/>
      <c r="G96" s="420"/>
      <c r="H96" s="130"/>
      <c r="I96" s="130"/>
      <c r="K96" s="70"/>
    </row>
    <row r="123" spans="2:12" s="69" customFormat="1" x14ac:dyDescent="0.35">
      <c r="G123" s="421"/>
      <c r="I123" s="70"/>
      <c r="J123" s="129"/>
      <c r="K123" s="129"/>
      <c r="L123" s="129"/>
    </row>
    <row r="124" spans="2:12" s="69" customFormat="1" x14ac:dyDescent="0.35">
      <c r="E124" s="131"/>
      <c r="G124" s="421"/>
      <c r="I124" s="70"/>
    </row>
    <row r="125" spans="2:12" x14ac:dyDescent="0.35">
      <c r="J125" s="69"/>
      <c r="K125" s="69"/>
      <c r="L125" s="69"/>
    </row>
    <row r="126" spans="2:12" s="69" customFormat="1" x14ac:dyDescent="0.35">
      <c r="B126" s="132"/>
      <c r="C126" s="133"/>
      <c r="D126" s="133"/>
      <c r="E126" s="133"/>
      <c r="F126" s="133"/>
      <c r="G126" s="422"/>
      <c r="H126" s="134"/>
      <c r="J126" s="1"/>
      <c r="K126" s="83"/>
      <c r="L126" s="1"/>
    </row>
    <row r="127" spans="2:12" x14ac:dyDescent="0.35">
      <c r="K127" s="70"/>
      <c r="L127" s="69"/>
    </row>
    <row r="128" spans="2:12" s="135" customFormat="1" x14ac:dyDescent="0.35">
      <c r="G128" s="95"/>
      <c r="K128" s="83"/>
      <c r="L128" s="1"/>
    </row>
    <row r="129" spans="7:12" s="135" customFormat="1" x14ac:dyDescent="0.35">
      <c r="G129" s="95"/>
      <c r="K129" s="136"/>
      <c r="L129" s="137"/>
    </row>
    <row r="130" spans="7:12" s="135" customFormat="1" x14ac:dyDescent="0.35">
      <c r="G130" s="95"/>
      <c r="K130" s="1"/>
      <c r="L130" s="137"/>
    </row>
    <row r="131" spans="7:12" s="135" customFormat="1" x14ac:dyDescent="0.35">
      <c r="G131" s="95"/>
      <c r="K131" s="1"/>
      <c r="L131" s="137"/>
    </row>
    <row r="132" spans="7:12" x14ac:dyDescent="0.35">
      <c r="K132" s="135"/>
      <c r="L132" s="137"/>
    </row>
    <row r="133" spans="7:12" x14ac:dyDescent="0.35">
      <c r="K133" s="135"/>
      <c r="L133" s="83"/>
    </row>
    <row r="134" spans="7:12" x14ac:dyDescent="0.35">
      <c r="K134" s="138"/>
      <c r="L134" s="83"/>
    </row>
    <row r="135" spans="7:12" x14ac:dyDescent="0.35">
      <c r="K135" s="135"/>
      <c r="L135" s="83"/>
    </row>
    <row r="136" spans="7:12" x14ac:dyDescent="0.35">
      <c r="K136" s="135"/>
      <c r="L136" s="83"/>
    </row>
    <row r="143" spans="7:12" x14ac:dyDescent="0.35">
      <c r="I143" s="1"/>
    </row>
  </sheetData>
  <mergeCells count="34">
    <mergeCell ref="B42:C42"/>
    <mergeCell ref="D21:D23"/>
    <mergeCell ref="D18:D20"/>
    <mergeCell ref="D10:D12"/>
    <mergeCell ref="D13:D15"/>
    <mergeCell ref="B18:C20"/>
    <mergeCell ref="B21:C23"/>
    <mergeCell ref="D32:E32"/>
    <mergeCell ref="D33:E33"/>
    <mergeCell ref="D34:E34"/>
    <mergeCell ref="D35:E35"/>
    <mergeCell ref="D36:E36"/>
    <mergeCell ref="D31:E31"/>
    <mergeCell ref="B6:C6"/>
    <mergeCell ref="B7:H7"/>
    <mergeCell ref="B16:H16"/>
    <mergeCell ref="B10:C12"/>
    <mergeCell ref="B13:C15"/>
    <mergeCell ref="D89:D91"/>
    <mergeCell ref="B89:C91"/>
    <mergeCell ref="B47:C49"/>
    <mergeCell ref="B50:C52"/>
    <mergeCell ref="B57:C59"/>
    <mergeCell ref="B54:C56"/>
    <mergeCell ref="B60:C62"/>
    <mergeCell ref="B53:H53"/>
    <mergeCell ref="B86:F86"/>
    <mergeCell ref="B63:F63"/>
    <mergeCell ref="D60:D62"/>
    <mergeCell ref="D57:D59"/>
    <mergeCell ref="D54:D56"/>
    <mergeCell ref="D47:D49"/>
    <mergeCell ref="D50:D52"/>
    <mergeCell ref="B73:C73"/>
  </mergeCells>
  <pageMargins left="0.64" right="0.25" top="0.59" bottom="0.46" header="0.3" footer="0.22"/>
  <pageSetup scale="70" orientation="portrait" r:id="rId1"/>
  <headerFooter>
    <oddHeader>&amp;R&amp;8&amp;F
&amp;D&amp;T</oddHeader>
    <oddFooter>&amp;R&amp;A</oddFooter>
  </headerFooter>
  <rowBreaks count="2" manualBreakCount="2">
    <brk id="105" max="16383" man="1"/>
    <brk id="126" max="16383" man="1"/>
  </rowBreaks>
  <ignoredErrors>
    <ignoredError sqref="H86 G48 H63" formula="1"/>
    <ignoredError sqref="B13 B50 B54:C6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43"/>
  <sheetViews>
    <sheetView showGridLines="0" tabSelected="1" topLeftCell="A31" zoomScale="85" zoomScaleNormal="85" zoomScaleSheetLayoutView="85" workbookViewId="0">
      <selection activeCell="G44" sqref="G44"/>
    </sheetView>
  </sheetViews>
  <sheetFormatPr defaultColWidth="9.1796875" defaultRowHeight="15.5" x14ac:dyDescent="0.35"/>
  <cols>
    <col min="1" max="1" width="0.81640625" style="1" customWidth="1"/>
    <col min="2" max="2" width="22" style="1" customWidth="1"/>
    <col min="3" max="3" width="17.26953125" style="1" customWidth="1"/>
    <col min="4" max="4" width="17.81640625" style="1" customWidth="1"/>
    <col min="5" max="5" width="17" style="1" customWidth="1"/>
    <col min="6" max="6" width="15.453125" style="1" bestFit="1" customWidth="1"/>
    <col min="7" max="7" width="12.54296875" style="1" customWidth="1"/>
    <col min="8" max="8" width="16.81640625" style="1" customWidth="1"/>
    <col min="9" max="9" width="13" style="1" customWidth="1"/>
    <col min="10" max="10" width="12.1796875" style="1" customWidth="1"/>
    <col min="11" max="11" width="10.54296875" style="1" customWidth="1"/>
    <col min="12" max="12" width="9.81640625" style="1" customWidth="1"/>
    <col min="13" max="16384" width="9.1796875" style="1"/>
  </cols>
  <sheetData>
    <row r="1" spans="2:8" ht="20" x14ac:dyDescent="0.4">
      <c r="E1" s="395" t="s">
        <v>0</v>
      </c>
    </row>
    <row r="3" spans="2:8" ht="24.75" customHeight="1" x14ac:dyDescent="0.35">
      <c r="B3" s="4" t="s">
        <v>166</v>
      </c>
    </row>
    <row r="4" spans="2:8" s="3" customFormat="1" ht="6" customHeight="1" thickBot="1" x14ac:dyDescent="0.4">
      <c r="B4" s="359"/>
      <c r="C4" s="1"/>
      <c r="D4" s="1"/>
      <c r="E4" s="1"/>
      <c r="F4" s="1"/>
      <c r="G4" s="416"/>
      <c r="H4" s="4"/>
    </row>
    <row r="5" spans="2:8" ht="45.5" x14ac:dyDescent="0.35">
      <c r="B5" s="679" t="s">
        <v>167</v>
      </c>
      <c r="C5" s="679" t="s">
        <v>168</v>
      </c>
      <c r="D5" s="619" t="s">
        <v>169</v>
      </c>
      <c r="E5" s="6" t="s">
        <v>170</v>
      </c>
      <c r="F5" s="7" t="s">
        <v>171</v>
      </c>
    </row>
    <row r="6" spans="2:8" ht="16" thickBot="1" x14ac:dyDescent="0.4">
      <c r="B6" s="680"/>
      <c r="C6" s="680"/>
      <c r="D6" s="41" t="s">
        <v>172</v>
      </c>
      <c r="E6" s="8" t="s">
        <v>172</v>
      </c>
      <c r="F6" s="9" t="s">
        <v>172</v>
      </c>
    </row>
    <row r="7" spans="2:8" x14ac:dyDescent="0.35">
      <c r="B7" s="10" t="s">
        <v>173</v>
      </c>
      <c r="C7" s="11">
        <f>'Tables 4-7'!H35</f>
        <v>14501</v>
      </c>
      <c r="D7" s="12">
        <f>'Tables 4-7'!G68</f>
        <v>3787083.3333333335</v>
      </c>
      <c r="E7" s="13">
        <f>D7/C7</f>
        <v>261.1601498747213</v>
      </c>
      <c r="F7" s="14">
        <f>D7/C7</f>
        <v>261.1601498747213</v>
      </c>
    </row>
    <row r="8" spans="2:8" ht="16" thickBot="1" x14ac:dyDescent="0.4">
      <c r="B8" s="15" t="s">
        <v>174</v>
      </c>
      <c r="C8" s="16">
        <f>'Source &amp; PA Inputs'!D27</f>
        <v>117</v>
      </c>
      <c r="D8" s="17">
        <f>'Tables 4-7'!G94</f>
        <v>969027</v>
      </c>
      <c r="E8" s="18">
        <f>D8/C8</f>
        <v>8282.2820512820508</v>
      </c>
      <c r="F8" s="19">
        <f>D8/C7</f>
        <v>66.82483966622992</v>
      </c>
    </row>
    <row r="9" spans="2:8" ht="16.5" thickTop="1" thickBot="1" x14ac:dyDescent="0.4">
      <c r="B9" s="20" t="s">
        <v>132</v>
      </c>
      <c r="C9" s="21">
        <f>SUM(C7:C8)</f>
        <v>14618</v>
      </c>
      <c r="D9" s="22">
        <f>SUM(D7:D8)</f>
        <v>4756110.333333334</v>
      </c>
      <c r="E9" s="23" t="s">
        <v>175</v>
      </c>
      <c r="F9" s="24" t="s">
        <v>175</v>
      </c>
    </row>
    <row r="12" spans="2:8" ht="22.5" customHeight="1" x14ac:dyDescent="0.35">
      <c r="B12" s="4" t="s">
        <v>176</v>
      </c>
    </row>
    <row r="13" spans="2:8" s="3" customFormat="1" ht="6" customHeight="1" thickBot="1" x14ac:dyDescent="0.4">
      <c r="B13" s="359"/>
      <c r="C13" s="1"/>
      <c r="D13" s="1"/>
      <c r="E13" s="1"/>
      <c r="F13" s="1"/>
      <c r="G13" s="416"/>
      <c r="H13" s="4"/>
    </row>
    <row r="14" spans="2:8" ht="45.5" x14ac:dyDescent="0.35">
      <c r="B14" s="679" t="s">
        <v>167</v>
      </c>
      <c r="C14" s="679" t="s">
        <v>168</v>
      </c>
      <c r="D14" s="677" t="s">
        <v>198</v>
      </c>
      <c r="E14" s="6" t="s">
        <v>177</v>
      </c>
      <c r="F14" s="7" t="s">
        <v>178</v>
      </c>
    </row>
    <row r="15" spans="2:8" ht="16" thickBot="1" x14ac:dyDescent="0.4">
      <c r="B15" s="680"/>
      <c r="C15" s="680"/>
      <c r="D15" s="678"/>
      <c r="E15" s="25" t="s">
        <v>197</v>
      </c>
      <c r="F15" s="26" t="s">
        <v>197</v>
      </c>
    </row>
    <row r="16" spans="2:8" x14ac:dyDescent="0.35">
      <c r="B16" s="10" t="s">
        <v>173</v>
      </c>
      <c r="C16" s="11">
        <f>'Tables 4-7'!H35</f>
        <v>14501</v>
      </c>
      <c r="D16" s="27">
        <f>ROUND(+'Tables 4-7'!H67/3,0)</f>
        <v>265095833</v>
      </c>
      <c r="E16" s="28">
        <f>D16/C16</f>
        <v>18281.210468243571</v>
      </c>
      <c r="F16" s="29">
        <f>D16/C16</f>
        <v>18281.210468243571</v>
      </c>
    </row>
    <row r="17" spans="2:8" ht="16" thickBot="1" x14ac:dyDescent="0.4">
      <c r="B17" s="15" t="s">
        <v>174</v>
      </c>
      <c r="C17" s="16">
        <f>'Source &amp; PA Inputs'!D27</f>
        <v>117</v>
      </c>
      <c r="D17" s="30">
        <f>ROUND(+'Tables 4-7'!H93/3,0)</f>
        <v>60079674</v>
      </c>
      <c r="E17" s="31">
        <f>D17/C17</f>
        <v>513501.48717948719</v>
      </c>
      <c r="F17" s="32">
        <f>D17/C16</f>
        <v>4143.1400593062544</v>
      </c>
    </row>
    <row r="18" spans="2:8" ht="16.5" thickTop="1" thickBot="1" x14ac:dyDescent="0.4">
      <c r="B18" s="20" t="s">
        <v>132</v>
      </c>
      <c r="C18" s="21">
        <f>SUM(C16:C17)</f>
        <v>14618</v>
      </c>
      <c r="D18" s="362">
        <f>SUM(D16:D17)</f>
        <v>325175507</v>
      </c>
      <c r="E18" s="23" t="s">
        <v>175</v>
      </c>
      <c r="F18" s="24" t="s">
        <v>175</v>
      </c>
    </row>
    <row r="19" spans="2:8" x14ac:dyDescent="0.35">
      <c r="B19" s="33"/>
      <c r="C19" s="34"/>
      <c r="D19" s="34"/>
      <c r="E19" s="34"/>
      <c r="F19" s="34"/>
    </row>
    <row r="20" spans="2:8" x14ac:dyDescent="0.35">
      <c r="B20" s="33"/>
      <c r="C20" s="34"/>
      <c r="D20" s="34"/>
      <c r="E20" s="34"/>
      <c r="F20" s="34"/>
    </row>
    <row r="21" spans="2:8" ht="24" customHeight="1" x14ac:dyDescent="0.35">
      <c r="B21" s="4" t="s">
        <v>179</v>
      </c>
    </row>
    <row r="22" spans="2:8" s="3" customFormat="1" ht="6" customHeight="1" thickBot="1" x14ac:dyDescent="0.3"/>
    <row r="23" spans="2:8" ht="15.75" customHeight="1" thickBot="1" x14ac:dyDescent="0.4">
      <c r="B23" s="608"/>
      <c r="C23" s="35" t="s">
        <v>180</v>
      </c>
      <c r="D23" s="36"/>
      <c r="E23" s="37" t="s">
        <v>181</v>
      </c>
      <c r="F23" s="38"/>
    </row>
    <row r="24" spans="2:8" ht="45.5" x14ac:dyDescent="0.35">
      <c r="B24" s="681" t="s">
        <v>182</v>
      </c>
      <c r="C24" s="5" t="s">
        <v>183</v>
      </c>
      <c r="D24" s="39" t="s">
        <v>171</v>
      </c>
      <c r="E24" s="40" t="s">
        <v>184</v>
      </c>
      <c r="F24" s="39" t="s">
        <v>178</v>
      </c>
    </row>
    <row r="25" spans="2:8" s="3" customFormat="1" ht="16" thickBot="1" x14ac:dyDescent="0.3">
      <c r="B25" s="682"/>
      <c r="C25" s="41" t="s">
        <v>172</v>
      </c>
      <c r="D25" s="42" t="s">
        <v>172</v>
      </c>
      <c r="E25" s="41" t="s">
        <v>197</v>
      </c>
      <c r="F25" s="43" t="s">
        <v>197</v>
      </c>
    </row>
    <row r="26" spans="2:8" s="3" customFormat="1" ht="16" thickBot="1" x14ac:dyDescent="0.3">
      <c r="B26" s="562">
        <f>'Tables 4-7'!H35</f>
        <v>14501</v>
      </c>
      <c r="C26" s="17">
        <f>'Tables 4-7'!G26/3</f>
        <v>44667.6</v>
      </c>
      <c r="D26" s="44">
        <f>C26/B26</f>
        <v>3.0803117026411972</v>
      </c>
      <c r="E26" s="30">
        <f>'Tables 4-7'!H26/3</f>
        <v>2590720.8000000003</v>
      </c>
      <c r="F26" s="45">
        <f>E26/B26</f>
        <v>178.65807875318944</v>
      </c>
    </row>
    <row r="27" spans="2:8" ht="16" thickTop="1" x14ac:dyDescent="0.35"/>
    <row r="29" spans="2:8" ht="23.25" customHeight="1" x14ac:dyDescent="0.35">
      <c r="B29" s="4" t="s">
        <v>199</v>
      </c>
    </row>
    <row r="30" spans="2:8" s="3" customFormat="1" ht="6" customHeight="1" thickBot="1" x14ac:dyDescent="0.4">
      <c r="B30" s="359"/>
      <c r="C30" s="1"/>
      <c r="D30" s="1"/>
      <c r="E30" s="1"/>
      <c r="F30" s="1"/>
      <c r="G30" s="416"/>
      <c r="H30" s="4"/>
    </row>
    <row r="31" spans="2:8" ht="65.25" customHeight="1" x14ac:dyDescent="0.35">
      <c r="B31" s="679" t="s">
        <v>185</v>
      </c>
      <c r="C31" s="40" t="s">
        <v>200</v>
      </c>
      <c r="D31" s="47" t="s">
        <v>186</v>
      </c>
      <c r="E31" s="40" t="s">
        <v>187</v>
      </c>
      <c r="F31" s="47" t="s">
        <v>188</v>
      </c>
    </row>
    <row r="32" spans="2:8" ht="16" thickBot="1" x14ac:dyDescent="0.4">
      <c r="B32" s="680"/>
      <c r="C32" s="41" t="s">
        <v>172</v>
      </c>
      <c r="D32" s="43" t="s">
        <v>172</v>
      </c>
      <c r="E32" s="41" t="s">
        <v>172</v>
      </c>
      <c r="F32" s="43" t="s">
        <v>172</v>
      </c>
    </row>
    <row r="33" spans="2:8" s="3" customFormat="1" x14ac:dyDescent="0.25">
      <c r="B33" s="10" t="s">
        <v>173</v>
      </c>
      <c r="C33" s="48">
        <v>3786856</v>
      </c>
      <c r="D33" s="49">
        <f>ROUND(+'Tables 4-7'!G67/3,0)</f>
        <v>3787083</v>
      </c>
      <c r="E33" s="50">
        <f>D33-C33</f>
        <v>227</v>
      </c>
      <c r="F33" s="51">
        <f>+E33/C33</f>
        <v>5.9944185889297086E-5</v>
      </c>
    </row>
    <row r="34" spans="2:8" s="3" customFormat="1" ht="16" thickBot="1" x14ac:dyDescent="0.3">
      <c r="B34" s="15" t="s">
        <v>174</v>
      </c>
      <c r="C34" s="17">
        <v>952068</v>
      </c>
      <c r="D34" s="19">
        <f>ROUND(+'Tables 4-7'!G93/3,0)</f>
        <v>969027</v>
      </c>
      <c r="E34" s="17">
        <f>D34-C34</f>
        <v>16959</v>
      </c>
      <c r="F34" s="52">
        <f>+E34/C34</f>
        <v>1.7812803287160162E-2</v>
      </c>
    </row>
    <row r="35" spans="2:8" s="3" customFormat="1" ht="16.5" thickTop="1" thickBot="1" x14ac:dyDescent="0.3">
      <c r="B35" s="20" t="s">
        <v>189</v>
      </c>
      <c r="C35" s="22">
        <f>SUM(C33:C34)</f>
        <v>4738924</v>
      </c>
      <c r="D35" s="24">
        <f>SUM(D33:D34)</f>
        <v>4756110</v>
      </c>
      <c r="E35" s="53">
        <f>SUM(E33:E34)</f>
        <v>17186</v>
      </c>
      <c r="F35" s="46" t="s">
        <v>175</v>
      </c>
    </row>
    <row r="38" spans="2:8" ht="23.25" customHeight="1" x14ac:dyDescent="0.35">
      <c r="B38" s="4" t="s">
        <v>190</v>
      </c>
    </row>
    <row r="39" spans="2:8" s="3" customFormat="1" ht="6" customHeight="1" thickBot="1" x14ac:dyDescent="0.4">
      <c r="B39" s="359"/>
      <c r="C39" s="1"/>
      <c r="D39" s="1"/>
      <c r="E39" s="1"/>
      <c r="F39" s="1"/>
      <c r="G39" s="416"/>
      <c r="H39" s="4"/>
    </row>
    <row r="40" spans="2:8" ht="46" thickBot="1" x14ac:dyDescent="0.4">
      <c r="B40" s="54" t="s">
        <v>185</v>
      </c>
      <c r="C40" s="55" t="s">
        <v>191</v>
      </c>
      <c r="D40" s="56" t="s">
        <v>192</v>
      </c>
      <c r="E40" s="57" t="s">
        <v>193</v>
      </c>
      <c r="F40" s="58" t="s">
        <v>194</v>
      </c>
    </row>
    <row r="41" spans="2:8" s="3" customFormat="1" x14ac:dyDescent="0.25">
      <c r="B41" s="59" t="s">
        <v>173</v>
      </c>
      <c r="C41" s="60">
        <f>'Tables 4-7'!H35</f>
        <v>14501</v>
      </c>
      <c r="D41" s="48">
        <f>ROUND(+'Tables 4-7'!G67/3,0)</f>
        <v>3787083</v>
      </c>
      <c r="E41" s="61">
        <f>+D41/C41</f>
        <v>261.16012688780086</v>
      </c>
      <c r="F41" s="49">
        <f>D41/C41</f>
        <v>261.16012688780086</v>
      </c>
    </row>
    <row r="42" spans="2:8" s="3" customFormat="1" ht="16" thickBot="1" x14ac:dyDescent="0.3">
      <c r="B42" s="62" t="s">
        <v>174</v>
      </c>
      <c r="C42" s="63">
        <f>+'Source &amp; PA Inputs'!D27</f>
        <v>117</v>
      </c>
      <c r="D42" s="64">
        <f>ROUND(+'Tables 4-7'!G93/3,0)</f>
        <v>969027</v>
      </c>
      <c r="E42" s="65">
        <f>+D42/C42</f>
        <v>8282.2820512820508</v>
      </c>
      <c r="F42" s="66">
        <f>D42/C41</f>
        <v>66.82483966622992</v>
      </c>
    </row>
    <row r="43" spans="2:8" x14ac:dyDescent="0.35">
      <c r="B43" s="67"/>
    </row>
  </sheetData>
  <mergeCells count="7">
    <mergeCell ref="D14:D15"/>
    <mergeCell ref="B14:B15"/>
    <mergeCell ref="B5:B6"/>
    <mergeCell ref="B24:B25"/>
    <mergeCell ref="B31:B32"/>
    <mergeCell ref="C5:C6"/>
    <mergeCell ref="C14:C15"/>
  </mergeCells>
  <pageMargins left="0.56000000000000005" right="0.31" top="0.88" bottom="0.75" header="0.3" footer="0.3"/>
  <pageSetup scale="57" orientation="portrait" r:id="rId1"/>
  <headerFooter>
    <oddHeader>&amp;R&amp;9&amp;F
&amp;D&amp;T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A313F8A2C9C4AB268F046896AE9A7" ma:contentTypeVersion="20" ma:contentTypeDescription="Create a new document." ma:contentTypeScope="" ma:versionID="5955b1f4b1ef17f9b5f865324abbe309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d6338d43-5a9a-4c21-9550-cb08589dd221" targetNamespace="http://schemas.microsoft.com/office/2006/metadata/properties" ma:root="true" ma:fieldsID="96c5afa256884baf3e40cce6d505e5c3" ns1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d6338d43-5a9a-4c21-9550-cb08589dd221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SharedWithUsers" minOccurs="0"/>
                <xsd:element ref="ns6:SharedWithDetails" minOccurs="0"/>
                <xsd:element ref="ns6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0958c11d-757b-43bd-86a0-b07df46e4455}" ma:internalName="TaxCatchAllLabel" ma:readOnly="true" ma:showField="CatchAllDataLabel" ma:web="d6338d43-5a9a-4c21-9550-cb08589dd2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0958c11d-757b-43bd-86a0-b07df46e4455}" ma:internalName="TaxCatchAll" ma:showField="CatchAllData" ma:web="d6338d43-5a9a-4c21-9550-cb08589dd2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38d43-5a9a-4c21-9550-cb08589dd221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0" nillable="true" ma:displayName="Sharing Hint Hash" ma:description="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2015-08-05T19:03:06+00:00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</documentManagement>
</p:properties>
</file>

<file path=customXml/itemProps1.xml><?xml version="1.0" encoding="utf-8"?>
<ds:datastoreItem xmlns:ds="http://schemas.openxmlformats.org/officeDocument/2006/customXml" ds:itemID="{02C69707-645D-405A-9033-0C10B28D36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9A3B5C-2B94-4469-A8B1-A2C0391030D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397E50F-EA1A-419C-BB83-C919B5344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d6338d43-5a9a-4c21-9550-cb08589dd2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95B347E-6EBE-460A-8941-EA66F76C969E}">
  <ds:schemaRefs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d6338d43-5a9a-4c21-9550-cb08589dd221"/>
    <ds:schemaRef ds:uri="http://schemas.microsoft.com/office/2006/documentManagement/types"/>
    <ds:schemaRef ds:uri="http://purl.org/dc/dcmitype/"/>
    <ds:schemaRef ds:uri="http://schemas.microsoft.com/sharepoint/v3/fields"/>
    <ds:schemaRef ds:uri="http://purl.org/dc/terms/"/>
    <ds:schemaRef ds:uri="http://schemas.microsoft.com/sharepoint.v3"/>
    <ds:schemaRef ds:uri="4ffa91fb-a0ff-4ac5-b2db-65c790d184a4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Labor</vt:lpstr>
      <vt:lpstr>Source &amp; PA Inputs</vt:lpstr>
      <vt:lpstr>Burden Inputs, Tbls 1-3</vt:lpstr>
      <vt:lpstr>Calcs</vt:lpstr>
      <vt:lpstr>Tables 4-7</vt:lpstr>
      <vt:lpstr>Btm Line, Tbls 8-12</vt:lpstr>
      <vt:lpstr>'Btm Line, Tbls 8-12'!Print_Area</vt:lpstr>
      <vt:lpstr>'Burden Inputs, Tbls 1-3'!Print_Area</vt:lpstr>
      <vt:lpstr>Calcs!Print_Area</vt:lpstr>
      <vt:lpstr>Labor!Print_Area</vt:lpstr>
      <vt:lpstr>'Source &amp; PA Inputs'!Print_Area</vt:lpstr>
      <vt:lpstr>'Tables 4-7'!Print_Area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Gmyr, Joanna</dc:creator>
  <cp:keywords/>
  <dc:description/>
  <cp:lastModifiedBy>Salahuddin, Diane</cp:lastModifiedBy>
  <cp:revision/>
  <dcterms:created xsi:type="dcterms:W3CDTF">2014-11-20T19:46:01Z</dcterms:created>
  <dcterms:modified xsi:type="dcterms:W3CDTF">2022-02-02T23:33:26Z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0x010100D98A313F8A2C9C4AB268F046896AE9A7</vt:lpwstr>
  </property>
</Properties>
</file>