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kerwin_courtney_epa_gov/Documents/Downloads/"/>
    </mc:Choice>
  </mc:AlternateContent>
  <xr:revisionPtr revIDLastSave="0" documentId="8_{0878FE2B-2D72-4142-BEED-2DC8E331432A}" xr6:coauthVersionLast="46" xr6:coauthVersionMax="46" xr10:uidLastSave="{00000000-0000-0000-0000-000000000000}"/>
  <bookViews>
    <workbookView xWindow="-28920" yWindow="-120" windowWidth="29040" windowHeight="15840" activeTab="1" xr2:uid="{A52FEE90-45DE-4154-80EE-DCD9F8126575}"/>
  </bookViews>
  <sheets>
    <sheet name="Agency Burden Data Table" sheetId="5" r:id="rId1"/>
    <sheet name="Respondent Labor Burden Table" sheetId="4" r:id="rId2"/>
    <sheet name="Number of Respondents" sheetId="28" r:id="rId3"/>
    <sheet name="Tables for SS" sheetId="25" r:id="rId4"/>
    <sheet name="Potential Turbidity Monitoring" sheetId="33" state="hidden" r:id="rId5"/>
  </sheets>
  <definedNames>
    <definedName name="_xlnm._FilterDatabase" localSheetId="1" hidden="1">'Respondent Labor Burden Table'!$A$4:$M$4</definedName>
    <definedName name="_Ref63629561" localSheetId="3">'Tables for SS'!$A$2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8" l="1"/>
  <c r="D13" i="28"/>
  <c r="D8" i="28"/>
  <c r="D4" i="28"/>
  <c r="D5" i="28" s="1"/>
  <c r="H4" i="28"/>
  <c r="B9" i="25"/>
  <c r="C9" i="25"/>
  <c r="D9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C55" i="25"/>
  <c r="B55" i="25"/>
  <c r="H46" i="25"/>
  <c r="G46" i="25"/>
  <c r="F46" i="25"/>
  <c r="E46" i="25"/>
  <c r="D46" i="25"/>
  <c r="C46" i="25"/>
  <c r="G45" i="25"/>
  <c r="E45" i="25"/>
  <c r="D45" i="25"/>
  <c r="C45" i="25"/>
  <c r="D44" i="25"/>
  <c r="C44" i="25"/>
  <c r="D43" i="25"/>
  <c r="C43" i="25"/>
  <c r="H42" i="25"/>
  <c r="G42" i="25"/>
  <c r="F42" i="25"/>
  <c r="E42" i="25"/>
  <c r="D42" i="25"/>
  <c r="C42" i="25"/>
  <c r="D41" i="25"/>
  <c r="C41" i="25"/>
  <c r="D40" i="25"/>
  <c r="C40" i="25"/>
  <c r="B46" i="25"/>
  <c r="B45" i="25"/>
  <c r="B44" i="25"/>
  <c r="B43" i="25"/>
  <c r="B42" i="25"/>
  <c r="B41" i="25"/>
  <c r="B40" i="25"/>
  <c r="D37" i="25"/>
  <c r="C37" i="25"/>
  <c r="D36" i="25"/>
  <c r="C36" i="25"/>
  <c r="D35" i="25"/>
  <c r="C35" i="25"/>
  <c r="D34" i="25"/>
  <c r="C34" i="25"/>
  <c r="D33" i="25"/>
  <c r="C33" i="25"/>
  <c r="D32" i="25"/>
  <c r="C32" i="25"/>
  <c r="D31" i="25"/>
  <c r="C31" i="25"/>
  <c r="D30" i="25"/>
  <c r="C30" i="25"/>
  <c r="B37" i="25"/>
  <c r="B36" i="25"/>
  <c r="B35" i="25"/>
  <c r="B34" i="25"/>
  <c r="B33" i="25"/>
  <c r="B32" i="25"/>
  <c r="B31" i="25"/>
  <c r="B30" i="25"/>
  <c r="C28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D24" i="25"/>
  <c r="C24" i="25"/>
  <c r="D23" i="25"/>
  <c r="C23" i="25"/>
  <c r="D22" i="25"/>
  <c r="C22" i="25"/>
  <c r="D21" i="25"/>
  <c r="C21" i="25"/>
  <c r="B28" i="25"/>
  <c r="B27" i="25"/>
  <c r="B26" i="25"/>
  <c r="B25" i="25"/>
  <c r="B24" i="25"/>
  <c r="B23" i="25"/>
  <c r="B22" i="25"/>
  <c r="B21" i="25"/>
  <c r="D23" i="33"/>
  <c r="D24" i="33"/>
  <c r="B16" i="33"/>
  <c r="B18" i="33" s="1"/>
  <c r="C6" i="33" s="1"/>
  <c r="D6" i="33" s="1"/>
  <c r="D11" i="33"/>
  <c r="G5" i="33"/>
  <c r="D5" i="33"/>
  <c r="D9" i="28"/>
  <c r="H6" i="28" l="1"/>
  <c r="H7" i="28" s="1"/>
  <c r="D31" i="4"/>
  <c r="F31" i="4"/>
  <c r="I31" i="4" s="1"/>
  <c r="K31" i="4" l="1"/>
  <c r="M31" i="4" l="1"/>
  <c r="H45" i="25" s="1"/>
  <c r="F45" i="25"/>
  <c r="B17" i="28"/>
  <c r="C9" i="28"/>
  <c r="F26" i="4" l="1"/>
  <c r="F6" i="33" l="1"/>
  <c r="F5" i="33"/>
  <c r="I5" i="33" s="1"/>
  <c r="K5" i="33" s="1"/>
  <c r="M5" i="33" s="1"/>
  <c r="F29" i="4"/>
  <c r="D18" i="28"/>
  <c r="F23" i="4" s="1"/>
  <c r="D17" i="28"/>
  <c r="F22" i="4" s="1"/>
  <c r="D15" i="28"/>
  <c r="F20" i="4" s="1"/>
  <c r="F18" i="4"/>
  <c r="D12" i="28"/>
  <c r="F17" i="4" s="1"/>
  <c r="D11" i="28"/>
  <c r="F16" i="4" s="1"/>
  <c r="C18" i="28"/>
  <c r="E23" i="4" s="1"/>
  <c r="H23" i="4" s="1"/>
  <c r="J23" i="4" s="1"/>
  <c r="E37" i="25" s="1"/>
  <c r="C17" i="28"/>
  <c r="E22" i="4" s="1"/>
  <c r="C15" i="28"/>
  <c r="E20" i="4" s="1"/>
  <c r="C13" i="28"/>
  <c r="E18" i="4" s="1"/>
  <c r="C12" i="28"/>
  <c r="E17" i="4" s="1"/>
  <c r="C11" i="28"/>
  <c r="E16" i="4" s="1"/>
  <c r="B16" i="28"/>
  <c r="D16" i="28" s="1"/>
  <c r="F21" i="4" s="1"/>
  <c r="B14" i="28"/>
  <c r="D14" i="28" s="1"/>
  <c r="F19" i="4" s="1"/>
  <c r="D10" i="28"/>
  <c r="F14" i="4" s="1"/>
  <c r="C10" i="28"/>
  <c r="E14" i="4" s="1"/>
  <c r="H14" i="4" s="1"/>
  <c r="J14" i="4" s="1"/>
  <c r="E28" i="25" s="1"/>
  <c r="E13" i="4"/>
  <c r="D9" i="4"/>
  <c r="C8" i="28"/>
  <c r="C4" i="28"/>
  <c r="D10" i="4"/>
  <c r="D23" i="4"/>
  <c r="D17" i="4"/>
  <c r="D22" i="4"/>
  <c r="D21" i="4"/>
  <c r="D20" i="4"/>
  <c r="D19" i="4"/>
  <c r="D18" i="4"/>
  <c r="D16" i="4"/>
  <c r="B9" i="5"/>
  <c r="D9" i="5" s="1"/>
  <c r="F30" i="4" l="1"/>
  <c r="F27" i="4"/>
  <c r="I6" i="33"/>
  <c r="K6" i="33" s="1"/>
  <c r="M6" i="33" s="1"/>
  <c r="F23" i="33"/>
  <c r="C14" i="28"/>
  <c r="E19" i="4" s="1"/>
  <c r="F13" i="4"/>
  <c r="C7" i="28"/>
  <c r="E9" i="4" s="1"/>
  <c r="E29" i="4"/>
  <c r="E26" i="4"/>
  <c r="H26" i="4" s="1"/>
  <c r="C5" i="28"/>
  <c r="E7" i="4" s="1"/>
  <c r="E10" i="4"/>
  <c r="E27" i="4"/>
  <c r="H27" i="4" s="1"/>
  <c r="J27" i="4" s="1"/>
  <c r="E30" i="4"/>
  <c r="H30" i="4" s="1"/>
  <c r="J30" i="4" s="1"/>
  <c r="E44" i="25" s="1"/>
  <c r="C16" i="28"/>
  <c r="E21" i="4" s="1"/>
  <c r="F10" i="4"/>
  <c r="D7" i="28"/>
  <c r="F9" i="4" s="1"/>
  <c r="D6" i="28"/>
  <c r="F8" i="4" s="1"/>
  <c r="F7" i="4"/>
  <c r="C6" i="28"/>
  <c r="E8" i="4" s="1"/>
  <c r="H13" i="4"/>
  <c r="J13" i="4" s="1"/>
  <c r="E27" i="25" s="1"/>
  <c r="L23" i="4"/>
  <c r="G37" i="25" s="1"/>
  <c r="E6" i="5"/>
  <c r="I23" i="4"/>
  <c r="D7" i="4"/>
  <c r="L27" i="4" l="1"/>
  <c r="G41" i="25" s="1"/>
  <c r="E41" i="25"/>
  <c r="F24" i="33"/>
  <c r="H24" i="33" s="1"/>
  <c r="J24" i="33" s="1"/>
  <c r="H23" i="33"/>
  <c r="J23" i="33" s="1"/>
  <c r="J26" i="4"/>
  <c r="E8" i="5"/>
  <c r="K23" i="4"/>
  <c r="F37" i="25" s="1"/>
  <c r="E7" i="5"/>
  <c r="H17" i="4"/>
  <c r="J17" i="4" s="1"/>
  <c r="H10" i="4"/>
  <c r="J10" i="4" s="1"/>
  <c r="H7" i="4"/>
  <c r="H9" i="4"/>
  <c r="J9" i="4" s="1"/>
  <c r="E23" i="25" s="1"/>
  <c r="H8" i="4"/>
  <c r="J8" i="4" s="1"/>
  <c r="H18" i="4"/>
  <c r="J18" i="4" s="1"/>
  <c r="H20" i="4"/>
  <c r="J20" i="4" s="1"/>
  <c r="H16" i="4"/>
  <c r="I16" i="4"/>
  <c r="L13" i="4"/>
  <c r="G27" i="25" s="1"/>
  <c r="I30" i="4"/>
  <c r="L30" i="4"/>
  <c r="G44" i="25" s="1"/>
  <c r="D5" i="5"/>
  <c r="D8" i="4"/>
  <c r="D13" i="4"/>
  <c r="D14" i="4"/>
  <c r="D30" i="4"/>
  <c r="D27" i="4"/>
  <c r="L20" i="4" l="1"/>
  <c r="G34" i="25" s="1"/>
  <c r="E34" i="25"/>
  <c r="L18" i="4"/>
  <c r="G32" i="25" s="1"/>
  <c r="E32" i="25"/>
  <c r="L8" i="4"/>
  <c r="G22" i="25" s="1"/>
  <c r="E22" i="25"/>
  <c r="L26" i="4"/>
  <c r="G40" i="25" s="1"/>
  <c r="E40" i="25"/>
  <c r="L10" i="4"/>
  <c r="G24" i="25" s="1"/>
  <c r="E24" i="25"/>
  <c r="L17" i="4"/>
  <c r="G31" i="25" s="1"/>
  <c r="E31" i="25"/>
  <c r="D28" i="25"/>
  <c r="J7" i="4"/>
  <c r="M23" i="4"/>
  <c r="H37" i="25" s="1"/>
  <c r="J16" i="4"/>
  <c r="E5" i="5"/>
  <c r="H19" i="4"/>
  <c r="J19" i="4" s="1"/>
  <c r="H22" i="4"/>
  <c r="J22" i="4" s="1"/>
  <c r="H29" i="4"/>
  <c r="H21" i="4"/>
  <c r="J21" i="4" s="1"/>
  <c r="K16" i="4"/>
  <c r="F30" i="25" s="1"/>
  <c r="I29" i="4"/>
  <c r="I19" i="4"/>
  <c r="I22" i="4"/>
  <c r="L14" i="4"/>
  <c r="G28" i="25" s="1"/>
  <c r="I10" i="4"/>
  <c r="I17" i="4"/>
  <c r="I20" i="4"/>
  <c r="I18" i="4"/>
  <c r="I21" i="4"/>
  <c r="I27" i="4"/>
  <c r="I14" i="4"/>
  <c r="K14" i="4" s="1"/>
  <c r="I13" i="4"/>
  <c r="K30" i="4"/>
  <c r="L21" i="4" l="1"/>
  <c r="G35" i="25" s="1"/>
  <c r="E35" i="25"/>
  <c r="L22" i="4"/>
  <c r="G36" i="25" s="1"/>
  <c r="E36" i="25"/>
  <c r="L19" i="4"/>
  <c r="G33" i="25" s="1"/>
  <c r="E33" i="25"/>
  <c r="L7" i="4"/>
  <c r="G21" i="25" s="1"/>
  <c r="E21" i="25"/>
  <c r="L16" i="4"/>
  <c r="G30" i="25" s="1"/>
  <c r="E30" i="25"/>
  <c r="M30" i="4"/>
  <c r="H44" i="25" s="1"/>
  <c r="F44" i="25"/>
  <c r="J29" i="4"/>
  <c r="E43" i="25" s="1"/>
  <c r="H33" i="4"/>
  <c r="H24" i="4"/>
  <c r="J24" i="4"/>
  <c r="E38" i="25" s="1"/>
  <c r="F7" i="5"/>
  <c r="F28" i="25"/>
  <c r="K22" i="4"/>
  <c r="F36" i="25" s="1"/>
  <c r="K21" i="4"/>
  <c r="F35" i="25" s="1"/>
  <c r="M16" i="4"/>
  <c r="H30" i="25" s="1"/>
  <c r="K20" i="4"/>
  <c r="F34" i="25" s="1"/>
  <c r="K19" i="4"/>
  <c r="F33" i="25" s="1"/>
  <c r="K17" i="4"/>
  <c r="F31" i="25" s="1"/>
  <c r="F9" i="5"/>
  <c r="H9" i="5" s="1"/>
  <c r="F13" i="25" s="1"/>
  <c r="G5" i="5"/>
  <c r="E9" i="25" s="1"/>
  <c r="E9" i="5"/>
  <c r="E10" i="5" s="1"/>
  <c r="K10" i="4"/>
  <c r="F24" i="25" s="1"/>
  <c r="K27" i="4"/>
  <c r="I26" i="4"/>
  <c r="F8" i="5" s="1"/>
  <c r="K18" i="4"/>
  <c r="F32" i="25" s="1"/>
  <c r="F6" i="5"/>
  <c r="K13" i="4"/>
  <c r="F27" i="25" s="1"/>
  <c r="I7" i="4"/>
  <c r="K7" i="4" s="1"/>
  <c r="F21" i="25" s="1"/>
  <c r="I8" i="4"/>
  <c r="I9" i="4"/>
  <c r="L9" i="4"/>
  <c r="D29" i="4"/>
  <c r="D26" i="4"/>
  <c r="D7" i="5"/>
  <c r="D8" i="5"/>
  <c r="G6" i="5"/>
  <c r="E10" i="25" s="1"/>
  <c r="D6" i="5"/>
  <c r="L24" i="4" l="1"/>
  <c r="G38" i="25" s="1"/>
  <c r="G23" i="25"/>
  <c r="M27" i="4"/>
  <c r="H41" i="25" s="1"/>
  <c r="F41" i="25"/>
  <c r="I6" i="5"/>
  <c r="G10" i="25" s="1"/>
  <c r="I5" i="5"/>
  <c r="G9" i="25" s="1"/>
  <c r="J9" i="5"/>
  <c r="H13" i="25" s="1"/>
  <c r="H34" i="4"/>
  <c r="H7" i="5"/>
  <c r="F11" i="25" s="1"/>
  <c r="I24" i="4"/>
  <c r="M13" i="4"/>
  <c r="H27" i="25" s="1"/>
  <c r="K29" i="4"/>
  <c r="M10" i="4"/>
  <c r="H24" i="25" s="1"/>
  <c r="M19" i="4"/>
  <c r="H33" i="25" s="1"/>
  <c r="M21" i="4"/>
  <c r="H35" i="25" s="1"/>
  <c r="M17" i="4"/>
  <c r="H31" i="25" s="1"/>
  <c r="M20" i="4"/>
  <c r="H34" i="25" s="1"/>
  <c r="M22" i="4"/>
  <c r="H36" i="25" s="1"/>
  <c r="M18" i="4"/>
  <c r="H32" i="25" s="1"/>
  <c r="M14" i="4"/>
  <c r="H28" i="25" s="1"/>
  <c r="G9" i="5"/>
  <c r="E13" i="25" s="1"/>
  <c r="J33" i="4"/>
  <c r="E47" i="25" s="1"/>
  <c r="L29" i="4"/>
  <c r="K26" i="4"/>
  <c r="F40" i="25" s="1"/>
  <c r="I33" i="4"/>
  <c r="F5" i="5"/>
  <c r="K8" i="4"/>
  <c r="F22" i="25" s="1"/>
  <c r="K9" i="4"/>
  <c r="F23" i="25" s="1"/>
  <c r="G7" i="5"/>
  <c r="E11" i="25" s="1"/>
  <c r="H6" i="5"/>
  <c r="F10" i="25" s="1"/>
  <c r="L33" i="4" l="1"/>
  <c r="G47" i="25" s="1"/>
  <c r="G43" i="25"/>
  <c r="M29" i="4"/>
  <c r="H43" i="25" s="1"/>
  <c r="F43" i="25"/>
  <c r="J7" i="5"/>
  <c r="H11" i="25" s="1"/>
  <c r="J6" i="5"/>
  <c r="H10" i="25" s="1"/>
  <c r="I7" i="5"/>
  <c r="G11" i="25" s="1"/>
  <c r="I9" i="5"/>
  <c r="G13" i="25" s="1"/>
  <c r="K24" i="4"/>
  <c r="F38" i="25" s="1"/>
  <c r="K33" i="4"/>
  <c r="F47" i="25" s="1"/>
  <c r="M9" i="4"/>
  <c r="H23" i="25" s="1"/>
  <c r="M8" i="4"/>
  <c r="H22" i="25" s="1"/>
  <c r="H5" i="5"/>
  <c r="F9" i="25" s="1"/>
  <c r="F10" i="5"/>
  <c r="M7" i="4"/>
  <c r="H21" i="25" s="1"/>
  <c r="M26" i="4"/>
  <c r="M33" i="4" l="1"/>
  <c r="H47" i="25" s="1"/>
  <c r="H40" i="25"/>
  <c r="C67" i="25"/>
  <c r="B67" i="25"/>
  <c r="J5" i="5"/>
  <c r="H9" i="25" s="1"/>
  <c r="M24" i="4"/>
  <c r="H38" i="25" s="1"/>
  <c r="H8" i="5"/>
  <c r="F12" i="25" s="1"/>
  <c r="J8" i="5" l="1"/>
  <c r="H12" i="25" s="1"/>
  <c r="H10" i="5"/>
  <c r="F5" i="25" s="1"/>
  <c r="G8" i="5"/>
  <c r="E12" i="25" s="1"/>
  <c r="J10" i="5" l="1"/>
  <c r="G5" i="25" s="1"/>
  <c r="B68" i="25"/>
  <c r="C68" i="25"/>
  <c r="F14" i="25"/>
  <c r="I8" i="5"/>
  <c r="G12" i="25" s="1"/>
  <c r="G10" i="5"/>
  <c r="H14" i="25" l="1"/>
  <c r="B5" i="25"/>
  <c r="E14" i="25"/>
  <c r="B69" i="25"/>
  <c r="B72" i="25" s="1"/>
  <c r="I10" i="5"/>
  <c r="H13" i="5"/>
  <c r="E5" i="25" s="1"/>
  <c r="H12" i="5"/>
  <c r="D5" i="25" s="1"/>
  <c r="J34" i="4"/>
  <c r="K34" i="4"/>
  <c r="F4" i="25" s="1"/>
  <c r="E48" i="25" l="1"/>
  <c r="B4" i="25"/>
  <c r="C5" i="25"/>
  <c r="G14" i="25"/>
  <c r="C69" i="25"/>
  <c r="C72" i="25" s="1"/>
  <c r="C57" i="25"/>
  <c r="F48" i="25"/>
  <c r="B57" i="25"/>
  <c r="K36" i="4"/>
  <c r="D4" i="25" s="1"/>
  <c r="L34" i="4"/>
  <c r="M34" i="4"/>
  <c r="G4" i="25" s="1"/>
  <c r="G48" i="25" l="1"/>
  <c r="C4" i="25"/>
  <c r="B75" i="25"/>
  <c r="C75" i="25"/>
  <c r="C58" i="25"/>
  <c r="C61" i="25" s="1"/>
  <c r="B58" i="25"/>
  <c r="B61" i="25" s="1"/>
  <c r="H48" i="25"/>
  <c r="K37" i="4"/>
  <c r="E4" i="25" s="1"/>
  <c r="I34" i="4"/>
  <c r="C56" i="25" l="1"/>
  <c r="C76" i="25" s="1"/>
  <c r="B56" i="25"/>
  <c r="B76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tc={640F7A00-A4E6-405F-9EA1-3216CF885D06}</author>
  </authors>
  <commentList>
    <comment ref="C14" authorId="0" shapeId="0" xr:uid="{640F7A00-A4E6-405F-9EA1-3216CF885D06}">
      <text>
        <t>[Threaded comment]
Your version of Excel allows you to read this threaded comment; however, any edits to it will get removed if the file is opened in a newer version of Excel. Learn more: https://go.microsoft.com/fwlink/?linkid=870924
Comment:
    Site stabilization photos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tc={67837E48-FB35-4646-B8D5-BCD7CA919084}</author>
    <author>tc={EA7FFBC1-8FE0-4E71-9ECA-C9DA986C09C3}</author>
    <author>tc={97259617-66A4-457A-9372-7C7D2E32AF98}</author>
    <author>tc={09607FDA-C31E-4535-AF98-B660A9E805EA}</author>
    <author>tc={21874FDF-FC4D-4449-92E6-5719D59E4339}</author>
    <author>tc={3269209C-3540-4213-B133-3FCF2C6380A3}</author>
    <author>tc={E19A1B78-9A0C-4828-89C0-687D20DCD4C2}</author>
  </authors>
  <commentList>
    <comment ref="C5" authorId="0" shapeId="0" xr:uid="{67837E48-FB35-4646-B8D5-BCD7CA91908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value needs to be assessed</t>
      </text>
    </comment>
    <comment ref="F5" authorId="1" shapeId="0" xr:uid="{EA7FFBC1-8FE0-4E71-9ECA-C9DA986C09C3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estimate number of sites subject to turbidity monitoring</t>
      </text>
    </comment>
    <comment ref="G5" authorId="2" shapeId="0" xr:uid="{97259617-66A4-457A-9372-7C7D2E32AF98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7 days of groundwater dewatering during month 1 and 2 days of general dewatering during months 2-12</t>
      </text>
    </comment>
    <comment ref="C6" authorId="3" shapeId="0" xr:uid="{09607FDA-C31E-4535-AF98-B660A9E805EA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existing DMR data entry estimates</t>
      </text>
    </comment>
    <comment ref="F6" authorId="4" shapeId="0" xr:uid="{21874FDF-FC4D-4449-92E6-5719D59E4339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estimate number of sites subject to turbidity monitoring</t>
      </text>
    </comment>
    <comment ref="G6" authorId="5" shapeId="0" xr:uid="{3269209C-3540-4213-B133-3FCF2C6380A3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four quarterly reports</t>
      </text>
    </comment>
    <comment ref="F24" authorId="6" shapeId="0" xr:uid="{E19A1B78-9A0C-4828-89C0-687D20DCD4C2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 EPA needs to follow-up on 20% of DMRs submitted.</t>
      </text>
    </comment>
  </commentList>
</comments>
</file>

<file path=xl/sharedStrings.xml><?xml version="1.0" encoding="utf-8"?>
<sst xmlns="http://schemas.openxmlformats.org/spreadsheetml/2006/main" count="359" uniqueCount="147">
  <si>
    <t>NA</t>
  </si>
  <si>
    <t>Activity</t>
  </si>
  <si>
    <t>Total Respondent Activities</t>
  </si>
  <si>
    <t>SWPPP review</t>
  </si>
  <si>
    <t>Total Agency Activities</t>
  </si>
  <si>
    <t xml:space="preserve"> </t>
  </si>
  <si>
    <t>Hours Per Response</t>
  </si>
  <si>
    <t>Table Endnotes</t>
  </si>
  <si>
    <t>Notes</t>
  </si>
  <si>
    <t>Update SWPPP</t>
  </si>
  <si>
    <t>Number of Occurrences Per Year</t>
  </si>
  <si>
    <t>Recordkeeping Requirements</t>
  </si>
  <si>
    <t>Reporting Requirements</t>
  </si>
  <si>
    <t>Recordkeeping Subtotal</t>
  </si>
  <si>
    <t>Reporting Subtotal</t>
  </si>
  <si>
    <t>Number of Annual Reponses</t>
  </si>
  <si>
    <t>Change in Hours</t>
  </si>
  <si>
    <t>Change in $</t>
  </si>
  <si>
    <t>Corrective Action Records</t>
  </si>
  <si>
    <t>Appendix C - Small Construction Waiver</t>
  </si>
  <si>
    <t>NOT</t>
  </si>
  <si>
    <t>Develop New SWPPP - Large Sites</t>
  </si>
  <si>
    <t>Develop New SWPPP - Small Sites</t>
  </si>
  <si>
    <t>Standard/Other Reporting</t>
  </si>
  <si>
    <t>Appendix E - Historic Property Screening Step 5 (Contact SHPO/THPO)</t>
  </si>
  <si>
    <t>Appendix L - Cationic Treatment Chemicals Notification</t>
  </si>
  <si>
    <r>
      <t xml:space="preserve">2017 NPDES Program ICR </t>
    </r>
    <r>
      <rPr>
        <b/>
        <vertAlign val="superscript"/>
        <sz val="9"/>
        <color rgb="FF000000"/>
        <rFont val="Calibri"/>
        <family val="2"/>
        <scheme val="minor"/>
      </rPr>
      <t>1</t>
    </r>
  </si>
  <si>
    <t>Approximate 2017 NPDES Program Annual Burden (hrs)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</si>
  <si>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NA indicates that the 2017 NPDES Programmatic ICR did not account for this burden item.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</si>
  <si>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In the 2017 NPDES Programmatic ICR, EPA assumed that the fully loaded cost of employment for a federal employee is $42.82.</t>
    </r>
  </si>
  <si>
    <r>
      <t xml:space="preserve">2017 NPDES Program ICR 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</si>
  <si>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 xml:space="preserve">Approximate 2017 NPDES Programmatic ICR Cost </t>
    </r>
    <r>
      <rPr>
        <b/>
        <vertAlign val="superscript"/>
        <sz val="11"/>
        <color rgb="FF000000"/>
        <rFont val="Calibri"/>
        <family val="2"/>
        <scheme val="minor"/>
      </rPr>
      <t>2</t>
    </r>
  </si>
  <si>
    <t>NOI review</t>
  </si>
  <si>
    <t>NOT review</t>
  </si>
  <si>
    <t>Standard/Other Reports</t>
  </si>
  <si>
    <t>Waiver Certification Review</t>
  </si>
  <si>
    <t>Labor rate (2017)</t>
  </si>
  <si>
    <t>-</t>
  </si>
  <si>
    <t>Included in NOI burden</t>
  </si>
  <si>
    <t>Included in inspection burden</t>
  </si>
  <si>
    <t>NOI - Large Sites  (ESA Criterion A, B)</t>
  </si>
  <si>
    <t>NOI - Large Sites  (ESA Criterion C, D, E - Informal Eval)</t>
  </si>
  <si>
    <t>NOI - Large Sites (ESA Criterion F - Formal Eval)</t>
  </si>
  <si>
    <t xml:space="preserve">Planned Facility Changes </t>
  </si>
  <si>
    <t>Anticipated Noncompliance</t>
  </si>
  <si>
    <t>annually</t>
  </si>
  <si>
    <t>24hr reporting - Unanticipated Bypass or Upset (Verbal)</t>
  </si>
  <si>
    <t>24hr reporting - Unanticipated Bypass or Upset (Written)</t>
  </si>
  <si>
    <t>24hr reporting - Violation of Maximum Daily Discharge (Written)</t>
  </si>
  <si>
    <t>Other Noncompliance reporting</t>
  </si>
  <si>
    <t xml:space="preserve">Other Info - Permittee Report of Inaccurate Previous Information </t>
  </si>
  <si>
    <t>Labor rate (2020)</t>
  </si>
  <si>
    <t>Federal:</t>
  </si>
  <si>
    <t>2017 NPDES Program ICR # of Annual Respondents</t>
  </si>
  <si>
    <t xml:space="preserve">2017 NPDES Program Number of Annual Responses </t>
  </si>
  <si>
    <t>2017 NPDES Program ICR Annual Reponses</t>
  </si>
  <si>
    <t>Annual Hours Burden</t>
  </si>
  <si>
    <t>Annual Cost Burden</t>
  </si>
  <si>
    <t>Large Sites (37%)</t>
  </si>
  <si>
    <t>Small Sites (63%)</t>
  </si>
  <si>
    <t>Proposed 2021 CGP ICR</t>
  </si>
  <si>
    <t># of NOIs (including Idaho)</t>
  </si>
  <si>
    <t># of NOIs (excluding Idaho)</t>
  </si>
  <si>
    <t>2017 NPDES Program ICR (0229.23)</t>
  </si>
  <si>
    <t xml:space="preserve">https://permitsearch.epa.gov/epermit-search/ui/search </t>
  </si>
  <si>
    <t>Same assumption made in 2017 NPDES Program ICR</t>
  </si>
  <si>
    <t>Respondent Percentage</t>
  </si>
  <si>
    <t># NOTs</t>
  </si>
  <si>
    <t>NOI for Large Sites</t>
  </si>
  <si>
    <r>
      <t xml:space="preserve">Average data entry time per element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(hours)</t>
    </r>
  </si>
  <si>
    <t xml:space="preserve">This average is based on burden reported in the Economic Analysis of the National Pollutant Discharge Elimination System Electronic Reporting Final Rule (9/2015, Table 4-9 Page 4-14). It is an average of the Hybrid and Batch methods. https://www.epa.gov/sites/production/files/2015-09/documents/npdesea.pdf </t>
  </si>
  <si>
    <t>Hours per Response</t>
  </si>
  <si>
    <t>Dewatering Turbidity Monitoring</t>
  </si>
  <si>
    <t>Dewatering Turbidity DMR</t>
  </si>
  <si>
    <t>Assume respondents dewater for 7 consecutive days (1 week) each month during the life of their project, and thus need to report one weekly average per month.</t>
  </si>
  <si>
    <t>No. of elements to report per DMR</t>
  </si>
  <si>
    <t>Included in SWPPP development burden</t>
  </si>
  <si>
    <r>
      <t xml:space="preserve">Dewatering Turbidity Sampling - </t>
    </r>
    <r>
      <rPr>
        <sz val="11"/>
        <color rgb="FFFF0000"/>
        <rFont val="Calibri"/>
        <family val="2"/>
        <scheme val="minor"/>
      </rPr>
      <t>Proposed</t>
    </r>
  </si>
  <si>
    <r>
      <t xml:space="preserve">Dewatering Turbidity DMRs - </t>
    </r>
    <r>
      <rPr>
        <sz val="11"/>
        <color rgb="FFFF0000"/>
        <rFont val="Calibri"/>
        <family val="2"/>
        <scheme val="minor"/>
      </rPr>
      <t>Proposed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</si>
  <si>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In the 2017 NPDES Program ICR, EPA assumed the average hourly rate in the private sector is $57.42. This was determined based on the U.S. Department of Labor, Bureau of Labor Statistics, Total Compensation for Management, professional, and related; Table 5. Employer costs per hour worked for employee compensation and costs as a percent of total compensation: Private industry workers, by major occupational group and bargaining unit status, June 2016.</t>
    </r>
  </si>
  <si>
    <r>
      <t xml:space="preserve">Approximate 2017 NPDES Programmatic ICR Cost </t>
    </r>
    <r>
      <rPr>
        <b/>
        <vertAlign val="superscript"/>
        <sz val="9"/>
        <color rgb="FF000000"/>
        <rFont val="Calibri"/>
        <family val="2"/>
        <scheme val="minor"/>
      </rPr>
      <t>2</t>
    </r>
  </si>
  <si>
    <r>
      <t>Dewatering Turbidity DMR Review</t>
    </r>
    <r>
      <rPr>
        <sz val="11"/>
        <color rgb="FFFF0000"/>
        <rFont val="Calibri"/>
        <family val="2"/>
        <scheme val="minor"/>
      </rPr>
      <t xml:space="preserve"> - Proposed</t>
    </r>
  </si>
  <si>
    <r>
      <t>Dewatering Turbidity DMR Follow-up</t>
    </r>
    <r>
      <rPr>
        <sz val="11"/>
        <color rgb="FFFF0000"/>
        <rFont val="Calibri"/>
        <family val="2"/>
        <scheme val="minor"/>
      </rPr>
      <t xml:space="preserve"> - Proposed</t>
    </r>
  </si>
  <si>
    <t>Incremental change between 2017 NPDES Programmatic ICR and 2022 CGP</t>
  </si>
  <si>
    <t>Proposed 2022 CGP ICR - Respondent Labor Burden</t>
  </si>
  <si>
    <t xml:space="preserve">Proposed 2022 CGP Incremental Change </t>
  </si>
  <si>
    <t>Proposed 2022 CGP Total</t>
  </si>
  <si>
    <t>Proposed 2022 CGP Number of Respondents</t>
  </si>
  <si>
    <t xml:space="preserve">Proposed 2022 CGP Number of Annual Responses </t>
  </si>
  <si>
    <t>Proposed 2022 CGP Annual Burden (hrs)</t>
  </si>
  <si>
    <t xml:space="preserve">Proposed 2022 CGP Total Annual Cost </t>
  </si>
  <si>
    <t>Proposed 2022 CGP ICR - Agency Labor Burden</t>
  </si>
  <si>
    <t xml:space="preserve">Proposed 2022 CGP Total Hours per Response </t>
  </si>
  <si>
    <t xml:space="preserve">Proposed 2022 CGP No. Annual Responses </t>
  </si>
  <si>
    <t xml:space="preserve"> 2022 CGP Annual Burden (hrs) </t>
  </si>
  <si>
    <t xml:space="preserve">2022 CGP Annual Cost </t>
  </si>
  <si>
    <t>Dewatering Inspections</t>
  </si>
  <si>
    <t>Conduct Routine Inspections - Large Sites</t>
  </si>
  <si>
    <t>Conduct Routine Inspections - Small Sites</t>
  </si>
  <si>
    <t>Number of Respondents</t>
  </si>
  <si>
    <t>DMR Burden</t>
  </si>
  <si>
    <t>Respondent Burden Calcs</t>
  </si>
  <si>
    <t>2017 CGP NOI Data</t>
  </si>
  <si>
    <t>Same assumption made in 2017 NPDES Program ICR: 60% of large sites</t>
  </si>
  <si>
    <t>Same assumption made in 2017 NPDES Program ICR: 37.3% of large sites</t>
  </si>
  <si>
    <t>Same assumption made in 2017 NPDES Program ICR: 2.7% of large sites</t>
  </si>
  <si>
    <t>Same assumption made in 2017 NPDES Program ICR: 5% on top of the total number of NOIs submitted each year</t>
  </si>
  <si>
    <t>Placeholder Calculations for Potential Turbidity Monitoring Requirements</t>
  </si>
  <si>
    <t>Agency Burden Calcs</t>
  </si>
  <si>
    <t>Total</t>
  </si>
  <si>
    <t>Incremental Change</t>
  </si>
  <si>
    <t>Responses (number)</t>
  </si>
  <si>
    <t>Burden (hours)</t>
  </si>
  <si>
    <t>Costs (labor)</t>
  </si>
  <si>
    <t>Costs (capital)</t>
  </si>
  <si>
    <t>Costs (O&amp;M)</t>
  </si>
  <si>
    <t>Total costs</t>
  </si>
  <si>
    <t>None</t>
  </si>
  <si>
    <t>Unique Respondents (number)</t>
  </si>
  <si>
    <t>Table 1 - Estimated Annual Burden for the Proposed 2022 CGP</t>
  </si>
  <si>
    <t>Burden Category</t>
  </si>
  <si>
    <t>NPDES Program ICR (2017) Burden for EPA CGP</t>
  </si>
  <si>
    <t>Labor Burden (hours)</t>
  </si>
  <si>
    <t>Labor Cost ($)</t>
  </si>
  <si>
    <t>Total for Respondents</t>
  </si>
  <si>
    <t>Total for Agency</t>
  </si>
  <si>
    <t>Proposed 2022 CGP Incremental Change in Burden</t>
  </si>
  <si>
    <t>Proposed 2022 CGP Total Burden</t>
  </si>
  <si>
    <t>Table 3 - Estimated Agency Burden and Cost</t>
  </si>
  <si>
    <t>Table 5 - Bottom line respondent burden hours and cost</t>
  </si>
  <si>
    <t>Table 6 - Bottom line Agency burden hours and cost</t>
  </si>
  <si>
    <t>Table 4 - Estimated Respondent Burden and Cost</t>
  </si>
  <si>
    <t>Hours per respondent</t>
  </si>
  <si>
    <t>Hours per response</t>
  </si>
  <si>
    <t>Respondent Summary Calcs</t>
  </si>
  <si>
    <t>Incremental</t>
  </si>
  <si>
    <t>24hr reporting - Violation of Maximum Daily Discharge (Verbal)</t>
  </si>
  <si>
    <t>Waivers (5%)</t>
  </si>
  <si>
    <t>start - 2020 NOIs w/o Idaho</t>
  </si>
  <si>
    <t>remove Texas sites (oil &amp; gas)</t>
  </si>
  <si>
    <t>add back Idaho Tribal land</t>
  </si>
  <si>
    <t>end - estimated 2021 NOIs</t>
  </si>
  <si>
    <t>rounded - proposed 2021 NOIs</t>
  </si>
  <si>
    <t>With ESA Evaluation and No Consultation</t>
  </si>
  <si>
    <t>With ESA Evaluation and Informal Consultation</t>
  </si>
  <si>
    <t>With ESA Evaluation and Formal Consultation</t>
  </si>
  <si>
    <t>NOI - Small Sites with ESA Evaluation and Consultation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</si>
</sst>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"/>
    <numFmt numFmtId="167" formatCode="&quot;$&quot;#,##0.00"/>
    <numFmt numFmtId="168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195">
    <xf numFmtId="0" fontId="0" fillId="0" borderId="0" xfId="0"/>
    <xf numFmtId="0" fontId="0" fillId="0" borderId="0" xfId="0" applyAlignment="1">
      <alignment horizontal="left"/>
    </xf>
    <xf numFmtId="0" fontId="20" fillId="0" borderId="0" xfId="0" applyFont="1" applyAlignment="1">
      <alignment vertical="center"/>
    </xf>
    <xf numFmtId="1" fontId="0" fillId="0" borderId="0" xfId="42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42" applyNumberFormat="1" applyFont="1"/>
    <xf numFmtId="6" fontId="0" fillId="0" borderId="0" xfId="0" applyNumberFormat="1"/>
    <xf numFmtId="0" fontId="18" fillId="0" borderId="11" xfId="0" applyFont="1" applyBorder="1" applyAlignment="1">
      <alignment horizontal="center" vertical="center" wrapText="1"/>
    </xf>
    <xf numFmtId="0" fontId="0" fillId="0" borderId="0" xfId="0" applyBorder="1"/>
    <xf numFmtId="0" fontId="19" fillId="0" borderId="0" xfId="0" applyFont="1" applyFill="1" applyBorder="1" applyAlignment="1">
      <alignment horizontal="left" vertical="center"/>
    </xf>
    <xf numFmtId="0" fontId="0" fillId="0" borderId="0" xfId="0" applyFont="1"/>
    <xf numFmtId="0" fontId="16" fillId="0" borderId="0" xfId="0" applyFont="1" applyBorder="1" applyAlignment="1">
      <alignment horizontal="center"/>
    </xf>
    <xf numFmtId="0" fontId="22" fillId="0" borderId="0" xfId="44" applyBorder="1" applyAlignment="1">
      <alignment horizontal="left"/>
    </xf>
    <xf numFmtId="0" fontId="0" fillId="0" borderId="0" xfId="0" applyBorder="1" applyAlignment="1">
      <alignment horizontal="left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" fontId="24" fillId="33" borderId="11" xfId="42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166" fontId="0" fillId="0" borderId="0" xfId="42" applyNumberFormat="1" applyFont="1"/>
    <xf numFmtId="166" fontId="21" fillId="0" borderId="11" xfId="42" applyNumberFormat="1" applyFont="1" applyFill="1" applyBorder="1" applyAlignment="1">
      <alignment horizontal="center" vertical="center" wrapText="1"/>
    </xf>
    <xf numFmtId="1" fontId="21" fillId="0" borderId="11" xfId="0" applyNumberFormat="1" applyFont="1" applyBorder="1" applyAlignment="1">
      <alignment horizontal="center" vertical="center" wrapText="1"/>
    </xf>
    <xf numFmtId="1" fontId="21" fillId="0" borderId="11" xfId="4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1" fontId="21" fillId="0" borderId="11" xfId="0" applyNumberFormat="1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9" fillId="0" borderId="11" xfId="0" applyFont="1" applyFill="1" applyBorder="1" applyAlignment="1">
      <alignment horizontal="center" vertical="center" wrapText="1"/>
    </xf>
    <xf numFmtId="166" fontId="21" fillId="0" borderId="11" xfId="0" applyNumberFormat="1" applyFont="1" applyFill="1" applyBorder="1" applyAlignment="1">
      <alignment horizontal="center" vertical="center" wrapText="1"/>
    </xf>
    <xf numFmtId="1" fontId="24" fillId="38" borderId="11" xfId="42" applyNumberFormat="1" applyFont="1" applyFill="1" applyBorder="1" applyAlignment="1">
      <alignment horizontal="center" vertical="center" wrapText="1"/>
    </xf>
    <xf numFmtId="0" fontId="24" fillId="38" borderId="11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0" fillId="0" borderId="0" xfId="0" applyFont="1" applyFill="1"/>
    <xf numFmtId="1" fontId="21" fillId="0" borderId="0" xfId="0" applyNumberFormat="1" applyFont="1" applyFill="1" applyBorder="1"/>
    <xf numFmtId="3" fontId="21" fillId="0" borderId="1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166" fontId="21" fillId="0" borderId="11" xfId="0" applyNumberFormat="1" applyFont="1" applyBorder="1" applyAlignment="1">
      <alignment horizontal="center" vertical="center" wrapText="1"/>
    </xf>
    <xf numFmtId="0" fontId="21" fillId="0" borderId="0" xfId="0" applyFont="1"/>
    <xf numFmtId="2" fontId="21" fillId="0" borderId="0" xfId="42" applyNumberFormat="1" applyFont="1" applyFill="1" applyAlignment="1">
      <alignment horizontal="center"/>
    </xf>
    <xf numFmtId="0" fontId="18" fillId="36" borderId="11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7" borderId="11" xfId="0" applyFont="1" applyFill="1" applyBorder="1" applyAlignment="1">
      <alignment horizontal="center" vertical="center" wrapText="1"/>
    </xf>
    <xf numFmtId="1" fontId="18" fillId="37" borderId="11" xfId="42" applyNumberFormat="1" applyFont="1" applyFill="1" applyBorder="1" applyAlignment="1">
      <alignment horizontal="center" vertical="center" wrapText="1"/>
    </xf>
    <xf numFmtId="3" fontId="27" fillId="0" borderId="11" xfId="0" applyNumberFormat="1" applyFont="1" applyFill="1" applyBorder="1" applyAlignment="1">
      <alignment horizontal="center" vertical="center"/>
    </xf>
    <xf numFmtId="10" fontId="21" fillId="0" borderId="11" xfId="42" applyNumberFormat="1" applyFont="1" applyBorder="1" applyAlignment="1">
      <alignment horizontal="center" vertical="center" wrapText="1"/>
    </xf>
    <xf numFmtId="1" fontId="21" fillId="0" borderId="11" xfId="42" quotePrefix="1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9" fillId="0" borderId="11" xfId="0" quotePrefix="1" applyFont="1" applyFill="1" applyBorder="1" applyAlignment="1">
      <alignment horizontal="center" vertical="center" wrapText="1"/>
    </xf>
    <xf numFmtId="0" fontId="21" fillId="0" borderId="11" xfId="0" quotePrefix="1" applyFont="1" applyFill="1" applyBorder="1" applyAlignment="1">
      <alignment horizontal="center" vertical="center" wrapText="1"/>
    </xf>
    <xf numFmtId="0" fontId="21" fillId="39" borderId="11" xfId="0" applyFont="1" applyFill="1" applyBorder="1" applyAlignment="1">
      <alignment horizontal="center" vertical="center" wrapText="1"/>
    </xf>
    <xf numFmtId="42" fontId="27" fillId="0" borderId="11" xfId="0" applyNumberFormat="1" applyFont="1" applyFill="1" applyBorder="1" applyAlignment="1">
      <alignment horizontal="center" vertical="center"/>
    </xf>
    <xf numFmtId="0" fontId="29" fillId="0" borderId="0" xfId="0" applyFont="1" applyFill="1"/>
    <xf numFmtId="164" fontId="21" fillId="0" borderId="11" xfId="0" quotePrefix="1" applyNumberFormat="1" applyFont="1" applyBorder="1" applyAlignment="1">
      <alignment horizontal="center" vertical="center" wrapText="1"/>
    </xf>
    <xf numFmtId="3" fontId="30" fillId="0" borderId="11" xfId="0" applyNumberFormat="1" applyFont="1" applyBorder="1" applyAlignment="1">
      <alignment horizontal="center" vertical="center" wrapText="1"/>
    </xf>
    <xf numFmtId="166" fontId="30" fillId="0" borderId="14" xfId="42" applyNumberFormat="1" applyFont="1" applyFill="1" applyBorder="1" applyAlignment="1">
      <alignment horizontal="center" vertical="center" wrapText="1"/>
    </xf>
    <xf numFmtId="44" fontId="21" fillId="0" borderId="0" xfId="43" applyFont="1" applyFill="1" applyBorder="1"/>
    <xf numFmtId="167" fontId="0" fillId="0" borderId="0" xfId="42" applyNumberFormat="1" applyFont="1" applyFill="1" applyAlignment="1">
      <alignment horizontal="center"/>
    </xf>
    <xf numFmtId="1" fontId="21" fillId="39" borderId="11" xfId="42" applyNumberFormat="1" applyFont="1" applyFill="1" applyBorder="1" applyAlignment="1">
      <alignment horizontal="center" vertical="center" wrapText="1"/>
    </xf>
    <xf numFmtId="3" fontId="21" fillId="39" borderId="11" xfId="42" applyNumberFormat="1" applyFont="1" applyFill="1" applyBorder="1" applyAlignment="1">
      <alignment horizontal="center" vertical="center" wrapText="1"/>
    </xf>
    <xf numFmtId="166" fontId="21" fillId="39" borderId="11" xfId="0" applyNumberFormat="1" applyFont="1" applyFill="1" applyBorder="1" applyAlignment="1">
      <alignment horizontal="center" vertical="center" wrapText="1"/>
    </xf>
    <xf numFmtId="166" fontId="30" fillId="39" borderId="14" xfId="42" applyNumberFormat="1" applyFont="1" applyFill="1" applyBorder="1" applyAlignment="1">
      <alignment horizontal="center" vertical="center" wrapText="1"/>
    </xf>
    <xf numFmtId="3" fontId="30" fillId="0" borderId="14" xfId="42" applyNumberFormat="1" applyFont="1" applyBorder="1" applyAlignment="1">
      <alignment horizontal="center" vertical="center" wrapText="1"/>
    </xf>
    <xf numFmtId="3" fontId="30" fillId="39" borderId="14" xfId="42" applyNumberFormat="1" applyFont="1" applyFill="1" applyBorder="1" applyAlignment="1">
      <alignment horizontal="center" vertical="center" wrapText="1"/>
    </xf>
    <xf numFmtId="3" fontId="30" fillId="0" borderId="14" xfId="42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3" fontId="21" fillId="39" borderId="11" xfId="0" applyNumberFormat="1" applyFont="1" applyFill="1" applyBorder="1" applyAlignment="1">
      <alignment horizontal="center" vertical="center" wrapText="1"/>
    </xf>
    <xf numFmtId="6" fontId="21" fillId="39" borderId="1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1" xfId="0" applyBorder="1"/>
    <xf numFmtId="0" fontId="16" fillId="35" borderId="11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left"/>
    </xf>
    <xf numFmtId="1" fontId="21" fillId="0" borderId="11" xfId="0" applyNumberFormat="1" applyFont="1" applyFill="1" applyBorder="1" applyAlignment="1">
      <alignment horizontal="center"/>
    </xf>
    <xf numFmtId="0" fontId="16" fillId="0" borderId="11" xfId="0" applyFont="1" applyBorder="1" applyAlignment="1"/>
    <xf numFmtId="1" fontId="0" fillId="0" borderId="11" xfId="0" applyNumberForma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21" fillId="0" borderId="11" xfId="0" applyFont="1" applyBorder="1" applyAlignment="1">
      <alignment horizontal="left" vertical="center" wrapText="1" indent="1"/>
    </xf>
    <xf numFmtId="0" fontId="16" fillId="41" borderId="11" xfId="0" applyFont="1" applyFill="1" applyBorder="1" applyAlignment="1">
      <alignment horizontal="center"/>
    </xf>
    <xf numFmtId="9" fontId="0" fillId="0" borderId="1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9" fontId="0" fillId="0" borderId="11" xfId="0" applyNumberFormat="1" applyFont="1" applyFill="1" applyBorder="1" applyAlignment="1">
      <alignment horizontal="center"/>
    </xf>
    <xf numFmtId="9" fontId="0" fillId="0" borderId="0" xfId="0" applyNumberFormat="1" applyFont="1" applyAlignment="1">
      <alignment horizontal="center"/>
    </xf>
    <xf numFmtId="9" fontId="31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" fontId="21" fillId="34" borderId="11" xfId="0" applyNumberFormat="1" applyFont="1" applyFill="1" applyBorder="1" applyAlignment="1">
      <alignment horizontal="center"/>
    </xf>
    <xf numFmtId="0" fontId="21" fillId="0" borderId="11" xfId="0" applyFont="1" applyFill="1" applyBorder="1" applyAlignment="1">
      <alignment horizontal="left" vertical="center" wrapText="1" indent="1"/>
    </xf>
    <xf numFmtId="0" fontId="32" fillId="0" borderId="11" xfId="0" applyFont="1" applyFill="1" applyBorder="1" applyAlignment="1">
      <alignment horizontal="left" vertical="center" wrapText="1"/>
    </xf>
    <xf numFmtId="2" fontId="0" fillId="0" borderId="11" xfId="0" applyNumberFormat="1" applyBorder="1" applyAlignment="1">
      <alignment horizontal="right"/>
    </xf>
    <xf numFmtId="0" fontId="0" fillId="0" borderId="11" xfId="0" applyBorder="1" applyAlignment="1">
      <alignment wrapText="1"/>
    </xf>
    <xf numFmtId="0" fontId="16" fillId="34" borderId="11" xfId="0" applyFont="1" applyFill="1" applyBorder="1" applyAlignment="1">
      <alignment horizontal="center"/>
    </xf>
    <xf numFmtId="2" fontId="0" fillId="0" borderId="11" xfId="0" applyNumberFormat="1" applyBorder="1"/>
    <xf numFmtId="2" fontId="21" fillId="39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/>
    <xf numFmtId="0" fontId="22" fillId="0" borderId="11" xfId="44" applyBorder="1" applyAlignment="1"/>
    <xf numFmtId="0" fontId="27" fillId="0" borderId="11" xfId="0" applyFont="1" applyBorder="1" applyAlignment="1">
      <alignment horizontal="left" wrapText="1"/>
    </xf>
    <xf numFmtId="9" fontId="21" fillId="0" borderId="11" xfId="42" applyNumberFormat="1" applyFont="1" applyFill="1" applyBorder="1" applyAlignment="1">
      <alignment horizontal="left" wrapText="1"/>
    </xf>
    <xf numFmtId="168" fontId="21" fillId="0" borderId="11" xfId="42" applyNumberFormat="1" applyFont="1" applyFill="1" applyBorder="1" applyAlignment="1">
      <alignment horizontal="left" wrapText="1"/>
    </xf>
    <xf numFmtId="0" fontId="27" fillId="0" borderId="16" xfId="0" applyFont="1" applyFill="1" applyBorder="1" applyAlignment="1">
      <alignment horizontal="left" wrapText="1"/>
    </xf>
    <xf numFmtId="0" fontId="27" fillId="0" borderId="11" xfId="0" applyFont="1" applyFill="1" applyBorder="1" applyAlignment="1">
      <alignment horizontal="left" wrapText="1"/>
    </xf>
    <xf numFmtId="10" fontId="21" fillId="0" borderId="10" xfId="42" applyNumberFormat="1" applyFont="1" applyFill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>
      <alignment wrapText="1"/>
    </xf>
    <xf numFmtId="10" fontId="14" fillId="0" borderId="10" xfId="42" applyNumberFormat="1" applyFont="1" applyFill="1" applyBorder="1" applyAlignment="1">
      <alignment horizontal="center" wrapText="1"/>
    </xf>
    <xf numFmtId="0" fontId="34" fillId="0" borderId="11" xfId="0" applyFont="1" applyFill="1" applyBorder="1" applyAlignment="1">
      <alignment horizontal="left" vertical="center" wrapText="1"/>
    </xf>
    <xf numFmtId="0" fontId="35" fillId="37" borderId="11" xfId="0" applyFont="1" applyFill="1" applyBorder="1" applyAlignment="1">
      <alignment horizontal="center" vertical="center" wrapText="1"/>
    </xf>
    <xf numFmtId="3" fontId="34" fillId="0" borderId="14" xfId="0" applyNumberFormat="1" applyFont="1" applyFill="1" applyBorder="1" applyAlignment="1">
      <alignment horizontal="left" vertical="center" wrapText="1"/>
    </xf>
    <xf numFmtId="1" fontId="21" fillId="39" borderId="11" xfId="42" quotePrefix="1" applyNumberFormat="1" applyFont="1" applyFill="1" applyBorder="1" applyAlignment="1">
      <alignment horizontal="center" vertical="center" wrapText="1"/>
    </xf>
    <xf numFmtId="10" fontId="21" fillId="0" borderId="11" xfId="42" quotePrefix="1" applyNumberFormat="1" applyFont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 wrapText="1"/>
    </xf>
    <xf numFmtId="0" fontId="16" fillId="40" borderId="11" xfId="0" applyFont="1" applyFill="1" applyBorder="1" applyAlignment="1">
      <alignment horizontal="center" wrapText="1"/>
    </xf>
    <xf numFmtId="9" fontId="21" fillId="0" borderId="10" xfId="42" applyNumberFormat="1" applyFont="1" applyFill="1" applyBorder="1" applyAlignment="1">
      <alignment horizontal="center" wrapText="1"/>
    </xf>
    <xf numFmtId="167" fontId="21" fillId="0" borderId="0" xfId="44" applyNumberFormat="1" applyFont="1" applyFill="1" applyBorder="1" applyAlignment="1">
      <alignment horizontal="center"/>
    </xf>
    <xf numFmtId="0" fontId="14" fillId="39" borderId="11" xfId="0" applyFont="1" applyFill="1" applyBorder="1" applyAlignment="1">
      <alignment horizontal="center" vertical="center" wrapText="1"/>
    </xf>
    <xf numFmtId="4" fontId="14" fillId="39" borderId="11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8" fillId="37" borderId="11" xfId="0" applyFont="1" applyFill="1" applyBorder="1" applyAlignment="1">
      <alignment horizontal="center" vertical="center" wrapText="1"/>
    </xf>
    <xf numFmtId="4" fontId="21" fillId="39" borderId="11" xfId="0" applyNumberFormat="1" applyFont="1" applyFill="1" applyBorder="1" applyAlignment="1">
      <alignment horizontal="center" vertical="center" wrapText="1"/>
    </xf>
    <xf numFmtId="165" fontId="18" fillId="0" borderId="11" xfId="42" applyNumberFormat="1" applyFont="1" applyBorder="1" applyAlignment="1">
      <alignment horizontal="center" vertical="center" wrapText="1"/>
    </xf>
    <xf numFmtId="165" fontId="18" fillId="39" borderId="11" xfId="42" applyNumberFormat="1" applyFont="1" applyFill="1" applyBorder="1" applyAlignment="1">
      <alignment horizontal="center" vertical="center" wrapText="1"/>
    </xf>
    <xf numFmtId="165" fontId="18" fillId="0" borderId="11" xfId="42" applyNumberFormat="1" applyFont="1" applyFill="1" applyBorder="1" applyAlignment="1">
      <alignment horizontal="center" vertical="center" wrapText="1"/>
    </xf>
    <xf numFmtId="166" fontId="18" fillId="0" borderId="11" xfId="42" applyNumberFormat="1" applyFont="1" applyFill="1" applyBorder="1" applyAlignment="1">
      <alignment horizontal="center" vertical="center" wrapText="1"/>
    </xf>
    <xf numFmtId="166" fontId="18" fillId="39" borderId="11" xfId="42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left"/>
    </xf>
    <xf numFmtId="3" fontId="34" fillId="0" borderId="11" xfId="0" applyNumberFormat="1" applyFont="1" applyFill="1" applyBorder="1" applyAlignment="1">
      <alignment horizontal="left" vertical="center" wrapText="1"/>
    </xf>
    <xf numFmtId="3" fontId="30" fillId="0" borderId="11" xfId="42" applyNumberFormat="1" applyFont="1" applyFill="1" applyBorder="1" applyAlignment="1">
      <alignment horizontal="center" vertical="center" wrapText="1"/>
    </xf>
    <xf numFmtId="3" fontId="30" fillId="39" borderId="11" xfId="42" applyNumberFormat="1" applyFont="1" applyFill="1" applyBorder="1" applyAlignment="1">
      <alignment horizontal="center" vertical="center" wrapText="1"/>
    </xf>
    <xf numFmtId="166" fontId="30" fillId="0" borderId="11" xfId="42" applyNumberFormat="1" applyFont="1" applyFill="1" applyBorder="1" applyAlignment="1">
      <alignment horizontal="center" vertical="center" wrapText="1"/>
    </xf>
    <xf numFmtId="166" fontId="30" fillId="39" borderId="11" xfId="42" applyNumberFormat="1" applyFont="1" applyFill="1" applyBorder="1" applyAlignment="1">
      <alignment horizontal="center" vertical="center" wrapText="1"/>
    </xf>
    <xf numFmtId="166" fontId="27" fillId="0" borderId="1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right" vertical="center" wrapText="1"/>
    </xf>
    <xf numFmtId="3" fontId="0" fillId="0" borderId="23" xfId="0" applyNumberFormat="1" applyBorder="1" applyAlignment="1">
      <alignment horizontal="right" vertical="center" wrapText="1"/>
    </xf>
    <xf numFmtId="0" fontId="16" fillId="0" borderId="22" xfId="0" applyFont="1" applyBorder="1" applyAlignment="1">
      <alignment vertical="center" wrapText="1"/>
    </xf>
    <xf numFmtId="1" fontId="0" fillId="0" borderId="23" xfId="0" applyNumberFormat="1" applyBorder="1" applyAlignment="1">
      <alignment horizontal="right" vertical="center" wrapText="1"/>
    </xf>
    <xf numFmtId="165" fontId="0" fillId="0" borderId="23" xfId="0" applyNumberFormat="1" applyBorder="1" applyAlignment="1">
      <alignment horizontal="right" vertical="center" wrapText="1"/>
    </xf>
    <xf numFmtId="166" fontId="19" fillId="0" borderId="23" xfId="0" applyNumberFormat="1" applyFont="1" applyBorder="1" applyAlignment="1">
      <alignment horizontal="right" vertical="center" wrapText="1"/>
    </xf>
    <xf numFmtId="166" fontId="0" fillId="0" borderId="23" xfId="0" applyNumberFormat="1" applyBorder="1" applyAlignment="1">
      <alignment horizontal="right" vertical="center" wrapText="1"/>
    </xf>
    <xf numFmtId="0" fontId="16" fillId="0" borderId="0" xfId="0" applyFont="1"/>
    <xf numFmtId="0" fontId="27" fillId="0" borderId="2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21" fillId="0" borderId="23" xfId="0" applyNumberFormat="1" applyFont="1" applyBorder="1" applyAlignment="1">
      <alignment horizontal="center" vertical="center" wrapText="1"/>
    </xf>
    <xf numFmtId="166" fontId="21" fillId="0" borderId="23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3" fontId="0" fillId="0" borderId="0" xfId="0" applyNumberFormat="1"/>
    <xf numFmtId="2" fontId="0" fillId="0" borderId="0" xfId="0" applyNumberFormat="1"/>
    <xf numFmtId="0" fontId="0" fillId="34" borderId="0" xfId="0" applyFill="1"/>
    <xf numFmtId="3" fontId="0" fillId="34" borderId="0" xfId="0" applyNumberFormat="1" applyFill="1"/>
    <xf numFmtId="1" fontId="0" fillId="0" borderId="0" xfId="0" applyNumberFormat="1"/>
    <xf numFmtId="165" fontId="20" fillId="0" borderId="0" xfId="0" applyNumberFormat="1" applyFont="1" applyAlignment="1">
      <alignment vertical="center"/>
    </xf>
    <xf numFmtId="3" fontId="0" fillId="0" borderId="0" xfId="0" applyNumberFormat="1"/>
    <xf numFmtId="3" fontId="0" fillId="0" borderId="0" xfId="42" applyNumberFormat="1" applyFont="1"/>
    <xf numFmtId="0" fontId="16" fillId="36" borderId="11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40" fontId="30" fillId="0" borderId="10" xfId="0" applyNumberFormat="1" applyFont="1" applyFill="1" applyBorder="1" applyAlignment="1">
      <alignment horizontal="center" vertical="center" wrapText="1"/>
    </xf>
    <xf numFmtId="40" fontId="30" fillId="0" borderId="15" xfId="0" applyNumberFormat="1" applyFont="1" applyFill="1" applyBorder="1" applyAlignment="1">
      <alignment horizontal="center" vertical="center" wrapText="1"/>
    </xf>
    <xf numFmtId="40" fontId="30" fillId="0" borderId="12" xfId="0" applyNumberFormat="1" applyFont="1" applyFill="1" applyBorder="1" applyAlignment="1">
      <alignment horizontal="center" vertical="center" wrapText="1"/>
    </xf>
    <xf numFmtId="0" fontId="24" fillId="37" borderId="10" xfId="0" applyFont="1" applyFill="1" applyBorder="1" applyAlignment="1">
      <alignment horizontal="center" vertical="center" wrapText="1"/>
    </xf>
    <xf numFmtId="0" fontId="24" fillId="37" borderId="15" xfId="0" applyFont="1" applyFill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27" fillId="38" borderId="11" xfId="0" applyFont="1" applyFill="1" applyBorder="1" applyAlignment="1">
      <alignment horizontal="center"/>
    </xf>
    <xf numFmtId="0" fontId="21" fillId="0" borderId="10" xfId="0" quotePrefix="1" applyFont="1" applyFill="1" applyBorder="1" applyAlignment="1">
      <alignment horizontal="center" vertical="center" wrapText="1"/>
    </xf>
    <xf numFmtId="0" fontId="21" fillId="0" borderId="15" xfId="0" quotePrefix="1" applyFont="1" applyFill="1" applyBorder="1" applyAlignment="1">
      <alignment horizontal="center" vertical="center" wrapText="1"/>
    </xf>
    <xf numFmtId="0" fontId="21" fillId="0" borderId="11" xfId="0" quotePrefix="1" applyFont="1" applyFill="1" applyBorder="1" applyAlignment="1">
      <alignment horizontal="center" vertical="center" wrapText="1"/>
    </xf>
    <xf numFmtId="40" fontId="30" fillId="0" borderId="11" xfId="0" applyNumberFormat="1" applyFont="1" applyFill="1" applyBorder="1" applyAlignment="1">
      <alignment horizontal="center" vertical="center" wrapText="1"/>
    </xf>
    <xf numFmtId="0" fontId="24" fillId="37" borderId="1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4" fillId="38" borderId="11" xfId="0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/>
    </xf>
    <xf numFmtId="0" fontId="16" fillId="33" borderId="15" xfId="0" applyFont="1" applyFill="1" applyBorder="1" applyAlignment="1">
      <alignment horizontal="center"/>
    </xf>
    <xf numFmtId="0" fontId="27" fillId="38" borderId="17" xfId="0" applyFont="1" applyFill="1" applyBorder="1" applyAlignment="1">
      <alignment horizontal="center"/>
    </xf>
    <xf numFmtId="0" fontId="27" fillId="38" borderId="18" xfId="0" applyFont="1" applyFill="1" applyBorder="1" applyAlignment="1">
      <alignment horizontal="center"/>
    </xf>
    <xf numFmtId="0" fontId="27" fillId="38" borderId="13" xfId="0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5" borderId="15" xfId="0" applyFont="1" applyFill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500C9B7A-D9F1-4590-91E0-B2B90898823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BA9E5"/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isy Wang" id="{7BD5BD60-2810-4953-A2A5-49F9677FCA99}" userId="S::Daisy.Wang@erg.com::1617ae9b-df08-4be0-8d20-2db5bdc38ed8" providerId="AD"/>
  <person displayName="Lydia Johnson" id="{DC6F4AF1-A887-4810-A1B8-43E182358BD4}" userId="S::Lydia.Johnson@erg.com::fb11d614-a263-4b87-bf2b-499036badab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" dT="2021-03-12T19:35:59.86" personId="{DC6F4AF1-A887-4810-A1B8-43E182358BD4}" id="{640F7A00-A4E6-405F-9EA1-3216CF885D06}">
    <text>Site stabilization photos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1-02-18T22:46:35.60" personId="{DC6F4AF1-A887-4810-A1B8-43E182358BD4}" id="{67837E48-FB35-4646-B8D5-BCD7CA919084}">
    <text>The value needs to be assessed</text>
  </threadedComment>
  <threadedComment ref="F5" dT="2021-02-18T22:47:44.40" personId="{DC6F4AF1-A887-4810-A1B8-43E182358BD4}" id="{EA7FFBC1-8FE0-4E71-9ECA-C9DA986C09C3}">
    <text>Need to estimate number of sites subject to turbidity monitoring</text>
  </threadedComment>
  <threadedComment ref="G5" dT="2021-02-24T15:10:40.28" personId="{DC6F4AF1-A887-4810-A1B8-43E182358BD4}" id="{97259617-66A4-457A-9372-7C7D2E32AF98}">
    <text>Based on 7 days of groundwater dewatering during month 1 and 2 days of general dewatering during months 2-12</text>
  </threadedComment>
  <threadedComment ref="C6" dT="2021-02-18T22:48:51.99" personId="{DC6F4AF1-A887-4810-A1B8-43E182358BD4}" id="{09607FDA-C31E-4535-AF98-B660A9E805EA}">
    <text>Based on existing DMR data entry estimates</text>
  </threadedComment>
  <threadedComment ref="F6" dT="2021-02-18T22:47:48.09" personId="{DC6F4AF1-A887-4810-A1B8-43E182358BD4}" id="{21874FDF-FC4D-4449-92E6-5719D59E4339}">
    <text>Need to estimate number of sites subject to turbidity monitoring</text>
  </threadedComment>
  <threadedComment ref="G6" dT="2021-02-18T22:47:59.26" personId="{DC6F4AF1-A887-4810-A1B8-43E182358BD4}" id="{3269209C-3540-4213-B133-3FCF2C6380A3}">
    <text>Based on four quarterly reports</text>
  </threadedComment>
  <threadedComment ref="F24" dT="2021-02-10T05:45:26.90" personId="{7BD5BD60-2810-4953-A2A5-49F9677FCA99}" id="{E19A1B78-9A0C-4828-89C0-687D20DCD4C2}">
    <text>Assume EPA needs to follow-up on 20% of DMRs submitted.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ermitsearch.epa.gov/epermit-search/ui/search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6633-6F8E-49C6-AEE2-C7355CD7814E}">
  <sheetPr>
    <tabColor rgb="FFFFFF00"/>
  </sheetPr>
  <dimension ref="A1:J24"/>
  <sheetViews>
    <sheetView workbookViewId="0">
      <selection activeCell="H13" sqref="H13"/>
    </sheetView>
  </sheetViews>
  <sheetFormatPr defaultRowHeight="14.5" x14ac:dyDescent="0.35"/>
  <cols>
    <col min="1" max="1" width="25.81640625" customWidth="1"/>
    <col min="2" max="2" width="14.7265625" customWidth="1"/>
    <col min="3" max="4" width="13.453125" customWidth="1"/>
    <col min="5" max="5" width="21.1796875" customWidth="1"/>
    <col min="6" max="6" width="12.453125" customWidth="1"/>
    <col min="7" max="7" width="16.453125" customWidth="1"/>
    <col min="8" max="9" width="14.81640625" style="3" customWidth="1"/>
    <col min="10" max="10" width="17.81640625" style="4" customWidth="1"/>
  </cols>
  <sheetData>
    <row r="1" spans="1:10" x14ac:dyDescent="0.35">
      <c r="A1" s="13" t="s">
        <v>91</v>
      </c>
      <c r="B1" s="12"/>
      <c r="C1" s="12"/>
      <c r="H1" s="28" t="s">
        <v>52</v>
      </c>
      <c r="I1" s="76" t="s">
        <v>36</v>
      </c>
      <c r="J1" s="21" t="s">
        <v>51</v>
      </c>
    </row>
    <row r="2" spans="1:10" x14ac:dyDescent="0.35">
      <c r="A2" s="13"/>
      <c r="B2" s="40"/>
      <c r="C2" s="13"/>
      <c r="I2" s="65">
        <v>42.82</v>
      </c>
      <c r="J2" s="119">
        <v>45.63</v>
      </c>
    </row>
    <row r="3" spans="1:10" x14ac:dyDescent="0.35">
      <c r="B3" s="163" t="s">
        <v>6</v>
      </c>
      <c r="C3" s="163"/>
      <c r="D3" s="163"/>
      <c r="E3" s="164" t="s">
        <v>15</v>
      </c>
      <c r="F3" s="165"/>
      <c r="G3" s="11"/>
      <c r="I3" s="47"/>
    </row>
    <row r="4" spans="1:10" ht="60.75" customHeight="1" x14ac:dyDescent="0.35">
      <c r="A4" s="50" t="s">
        <v>1</v>
      </c>
      <c r="B4" s="48" t="s">
        <v>30</v>
      </c>
      <c r="C4" s="48" t="s">
        <v>85</v>
      </c>
      <c r="D4" s="48" t="s">
        <v>92</v>
      </c>
      <c r="E4" s="49" t="s">
        <v>55</v>
      </c>
      <c r="F4" s="49" t="s">
        <v>93</v>
      </c>
      <c r="G4" s="51" t="s">
        <v>27</v>
      </c>
      <c r="H4" s="51" t="s">
        <v>94</v>
      </c>
      <c r="I4" s="50" t="s">
        <v>31</v>
      </c>
      <c r="J4" s="50" t="s">
        <v>95</v>
      </c>
    </row>
    <row r="5" spans="1:10" x14ac:dyDescent="0.35">
      <c r="A5" s="19" t="s">
        <v>32</v>
      </c>
      <c r="B5" s="17">
        <v>1</v>
      </c>
      <c r="C5" s="58">
        <v>0</v>
      </c>
      <c r="D5" s="17">
        <f>B5+C5</f>
        <v>1</v>
      </c>
      <c r="E5" s="29">
        <f>SUM('Respondent Labor Burden Table'!H7:H10)</f>
        <v>4227</v>
      </c>
      <c r="F5" s="74">
        <f>SUM('Respondent Labor Burden Table'!I7:I10)</f>
        <v>2600</v>
      </c>
      <c r="G5" s="26">
        <f>B5*E5</f>
        <v>4227</v>
      </c>
      <c r="H5" s="66">
        <f>D5*F5</f>
        <v>2600</v>
      </c>
      <c r="I5" s="25">
        <f>G5*$I$2</f>
        <v>181000.14</v>
      </c>
      <c r="J5" s="75">
        <f>H5*$J$2</f>
        <v>118638</v>
      </c>
    </row>
    <row r="6" spans="1:10" x14ac:dyDescent="0.35">
      <c r="A6" s="19" t="s">
        <v>33</v>
      </c>
      <c r="B6" s="17">
        <v>0.25</v>
      </c>
      <c r="C6" s="58">
        <v>0</v>
      </c>
      <c r="D6" s="17">
        <f>B6+C6</f>
        <v>0.25</v>
      </c>
      <c r="E6" s="29">
        <f>'Respondent Labor Burden Table'!H14</f>
        <v>4227</v>
      </c>
      <c r="F6" s="74">
        <f>'Respondent Labor Burden Table'!I14</f>
        <v>2600</v>
      </c>
      <c r="G6" s="26">
        <f>B6*E6</f>
        <v>1056.75</v>
      </c>
      <c r="H6" s="66">
        <f>D6*F6</f>
        <v>650</v>
      </c>
      <c r="I6" s="25">
        <f>G6*$I$2</f>
        <v>45250.035000000003</v>
      </c>
      <c r="J6" s="75">
        <f>H6*$J$2</f>
        <v>29659.5</v>
      </c>
    </row>
    <row r="7" spans="1:10" x14ac:dyDescent="0.35">
      <c r="A7" s="19" t="s">
        <v>35</v>
      </c>
      <c r="B7" s="17">
        <v>1</v>
      </c>
      <c r="C7" s="58">
        <v>0</v>
      </c>
      <c r="D7" s="17">
        <f>B7+C7</f>
        <v>1</v>
      </c>
      <c r="E7" s="29">
        <f>'Respondent Labor Burden Table'!H13</f>
        <v>211</v>
      </c>
      <c r="F7" s="74">
        <f>'Respondent Labor Burden Table'!I13</f>
        <v>130</v>
      </c>
      <c r="G7" s="26">
        <f>B7*E7</f>
        <v>211</v>
      </c>
      <c r="H7" s="66">
        <f>D7*F7</f>
        <v>130</v>
      </c>
      <c r="I7" s="25">
        <f>G7*$I$2</f>
        <v>9035.02</v>
      </c>
      <c r="J7" s="75">
        <f>H7*$J$2</f>
        <v>5931.9000000000005</v>
      </c>
    </row>
    <row r="8" spans="1:10" x14ac:dyDescent="0.35">
      <c r="A8" s="19" t="s">
        <v>3</v>
      </c>
      <c r="B8" s="17">
        <v>1</v>
      </c>
      <c r="C8" s="58">
        <v>0</v>
      </c>
      <c r="D8" s="17">
        <f>B8+C8</f>
        <v>1</v>
      </c>
      <c r="E8" s="29">
        <f>SUM('Respondent Labor Burden Table'!H26:H27)</f>
        <v>4227</v>
      </c>
      <c r="F8" s="74">
        <f>SUM('Respondent Labor Burden Table'!I26:I27)</f>
        <v>2600</v>
      </c>
      <c r="G8" s="26">
        <f>B8*E8</f>
        <v>4227</v>
      </c>
      <c r="H8" s="66">
        <f>D8*F8</f>
        <v>2600</v>
      </c>
      <c r="I8" s="25">
        <f>G8*$I$2</f>
        <v>181000.14</v>
      </c>
      <c r="J8" s="75">
        <f>H8*$J$2</f>
        <v>118638</v>
      </c>
    </row>
    <row r="9" spans="1:10" x14ac:dyDescent="0.35">
      <c r="A9" s="19" t="s">
        <v>34</v>
      </c>
      <c r="B9" s="61">
        <f>AVERAGE(4,20)</f>
        <v>12</v>
      </c>
      <c r="C9" s="58">
        <v>0</v>
      </c>
      <c r="D9" s="17">
        <f>B9+C9</f>
        <v>12</v>
      </c>
      <c r="E9" s="29">
        <f>SUM('Respondent Labor Burden Table'!H16:H23)</f>
        <v>203</v>
      </c>
      <c r="F9" s="74">
        <f>SUM('Respondent Labor Burden Table'!I16:I23)</f>
        <v>126</v>
      </c>
      <c r="G9" s="26">
        <f>B9*E9</f>
        <v>2436</v>
      </c>
      <c r="H9" s="66">
        <f>D9*F9</f>
        <v>1512</v>
      </c>
      <c r="I9" s="25">
        <f>G9*$I$2</f>
        <v>104309.52</v>
      </c>
      <c r="J9" s="75">
        <f>H9*$J$2</f>
        <v>68992.56</v>
      </c>
    </row>
    <row r="10" spans="1:10" x14ac:dyDescent="0.35">
      <c r="A10" s="18" t="s">
        <v>4</v>
      </c>
      <c r="B10" s="7"/>
      <c r="C10" s="7"/>
      <c r="D10" s="22" t="s">
        <v>5</v>
      </c>
      <c r="E10" s="52">
        <f t="shared" ref="E10:J10" si="0">SUM(E5:E9)</f>
        <v>13095</v>
      </c>
      <c r="F10" s="52">
        <f t="shared" si="0"/>
        <v>8056</v>
      </c>
      <c r="G10" s="52">
        <f t="shared" si="0"/>
        <v>12157.75</v>
      </c>
      <c r="H10" s="52">
        <f t="shared" si="0"/>
        <v>7492</v>
      </c>
      <c r="I10" s="59">
        <f t="shared" si="0"/>
        <v>520594.85500000004</v>
      </c>
      <c r="J10" s="59">
        <f t="shared" si="0"/>
        <v>341859.96</v>
      </c>
    </row>
    <row r="11" spans="1:10" x14ac:dyDescent="0.35">
      <c r="E11" s="161"/>
      <c r="G11" s="42" t="s">
        <v>83</v>
      </c>
      <c r="H11" s="5"/>
    </row>
    <row r="12" spans="1:10" x14ac:dyDescent="0.35">
      <c r="A12" s="15" t="s">
        <v>7</v>
      </c>
      <c r="B12" s="15"/>
      <c r="C12" s="15"/>
      <c r="G12" s="31" t="s">
        <v>16</v>
      </c>
      <c r="H12" s="162">
        <f>H10-G10</f>
        <v>-4665.75</v>
      </c>
    </row>
    <row r="13" spans="1:10" ht="16.5" x14ac:dyDescent="0.35">
      <c r="A13" s="43" t="s">
        <v>28</v>
      </c>
      <c r="B13" s="9"/>
      <c r="C13" s="9"/>
      <c r="G13" s="31" t="s">
        <v>17</v>
      </c>
      <c r="H13" s="24">
        <f>J10-I10</f>
        <v>-178734.89500000002</v>
      </c>
    </row>
    <row r="14" spans="1:10" ht="15.75" customHeight="1" x14ac:dyDescent="0.35">
      <c r="A14" s="46" t="s">
        <v>29</v>
      </c>
    </row>
    <row r="16" spans="1:10" x14ac:dyDescent="0.35">
      <c r="G16" s="4"/>
      <c r="H16"/>
      <c r="I16"/>
      <c r="J16"/>
    </row>
    <row r="17" spans="7:10" x14ac:dyDescent="0.35">
      <c r="G17" s="4"/>
      <c r="H17"/>
      <c r="I17"/>
      <c r="J17"/>
    </row>
    <row r="18" spans="7:10" x14ac:dyDescent="0.35">
      <c r="G18" s="4"/>
      <c r="H18"/>
      <c r="I18"/>
      <c r="J18"/>
    </row>
    <row r="19" spans="7:10" x14ac:dyDescent="0.35">
      <c r="G19" s="4"/>
      <c r="H19"/>
      <c r="I19"/>
      <c r="J19"/>
    </row>
    <row r="20" spans="7:10" x14ac:dyDescent="0.35">
      <c r="G20" s="4"/>
      <c r="H20"/>
      <c r="I20"/>
      <c r="J20"/>
    </row>
    <row r="21" spans="7:10" x14ac:dyDescent="0.35">
      <c r="G21" s="4"/>
      <c r="H21"/>
      <c r="I21"/>
      <c r="J21"/>
    </row>
    <row r="22" spans="7:10" x14ac:dyDescent="0.35">
      <c r="G22" s="4"/>
      <c r="H22"/>
      <c r="I22"/>
      <c r="J22"/>
    </row>
    <row r="23" spans="7:10" x14ac:dyDescent="0.35">
      <c r="G23" s="4"/>
      <c r="H23"/>
      <c r="I23"/>
      <c r="J23"/>
    </row>
    <row r="24" spans="7:10" x14ac:dyDescent="0.35">
      <c r="G24" s="4"/>
      <c r="H24"/>
      <c r="I24"/>
      <c r="J24"/>
    </row>
  </sheetData>
  <mergeCells count="2">
    <mergeCell ref="B3:D3"/>
    <mergeCell ref="E3:F3"/>
  </mergeCells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D8F7A-F8E0-481E-91D3-DA231478B8A3}">
  <sheetPr>
    <tabColor rgb="FFFFFF00"/>
  </sheetPr>
  <dimension ref="A1:M44"/>
  <sheetViews>
    <sheetView tabSelected="1" zoomScaleNormal="100" workbookViewId="0">
      <pane xSplit="1" ySplit="4" topLeftCell="B11" activePane="bottomRight" state="frozen"/>
      <selection pane="topRight" activeCell="B1" sqref="B1"/>
      <selection pane="bottomLeft" activeCell="A8" sqref="A8"/>
      <selection pane="bottomRight" activeCell="F11" sqref="F11"/>
    </sheetView>
  </sheetViews>
  <sheetFormatPr defaultRowHeight="14.5" x14ac:dyDescent="0.35"/>
  <cols>
    <col min="1" max="1" width="66.1796875" style="1" customWidth="1"/>
    <col min="2" max="2" width="17.26953125" customWidth="1"/>
    <col min="3" max="3" width="14.54296875" customWidth="1"/>
    <col min="4" max="4" width="13.54296875" customWidth="1"/>
    <col min="5" max="5" width="12.81640625" customWidth="1"/>
    <col min="6" max="8" width="14.81640625" customWidth="1"/>
    <col min="9" max="9" width="13.453125" customWidth="1"/>
    <col min="10" max="10" width="15.54296875" customWidth="1"/>
    <col min="11" max="11" width="12.26953125" customWidth="1"/>
    <col min="12" max="13" width="16.81640625" customWidth="1"/>
    <col min="14" max="15" width="9.1796875" customWidth="1"/>
  </cols>
  <sheetData>
    <row r="1" spans="1:13" x14ac:dyDescent="0.35">
      <c r="A1" s="13" t="s">
        <v>84</v>
      </c>
      <c r="D1" s="23"/>
      <c r="E1" s="21"/>
      <c r="G1" s="55"/>
      <c r="H1" s="55"/>
      <c r="J1" s="8"/>
      <c r="L1" s="21" t="s">
        <v>36</v>
      </c>
      <c r="M1" s="21" t="s">
        <v>51</v>
      </c>
    </row>
    <row r="2" spans="1:13" x14ac:dyDescent="0.35">
      <c r="D2" s="23"/>
      <c r="E2" s="21"/>
      <c r="G2" s="55"/>
      <c r="H2" s="55"/>
      <c r="J2" s="8"/>
      <c r="L2" s="64">
        <v>57.42</v>
      </c>
      <c r="M2" s="64">
        <v>62.45</v>
      </c>
    </row>
    <row r="3" spans="1:13" ht="17.25" customHeight="1" x14ac:dyDescent="0.35">
      <c r="B3" s="171" t="s">
        <v>6</v>
      </c>
      <c r="C3" s="171"/>
      <c r="D3" s="171"/>
      <c r="E3" s="172"/>
      <c r="F3" s="172"/>
      <c r="G3" s="172" t="s">
        <v>15</v>
      </c>
      <c r="H3" s="172"/>
      <c r="I3" s="172"/>
      <c r="J3" s="173" t="s">
        <v>56</v>
      </c>
      <c r="K3" s="173"/>
      <c r="L3" s="173" t="s">
        <v>57</v>
      </c>
      <c r="M3" s="173"/>
    </row>
    <row r="4" spans="1:13" ht="61.5" customHeight="1" x14ac:dyDescent="0.35">
      <c r="A4" s="35" t="s">
        <v>1</v>
      </c>
      <c r="B4" s="36" t="s">
        <v>26</v>
      </c>
      <c r="C4" s="36" t="s">
        <v>85</v>
      </c>
      <c r="D4" s="36" t="s">
        <v>86</v>
      </c>
      <c r="E4" s="16" t="s">
        <v>53</v>
      </c>
      <c r="F4" s="16" t="s">
        <v>87</v>
      </c>
      <c r="G4" s="16" t="s">
        <v>10</v>
      </c>
      <c r="H4" s="16" t="s">
        <v>54</v>
      </c>
      <c r="I4" s="16" t="s">
        <v>88</v>
      </c>
      <c r="J4" s="34" t="s">
        <v>27</v>
      </c>
      <c r="K4" s="34" t="s">
        <v>89</v>
      </c>
      <c r="L4" s="35" t="s">
        <v>80</v>
      </c>
      <c r="M4" s="35" t="s">
        <v>90</v>
      </c>
    </row>
    <row r="5" spans="1:13" ht="15" customHeight="1" x14ac:dyDescent="0.35">
      <c r="A5" s="112" t="s">
        <v>12</v>
      </c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3" s="39" customFormat="1" x14ac:dyDescent="0.35">
      <c r="A6" s="94" t="s">
        <v>68</v>
      </c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</row>
    <row r="7" spans="1:13" s="60" customFormat="1" x14ac:dyDescent="0.35">
      <c r="A7" s="84" t="s">
        <v>143</v>
      </c>
      <c r="B7" s="17">
        <v>1.5</v>
      </c>
      <c r="C7" s="58">
        <v>0.1</v>
      </c>
      <c r="D7" s="17">
        <f>B7+C7</f>
        <v>1.6</v>
      </c>
      <c r="E7" s="27">
        <f>'Number of Respondents'!C5</f>
        <v>938.4</v>
      </c>
      <c r="F7" s="66">
        <f>'Number of Respondents'!D5</f>
        <v>577.19999999999993</v>
      </c>
      <c r="G7" s="17">
        <v>1</v>
      </c>
      <c r="H7" s="30">
        <f>E7*G7</f>
        <v>938.4</v>
      </c>
      <c r="I7" s="66">
        <f t="shared" ref="I7:I23" si="0">F7*G7</f>
        <v>577.19999999999993</v>
      </c>
      <c r="J7" s="30">
        <f>H7*B7</f>
        <v>1407.6</v>
      </c>
      <c r="K7" s="74">
        <f>I7*D7</f>
        <v>923.52</v>
      </c>
      <c r="L7" s="33">
        <f>J7*$L$2</f>
        <v>80824.391999999993</v>
      </c>
      <c r="M7" s="68">
        <f t="shared" ref="M7:M14" si="1">K7*$M$2</f>
        <v>57673.824000000001</v>
      </c>
    </row>
    <row r="8" spans="1:13" s="60" customFormat="1" x14ac:dyDescent="0.35">
      <c r="A8" s="84" t="s">
        <v>144</v>
      </c>
      <c r="B8" s="17">
        <v>6</v>
      </c>
      <c r="C8" s="58">
        <v>0.1</v>
      </c>
      <c r="D8" s="17">
        <f>B8+C8</f>
        <v>6.1</v>
      </c>
      <c r="E8" s="27">
        <f>'Number of Respondents'!C6</f>
        <v>583.37199999999996</v>
      </c>
      <c r="F8" s="66">
        <f>'Number of Respondents'!D6</f>
        <v>358.82600000000002</v>
      </c>
      <c r="G8" s="17">
        <v>1</v>
      </c>
      <c r="H8" s="30">
        <f>E8*G8</f>
        <v>583.37199999999996</v>
      </c>
      <c r="I8" s="66">
        <f t="shared" si="0"/>
        <v>358.82600000000002</v>
      </c>
      <c r="J8" s="30">
        <f>H8*B8</f>
        <v>3500.232</v>
      </c>
      <c r="K8" s="74">
        <f>I8*D8</f>
        <v>2188.8386</v>
      </c>
      <c r="L8" s="33">
        <f>J8*$L$2</f>
        <v>200983.32144</v>
      </c>
      <c r="M8" s="68">
        <f t="shared" si="1"/>
        <v>136692.97057</v>
      </c>
    </row>
    <row r="9" spans="1:13" s="60" customFormat="1" x14ac:dyDescent="0.35">
      <c r="A9" s="84" t="s">
        <v>145</v>
      </c>
      <c r="B9" s="17">
        <v>20</v>
      </c>
      <c r="C9" s="58">
        <v>0.1</v>
      </c>
      <c r="D9" s="17">
        <f>B9+C9</f>
        <v>20.100000000000001</v>
      </c>
      <c r="E9" s="27">
        <f>'Number of Respondents'!C7</f>
        <v>42.228000000000002</v>
      </c>
      <c r="F9" s="66">
        <f>'Number of Respondents'!D7</f>
        <v>25.974</v>
      </c>
      <c r="G9" s="17">
        <v>1</v>
      </c>
      <c r="H9" s="30">
        <f>E9*G9</f>
        <v>42.228000000000002</v>
      </c>
      <c r="I9" s="66">
        <f t="shared" si="0"/>
        <v>25.974</v>
      </c>
      <c r="J9" s="30">
        <f>H9*B9</f>
        <v>844.56000000000006</v>
      </c>
      <c r="K9" s="74">
        <f>I9*D9</f>
        <v>522.07740000000001</v>
      </c>
      <c r="L9" s="33">
        <f>J9*$L$2</f>
        <v>48494.635200000004</v>
      </c>
      <c r="M9" s="68">
        <f t="shared" si="1"/>
        <v>32603.733630000002</v>
      </c>
    </row>
    <row r="10" spans="1:13" s="39" customFormat="1" x14ac:dyDescent="0.35">
      <c r="A10" s="37" t="s">
        <v>146</v>
      </c>
      <c r="B10" s="32">
        <v>3.7</v>
      </c>
      <c r="C10" s="58">
        <v>0.1</v>
      </c>
      <c r="D10" s="17">
        <f>B10+C10</f>
        <v>3.8000000000000003</v>
      </c>
      <c r="E10" s="27">
        <f>'Number of Respondents'!C8</f>
        <v>2663</v>
      </c>
      <c r="F10" s="66">
        <f>'Number of Respondents'!D8</f>
        <v>1638</v>
      </c>
      <c r="G10" s="17">
        <v>1</v>
      </c>
      <c r="H10" s="30">
        <f>E10*G10</f>
        <v>2663</v>
      </c>
      <c r="I10" s="66">
        <f t="shared" si="0"/>
        <v>1638</v>
      </c>
      <c r="J10" s="30">
        <f>H10*B10</f>
        <v>9853.1</v>
      </c>
      <c r="K10" s="74">
        <f>I10*D10</f>
        <v>6224.4000000000005</v>
      </c>
      <c r="L10" s="33">
        <f>J10*$L$2</f>
        <v>565765.00200000009</v>
      </c>
      <c r="M10" s="68">
        <f t="shared" si="1"/>
        <v>388713.78</v>
      </c>
    </row>
    <row r="11" spans="1:13" s="39" customFormat="1" ht="29" x14ac:dyDescent="0.35">
      <c r="A11" s="38" t="s">
        <v>24</v>
      </c>
      <c r="B11" s="56" t="s">
        <v>38</v>
      </c>
      <c r="C11" s="114" t="s">
        <v>37</v>
      </c>
      <c r="D11" s="115" t="s">
        <v>37</v>
      </c>
      <c r="E11" s="53" t="s">
        <v>37</v>
      </c>
      <c r="F11" s="66" t="s">
        <v>37</v>
      </c>
      <c r="G11" s="53" t="s">
        <v>37</v>
      </c>
      <c r="H11" s="53" t="s">
        <v>37</v>
      </c>
      <c r="I11" s="66" t="s">
        <v>37</v>
      </c>
      <c r="J11" s="41" t="s">
        <v>37</v>
      </c>
      <c r="K11" s="67" t="s">
        <v>37</v>
      </c>
      <c r="L11" s="45" t="s">
        <v>37</v>
      </c>
      <c r="M11" s="66" t="s">
        <v>37</v>
      </c>
    </row>
    <row r="12" spans="1:13" s="39" customFormat="1" ht="29" x14ac:dyDescent="0.35">
      <c r="A12" s="38" t="s">
        <v>25</v>
      </c>
      <c r="B12" s="56" t="s">
        <v>38</v>
      </c>
      <c r="C12" s="66" t="s">
        <v>37</v>
      </c>
      <c r="D12" s="53" t="s">
        <v>37</v>
      </c>
      <c r="E12" s="53" t="s">
        <v>37</v>
      </c>
      <c r="F12" s="66" t="s">
        <v>37</v>
      </c>
      <c r="G12" s="53" t="s">
        <v>37</v>
      </c>
      <c r="H12" s="53" t="s">
        <v>37</v>
      </c>
      <c r="I12" s="66" t="s">
        <v>37</v>
      </c>
      <c r="J12" s="41" t="s">
        <v>37</v>
      </c>
      <c r="K12" s="67" t="s">
        <v>37</v>
      </c>
      <c r="L12" s="45" t="s">
        <v>37</v>
      </c>
      <c r="M12" s="66" t="s">
        <v>37</v>
      </c>
    </row>
    <row r="13" spans="1:13" s="39" customFormat="1" ht="15" customHeight="1" x14ac:dyDescent="0.35">
      <c r="A13" s="38" t="s">
        <v>19</v>
      </c>
      <c r="B13" s="17">
        <v>1</v>
      </c>
      <c r="C13" s="58">
        <v>0</v>
      </c>
      <c r="D13" s="17">
        <f>B13+C13</f>
        <v>1</v>
      </c>
      <c r="E13" s="27">
        <f>'Number of Respondents'!C9</f>
        <v>211</v>
      </c>
      <c r="F13" s="66">
        <f>'Number of Respondents'!D9</f>
        <v>130</v>
      </c>
      <c r="G13" s="17">
        <v>1</v>
      </c>
      <c r="H13" s="30">
        <f>E13*G13</f>
        <v>211</v>
      </c>
      <c r="I13" s="66">
        <f t="shared" si="0"/>
        <v>130</v>
      </c>
      <c r="J13" s="30">
        <f>H13*B13</f>
        <v>211</v>
      </c>
      <c r="K13" s="74">
        <f>I13*D13</f>
        <v>130</v>
      </c>
      <c r="L13" s="33">
        <f>J13*$L$2</f>
        <v>12115.62</v>
      </c>
      <c r="M13" s="68">
        <f t="shared" si="1"/>
        <v>8118.5</v>
      </c>
    </row>
    <row r="14" spans="1:13" s="39" customFormat="1" x14ac:dyDescent="0.35">
      <c r="A14" s="37" t="s">
        <v>20</v>
      </c>
      <c r="B14" s="17">
        <v>0.5</v>
      </c>
      <c r="C14" s="58">
        <v>0.25</v>
      </c>
      <c r="D14" s="17">
        <f>B14+C14</f>
        <v>0.75</v>
      </c>
      <c r="E14" s="27">
        <f>'Number of Respondents'!C10</f>
        <v>4227</v>
      </c>
      <c r="F14" s="66">
        <f>'Number of Respondents'!D10</f>
        <v>2600</v>
      </c>
      <c r="G14" s="27">
        <v>1</v>
      </c>
      <c r="H14" s="30">
        <f>E14*G14</f>
        <v>4227</v>
      </c>
      <c r="I14" s="66">
        <f t="shared" si="0"/>
        <v>2600</v>
      </c>
      <c r="J14" s="30">
        <f>H14*B14</f>
        <v>2113.5</v>
      </c>
      <c r="K14" s="74">
        <f>I14*D14</f>
        <v>1950</v>
      </c>
      <c r="L14" s="33">
        <f>J14*$L$2</f>
        <v>121357.17</v>
      </c>
      <c r="M14" s="68">
        <f t="shared" si="1"/>
        <v>121777.5</v>
      </c>
    </row>
    <row r="15" spans="1:13" s="39" customFormat="1" x14ac:dyDescent="0.35">
      <c r="A15" s="94" t="s">
        <v>23</v>
      </c>
      <c r="B15" s="174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</row>
    <row r="16" spans="1:13" s="39" customFormat="1" x14ac:dyDescent="0.35">
      <c r="A16" s="93" t="s">
        <v>43</v>
      </c>
      <c r="B16" s="17">
        <v>4</v>
      </c>
      <c r="C16" s="58">
        <v>0</v>
      </c>
      <c r="D16" s="17">
        <f t="shared" ref="D16:D23" si="2">B16+C16</f>
        <v>4</v>
      </c>
      <c r="E16" s="27">
        <f>'Number of Respondents'!C11</f>
        <v>21</v>
      </c>
      <c r="F16" s="66">
        <f>'Number of Respondents'!D11</f>
        <v>13</v>
      </c>
      <c r="G16" s="27">
        <v>1</v>
      </c>
      <c r="H16" s="30">
        <f t="shared" ref="H16:H23" si="3">E16*G16</f>
        <v>21</v>
      </c>
      <c r="I16" s="66">
        <f t="shared" si="0"/>
        <v>13</v>
      </c>
      <c r="J16" s="30">
        <f t="shared" ref="J16:J23" si="4">H16*B16</f>
        <v>84</v>
      </c>
      <c r="K16" s="74">
        <f t="shared" ref="K16:K23" si="5">I16*D16</f>
        <v>52</v>
      </c>
      <c r="L16" s="33">
        <f t="shared" ref="L16:L23" si="6">J16*$L$2</f>
        <v>4823.28</v>
      </c>
      <c r="M16" s="68">
        <f t="shared" ref="M16:M23" si="7">K16*$M$2</f>
        <v>3247.4</v>
      </c>
    </row>
    <row r="17" spans="1:13" s="39" customFormat="1" x14ac:dyDescent="0.35">
      <c r="A17" s="93" t="s">
        <v>44</v>
      </c>
      <c r="B17" s="17">
        <v>5</v>
      </c>
      <c r="C17" s="58">
        <v>0</v>
      </c>
      <c r="D17" s="17">
        <f>B17+C17</f>
        <v>5</v>
      </c>
      <c r="E17" s="27">
        <f>'Number of Respondents'!C12</f>
        <v>4</v>
      </c>
      <c r="F17" s="66">
        <f>'Number of Respondents'!D12</f>
        <v>3</v>
      </c>
      <c r="G17" s="27">
        <v>1</v>
      </c>
      <c r="H17" s="30">
        <f t="shared" si="3"/>
        <v>4</v>
      </c>
      <c r="I17" s="66">
        <f t="shared" si="0"/>
        <v>3</v>
      </c>
      <c r="J17" s="30">
        <f t="shared" si="4"/>
        <v>20</v>
      </c>
      <c r="K17" s="74">
        <f t="shared" si="5"/>
        <v>15</v>
      </c>
      <c r="L17" s="33">
        <f t="shared" si="6"/>
        <v>1148.4000000000001</v>
      </c>
      <c r="M17" s="68">
        <f t="shared" si="7"/>
        <v>936.75</v>
      </c>
    </row>
    <row r="18" spans="1:13" s="39" customFormat="1" x14ac:dyDescent="0.35">
      <c r="A18" s="93" t="s">
        <v>46</v>
      </c>
      <c r="B18" s="17">
        <v>5</v>
      </c>
      <c r="C18" s="58">
        <v>0</v>
      </c>
      <c r="D18" s="17">
        <f t="shared" si="2"/>
        <v>5</v>
      </c>
      <c r="E18" s="27">
        <f>'Number of Respondents'!C13</f>
        <v>4</v>
      </c>
      <c r="F18" s="66">
        <f>'Number of Respondents'!D13</f>
        <v>3</v>
      </c>
      <c r="G18" s="27">
        <v>1</v>
      </c>
      <c r="H18" s="30">
        <f t="shared" si="3"/>
        <v>4</v>
      </c>
      <c r="I18" s="66">
        <f t="shared" si="0"/>
        <v>3</v>
      </c>
      <c r="J18" s="30">
        <f t="shared" si="4"/>
        <v>20</v>
      </c>
      <c r="K18" s="74">
        <f t="shared" si="5"/>
        <v>15</v>
      </c>
      <c r="L18" s="33">
        <f t="shared" si="6"/>
        <v>1148.4000000000001</v>
      </c>
      <c r="M18" s="68">
        <f t="shared" si="7"/>
        <v>936.75</v>
      </c>
    </row>
    <row r="19" spans="1:13" s="39" customFormat="1" x14ac:dyDescent="0.35">
      <c r="A19" s="93" t="s">
        <v>47</v>
      </c>
      <c r="B19" s="17">
        <v>2</v>
      </c>
      <c r="C19" s="58">
        <v>0</v>
      </c>
      <c r="D19" s="17">
        <f t="shared" si="2"/>
        <v>2</v>
      </c>
      <c r="E19" s="27">
        <f>'Number of Respondents'!C14</f>
        <v>3</v>
      </c>
      <c r="F19" s="66">
        <f>'Number of Respondents'!D14</f>
        <v>2</v>
      </c>
      <c r="G19" s="27">
        <v>1</v>
      </c>
      <c r="H19" s="30">
        <f t="shared" si="3"/>
        <v>3</v>
      </c>
      <c r="I19" s="66">
        <f t="shared" si="0"/>
        <v>2</v>
      </c>
      <c r="J19" s="30">
        <f t="shared" si="4"/>
        <v>6</v>
      </c>
      <c r="K19" s="74">
        <f t="shared" si="5"/>
        <v>4</v>
      </c>
      <c r="L19" s="33">
        <f t="shared" si="6"/>
        <v>344.52</v>
      </c>
      <c r="M19" s="68">
        <f t="shared" si="7"/>
        <v>249.8</v>
      </c>
    </row>
    <row r="20" spans="1:13" s="39" customFormat="1" x14ac:dyDescent="0.35">
      <c r="A20" s="93" t="s">
        <v>136</v>
      </c>
      <c r="B20" s="17">
        <v>3</v>
      </c>
      <c r="C20" s="58">
        <v>0</v>
      </c>
      <c r="D20" s="17">
        <f t="shared" si="2"/>
        <v>3</v>
      </c>
      <c r="E20" s="27">
        <f>'Number of Respondents'!C15</f>
        <v>85</v>
      </c>
      <c r="F20" s="66">
        <f>'Number of Respondents'!D15</f>
        <v>52</v>
      </c>
      <c r="G20" s="27">
        <v>1</v>
      </c>
      <c r="H20" s="30">
        <f t="shared" si="3"/>
        <v>85</v>
      </c>
      <c r="I20" s="66">
        <f t="shared" si="0"/>
        <v>52</v>
      </c>
      <c r="J20" s="30">
        <f t="shared" si="4"/>
        <v>255</v>
      </c>
      <c r="K20" s="74">
        <f t="shared" si="5"/>
        <v>156</v>
      </c>
      <c r="L20" s="33">
        <f t="shared" si="6"/>
        <v>14642.1</v>
      </c>
      <c r="M20" s="68">
        <f t="shared" si="7"/>
        <v>9742.2000000000007</v>
      </c>
    </row>
    <row r="21" spans="1:13" s="39" customFormat="1" x14ac:dyDescent="0.35">
      <c r="A21" s="93" t="s">
        <v>48</v>
      </c>
      <c r="B21" s="17">
        <v>2</v>
      </c>
      <c r="C21" s="58">
        <v>0</v>
      </c>
      <c r="D21" s="17">
        <f t="shared" si="2"/>
        <v>2</v>
      </c>
      <c r="E21" s="27">
        <f>'Number of Respondents'!C16</f>
        <v>42</v>
      </c>
      <c r="F21" s="66">
        <f>'Number of Respondents'!D16</f>
        <v>26</v>
      </c>
      <c r="G21" s="27">
        <v>1</v>
      </c>
      <c r="H21" s="30">
        <f t="shared" si="3"/>
        <v>42</v>
      </c>
      <c r="I21" s="66">
        <f t="shared" si="0"/>
        <v>26</v>
      </c>
      <c r="J21" s="30">
        <f t="shared" si="4"/>
        <v>84</v>
      </c>
      <c r="K21" s="74">
        <f t="shared" si="5"/>
        <v>52</v>
      </c>
      <c r="L21" s="33">
        <f t="shared" si="6"/>
        <v>4823.28</v>
      </c>
      <c r="M21" s="68">
        <f t="shared" si="7"/>
        <v>3247.4</v>
      </c>
    </row>
    <row r="22" spans="1:13" s="39" customFormat="1" x14ac:dyDescent="0.35">
      <c r="A22" s="93" t="s">
        <v>49</v>
      </c>
      <c r="B22" s="17">
        <v>5</v>
      </c>
      <c r="C22" s="58">
        <v>0</v>
      </c>
      <c r="D22" s="17">
        <f t="shared" si="2"/>
        <v>5</v>
      </c>
      <c r="E22" s="27">
        <f>'Number of Respondents'!C17</f>
        <v>42</v>
      </c>
      <c r="F22" s="66">
        <f>'Number of Respondents'!D17</f>
        <v>26</v>
      </c>
      <c r="G22" s="27">
        <v>1</v>
      </c>
      <c r="H22" s="30">
        <f t="shared" si="3"/>
        <v>42</v>
      </c>
      <c r="I22" s="66">
        <f t="shared" si="0"/>
        <v>26</v>
      </c>
      <c r="J22" s="30">
        <f t="shared" si="4"/>
        <v>210</v>
      </c>
      <c r="K22" s="74">
        <f t="shared" si="5"/>
        <v>130</v>
      </c>
      <c r="L22" s="33">
        <f t="shared" si="6"/>
        <v>12058.2</v>
      </c>
      <c r="M22" s="68">
        <f t="shared" si="7"/>
        <v>8118.5</v>
      </c>
    </row>
    <row r="23" spans="1:13" s="39" customFormat="1" x14ac:dyDescent="0.35">
      <c r="A23" s="93" t="s">
        <v>50</v>
      </c>
      <c r="B23" s="17">
        <v>2</v>
      </c>
      <c r="C23" s="58">
        <v>0</v>
      </c>
      <c r="D23" s="17">
        <f t="shared" si="2"/>
        <v>2</v>
      </c>
      <c r="E23" s="27">
        <f>'Number of Respondents'!C18</f>
        <v>2</v>
      </c>
      <c r="F23" s="66">
        <f>'Number of Respondents'!D18</f>
        <v>1</v>
      </c>
      <c r="G23" s="27">
        <v>1</v>
      </c>
      <c r="H23" s="30">
        <f t="shared" si="3"/>
        <v>2</v>
      </c>
      <c r="I23" s="66">
        <f t="shared" si="0"/>
        <v>1</v>
      </c>
      <c r="J23" s="30">
        <f t="shared" si="4"/>
        <v>4</v>
      </c>
      <c r="K23" s="74">
        <f t="shared" si="5"/>
        <v>2</v>
      </c>
      <c r="L23" s="33">
        <f t="shared" si="6"/>
        <v>229.68</v>
      </c>
      <c r="M23" s="68">
        <f t="shared" si="7"/>
        <v>124.9</v>
      </c>
    </row>
    <row r="24" spans="1:13" s="10" customFormat="1" ht="15" customHeight="1" x14ac:dyDescent="0.35">
      <c r="A24" s="111" t="s">
        <v>14</v>
      </c>
      <c r="B24" s="166"/>
      <c r="C24" s="167"/>
      <c r="D24" s="167"/>
      <c r="E24" s="167"/>
      <c r="F24" s="167"/>
      <c r="G24" s="168"/>
      <c r="H24" s="62">
        <f t="shared" ref="H24:M24" si="8">SUM(H7:H23)</f>
        <v>8868</v>
      </c>
      <c r="I24" s="62">
        <f t="shared" si="8"/>
        <v>5456</v>
      </c>
      <c r="J24" s="62">
        <f t="shared" si="8"/>
        <v>18612.992000000002</v>
      </c>
      <c r="K24" s="62">
        <f t="shared" si="8"/>
        <v>12364.836000000001</v>
      </c>
      <c r="L24" s="62">
        <f t="shared" si="8"/>
        <v>1068758.0006400002</v>
      </c>
      <c r="M24" s="62">
        <f t="shared" si="8"/>
        <v>772184.00820000016</v>
      </c>
    </row>
    <row r="25" spans="1:13" s="10" customFormat="1" ht="15" customHeight="1" x14ac:dyDescent="0.35">
      <c r="A25" s="112" t="s">
        <v>11</v>
      </c>
      <c r="B25" s="169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</row>
    <row r="26" spans="1:13" s="39" customFormat="1" ht="15" customHeight="1" x14ac:dyDescent="0.35">
      <c r="A26" s="38" t="s">
        <v>21</v>
      </c>
      <c r="B26" s="17">
        <v>36.4</v>
      </c>
      <c r="C26" s="58">
        <v>0</v>
      </c>
      <c r="D26" s="17">
        <f>B26+C26</f>
        <v>36.4</v>
      </c>
      <c r="E26" s="27">
        <f>'Number of Respondents'!C4</f>
        <v>1564</v>
      </c>
      <c r="F26" s="66">
        <f>'Number of Respondents'!D4</f>
        <v>962</v>
      </c>
      <c r="G26" s="17">
        <v>1</v>
      </c>
      <c r="H26" s="30">
        <f>E26*G26</f>
        <v>1564</v>
      </c>
      <c r="I26" s="66">
        <f>F26*G26</f>
        <v>962</v>
      </c>
      <c r="J26" s="30">
        <f>H26*B26</f>
        <v>56929.599999999999</v>
      </c>
      <c r="K26" s="74">
        <f>I26*D26</f>
        <v>35016.799999999996</v>
      </c>
      <c r="L26" s="33">
        <f>J26*$L$2</f>
        <v>3268897.6320000002</v>
      </c>
      <c r="M26" s="68">
        <f>K26*$M$2</f>
        <v>2186799.1599999997</v>
      </c>
    </row>
    <row r="27" spans="1:13" s="39" customFormat="1" ht="15" customHeight="1" x14ac:dyDescent="0.35">
      <c r="A27" s="38" t="s">
        <v>22</v>
      </c>
      <c r="B27" s="17">
        <v>22.7</v>
      </c>
      <c r="C27" s="58">
        <v>0</v>
      </c>
      <c r="D27" s="17">
        <f>B27+C27</f>
        <v>22.7</v>
      </c>
      <c r="E27" s="27">
        <f>'Number of Respondents'!C8</f>
        <v>2663</v>
      </c>
      <c r="F27" s="66">
        <f>'Number of Respondents'!D8</f>
        <v>1638</v>
      </c>
      <c r="G27" s="17">
        <v>1</v>
      </c>
      <c r="H27" s="30">
        <f>E27*G27</f>
        <v>2663</v>
      </c>
      <c r="I27" s="66">
        <f t="shared" ref="I27:I30" si="9">F27*G27</f>
        <v>1638</v>
      </c>
      <c r="J27" s="30">
        <f>H27*B27</f>
        <v>60450.1</v>
      </c>
      <c r="K27" s="74">
        <f>I27*D27</f>
        <v>37182.6</v>
      </c>
      <c r="L27" s="33">
        <f>J27*$L$2</f>
        <v>3471044.7420000001</v>
      </c>
      <c r="M27" s="68">
        <f>K27*$M$2</f>
        <v>2322053.37</v>
      </c>
    </row>
    <row r="28" spans="1:13" s="39" customFormat="1" ht="43.5" x14ac:dyDescent="0.35">
      <c r="A28" s="38" t="s">
        <v>9</v>
      </c>
      <c r="B28" s="57" t="s">
        <v>76</v>
      </c>
      <c r="C28" s="114" t="s">
        <v>37</v>
      </c>
      <c r="D28" s="115" t="s">
        <v>37</v>
      </c>
      <c r="E28" s="53" t="s">
        <v>37</v>
      </c>
      <c r="F28" s="66" t="s">
        <v>37</v>
      </c>
      <c r="G28" s="53" t="s">
        <v>37</v>
      </c>
      <c r="H28" s="53" t="s">
        <v>37</v>
      </c>
      <c r="I28" s="66" t="s">
        <v>37</v>
      </c>
      <c r="J28" s="41" t="s">
        <v>37</v>
      </c>
      <c r="K28" s="67" t="s">
        <v>37</v>
      </c>
      <c r="L28" s="45" t="s">
        <v>37</v>
      </c>
      <c r="M28" s="66" t="s">
        <v>37</v>
      </c>
    </row>
    <row r="29" spans="1:13" s="39" customFormat="1" x14ac:dyDescent="0.35">
      <c r="A29" s="37" t="s">
        <v>97</v>
      </c>
      <c r="B29" s="17">
        <v>0.5</v>
      </c>
      <c r="C29" s="121"/>
      <c r="D29" s="17">
        <f>B29+C29</f>
        <v>0.5</v>
      </c>
      <c r="E29" s="27">
        <f>'Number of Respondents'!C4</f>
        <v>1564</v>
      </c>
      <c r="F29" s="66">
        <f>'Number of Respondents'!D4</f>
        <v>962</v>
      </c>
      <c r="G29" s="27">
        <v>26</v>
      </c>
      <c r="H29" s="30">
        <f>E29*G29</f>
        <v>40664</v>
      </c>
      <c r="I29" s="67">
        <f>F29*G29</f>
        <v>25012</v>
      </c>
      <c r="J29" s="30">
        <f>H29*B29</f>
        <v>20332</v>
      </c>
      <c r="K29" s="74">
        <f>I29*D29</f>
        <v>12506</v>
      </c>
      <c r="L29" s="33">
        <f>J29*$L$2</f>
        <v>1167463.44</v>
      </c>
      <c r="M29" s="68">
        <f>K29*$M$2</f>
        <v>780999.70000000007</v>
      </c>
    </row>
    <row r="30" spans="1:13" s="39" customFormat="1" x14ac:dyDescent="0.35">
      <c r="A30" s="37" t="s">
        <v>98</v>
      </c>
      <c r="B30" s="17">
        <v>0.25</v>
      </c>
      <c r="C30" s="121"/>
      <c r="D30" s="17">
        <f>B30+C30</f>
        <v>0.25</v>
      </c>
      <c r="E30" s="27">
        <f>'Number of Respondents'!C8</f>
        <v>2663</v>
      </c>
      <c r="F30" s="66">
        <f>'Number of Respondents'!D8</f>
        <v>1638</v>
      </c>
      <c r="G30" s="27">
        <v>26</v>
      </c>
      <c r="H30" s="30">
        <f>E30*G30</f>
        <v>69238</v>
      </c>
      <c r="I30" s="67">
        <f t="shared" si="9"/>
        <v>42588</v>
      </c>
      <c r="J30" s="30">
        <f>H30*B30</f>
        <v>17309.5</v>
      </c>
      <c r="K30" s="74">
        <f>I30*D30</f>
        <v>10647</v>
      </c>
      <c r="L30" s="33">
        <f>J30*$L$2</f>
        <v>993911.49</v>
      </c>
      <c r="M30" s="68">
        <f>K30*$M$2</f>
        <v>664905.15</v>
      </c>
    </row>
    <row r="31" spans="1:13" s="39" customFormat="1" x14ac:dyDescent="0.35">
      <c r="A31" s="37" t="s">
        <v>96</v>
      </c>
      <c r="B31" s="115" t="s">
        <v>0</v>
      </c>
      <c r="C31" s="125">
        <v>0.25</v>
      </c>
      <c r="D31" s="122">
        <f>C31</f>
        <v>0.25</v>
      </c>
      <c r="E31" s="115" t="s">
        <v>0</v>
      </c>
      <c r="F31" s="66">
        <f>'Number of Respondents'!D3</f>
        <v>2600</v>
      </c>
      <c r="G31" s="26">
        <v>29</v>
      </c>
      <c r="H31" s="115" t="s">
        <v>0</v>
      </c>
      <c r="I31" s="67">
        <f>F31*G31</f>
        <v>75400</v>
      </c>
      <c r="J31" s="115" t="s">
        <v>0</v>
      </c>
      <c r="K31" s="74">
        <f>I31*D31</f>
        <v>18850</v>
      </c>
      <c r="L31" s="115" t="s">
        <v>0</v>
      </c>
      <c r="M31" s="68">
        <f>K31*$M$2</f>
        <v>1177182.5</v>
      </c>
    </row>
    <row r="32" spans="1:13" s="39" customFormat="1" ht="29" x14ac:dyDescent="0.35">
      <c r="A32" s="38" t="s">
        <v>18</v>
      </c>
      <c r="B32" s="57" t="s">
        <v>39</v>
      </c>
      <c r="C32" s="114" t="s">
        <v>37</v>
      </c>
      <c r="D32" s="115" t="s">
        <v>37</v>
      </c>
      <c r="E32" s="53" t="s">
        <v>37</v>
      </c>
      <c r="F32" s="66" t="s">
        <v>37</v>
      </c>
      <c r="G32" s="53" t="s">
        <v>37</v>
      </c>
      <c r="H32" s="53" t="s">
        <v>37</v>
      </c>
      <c r="I32" s="66" t="s">
        <v>37</v>
      </c>
      <c r="J32" s="41" t="s">
        <v>37</v>
      </c>
      <c r="K32" s="67" t="s">
        <v>37</v>
      </c>
      <c r="L32" s="45" t="s">
        <v>37</v>
      </c>
      <c r="M32" s="66" t="s">
        <v>37</v>
      </c>
    </row>
    <row r="33" spans="1:13" s="73" customFormat="1" ht="15" customHeight="1" x14ac:dyDescent="0.35">
      <c r="A33" s="113" t="s">
        <v>13</v>
      </c>
      <c r="B33" s="166"/>
      <c r="C33" s="167"/>
      <c r="D33" s="167"/>
      <c r="E33" s="167"/>
      <c r="F33" s="167"/>
      <c r="G33" s="168"/>
      <c r="H33" s="70">
        <f t="shared" ref="H33:M33" si="10">SUM(H26:H32)</f>
        <v>114129</v>
      </c>
      <c r="I33" s="71">
        <f t="shared" si="10"/>
        <v>145600</v>
      </c>
      <c r="J33" s="72">
        <f t="shared" si="10"/>
        <v>155021.20000000001</v>
      </c>
      <c r="K33" s="71">
        <f t="shared" si="10"/>
        <v>114202.4</v>
      </c>
      <c r="L33" s="63">
        <f t="shared" si="10"/>
        <v>8901317.3039999995</v>
      </c>
      <c r="M33" s="69">
        <f t="shared" si="10"/>
        <v>7131939.8799999999</v>
      </c>
    </row>
    <row r="34" spans="1:13" s="39" customFormat="1" ht="15" customHeight="1" x14ac:dyDescent="0.35">
      <c r="A34" s="20" t="s">
        <v>2</v>
      </c>
      <c r="B34" s="166"/>
      <c r="C34" s="167"/>
      <c r="D34" s="167"/>
      <c r="E34" s="167"/>
      <c r="F34" s="167"/>
      <c r="G34" s="168"/>
      <c r="H34" s="126">
        <f t="shared" ref="H34:M34" si="11">SUM(H24,H33)</f>
        <v>122997</v>
      </c>
      <c r="I34" s="127">
        <f t="shared" si="11"/>
        <v>151056</v>
      </c>
      <c r="J34" s="128">
        <f t="shared" si="11"/>
        <v>173634.19200000001</v>
      </c>
      <c r="K34" s="127">
        <f t="shared" si="11"/>
        <v>126567.23599999999</v>
      </c>
      <c r="L34" s="129">
        <f t="shared" si="11"/>
        <v>9970075.3046399988</v>
      </c>
      <c r="M34" s="130">
        <f t="shared" si="11"/>
        <v>7904123.8881999999</v>
      </c>
    </row>
    <row r="35" spans="1:13" x14ac:dyDescent="0.35">
      <c r="A35" s="14"/>
      <c r="B35" s="2"/>
      <c r="F35" s="2"/>
      <c r="G35" s="2"/>
      <c r="H35" s="2"/>
      <c r="I35" s="5"/>
      <c r="J35" s="42" t="s">
        <v>83</v>
      </c>
      <c r="K35" s="5"/>
    </row>
    <row r="36" spans="1:13" x14ac:dyDescent="0.35">
      <c r="B36" s="2"/>
      <c r="F36" s="2"/>
      <c r="G36" s="2"/>
      <c r="H36" s="160"/>
      <c r="J36" s="123" t="s">
        <v>16</v>
      </c>
      <c r="K36" s="162">
        <f>K34-J34</f>
        <v>-47066.95600000002</v>
      </c>
      <c r="L36" t="s">
        <v>45</v>
      </c>
    </row>
    <row r="37" spans="1:13" x14ac:dyDescent="0.35">
      <c r="I37" s="5"/>
      <c r="J37" s="123" t="s">
        <v>17</v>
      </c>
      <c r="K37" s="24">
        <f>M34-L34</f>
        <v>-2065951.4164399989</v>
      </c>
      <c r="L37" t="s">
        <v>45</v>
      </c>
      <c r="M37" s="6"/>
    </row>
    <row r="38" spans="1:13" x14ac:dyDescent="0.35">
      <c r="A38" s="15" t="s">
        <v>7</v>
      </c>
    </row>
    <row r="39" spans="1:13" ht="16.5" x14ac:dyDescent="0.35">
      <c r="A39" s="43" t="s">
        <v>28</v>
      </c>
    </row>
    <row r="40" spans="1:13" ht="16.5" x14ac:dyDescent="0.35">
      <c r="A40" s="44" t="s">
        <v>79</v>
      </c>
    </row>
    <row r="43" spans="1:13" s="60" customFormat="1" x14ac:dyDescent="0.35"/>
    <row r="44" spans="1:13" s="60" customFormat="1" x14ac:dyDescent="0.35"/>
  </sheetData>
  <autoFilter ref="A4:M4" xr:uid="{FA7FF974-822C-4FF1-84B4-B8D7E9FF4835}"/>
  <mergeCells count="12">
    <mergeCell ref="B33:G33"/>
    <mergeCell ref="B34:G34"/>
    <mergeCell ref="B5:M5"/>
    <mergeCell ref="B25:M25"/>
    <mergeCell ref="B3:D3"/>
    <mergeCell ref="G3:I3"/>
    <mergeCell ref="E3:F3"/>
    <mergeCell ref="J3:K3"/>
    <mergeCell ref="L3:M3"/>
    <mergeCell ref="B24:G24"/>
    <mergeCell ref="B15:M15"/>
    <mergeCell ref="B6:M6"/>
  </mergeCells>
  <pageMargins left="0.7" right="0.7" top="0.75" bottom="0.75" header="0.3" footer="0.3"/>
  <pageSetup orientation="portrait" verticalDpi="597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58CF-879E-43D5-B41A-6BB9C2D7F433}">
  <dimension ref="A1:J21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RowHeight="14.5" x14ac:dyDescent="0.35"/>
  <cols>
    <col min="1" max="1" width="42" customWidth="1"/>
    <col min="2" max="2" width="31.26953125" style="87" customWidth="1"/>
    <col min="3" max="3" width="18.81640625" customWidth="1"/>
    <col min="4" max="4" width="20" customWidth="1"/>
    <col min="5" max="5" width="52.26953125" customWidth="1"/>
  </cols>
  <sheetData>
    <row r="1" spans="1:10" ht="41.25" customHeight="1" x14ac:dyDescent="0.35">
      <c r="A1" s="100"/>
      <c r="B1" s="85" t="s">
        <v>66</v>
      </c>
      <c r="C1" s="117" t="s">
        <v>63</v>
      </c>
      <c r="D1" s="116" t="s">
        <v>60</v>
      </c>
      <c r="E1" s="78" t="s">
        <v>8</v>
      </c>
    </row>
    <row r="2" spans="1:10" x14ac:dyDescent="0.35">
      <c r="A2" s="79" t="s">
        <v>61</v>
      </c>
      <c r="B2" s="88"/>
      <c r="C2" s="92">
        <v>4227</v>
      </c>
      <c r="D2" s="80"/>
      <c r="E2" s="101" t="s">
        <v>64</v>
      </c>
      <c r="G2" s="159"/>
    </row>
    <row r="3" spans="1:10" x14ac:dyDescent="0.35">
      <c r="A3" s="79" t="s">
        <v>62</v>
      </c>
      <c r="B3" s="88"/>
      <c r="C3" s="80" t="s">
        <v>0</v>
      </c>
      <c r="D3" s="92">
        <v>2600</v>
      </c>
      <c r="E3" s="100" t="s">
        <v>102</v>
      </c>
      <c r="H3">
        <v>3926</v>
      </c>
      <c r="I3" t="s">
        <v>138</v>
      </c>
    </row>
    <row r="4" spans="1:10" x14ac:dyDescent="0.35">
      <c r="A4" s="81" t="s">
        <v>58</v>
      </c>
      <c r="B4" s="88">
        <v>0.37</v>
      </c>
      <c r="C4" s="82">
        <f>ROUND($C$2*0.37,0)</f>
        <v>1564</v>
      </c>
      <c r="D4" s="82">
        <f>ROUND($D$3*0.37,0)</f>
        <v>962</v>
      </c>
      <c r="E4" s="100" t="s">
        <v>65</v>
      </c>
      <c r="H4">
        <f>H3-I4</f>
        <v>2561</v>
      </c>
      <c r="I4" s="158">
        <v>1365</v>
      </c>
      <c r="J4" t="s">
        <v>139</v>
      </c>
    </row>
    <row r="5" spans="1:10" ht="29" x14ac:dyDescent="0.35">
      <c r="A5" s="102" t="s">
        <v>40</v>
      </c>
      <c r="B5" s="90">
        <v>0.6</v>
      </c>
      <c r="C5" s="82">
        <f>$B5*C$4</f>
        <v>938.4</v>
      </c>
      <c r="D5" s="82">
        <f>$B5*D$4</f>
        <v>577.19999999999993</v>
      </c>
      <c r="E5" s="103" t="s">
        <v>103</v>
      </c>
      <c r="H5">
        <f>H4+I5</f>
        <v>2571</v>
      </c>
      <c r="I5" s="157">
        <v>10</v>
      </c>
      <c r="J5" t="s">
        <v>140</v>
      </c>
    </row>
    <row r="6" spans="1:10" ht="29" x14ac:dyDescent="0.35">
      <c r="A6" s="102" t="s">
        <v>41</v>
      </c>
      <c r="B6" s="90">
        <v>0.373</v>
      </c>
      <c r="C6" s="82">
        <f t="shared" ref="C6:D7" si="0">$B6*C$4</f>
        <v>583.37199999999996</v>
      </c>
      <c r="D6" s="82">
        <f t="shared" si="0"/>
        <v>358.82600000000002</v>
      </c>
      <c r="E6" s="104" t="s">
        <v>104</v>
      </c>
      <c r="H6">
        <f>H5</f>
        <v>2571</v>
      </c>
      <c r="I6" t="s">
        <v>141</v>
      </c>
    </row>
    <row r="7" spans="1:10" ht="29" x14ac:dyDescent="0.35">
      <c r="A7" s="102" t="s">
        <v>42</v>
      </c>
      <c r="B7" s="90">
        <v>2.7E-2</v>
      </c>
      <c r="C7" s="82">
        <f t="shared" si="0"/>
        <v>42.228000000000002</v>
      </c>
      <c r="D7" s="82">
        <f t="shared" si="0"/>
        <v>25.974</v>
      </c>
      <c r="E7" s="104" t="s">
        <v>105</v>
      </c>
      <c r="H7">
        <f>ROUND(H6,-2)</f>
        <v>2600</v>
      </c>
      <c r="I7" t="s">
        <v>142</v>
      </c>
    </row>
    <row r="8" spans="1:10" x14ac:dyDescent="0.35">
      <c r="A8" s="81" t="s">
        <v>59</v>
      </c>
      <c r="B8" s="86">
        <v>0.63</v>
      </c>
      <c r="C8" s="82">
        <f>ROUND($C$2*0.63,0)</f>
        <v>2663</v>
      </c>
      <c r="D8" s="82">
        <f>ROUND($D$3*0.63,0)</f>
        <v>1638</v>
      </c>
      <c r="E8" s="100" t="s">
        <v>65</v>
      </c>
    </row>
    <row r="9" spans="1:10" ht="29" x14ac:dyDescent="0.35">
      <c r="A9" s="83" t="s">
        <v>137</v>
      </c>
      <c r="B9" s="86">
        <v>0.05</v>
      </c>
      <c r="C9" s="80">
        <f>ROUND((C2*1.05)-C2,0)</f>
        <v>211</v>
      </c>
      <c r="D9" s="80">
        <f>ROUND((D3*1.05)-D3,0)</f>
        <v>130</v>
      </c>
      <c r="E9" s="96" t="s">
        <v>106</v>
      </c>
    </row>
    <row r="10" spans="1:10" x14ac:dyDescent="0.35">
      <c r="A10" s="105" t="s">
        <v>67</v>
      </c>
      <c r="B10" s="89">
        <v>1</v>
      </c>
      <c r="C10" s="82">
        <f>C2</f>
        <v>4227</v>
      </c>
      <c r="D10" s="82">
        <f>D3</f>
        <v>2600</v>
      </c>
      <c r="E10" s="100"/>
    </row>
    <row r="11" spans="1:10" x14ac:dyDescent="0.35">
      <c r="A11" s="106" t="s">
        <v>43</v>
      </c>
      <c r="B11" s="107">
        <v>5.0000000000000001E-3</v>
      </c>
      <c r="C11" s="91">
        <f>ROUND(C$2*$B11,0)</f>
        <v>21</v>
      </c>
      <c r="D11" s="91">
        <f>ROUND(D$3*$B11,0)</f>
        <v>13</v>
      </c>
      <c r="E11" s="100" t="s">
        <v>65</v>
      </c>
    </row>
    <row r="12" spans="1:10" x14ac:dyDescent="0.35">
      <c r="A12" s="106" t="s">
        <v>44</v>
      </c>
      <c r="B12" s="107">
        <v>1E-3</v>
      </c>
      <c r="C12" s="91">
        <f t="shared" ref="C12:C18" si="1">ROUND(C$2*$B12,0)</f>
        <v>4</v>
      </c>
      <c r="D12" s="91">
        <f t="shared" ref="D12:D18" si="2">ROUND(D$3*$B12,0)</f>
        <v>3</v>
      </c>
      <c r="E12" s="100" t="s">
        <v>65</v>
      </c>
    </row>
    <row r="13" spans="1:10" ht="29" x14ac:dyDescent="0.35">
      <c r="A13" s="106" t="s">
        <v>46</v>
      </c>
      <c r="B13" s="107">
        <v>1E-3</v>
      </c>
      <c r="C13" s="91">
        <f t="shared" si="1"/>
        <v>4</v>
      </c>
      <c r="D13" s="91">
        <f>ROUND(D$3*$B13,0)</f>
        <v>3</v>
      </c>
      <c r="E13" s="100" t="s">
        <v>65</v>
      </c>
    </row>
    <row r="14" spans="1:10" ht="29" x14ac:dyDescent="0.35">
      <c r="A14" s="106" t="s">
        <v>47</v>
      </c>
      <c r="B14" s="107">
        <f>B13*75%</f>
        <v>7.5000000000000002E-4</v>
      </c>
      <c r="C14" s="91">
        <f t="shared" si="1"/>
        <v>3</v>
      </c>
      <c r="D14" s="91">
        <f t="shared" si="2"/>
        <v>2</v>
      </c>
      <c r="E14" s="100" t="s">
        <v>65</v>
      </c>
    </row>
    <row r="15" spans="1:10" ht="29" x14ac:dyDescent="0.35">
      <c r="A15" s="106" t="s">
        <v>136</v>
      </c>
      <c r="B15" s="118">
        <v>0.02</v>
      </c>
      <c r="C15" s="91">
        <f t="shared" si="1"/>
        <v>85</v>
      </c>
      <c r="D15" s="91">
        <f t="shared" si="2"/>
        <v>52</v>
      </c>
      <c r="E15" s="100" t="s">
        <v>65</v>
      </c>
    </row>
    <row r="16" spans="1:10" ht="29" x14ac:dyDescent="0.35">
      <c r="A16" s="106" t="s">
        <v>48</v>
      </c>
      <c r="B16" s="118">
        <f>B15*50%</f>
        <v>0.01</v>
      </c>
      <c r="C16" s="91">
        <f t="shared" si="1"/>
        <v>42</v>
      </c>
      <c r="D16" s="91">
        <f t="shared" si="2"/>
        <v>26</v>
      </c>
      <c r="E16" s="100" t="s">
        <v>65</v>
      </c>
    </row>
    <row r="17" spans="1:5" x14ac:dyDescent="0.35">
      <c r="A17" s="106" t="s">
        <v>49</v>
      </c>
      <c r="B17" s="118">
        <f>1%</f>
        <v>0.01</v>
      </c>
      <c r="C17" s="91">
        <f t="shared" si="1"/>
        <v>42</v>
      </c>
      <c r="D17" s="91">
        <f t="shared" si="2"/>
        <v>26</v>
      </c>
      <c r="E17" s="100" t="s">
        <v>65</v>
      </c>
    </row>
    <row r="18" spans="1:5" ht="29" x14ac:dyDescent="0.35">
      <c r="A18" s="106" t="s">
        <v>50</v>
      </c>
      <c r="B18" s="107">
        <v>5.0000000000000001E-4</v>
      </c>
      <c r="C18" s="91">
        <f t="shared" si="1"/>
        <v>2</v>
      </c>
      <c r="D18" s="91">
        <f t="shared" si="2"/>
        <v>1</v>
      </c>
      <c r="E18" s="100" t="s">
        <v>65</v>
      </c>
    </row>
    <row r="20" spans="1:5" x14ac:dyDescent="0.35">
      <c r="B20"/>
    </row>
    <row r="21" spans="1:5" x14ac:dyDescent="0.35">
      <c r="B21"/>
    </row>
  </sheetData>
  <hyperlinks>
    <hyperlink ref="E2" r:id="rId1" display="https://permitsearch.epa.gov/epermit-search/ui/search" xr:uid="{E99A8A4B-6E2D-4E69-9E9A-2448457CB932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BADB-F05E-45D1-A7BB-FD53999CB648}">
  <dimension ref="A1:H76"/>
  <sheetViews>
    <sheetView topLeftCell="A12" workbookViewId="0">
      <selection activeCell="A24" sqref="A24"/>
    </sheetView>
  </sheetViews>
  <sheetFormatPr defaultRowHeight="14.5" x14ac:dyDescent="0.35"/>
  <cols>
    <col min="1" max="1" width="42.81640625" customWidth="1"/>
    <col min="2" max="2" width="17.7265625" customWidth="1"/>
    <col min="3" max="3" width="15" customWidth="1"/>
    <col min="4" max="4" width="12.453125" customWidth="1"/>
    <col min="5" max="5" width="12.7265625" bestFit="1" customWidth="1"/>
    <col min="6" max="6" width="10" customWidth="1"/>
    <col min="7" max="7" width="13.453125" customWidth="1"/>
    <col min="8" max="8" width="12.54296875" customWidth="1"/>
  </cols>
  <sheetData>
    <row r="1" spans="1:8" ht="15" thickBot="1" x14ac:dyDescent="0.4">
      <c r="A1" s="149" t="s">
        <v>119</v>
      </c>
    </row>
    <row r="2" spans="1:8" ht="65.25" customHeight="1" thickBot="1" x14ac:dyDescent="0.4">
      <c r="A2" s="182" t="s">
        <v>120</v>
      </c>
      <c r="B2" s="184" t="s">
        <v>121</v>
      </c>
      <c r="C2" s="185"/>
      <c r="D2" s="184" t="s">
        <v>126</v>
      </c>
      <c r="E2" s="185"/>
      <c r="F2" s="184" t="s">
        <v>127</v>
      </c>
      <c r="G2" s="185"/>
    </row>
    <row r="3" spans="1:8" ht="46.5" customHeight="1" thickBot="1" x14ac:dyDescent="0.4">
      <c r="A3" s="183"/>
      <c r="B3" s="150" t="s">
        <v>122</v>
      </c>
      <c r="C3" s="150" t="s">
        <v>123</v>
      </c>
      <c r="D3" s="150" t="s">
        <v>122</v>
      </c>
      <c r="E3" s="150" t="s">
        <v>123</v>
      </c>
      <c r="F3" s="150" t="s">
        <v>122</v>
      </c>
      <c r="G3" s="150" t="s">
        <v>123</v>
      </c>
    </row>
    <row r="4" spans="1:8" ht="15" thickBot="1" x14ac:dyDescent="0.4">
      <c r="A4" s="140" t="s">
        <v>124</v>
      </c>
      <c r="B4" s="152">
        <f>'Respondent Labor Burden Table'!J34</f>
        <v>173634.19200000001</v>
      </c>
      <c r="C4" s="153">
        <f>'Respondent Labor Burden Table'!L34</f>
        <v>9970075.3046399988</v>
      </c>
      <c r="D4" s="152">
        <f>'Respondent Labor Burden Table'!K36</f>
        <v>-47066.95600000002</v>
      </c>
      <c r="E4" s="153">
        <f>'Respondent Labor Burden Table'!K37</f>
        <v>-2065951.4164399989</v>
      </c>
      <c r="F4" s="152">
        <f>'Respondent Labor Burden Table'!K34</f>
        <v>126567.23599999999</v>
      </c>
      <c r="G4" s="153">
        <f>'Respondent Labor Burden Table'!M34</f>
        <v>7904123.8881999999</v>
      </c>
    </row>
    <row r="5" spans="1:8" ht="15" thickBot="1" x14ac:dyDescent="0.4">
      <c r="A5" s="140" t="s">
        <v>125</v>
      </c>
      <c r="B5" s="152">
        <f>'Agency Burden Data Table'!G10</f>
        <v>12157.75</v>
      </c>
      <c r="C5" s="153">
        <f>'Agency Burden Data Table'!I10</f>
        <v>520594.85500000004</v>
      </c>
      <c r="D5" s="152">
        <f>'Agency Burden Data Table'!H12</f>
        <v>-4665.75</v>
      </c>
      <c r="E5" s="153">
        <f>'Agency Burden Data Table'!H13</f>
        <v>-178734.89500000002</v>
      </c>
      <c r="F5" s="152">
        <f>'Agency Burden Data Table'!H10</f>
        <v>7492</v>
      </c>
      <c r="G5" s="153">
        <f>'Agency Burden Data Table'!J10</f>
        <v>341859.96</v>
      </c>
    </row>
    <row r="7" spans="1:8" x14ac:dyDescent="0.35">
      <c r="A7" s="149" t="s">
        <v>128</v>
      </c>
      <c r="B7" s="163" t="s">
        <v>6</v>
      </c>
      <c r="C7" s="163"/>
      <c r="D7" s="163"/>
      <c r="E7" s="187" t="s">
        <v>56</v>
      </c>
      <c r="F7" s="187"/>
      <c r="G7" s="187" t="s">
        <v>57</v>
      </c>
      <c r="H7" s="187"/>
    </row>
    <row r="8" spans="1:8" ht="72.5" x14ac:dyDescent="0.35">
      <c r="A8" s="124" t="s">
        <v>1</v>
      </c>
      <c r="B8" s="48" t="s">
        <v>30</v>
      </c>
      <c r="C8" s="48" t="s">
        <v>85</v>
      </c>
      <c r="D8" s="48" t="s">
        <v>92</v>
      </c>
      <c r="E8" s="51" t="s">
        <v>27</v>
      </c>
      <c r="F8" s="51" t="s">
        <v>94</v>
      </c>
      <c r="G8" s="124" t="s">
        <v>31</v>
      </c>
      <c r="H8" s="124" t="s">
        <v>95</v>
      </c>
    </row>
    <row r="9" spans="1:8" x14ac:dyDescent="0.35">
      <c r="A9" s="19" t="s">
        <v>32</v>
      </c>
      <c r="B9" s="17">
        <f>'Agency Burden Data Table'!B5</f>
        <v>1</v>
      </c>
      <c r="C9" s="17">
        <f>'Agency Burden Data Table'!C5</f>
        <v>0</v>
      </c>
      <c r="D9" s="17">
        <f>'Agency Burden Data Table'!D5</f>
        <v>1</v>
      </c>
      <c r="E9" s="30">
        <f>'Agency Burden Data Table'!G5</f>
        <v>4227</v>
      </c>
      <c r="F9" s="17">
        <f>'Agency Burden Data Table'!H5</f>
        <v>2600</v>
      </c>
      <c r="G9" s="33">
        <f>'Agency Burden Data Table'!I5</f>
        <v>181000.14</v>
      </c>
      <c r="H9" s="33">
        <f>'Agency Burden Data Table'!J5</f>
        <v>118638</v>
      </c>
    </row>
    <row r="10" spans="1:8" x14ac:dyDescent="0.35">
      <c r="A10" s="19" t="s">
        <v>33</v>
      </c>
      <c r="B10" s="17">
        <f>'Agency Burden Data Table'!B6</f>
        <v>0.25</v>
      </c>
      <c r="C10" s="17">
        <f>'Agency Burden Data Table'!C6</f>
        <v>0</v>
      </c>
      <c r="D10" s="17">
        <f>'Agency Burden Data Table'!D6</f>
        <v>0.25</v>
      </c>
      <c r="E10" s="30">
        <f>'Agency Burden Data Table'!G6</f>
        <v>1056.75</v>
      </c>
      <c r="F10" s="17">
        <f>'Agency Burden Data Table'!H6</f>
        <v>650</v>
      </c>
      <c r="G10" s="33">
        <f>'Agency Burden Data Table'!I6</f>
        <v>45250.035000000003</v>
      </c>
      <c r="H10" s="33">
        <f>'Agency Burden Data Table'!J6</f>
        <v>29659.5</v>
      </c>
    </row>
    <row r="11" spans="1:8" x14ac:dyDescent="0.35">
      <c r="A11" s="19" t="s">
        <v>35</v>
      </c>
      <c r="B11" s="17">
        <f>'Agency Burden Data Table'!B7</f>
        <v>1</v>
      </c>
      <c r="C11" s="17">
        <f>'Agency Burden Data Table'!C7</f>
        <v>0</v>
      </c>
      <c r="D11" s="17">
        <f>'Agency Burden Data Table'!D7</f>
        <v>1</v>
      </c>
      <c r="E11" s="30">
        <f>'Agency Burden Data Table'!G7</f>
        <v>211</v>
      </c>
      <c r="F11" s="17">
        <f>'Agency Burden Data Table'!H7</f>
        <v>130</v>
      </c>
      <c r="G11" s="33">
        <f>'Agency Burden Data Table'!I7</f>
        <v>9035.02</v>
      </c>
      <c r="H11" s="33">
        <f>'Agency Burden Data Table'!J7</f>
        <v>5931.9000000000005</v>
      </c>
    </row>
    <row r="12" spans="1:8" x14ac:dyDescent="0.35">
      <c r="A12" s="19" t="s">
        <v>3</v>
      </c>
      <c r="B12" s="17">
        <f>'Agency Burden Data Table'!B8</f>
        <v>1</v>
      </c>
      <c r="C12" s="17">
        <f>'Agency Burden Data Table'!C8</f>
        <v>0</v>
      </c>
      <c r="D12" s="17">
        <f>'Agency Burden Data Table'!D8</f>
        <v>1</v>
      </c>
      <c r="E12" s="30">
        <f>'Agency Burden Data Table'!G8</f>
        <v>4227</v>
      </c>
      <c r="F12" s="17">
        <f>'Agency Burden Data Table'!H8</f>
        <v>2600</v>
      </c>
      <c r="G12" s="33">
        <f>'Agency Burden Data Table'!I8</f>
        <v>181000.14</v>
      </c>
      <c r="H12" s="33">
        <f>'Agency Burden Data Table'!J8</f>
        <v>118638</v>
      </c>
    </row>
    <row r="13" spans="1:8" x14ac:dyDescent="0.35">
      <c r="A13" s="19" t="s">
        <v>34</v>
      </c>
      <c r="B13" s="17">
        <f>'Agency Burden Data Table'!B9</f>
        <v>12</v>
      </c>
      <c r="C13" s="17">
        <f>'Agency Burden Data Table'!C9</f>
        <v>0</v>
      </c>
      <c r="D13" s="17">
        <f>'Agency Burden Data Table'!D9</f>
        <v>12</v>
      </c>
      <c r="E13" s="30">
        <f>'Agency Burden Data Table'!G9</f>
        <v>2436</v>
      </c>
      <c r="F13" s="17">
        <f>'Agency Burden Data Table'!H9</f>
        <v>1512</v>
      </c>
      <c r="G13" s="33">
        <f>'Agency Burden Data Table'!I9</f>
        <v>104309.52</v>
      </c>
      <c r="H13" s="33">
        <f>'Agency Burden Data Table'!J9</f>
        <v>68992.56</v>
      </c>
    </row>
    <row r="14" spans="1:8" x14ac:dyDescent="0.35">
      <c r="A14" s="18" t="s">
        <v>4</v>
      </c>
      <c r="B14" s="7"/>
      <c r="C14" s="7"/>
      <c r="D14" s="22" t="s">
        <v>5</v>
      </c>
      <c r="E14" s="52">
        <f>'Agency Burden Data Table'!G10</f>
        <v>12157.75</v>
      </c>
      <c r="F14" s="52">
        <f>'Agency Burden Data Table'!H10</f>
        <v>7492</v>
      </c>
      <c r="G14" s="139">
        <f>'Agency Burden Data Table'!I10</f>
        <v>520594.85500000004</v>
      </c>
      <c r="H14" s="139">
        <f>'Agency Burden Data Table'!J10</f>
        <v>341859.96</v>
      </c>
    </row>
    <row r="15" spans="1:8" x14ac:dyDescent="0.35">
      <c r="A15" s="13"/>
      <c r="B15" t="s">
        <v>5</v>
      </c>
      <c r="D15" s="23"/>
      <c r="E15" s="8"/>
      <c r="G15" s="21"/>
      <c r="H15" s="21"/>
    </row>
    <row r="16" spans="1:8" x14ac:dyDescent="0.35">
      <c r="A16" s="151" t="s">
        <v>131</v>
      </c>
      <c r="D16" s="23"/>
      <c r="E16" s="8"/>
      <c r="G16" s="64"/>
      <c r="H16" s="64"/>
    </row>
    <row r="17" spans="1:8" x14ac:dyDescent="0.35">
      <c r="A17" s="186" t="s">
        <v>1</v>
      </c>
      <c r="B17" s="171" t="s">
        <v>6</v>
      </c>
      <c r="C17" s="171"/>
      <c r="D17" s="171"/>
      <c r="E17" s="173" t="s">
        <v>56</v>
      </c>
      <c r="F17" s="173"/>
      <c r="G17" s="173" t="s">
        <v>57</v>
      </c>
      <c r="H17" s="173"/>
    </row>
    <row r="18" spans="1:8" ht="49.5" x14ac:dyDescent="0.35">
      <c r="A18" s="186"/>
      <c r="B18" s="36" t="s">
        <v>26</v>
      </c>
      <c r="C18" s="36" t="s">
        <v>85</v>
      </c>
      <c r="D18" s="36" t="s">
        <v>86</v>
      </c>
      <c r="E18" s="34" t="s">
        <v>27</v>
      </c>
      <c r="F18" s="34" t="s">
        <v>89</v>
      </c>
      <c r="G18" s="35" t="s">
        <v>80</v>
      </c>
      <c r="H18" s="35" t="s">
        <v>90</v>
      </c>
    </row>
    <row r="19" spans="1:8" x14ac:dyDescent="0.35">
      <c r="A19" s="112" t="s">
        <v>12</v>
      </c>
      <c r="B19" s="178"/>
      <c r="C19" s="178"/>
      <c r="D19" s="178"/>
      <c r="E19" s="178"/>
      <c r="F19" s="178"/>
      <c r="G19" s="178"/>
      <c r="H19" s="178"/>
    </row>
    <row r="20" spans="1:8" x14ac:dyDescent="0.35">
      <c r="A20" s="94" t="s">
        <v>68</v>
      </c>
      <c r="B20" s="176"/>
      <c r="C20" s="176"/>
      <c r="D20" s="176"/>
      <c r="E20" s="176"/>
      <c r="F20" s="176"/>
      <c r="G20" s="176"/>
      <c r="H20" s="176"/>
    </row>
    <row r="21" spans="1:8" x14ac:dyDescent="0.35">
      <c r="A21" s="84" t="s">
        <v>143</v>
      </c>
      <c r="B21" s="17">
        <f>'Respondent Labor Burden Table'!B7</f>
        <v>1.5</v>
      </c>
      <c r="C21" s="58">
        <f>'Respondent Labor Burden Table'!C7</f>
        <v>0.1</v>
      </c>
      <c r="D21" s="17">
        <f>'Respondent Labor Burden Table'!D7</f>
        <v>1.6</v>
      </c>
      <c r="E21" s="30">
        <f>'Respondent Labor Burden Table'!J7</f>
        <v>1407.6</v>
      </c>
      <c r="F21" s="74">
        <f>'Respondent Labor Burden Table'!K7</f>
        <v>923.52</v>
      </c>
      <c r="G21" s="33">
        <f>'Respondent Labor Burden Table'!L7</f>
        <v>80824.391999999993</v>
      </c>
      <c r="H21" s="68">
        <f>'Respondent Labor Burden Table'!M7</f>
        <v>57673.824000000001</v>
      </c>
    </row>
    <row r="22" spans="1:8" x14ac:dyDescent="0.35">
      <c r="A22" s="84" t="s">
        <v>144</v>
      </c>
      <c r="B22" s="17">
        <f>'Respondent Labor Burden Table'!B8</f>
        <v>6</v>
      </c>
      <c r="C22" s="58">
        <f>'Respondent Labor Burden Table'!C8</f>
        <v>0.1</v>
      </c>
      <c r="D22" s="17">
        <f>'Respondent Labor Burden Table'!D8</f>
        <v>6.1</v>
      </c>
      <c r="E22" s="30">
        <f>'Respondent Labor Burden Table'!J8</f>
        <v>3500.232</v>
      </c>
      <c r="F22" s="74">
        <f>'Respondent Labor Burden Table'!K8</f>
        <v>2188.8386</v>
      </c>
      <c r="G22" s="33">
        <f>'Respondent Labor Burden Table'!L8</f>
        <v>200983.32144</v>
      </c>
      <c r="H22" s="68">
        <f>'Respondent Labor Burden Table'!M8</f>
        <v>136692.97057</v>
      </c>
    </row>
    <row r="23" spans="1:8" x14ac:dyDescent="0.35">
      <c r="A23" s="84" t="s">
        <v>145</v>
      </c>
      <c r="B23" s="17">
        <f>'Respondent Labor Burden Table'!B9</f>
        <v>20</v>
      </c>
      <c r="C23" s="58">
        <f>'Respondent Labor Burden Table'!C9</f>
        <v>0.1</v>
      </c>
      <c r="D23" s="17">
        <f>'Respondent Labor Burden Table'!D9</f>
        <v>20.100000000000001</v>
      </c>
      <c r="E23" s="30">
        <f>'Respondent Labor Burden Table'!J9</f>
        <v>844.56000000000006</v>
      </c>
      <c r="F23" s="74">
        <f>'Respondent Labor Burden Table'!K9</f>
        <v>522.07740000000001</v>
      </c>
      <c r="G23" s="33">
        <f>'Respondent Labor Burden Table'!L9</f>
        <v>48494.635200000004</v>
      </c>
      <c r="H23" s="68">
        <f>'Respondent Labor Burden Table'!M9</f>
        <v>32603.733630000002</v>
      </c>
    </row>
    <row r="24" spans="1:8" ht="29" x14ac:dyDescent="0.35">
      <c r="A24" s="37" t="s">
        <v>146</v>
      </c>
      <c r="B24" s="17">
        <f>'Respondent Labor Burden Table'!B10</f>
        <v>3.7</v>
      </c>
      <c r="C24" s="58">
        <f>'Respondent Labor Burden Table'!C10</f>
        <v>0.1</v>
      </c>
      <c r="D24" s="17">
        <f>'Respondent Labor Burden Table'!D10</f>
        <v>3.8000000000000003</v>
      </c>
      <c r="E24" s="30">
        <f>'Respondent Labor Burden Table'!J10</f>
        <v>9853.1</v>
      </c>
      <c r="F24" s="74">
        <f>'Respondent Labor Burden Table'!K10</f>
        <v>6224.4000000000005</v>
      </c>
      <c r="G24" s="33">
        <f>'Respondent Labor Burden Table'!L10</f>
        <v>565765.00200000009</v>
      </c>
      <c r="H24" s="68">
        <f>'Respondent Labor Burden Table'!M10</f>
        <v>388713.78</v>
      </c>
    </row>
    <row r="25" spans="1:8" ht="29" x14ac:dyDescent="0.35">
      <c r="A25" s="38" t="s">
        <v>24</v>
      </c>
      <c r="B25" s="17" t="str">
        <f>'Respondent Labor Burden Table'!B11</f>
        <v>Included in NOI burden</v>
      </c>
      <c r="C25" s="114" t="str">
        <f>'Respondent Labor Burden Table'!C11</f>
        <v>-</v>
      </c>
      <c r="D25" s="115" t="str">
        <f>'Respondent Labor Burden Table'!D11</f>
        <v>-</v>
      </c>
      <c r="E25" s="41" t="str">
        <f>'Respondent Labor Burden Table'!J11</f>
        <v>-</v>
      </c>
      <c r="F25" s="67" t="str">
        <f>'Respondent Labor Burden Table'!K11</f>
        <v>-</v>
      </c>
      <c r="G25" s="45" t="str">
        <f>'Respondent Labor Burden Table'!L11</f>
        <v>-</v>
      </c>
      <c r="H25" s="66" t="str">
        <f>'Respondent Labor Burden Table'!M11</f>
        <v>-</v>
      </c>
    </row>
    <row r="26" spans="1:8" ht="29" x14ac:dyDescent="0.35">
      <c r="A26" s="38" t="s">
        <v>25</v>
      </c>
      <c r="B26" s="17" t="str">
        <f>'Respondent Labor Burden Table'!B12</f>
        <v>Included in NOI burden</v>
      </c>
      <c r="C26" s="66" t="str">
        <f>'Respondent Labor Burden Table'!C12</f>
        <v>-</v>
      </c>
      <c r="D26" s="53" t="str">
        <f>'Respondent Labor Burden Table'!D12</f>
        <v>-</v>
      </c>
      <c r="E26" s="41" t="str">
        <f>'Respondent Labor Burden Table'!J12</f>
        <v>-</v>
      </c>
      <c r="F26" s="67" t="str">
        <f>'Respondent Labor Burden Table'!K12</f>
        <v>-</v>
      </c>
      <c r="G26" s="45" t="str">
        <f>'Respondent Labor Burden Table'!L12</f>
        <v>-</v>
      </c>
      <c r="H26" s="66" t="str">
        <f>'Respondent Labor Burden Table'!M12</f>
        <v>-</v>
      </c>
    </row>
    <row r="27" spans="1:8" x14ac:dyDescent="0.35">
      <c r="A27" s="38" t="s">
        <v>19</v>
      </c>
      <c r="B27" s="17">
        <f>'Respondent Labor Burden Table'!B13</f>
        <v>1</v>
      </c>
      <c r="C27" s="58">
        <f>'Respondent Labor Burden Table'!C13</f>
        <v>0</v>
      </c>
      <c r="D27" s="17">
        <f>'Respondent Labor Burden Table'!D13</f>
        <v>1</v>
      </c>
      <c r="E27" s="30">
        <f>'Respondent Labor Burden Table'!J13</f>
        <v>211</v>
      </c>
      <c r="F27" s="74">
        <f>'Respondent Labor Burden Table'!K13</f>
        <v>130</v>
      </c>
      <c r="G27" s="33">
        <f>'Respondent Labor Burden Table'!L13</f>
        <v>12115.62</v>
      </c>
      <c r="H27" s="68">
        <f>'Respondent Labor Burden Table'!M13</f>
        <v>8118.5</v>
      </c>
    </row>
    <row r="28" spans="1:8" x14ac:dyDescent="0.35">
      <c r="A28" s="37" t="s">
        <v>20</v>
      </c>
      <c r="B28" s="17">
        <f>'Respondent Labor Burden Table'!B14</f>
        <v>0.5</v>
      </c>
      <c r="C28" s="58">
        <f>'Respondent Labor Burden Table'!C14</f>
        <v>0.25</v>
      </c>
      <c r="D28" s="17">
        <f>'Respondent Labor Burden Table'!D14</f>
        <v>0.75</v>
      </c>
      <c r="E28" s="30">
        <f>'Respondent Labor Burden Table'!J14</f>
        <v>2113.5</v>
      </c>
      <c r="F28" s="74">
        <f>'Respondent Labor Burden Table'!K14</f>
        <v>1950</v>
      </c>
      <c r="G28" s="33">
        <f>'Respondent Labor Burden Table'!L14</f>
        <v>121357.17</v>
      </c>
      <c r="H28" s="68">
        <f>'Respondent Labor Burden Table'!M14</f>
        <v>121777.5</v>
      </c>
    </row>
    <row r="29" spans="1:8" x14ac:dyDescent="0.35">
      <c r="A29" s="94" t="s">
        <v>23</v>
      </c>
      <c r="B29" s="176"/>
      <c r="C29" s="176"/>
      <c r="D29" s="176"/>
      <c r="E29" s="176"/>
      <c r="F29" s="176"/>
      <c r="G29" s="176"/>
      <c r="H29" s="176"/>
    </row>
    <row r="30" spans="1:8" x14ac:dyDescent="0.35">
      <c r="A30" s="93" t="s">
        <v>43</v>
      </c>
      <c r="B30" s="17">
        <f>'Respondent Labor Burden Table'!B16</f>
        <v>4</v>
      </c>
      <c r="C30" s="58">
        <f>'Respondent Labor Burden Table'!C16</f>
        <v>0</v>
      </c>
      <c r="D30" s="17">
        <f>'Respondent Labor Burden Table'!D16</f>
        <v>4</v>
      </c>
      <c r="E30" s="30">
        <f>'Respondent Labor Burden Table'!J16</f>
        <v>84</v>
      </c>
      <c r="F30" s="74">
        <f>'Respondent Labor Burden Table'!K16</f>
        <v>52</v>
      </c>
      <c r="G30" s="33">
        <f>'Respondent Labor Burden Table'!L16</f>
        <v>4823.28</v>
      </c>
      <c r="H30" s="68">
        <f>'Respondent Labor Burden Table'!M16</f>
        <v>3247.4</v>
      </c>
    </row>
    <row r="31" spans="1:8" x14ac:dyDescent="0.35">
      <c r="A31" s="93" t="s">
        <v>44</v>
      </c>
      <c r="B31" s="17">
        <f>'Respondent Labor Burden Table'!B17</f>
        <v>5</v>
      </c>
      <c r="C31" s="58">
        <f>'Respondent Labor Burden Table'!C17</f>
        <v>0</v>
      </c>
      <c r="D31" s="17">
        <f>'Respondent Labor Burden Table'!D17</f>
        <v>5</v>
      </c>
      <c r="E31" s="30">
        <f>'Respondent Labor Burden Table'!J17</f>
        <v>20</v>
      </c>
      <c r="F31" s="74">
        <f>'Respondent Labor Burden Table'!K17</f>
        <v>15</v>
      </c>
      <c r="G31" s="33">
        <f>'Respondent Labor Burden Table'!L17</f>
        <v>1148.4000000000001</v>
      </c>
      <c r="H31" s="68">
        <f>'Respondent Labor Burden Table'!M17</f>
        <v>936.75</v>
      </c>
    </row>
    <row r="32" spans="1:8" ht="29" x14ac:dyDescent="0.35">
      <c r="A32" s="93" t="s">
        <v>46</v>
      </c>
      <c r="B32" s="17">
        <f>'Respondent Labor Burden Table'!B18</f>
        <v>5</v>
      </c>
      <c r="C32" s="58">
        <f>'Respondent Labor Burden Table'!C18</f>
        <v>0</v>
      </c>
      <c r="D32" s="17">
        <f>'Respondent Labor Burden Table'!D18</f>
        <v>5</v>
      </c>
      <c r="E32" s="30">
        <f>'Respondent Labor Burden Table'!J18</f>
        <v>20</v>
      </c>
      <c r="F32" s="74">
        <f>'Respondent Labor Burden Table'!K18</f>
        <v>15</v>
      </c>
      <c r="G32" s="33">
        <f>'Respondent Labor Burden Table'!L18</f>
        <v>1148.4000000000001</v>
      </c>
      <c r="H32" s="68">
        <f>'Respondent Labor Burden Table'!M18</f>
        <v>936.75</v>
      </c>
    </row>
    <row r="33" spans="1:8" ht="29" x14ac:dyDescent="0.35">
      <c r="A33" s="93" t="s">
        <v>47</v>
      </c>
      <c r="B33" s="17">
        <f>'Respondent Labor Burden Table'!B19</f>
        <v>2</v>
      </c>
      <c r="C33" s="58">
        <f>'Respondent Labor Burden Table'!C19</f>
        <v>0</v>
      </c>
      <c r="D33" s="17">
        <f>'Respondent Labor Burden Table'!D19</f>
        <v>2</v>
      </c>
      <c r="E33" s="30">
        <f>'Respondent Labor Burden Table'!J19</f>
        <v>6</v>
      </c>
      <c r="F33" s="74">
        <f>'Respondent Labor Burden Table'!K19</f>
        <v>4</v>
      </c>
      <c r="G33" s="33">
        <f>'Respondent Labor Burden Table'!L19</f>
        <v>344.52</v>
      </c>
      <c r="H33" s="68">
        <f>'Respondent Labor Burden Table'!M19</f>
        <v>249.8</v>
      </c>
    </row>
    <row r="34" spans="1:8" ht="29" x14ac:dyDescent="0.35">
      <c r="A34" s="93" t="s">
        <v>136</v>
      </c>
      <c r="B34" s="17">
        <f>'Respondent Labor Burden Table'!B20</f>
        <v>3</v>
      </c>
      <c r="C34" s="58">
        <f>'Respondent Labor Burden Table'!C20</f>
        <v>0</v>
      </c>
      <c r="D34" s="17">
        <f>'Respondent Labor Burden Table'!D20</f>
        <v>3</v>
      </c>
      <c r="E34" s="30">
        <f>'Respondent Labor Burden Table'!J20</f>
        <v>255</v>
      </c>
      <c r="F34" s="74">
        <f>'Respondent Labor Burden Table'!K20</f>
        <v>156</v>
      </c>
      <c r="G34" s="33">
        <f>'Respondent Labor Burden Table'!L20</f>
        <v>14642.1</v>
      </c>
      <c r="H34" s="68">
        <f>'Respondent Labor Burden Table'!M20</f>
        <v>9742.2000000000007</v>
      </c>
    </row>
    <row r="35" spans="1:8" ht="29" x14ac:dyDescent="0.35">
      <c r="A35" s="93" t="s">
        <v>48</v>
      </c>
      <c r="B35" s="17">
        <f>'Respondent Labor Burden Table'!B21</f>
        <v>2</v>
      </c>
      <c r="C35" s="58">
        <f>'Respondent Labor Burden Table'!C21</f>
        <v>0</v>
      </c>
      <c r="D35" s="17">
        <f>'Respondent Labor Burden Table'!D21</f>
        <v>2</v>
      </c>
      <c r="E35" s="30">
        <f>'Respondent Labor Burden Table'!J21</f>
        <v>84</v>
      </c>
      <c r="F35" s="74">
        <f>'Respondent Labor Burden Table'!K21</f>
        <v>52</v>
      </c>
      <c r="G35" s="33">
        <f>'Respondent Labor Burden Table'!L21</f>
        <v>4823.28</v>
      </c>
      <c r="H35" s="68">
        <f>'Respondent Labor Burden Table'!M21</f>
        <v>3247.4</v>
      </c>
    </row>
    <row r="36" spans="1:8" x14ac:dyDescent="0.35">
      <c r="A36" s="93" t="s">
        <v>49</v>
      </c>
      <c r="B36" s="17">
        <f>'Respondent Labor Burden Table'!B22</f>
        <v>5</v>
      </c>
      <c r="C36" s="58">
        <f>'Respondent Labor Burden Table'!C22</f>
        <v>0</v>
      </c>
      <c r="D36" s="17">
        <f>'Respondent Labor Burden Table'!D22</f>
        <v>5</v>
      </c>
      <c r="E36" s="30">
        <f>'Respondent Labor Burden Table'!J22</f>
        <v>210</v>
      </c>
      <c r="F36" s="74">
        <f>'Respondent Labor Burden Table'!K22</f>
        <v>130</v>
      </c>
      <c r="G36" s="33">
        <f>'Respondent Labor Burden Table'!L22</f>
        <v>12058.2</v>
      </c>
      <c r="H36" s="68">
        <f>'Respondent Labor Burden Table'!M22</f>
        <v>8118.5</v>
      </c>
    </row>
    <row r="37" spans="1:8" s="46" customFormat="1" ht="29" x14ac:dyDescent="0.35">
      <c r="A37" s="93" t="s">
        <v>50</v>
      </c>
      <c r="B37" s="17">
        <f>'Respondent Labor Burden Table'!B23</f>
        <v>2</v>
      </c>
      <c r="C37" s="58">
        <f>'Respondent Labor Burden Table'!C23</f>
        <v>0</v>
      </c>
      <c r="D37" s="17">
        <f>'Respondent Labor Burden Table'!D23</f>
        <v>2</v>
      </c>
      <c r="E37" s="30">
        <f>'Respondent Labor Burden Table'!J23</f>
        <v>4</v>
      </c>
      <c r="F37" s="74">
        <f>'Respondent Labor Burden Table'!K23</f>
        <v>2</v>
      </c>
      <c r="G37" s="33">
        <f>'Respondent Labor Burden Table'!L23</f>
        <v>229.68</v>
      </c>
      <c r="H37" s="68">
        <f>'Respondent Labor Burden Table'!M23</f>
        <v>124.9</v>
      </c>
    </row>
    <row r="38" spans="1:8" s="46" customFormat="1" x14ac:dyDescent="0.35">
      <c r="A38" s="111" t="s">
        <v>14</v>
      </c>
      <c r="B38" s="177"/>
      <c r="C38" s="177"/>
      <c r="D38" s="177"/>
      <c r="E38" s="62">
        <f>'Respondent Labor Burden Table'!J24</f>
        <v>18612.992000000002</v>
      </c>
      <c r="F38" s="62">
        <f>'Respondent Labor Burden Table'!K24</f>
        <v>12364.836000000001</v>
      </c>
      <c r="G38" s="62">
        <f>'Respondent Labor Burden Table'!L24</f>
        <v>1068758.0006400002</v>
      </c>
      <c r="H38" s="62">
        <f>'Respondent Labor Burden Table'!M24</f>
        <v>772184.00820000016</v>
      </c>
    </row>
    <row r="39" spans="1:8" s="46" customFormat="1" x14ac:dyDescent="0.35">
      <c r="A39" s="112" t="s">
        <v>11</v>
      </c>
      <c r="B39" s="178"/>
      <c r="C39" s="178"/>
      <c r="D39" s="178"/>
      <c r="E39" s="178"/>
      <c r="F39" s="178"/>
      <c r="G39" s="178"/>
      <c r="H39" s="178"/>
    </row>
    <row r="40" spans="1:8" s="46" customFormat="1" x14ac:dyDescent="0.35">
      <c r="A40" s="38" t="s">
        <v>21</v>
      </c>
      <c r="B40" s="17">
        <f>'Respondent Labor Burden Table'!B26</f>
        <v>36.4</v>
      </c>
      <c r="C40" s="58">
        <f>'Respondent Labor Burden Table'!C26</f>
        <v>0</v>
      </c>
      <c r="D40" s="17">
        <f>'Respondent Labor Burden Table'!D26</f>
        <v>36.4</v>
      </c>
      <c r="E40" s="30">
        <f>'Respondent Labor Burden Table'!J26</f>
        <v>56929.599999999999</v>
      </c>
      <c r="F40" s="74">
        <f>'Respondent Labor Burden Table'!K26</f>
        <v>35016.799999999996</v>
      </c>
      <c r="G40" s="33">
        <f>'Respondent Labor Burden Table'!L26</f>
        <v>3268897.6320000002</v>
      </c>
      <c r="H40" s="68">
        <f>'Respondent Labor Burden Table'!M26</f>
        <v>2186799.1599999997</v>
      </c>
    </row>
    <row r="41" spans="1:8" s="46" customFormat="1" x14ac:dyDescent="0.35">
      <c r="A41" s="38" t="s">
        <v>22</v>
      </c>
      <c r="B41" s="17">
        <f>'Respondent Labor Burden Table'!B27</f>
        <v>22.7</v>
      </c>
      <c r="C41" s="58">
        <f>'Respondent Labor Burden Table'!C27</f>
        <v>0</v>
      </c>
      <c r="D41" s="17">
        <f>'Respondent Labor Burden Table'!D27</f>
        <v>22.7</v>
      </c>
      <c r="E41" s="30">
        <f>'Respondent Labor Burden Table'!J27</f>
        <v>60450.1</v>
      </c>
      <c r="F41" s="74">
        <f>'Respondent Labor Burden Table'!K27</f>
        <v>37182.6</v>
      </c>
      <c r="G41" s="33">
        <f>'Respondent Labor Burden Table'!L27</f>
        <v>3471044.7420000001</v>
      </c>
      <c r="H41" s="68">
        <f>'Respondent Labor Burden Table'!M27</f>
        <v>2322053.37</v>
      </c>
    </row>
    <row r="42" spans="1:8" ht="30" customHeight="1" x14ac:dyDescent="0.35">
      <c r="A42" s="38" t="s">
        <v>9</v>
      </c>
      <c r="B42" s="17" t="str">
        <f>'Respondent Labor Burden Table'!B28</f>
        <v>Included in SWPPP development burden</v>
      </c>
      <c r="C42" s="114" t="str">
        <f>'Respondent Labor Burden Table'!C28</f>
        <v>-</v>
      </c>
      <c r="D42" s="115" t="str">
        <f>'Respondent Labor Burden Table'!D28</f>
        <v>-</v>
      </c>
      <c r="E42" s="41" t="str">
        <f>'Respondent Labor Burden Table'!J28</f>
        <v>-</v>
      </c>
      <c r="F42" s="67" t="str">
        <f>'Respondent Labor Burden Table'!K28</f>
        <v>-</v>
      </c>
      <c r="G42" s="45" t="str">
        <f>'Respondent Labor Burden Table'!L28</f>
        <v>-</v>
      </c>
      <c r="H42" s="66" t="str">
        <f>'Respondent Labor Burden Table'!M28</f>
        <v>-</v>
      </c>
    </row>
    <row r="43" spans="1:8" x14ac:dyDescent="0.35">
      <c r="A43" s="37" t="s">
        <v>97</v>
      </c>
      <c r="B43" s="17">
        <f>'Respondent Labor Burden Table'!B29</f>
        <v>0.5</v>
      </c>
      <c r="C43" s="74">
        <f>'Respondent Labor Burden Table'!C29</f>
        <v>0</v>
      </c>
      <c r="D43" s="17">
        <f>'Respondent Labor Burden Table'!D29</f>
        <v>0.5</v>
      </c>
      <c r="E43" s="30">
        <f>'Respondent Labor Burden Table'!J29</f>
        <v>20332</v>
      </c>
      <c r="F43" s="74">
        <f>'Respondent Labor Burden Table'!K29</f>
        <v>12506</v>
      </c>
      <c r="G43" s="33">
        <f>'Respondent Labor Burden Table'!L29</f>
        <v>1167463.44</v>
      </c>
      <c r="H43" s="68">
        <f>'Respondent Labor Burden Table'!M29</f>
        <v>780999.70000000007</v>
      </c>
    </row>
    <row r="44" spans="1:8" x14ac:dyDescent="0.35">
      <c r="A44" s="37" t="s">
        <v>98</v>
      </c>
      <c r="B44" s="17">
        <f>'Respondent Labor Burden Table'!B30</f>
        <v>0.25</v>
      </c>
      <c r="C44" s="74">
        <f>'Respondent Labor Burden Table'!C30</f>
        <v>0</v>
      </c>
      <c r="D44" s="17">
        <f>'Respondent Labor Burden Table'!D30</f>
        <v>0.25</v>
      </c>
      <c r="E44" s="30">
        <f>'Respondent Labor Burden Table'!J30</f>
        <v>17309.5</v>
      </c>
      <c r="F44" s="74">
        <f>'Respondent Labor Burden Table'!K30</f>
        <v>10647</v>
      </c>
      <c r="G44" s="33">
        <f>'Respondent Labor Burden Table'!L30</f>
        <v>993911.49</v>
      </c>
      <c r="H44" s="68">
        <f>'Respondent Labor Burden Table'!M30</f>
        <v>664905.15</v>
      </c>
    </row>
    <row r="45" spans="1:8" x14ac:dyDescent="0.35">
      <c r="A45" s="37" t="s">
        <v>96</v>
      </c>
      <c r="B45" s="17" t="str">
        <f>'Respondent Labor Burden Table'!B31</f>
        <v>NA</v>
      </c>
      <c r="C45" s="125">
        <f>'Respondent Labor Burden Table'!C31</f>
        <v>0.25</v>
      </c>
      <c r="D45" s="122">
        <f>'Respondent Labor Burden Table'!D31</f>
        <v>0.25</v>
      </c>
      <c r="E45" s="115" t="str">
        <f>'Respondent Labor Burden Table'!J31</f>
        <v>NA</v>
      </c>
      <c r="F45" s="74">
        <f>'Respondent Labor Burden Table'!K31</f>
        <v>18850</v>
      </c>
      <c r="G45" s="115" t="str">
        <f>'Respondent Labor Burden Table'!L31</f>
        <v>NA</v>
      </c>
      <c r="H45" s="68">
        <f>'Respondent Labor Burden Table'!M31</f>
        <v>1177182.5</v>
      </c>
    </row>
    <row r="46" spans="1:8" ht="29" x14ac:dyDescent="0.35">
      <c r="A46" s="38" t="s">
        <v>18</v>
      </c>
      <c r="B46" s="17" t="str">
        <f>'Respondent Labor Burden Table'!B32</f>
        <v>Included in inspection burden</v>
      </c>
      <c r="C46" s="114" t="str">
        <f>'Respondent Labor Burden Table'!C32</f>
        <v>-</v>
      </c>
      <c r="D46" s="115" t="str">
        <f>'Respondent Labor Burden Table'!D32</f>
        <v>-</v>
      </c>
      <c r="E46" s="41" t="str">
        <f>'Respondent Labor Burden Table'!J32</f>
        <v>-</v>
      </c>
      <c r="F46" s="67" t="str">
        <f>'Respondent Labor Burden Table'!K32</f>
        <v>-</v>
      </c>
      <c r="G46" s="45" t="str">
        <f>'Respondent Labor Burden Table'!L32</f>
        <v>-</v>
      </c>
      <c r="H46" s="66" t="str">
        <f>'Respondent Labor Burden Table'!M32</f>
        <v>-</v>
      </c>
    </row>
    <row r="47" spans="1:8" x14ac:dyDescent="0.35">
      <c r="A47" s="134" t="s">
        <v>13</v>
      </c>
      <c r="B47" s="177"/>
      <c r="C47" s="177"/>
      <c r="D47" s="177"/>
      <c r="E47" s="135">
        <f>'Respondent Labor Burden Table'!J33</f>
        <v>155021.20000000001</v>
      </c>
      <c r="F47" s="136">
        <f>'Respondent Labor Burden Table'!K33</f>
        <v>114202.4</v>
      </c>
      <c r="G47" s="137">
        <f>'Respondent Labor Burden Table'!L33</f>
        <v>8901317.3039999995</v>
      </c>
      <c r="H47" s="138">
        <f>'Respondent Labor Burden Table'!M33</f>
        <v>7131939.8799999999</v>
      </c>
    </row>
    <row r="48" spans="1:8" x14ac:dyDescent="0.35">
      <c r="A48" s="20" t="s">
        <v>2</v>
      </c>
      <c r="B48" s="177"/>
      <c r="C48" s="177"/>
      <c r="D48" s="177"/>
      <c r="E48" s="128">
        <f>'Respondent Labor Burden Table'!J34</f>
        <v>173634.19200000001</v>
      </c>
      <c r="F48" s="127">
        <f>'Respondent Labor Burden Table'!K34</f>
        <v>126567.23599999999</v>
      </c>
      <c r="G48" s="129">
        <f>'Respondent Labor Burden Table'!L34</f>
        <v>9970075.3046399988</v>
      </c>
      <c r="H48" s="130">
        <f>'Respondent Labor Burden Table'!M34</f>
        <v>7904123.8881999999</v>
      </c>
    </row>
    <row r="52" spans="1:3" ht="15" thickBot="1" x14ac:dyDescent="0.4"/>
    <row r="53" spans="1:3" ht="15" thickBot="1" x14ac:dyDescent="0.4">
      <c r="A53" s="179" t="s">
        <v>129</v>
      </c>
      <c r="B53" s="180"/>
      <c r="C53" s="181"/>
    </row>
    <row r="54" spans="1:3" ht="29.5" thickBot="1" x14ac:dyDescent="0.4">
      <c r="A54" s="144"/>
      <c r="B54" s="141" t="s">
        <v>109</v>
      </c>
      <c r="C54" s="141" t="s">
        <v>110</v>
      </c>
    </row>
    <row r="55" spans="1:3" ht="15" thickBot="1" x14ac:dyDescent="0.4">
      <c r="A55" s="140" t="s">
        <v>118</v>
      </c>
      <c r="B55" s="145">
        <f>'Number of Respondents'!D3</f>
        <v>2600</v>
      </c>
      <c r="C55" s="145">
        <f>'Number of Respondents'!D3-'Number of Respondents'!C2</f>
        <v>-1627</v>
      </c>
    </row>
    <row r="56" spans="1:3" ht="15" thickBot="1" x14ac:dyDescent="0.4">
      <c r="A56" s="140" t="s">
        <v>111</v>
      </c>
      <c r="B56" s="146">
        <f>'Respondent Labor Burden Table'!I34</f>
        <v>151056</v>
      </c>
      <c r="C56" s="146">
        <f>'Respondent Labor Burden Table'!I34-'Respondent Labor Burden Table'!H34</f>
        <v>28059</v>
      </c>
    </row>
    <row r="57" spans="1:3" ht="15" thickBot="1" x14ac:dyDescent="0.4">
      <c r="A57" s="140" t="s">
        <v>112</v>
      </c>
      <c r="B57" s="146">
        <f>'Respondent Labor Burden Table'!K34</f>
        <v>126567.23599999999</v>
      </c>
      <c r="C57" s="143">
        <f>'Respondent Labor Burden Table'!K34-'Respondent Labor Burden Table'!J34</f>
        <v>-47066.95600000002</v>
      </c>
    </row>
    <row r="58" spans="1:3" ht="15" thickBot="1" x14ac:dyDescent="0.4">
      <c r="A58" s="140" t="s">
        <v>113</v>
      </c>
      <c r="B58" s="147">
        <f>'Respondent Labor Burden Table'!M34</f>
        <v>7904123.8881999999</v>
      </c>
      <c r="C58" s="147">
        <f>'Respondent Labor Burden Table'!M34-'Respondent Labor Burden Table'!L34</f>
        <v>-2065951.4164399989</v>
      </c>
    </row>
    <row r="59" spans="1:3" ht="15" thickBot="1" x14ac:dyDescent="0.4">
      <c r="A59" s="140" t="s">
        <v>114</v>
      </c>
      <c r="B59" s="142" t="s">
        <v>117</v>
      </c>
      <c r="C59" s="142" t="s">
        <v>117</v>
      </c>
    </row>
    <row r="60" spans="1:3" ht="15" thickBot="1" x14ac:dyDescent="0.4">
      <c r="A60" s="140" t="s">
        <v>115</v>
      </c>
      <c r="B60" s="142" t="s">
        <v>117</v>
      </c>
      <c r="C60" s="142" t="s">
        <v>117</v>
      </c>
    </row>
    <row r="61" spans="1:3" ht="15" thickBot="1" x14ac:dyDescent="0.4">
      <c r="A61" s="140" t="s">
        <v>116</v>
      </c>
      <c r="B61" s="148">
        <f>B58</f>
        <v>7904123.8881999999</v>
      </c>
      <c r="C61" s="148">
        <f>C58</f>
        <v>-2065951.4164399989</v>
      </c>
    </row>
    <row r="64" spans="1:3" ht="15" thickBot="1" x14ac:dyDescent="0.4"/>
    <row r="65" spans="1:3" ht="15" thickBot="1" x14ac:dyDescent="0.4">
      <c r="A65" s="179" t="s">
        <v>130</v>
      </c>
      <c r="B65" s="180"/>
      <c r="C65" s="181"/>
    </row>
    <row r="66" spans="1:3" ht="29.5" thickBot="1" x14ac:dyDescent="0.4">
      <c r="A66" s="140"/>
      <c r="B66" s="141" t="s">
        <v>109</v>
      </c>
      <c r="C66" s="141" t="s">
        <v>110</v>
      </c>
    </row>
    <row r="67" spans="1:3" ht="15" thickBot="1" x14ac:dyDescent="0.4">
      <c r="A67" s="140" t="s">
        <v>111</v>
      </c>
      <c r="B67" s="143">
        <f>'Agency Burden Data Table'!F10</f>
        <v>8056</v>
      </c>
      <c r="C67" s="143">
        <f>'Agency Burden Data Table'!F10-'Agency Burden Data Table'!E10</f>
        <v>-5039</v>
      </c>
    </row>
    <row r="68" spans="1:3" ht="15" thickBot="1" x14ac:dyDescent="0.4">
      <c r="A68" s="140" t="s">
        <v>112</v>
      </c>
      <c r="B68" s="143">
        <f>'Agency Burden Data Table'!H10</f>
        <v>7492</v>
      </c>
      <c r="C68" s="143">
        <f>'Agency Burden Data Table'!H10-'Agency Burden Data Table'!G10</f>
        <v>-4665.75</v>
      </c>
    </row>
    <row r="69" spans="1:3" ht="15" thickBot="1" x14ac:dyDescent="0.4">
      <c r="A69" s="140" t="s">
        <v>113</v>
      </c>
      <c r="B69" s="148">
        <f>'Agency Burden Data Table'!J10</f>
        <v>341859.96</v>
      </c>
      <c r="C69" s="148">
        <f>'Agency Burden Data Table'!J10-'Agency Burden Data Table'!I10</f>
        <v>-178734.89500000002</v>
      </c>
    </row>
    <row r="70" spans="1:3" ht="15" thickBot="1" x14ac:dyDescent="0.4">
      <c r="A70" s="140" t="s">
        <v>114</v>
      </c>
      <c r="B70" s="142" t="s">
        <v>117</v>
      </c>
      <c r="C70" s="142" t="s">
        <v>117</v>
      </c>
    </row>
    <row r="71" spans="1:3" ht="15" thickBot="1" x14ac:dyDescent="0.4">
      <c r="A71" s="140" t="s">
        <v>115</v>
      </c>
      <c r="B71" s="142" t="s">
        <v>117</v>
      </c>
      <c r="C71" s="142" t="s">
        <v>117</v>
      </c>
    </row>
    <row r="72" spans="1:3" ht="15" thickBot="1" x14ac:dyDescent="0.4">
      <c r="A72" s="140" t="s">
        <v>116</v>
      </c>
      <c r="B72" s="148">
        <f>B69</f>
        <v>341859.96</v>
      </c>
      <c r="C72" s="148">
        <f>C69</f>
        <v>-178734.89500000002</v>
      </c>
    </row>
    <row r="74" spans="1:3" x14ac:dyDescent="0.35">
      <c r="A74" s="154" t="s">
        <v>134</v>
      </c>
      <c r="B74" t="s">
        <v>109</v>
      </c>
      <c r="C74" t="s">
        <v>135</v>
      </c>
    </row>
    <row r="75" spans="1:3" x14ac:dyDescent="0.35">
      <c r="A75" s="154" t="s">
        <v>132</v>
      </c>
      <c r="B75" s="155">
        <f>B57/B55</f>
        <v>48.679706153846148</v>
      </c>
      <c r="C75" s="155">
        <f>C57/C55</f>
        <v>28.928676090964977</v>
      </c>
    </row>
    <row r="76" spans="1:3" x14ac:dyDescent="0.35">
      <c r="A76" s="154" t="s">
        <v>133</v>
      </c>
      <c r="B76" s="156">
        <f>B57/B56</f>
        <v>0.83788287787310656</v>
      </c>
      <c r="C76" s="156">
        <f>C57/C56</f>
        <v>-1.6774281335756804</v>
      </c>
    </row>
  </sheetData>
  <mergeCells count="20">
    <mergeCell ref="A65:C65"/>
    <mergeCell ref="A53:C53"/>
    <mergeCell ref="B48:D48"/>
    <mergeCell ref="A2:A3"/>
    <mergeCell ref="B2:C2"/>
    <mergeCell ref="D2:E2"/>
    <mergeCell ref="B47:D47"/>
    <mergeCell ref="A17:A18"/>
    <mergeCell ref="E17:F17"/>
    <mergeCell ref="B19:H19"/>
    <mergeCell ref="B20:H20"/>
    <mergeCell ref="F2:G2"/>
    <mergeCell ref="B7:D7"/>
    <mergeCell ref="E7:F7"/>
    <mergeCell ref="G7:H7"/>
    <mergeCell ref="B29:H29"/>
    <mergeCell ref="B17:D17"/>
    <mergeCell ref="B38:D38"/>
    <mergeCell ref="B39:H39"/>
    <mergeCell ref="G17:H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53D14-84CE-4049-A937-D8A72DD72D4C}">
  <dimension ref="A1:M24"/>
  <sheetViews>
    <sheetView topLeftCell="A7" workbookViewId="0">
      <selection activeCell="J25" sqref="J25"/>
    </sheetView>
  </sheetViews>
  <sheetFormatPr defaultRowHeight="14.5" x14ac:dyDescent="0.35"/>
  <cols>
    <col min="1" max="1" width="41" customWidth="1"/>
  </cols>
  <sheetData>
    <row r="1" spans="1:13" x14ac:dyDescent="0.35">
      <c r="A1" t="s">
        <v>107</v>
      </c>
    </row>
    <row r="3" spans="1:13" x14ac:dyDescent="0.35">
      <c r="A3" s="133" t="s">
        <v>101</v>
      </c>
      <c r="B3" s="193" t="s">
        <v>6</v>
      </c>
      <c r="C3" s="194"/>
      <c r="D3" s="194"/>
      <c r="E3" s="188"/>
      <c r="F3" s="165"/>
      <c r="G3" s="164" t="s">
        <v>15</v>
      </c>
      <c r="H3" s="188"/>
      <c r="I3" s="188"/>
      <c r="J3" s="189" t="s">
        <v>56</v>
      </c>
      <c r="K3" s="190"/>
      <c r="L3" s="189" t="s">
        <v>57</v>
      </c>
      <c r="M3" s="191"/>
    </row>
    <row r="4" spans="1:13" ht="84" x14ac:dyDescent="0.35">
      <c r="A4" s="35" t="s">
        <v>1</v>
      </c>
      <c r="B4" s="36" t="s">
        <v>26</v>
      </c>
      <c r="C4" s="36" t="s">
        <v>85</v>
      </c>
      <c r="D4" s="36" t="s">
        <v>86</v>
      </c>
      <c r="E4" s="16" t="s">
        <v>53</v>
      </c>
      <c r="F4" s="16" t="s">
        <v>87</v>
      </c>
      <c r="G4" s="16" t="s">
        <v>10</v>
      </c>
      <c r="H4" s="16" t="s">
        <v>54</v>
      </c>
      <c r="I4" s="16" t="s">
        <v>88</v>
      </c>
      <c r="J4" s="34" t="s">
        <v>27</v>
      </c>
      <c r="K4" s="34" t="s">
        <v>89</v>
      </c>
      <c r="L4" s="35" t="s">
        <v>80</v>
      </c>
      <c r="M4" s="35" t="s">
        <v>90</v>
      </c>
    </row>
    <row r="5" spans="1:13" x14ac:dyDescent="0.35">
      <c r="A5" s="38" t="s">
        <v>77</v>
      </c>
      <c r="B5" s="53" t="s">
        <v>0</v>
      </c>
      <c r="C5" s="120">
        <v>0.25</v>
      </c>
      <c r="D5" s="17">
        <f>C5</f>
        <v>0.25</v>
      </c>
      <c r="E5" s="54" t="s">
        <v>37</v>
      </c>
      <c r="F5" s="66">
        <f>'Potential Turbidity Monitoring'!D11</f>
        <v>468</v>
      </c>
      <c r="G5" s="29">
        <f>(7*1)+(2*11)</f>
        <v>29</v>
      </c>
      <c r="H5" s="54" t="s">
        <v>37</v>
      </c>
      <c r="I5" s="67">
        <f>F5*G5</f>
        <v>13572</v>
      </c>
      <c r="J5" s="54" t="s">
        <v>37</v>
      </c>
      <c r="K5" s="74">
        <f>I5*D5</f>
        <v>3393</v>
      </c>
      <c r="L5" s="54" t="s">
        <v>37</v>
      </c>
      <c r="M5" s="68">
        <f>K5*'Respondent Labor Burden Table'!$M$2</f>
        <v>211892.85</v>
      </c>
    </row>
    <row r="6" spans="1:13" x14ac:dyDescent="0.35">
      <c r="A6" s="38" t="s">
        <v>78</v>
      </c>
      <c r="B6" s="53" t="s">
        <v>0</v>
      </c>
      <c r="C6" s="99">
        <f>'Potential Turbidity Monitoring'!B18</f>
        <v>0.25</v>
      </c>
      <c r="D6" s="17">
        <f>C6</f>
        <v>0.25</v>
      </c>
      <c r="E6" s="54" t="s">
        <v>37</v>
      </c>
      <c r="F6" s="66">
        <f>'Potential Turbidity Monitoring'!D11</f>
        <v>468</v>
      </c>
      <c r="G6" s="17">
        <v>4</v>
      </c>
      <c r="H6" s="54" t="s">
        <v>37</v>
      </c>
      <c r="I6" s="67">
        <f>F6*G6</f>
        <v>1872</v>
      </c>
      <c r="J6" s="54" t="s">
        <v>37</v>
      </c>
      <c r="K6" s="74">
        <f>I6*D6</f>
        <v>468</v>
      </c>
      <c r="L6" s="54" t="s">
        <v>37</v>
      </c>
      <c r="M6" s="68">
        <f>K6*'Respondent Labor Burden Table'!$M$2</f>
        <v>29226.600000000002</v>
      </c>
    </row>
    <row r="9" spans="1:13" x14ac:dyDescent="0.35">
      <c r="A9" s="132" t="s">
        <v>99</v>
      </c>
    </row>
    <row r="10" spans="1:13" ht="72.5" x14ac:dyDescent="0.35">
      <c r="A10" s="100"/>
      <c r="B10" s="85" t="s">
        <v>66</v>
      </c>
      <c r="C10" s="117" t="s">
        <v>63</v>
      </c>
      <c r="D10" s="116" t="s">
        <v>60</v>
      </c>
      <c r="E10" s="78" t="s">
        <v>8</v>
      </c>
    </row>
    <row r="11" spans="1:13" x14ac:dyDescent="0.35">
      <c r="A11" s="106" t="s">
        <v>72</v>
      </c>
      <c r="B11" s="110">
        <v>0.18</v>
      </c>
      <c r="C11" s="91" t="s">
        <v>0</v>
      </c>
      <c r="D11" s="108">
        <f>ROUND('Number of Respondents'!D$3*$B11,0)</f>
        <v>468</v>
      </c>
      <c r="E11" s="109"/>
    </row>
    <row r="14" spans="1:13" x14ac:dyDescent="0.35">
      <c r="A14" s="132" t="s">
        <v>100</v>
      </c>
    </row>
    <row r="15" spans="1:13" x14ac:dyDescent="0.35">
      <c r="A15" s="192" t="s">
        <v>73</v>
      </c>
      <c r="B15" s="192"/>
      <c r="C15" s="97" t="s">
        <v>8</v>
      </c>
    </row>
    <row r="16" spans="1:13" ht="16.5" x14ac:dyDescent="0.35">
      <c r="A16" s="96" t="s">
        <v>69</v>
      </c>
      <c r="B16" s="95">
        <f>3.535/60</f>
        <v>5.8916666666666666E-2</v>
      </c>
      <c r="C16" s="131" t="s">
        <v>70</v>
      </c>
    </row>
    <row r="17" spans="1:10" x14ac:dyDescent="0.35">
      <c r="A17" s="77" t="s">
        <v>75</v>
      </c>
      <c r="B17" s="77">
        <v>4</v>
      </c>
      <c r="C17" s="77" t="s">
        <v>74</v>
      </c>
    </row>
    <row r="18" spans="1:10" x14ac:dyDescent="0.35">
      <c r="A18" s="77" t="s">
        <v>71</v>
      </c>
      <c r="B18" s="98">
        <f>MROUND(B16*B17,0.05)</f>
        <v>0.25</v>
      </c>
      <c r="C18" s="77"/>
    </row>
    <row r="21" spans="1:10" x14ac:dyDescent="0.35">
      <c r="A21" s="132" t="s">
        <v>108</v>
      </c>
      <c r="B21" s="163" t="s">
        <v>6</v>
      </c>
      <c r="C21" s="163"/>
      <c r="D21" s="163"/>
      <c r="E21" s="164" t="s">
        <v>15</v>
      </c>
      <c r="F21" s="165"/>
      <c r="G21" s="11"/>
      <c r="H21" s="3"/>
      <c r="I21" s="47"/>
      <c r="J21" s="4"/>
    </row>
    <row r="22" spans="1:10" ht="116" x14ac:dyDescent="0.35">
      <c r="A22" s="124" t="s">
        <v>1</v>
      </c>
      <c r="B22" s="48" t="s">
        <v>30</v>
      </c>
      <c r="C22" s="48" t="s">
        <v>85</v>
      </c>
      <c r="D22" s="48" t="s">
        <v>92</v>
      </c>
      <c r="E22" s="49" t="s">
        <v>55</v>
      </c>
      <c r="F22" s="49" t="s">
        <v>93</v>
      </c>
      <c r="G22" s="51" t="s">
        <v>27</v>
      </c>
      <c r="H22" s="51" t="s">
        <v>94</v>
      </c>
      <c r="I22" s="124" t="s">
        <v>31</v>
      </c>
      <c r="J22" s="124" t="s">
        <v>95</v>
      </c>
    </row>
    <row r="23" spans="1:10" x14ac:dyDescent="0.35">
      <c r="A23" s="19" t="s">
        <v>81</v>
      </c>
      <c r="B23" s="17" t="s">
        <v>0</v>
      </c>
      <c r="C23" s="120">
        <v>0.16</v>
      </c>
      <c r="D23" s="17">
        <f>C23</f>
        <v>0.16</v>
      </c>
      <c r="E23" s="29" t="s">
        <v>0</v>
      </c>
      <c r="F23" s="74">
        <f>'Potential Turbidity Monitoring'!F6</f>
        <v>468</v>
      </c>
      <c r="G23" s="26" t="s">
        <v>0</v>
      </c>
      <c r="H23" s="66" t="str">
        <f>D23&amp;F23</f>
        <v>0.16468</v>
      </c>
      <c r="I23" s="25" t="s">
        <v>0</v>
      </c>
      <c r="J23" s="75">
        <f>H23*'Agency Burden Data Table'!$J$2</f>
        <v>7.5143484000000003</v>
      </c>
    </row>
    <row r="24" spans="1:10" ht="29" x14ac:dyDescent="0.35">
      <c r="A24" s="19" t="s">
        <v>82</v>
      </c>
      <c r="B24" s="17" t="s">
        <v>0</v>
      </c>
      <c r="C24" s="120">
        <v>0.5</v>
      </c>
      <c r="D24" s="17">
        <f>C24</f>
        <v>0.5</v>
      </c>
      <c r="E24" s="29" t="s">
        <v>0</v>
      </c>
      <c r="F24" s="74">
        <f>0.2*F23</f>
        <v>93.600000000000009</v>
      </c>
      <c r="G24" s="26" t="s">
        <v>0</v>
      </c>
      <c r="H24" s="66" t="str">
        <f>D24&amp;F24</f>
        <v>0.593.6</v>
      </c>
      <c r="I24" s="25" t="s">
        <v>0</v>
      </c>
      <c r="J24" s="75" t="e">
        <f>H24*'Agency Burden Data Table'!$J$2</f>
        <v>#VALUE!</v>
      </c>
    </row>
  </sheetData>
  <mergeCells count="8">
    <mergeCell ref="G3:I3"/>
    <mergeCell ref="J3:K3"/>
    <mergeCell ref="L3:M3"/>
    <mergeCell ref="A15:B15"/>
    <mergeCell ref="B21:D21"/>
    <mergeCell ref="E21:F21"/>
    <mergeCell ref="B3:D3"/>
    <mergeCell ref="E3:F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0ACB7C1F6B6B4480061A8E7956CAC7" ma:contentTypeVersion="16" ma:contentTypeDescription="Create a new document." ma:contentTypeScope="" ma:versionID="a95a97af1d9de9647ef1cbb233a526a3">
  <xsd:schema xmlns:xsd="http://www.w3.org/2001/XMLSchema" xmlns:xs="http://www.w3.org/2001/XMLSchema" xmlns:p="http://schemas.microsoft.com/office/2006/metadata/properties" xmlns:ns2="1562138c-4bcd-4fd2-8fce-5ba9c71963ed" xmlns:ns3="482368fe-1f2c-4925-aca9-7da8b158bdf4" xmlns:ns4="http://schemas.microsoft.com/sharepoint.v3" targetNamespace="http://schemas.microsoft.com/office/2006/metadata/properties" ma:root="true" ma:fieldsID="38a39e1cdfe04d7d486211bddb22a51e" ns2:_="" ns3:_="" ns4:_="">
    <xsd:import namespace="1562138c-4bcd-4fd2-8fce-5ba9c71963ed"/>
    <xsd:import namespace="482368fe-1f2c-4925-aca9-7da8b158bdf4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CategoryDescriptio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2138c-4bcd-4fd2-8fce-5ba9c71963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368fe-1f2c-4925-aca9-7da8b158b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14" nillable="true" ma:displayName="Description" ma:internalName="CategoryDescript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Description xmlns="http://schemas.microsoft.com/sharepoint.v3" xsi:nil="true"/>
  </documentManagement>
</p:properties>
</file>

<file path=customXml/itemProps1.xml><?xml version="1.0" encoding="utf-8"?>
<ds:datastoreItem xmlns:ds="http://schemas.openxmlformats.org/officeDocument/2006/customXml" ds:itemID="{78CA91E3-49E5-4E50-99E0-39CFA9CEB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62138c-4bcd-4fd2-8fce-5ba9c71963ed"/>
    <ds:schemaRef ds:uri="482368fe-1f2c-4925-aca9-7da8b158bdf4"/>
    <ds:schemaRef ds:uri="http://schemas.microsoft.com/sharepoint.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5327CC-BCAD-44F5-B098-113F2748A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58DE41-ABB8-4BBA-AACF-1EE899373AAC}">
  <ds:schemaRefs>
    <ds:schemaRef ds:uri="1562138c-4bcd-4fd2-8fce-5ba9c71963e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sharepoint.v3"/>
    <ds:schemaRef ds:uri="482368fe-1f2c-4925-aca9-7da8b158bdf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Agency Burden Data Table</vt:lpstr>
      <vt:lpstr>Respondent Labor Burden Table</vt:lpstr>
      <vt:lpstr>Number of Respondents</vt:lpstr>
      <vt:lpstr>Tables for SS</vt:lpstr>
      <vt:lpstr>Potential Turbidity Monitoring</vt:lpstr>
      <vt:lpstr>'Tables for SS'!_Ref63629561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Farris, Erika D.</dc:creator>
  <cp:lastModifiedBy>Kerwin, Courtney</cp:lastModifiedBy>
  <dcterms:created xsi:type="dcterms:W3CDTF">2019-07-22T14:43:59Z</dcterms:created>
  <dcterms:modified xsi:type="dcterms:W3CDTF">2022-01-14T15:10:12Z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0x0101003B0ACB7C1F6B6B4480061A8E7956CAC7</vt:lpwstr>
  </property>
</Properties>
</file>