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https://usepa-my.sharepoint.com/personal/wrigley_william_epa_gov/Documents/Desktop/temp/"/>
    </mc:Choice>
  </mc:AlternateContent>
  <xr:revisionPtr revIDLastSave="0" documentId="8_{34C0E84D-66B9-48C5-97C2-84AF2B493BA0}" xr6:coauthVersionLast="45" xr6:coauthVersionMax="45" xr10:uidLastSave="{00000000-0000-0000-0000-000000000000}"/>
  <bookViews>
    <workbookView xWindow="-110" yWindow="-110" windowWidth="19420" windowHeight="10420" xr2:uid="{00000000-000D-0000-FFFF-FFFF00000000}"/>
  </bookViews>
  <sheets>
    <sheet name="Table 1" sheetId="1" r:id="rId1"/>
    <sheet name="Table 2" sheetId="2" r:id="rId2"/>
    <sheet name="O&amp;M" sheetId="3" r:id="rId3"/>
  </sheets>
  <externalReferences>
    <externalReference r:id="rId4"/>
  </externalReferences>
  <definedNames>
    <definedName name="OLE_LINK1" localSheetId="1">'Table 2'!$A$23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47" i="3" l="1"/>
  <c r="K48" i="1"/>
  <c r="I50" i="1" l="1"/>
  <c r="I48" i="1"/>
  <c r="F48" i="1"/>
  <c r="I35" i="1"/>
  <c r="F35" i="1"/>
  <c r="G24" i="3" l="1"/>
  <c r="G23" i="3"/>
  <c r="G22" i="3"/>
  <c r="G20" i="3"/>
  <c r="G19" i="3"/>
  <c r="G18" i="3"/>
  <c r="E18" i="2" l="1"/>
  <c r="E7" i="2"/>
  <c r="E8" i="2"/>
  <c r="E6" i="2"/>
  <c r="E11" i="2"/>
  <c r="E12" i="2"/>
  <c r="E10" i="2"/>
  <c r="E16" i="2"/>
  <c r="E15" i="2"/>
  <c r="E14" i="2"/>
  <c r="E41" i="3" l="1"/>
  <c r="D19" i="3"/>
  <c r="D18" i="3"/>
  <c r="D17" i="3"/>
  <c r="E46" i="3"/>
  <c r="B45" i="3"/>
  <c r="E45" i="3" s="1"/>
  <c r="B44" i="3"/>
  <c r="E44" i="3" s="1"/>
  <c r="B43" i="3"/>
  <c r="E43" i="3" s="1"/>
  <c r="B42" i="3"/>
  <c r="E42" i="3" s="1"/>
  <c r="E40" i="3"/>
  <c r="E39" i="3"/>
  <c r="E38" i="3"/>
  <c r="E37" i="3"/>
  <c r="D21" i="3"/>
  <c r="D24" i="3" s="1"/>
  <c r="D20" i="3"/>
  <c r="E19" i="3"/>
  <c r="E18" i="3"/>
  <c r="E20" i="3" s="1"/>
  <c r="E17" i="3"/>
  <c r="E10" i="3"/>
  <c r="D10" i="3"/>
  <c r="C10" i="3"/>
  <c r="B10" i="3"/>
  <c r="F9" i="3"/>
  <c r="F8" i="3"/>
  <c r="F7" i="3"/>
  <c r="F47" i="1"/>
  <c r="F10" i="3" l="1"/>
  <c r="G17" i="3" s="1"/>
  <c r="D12" i="2"/>
  <c r="F12" i="2" s="1"/>
  <c r="G12" i="2" s="1"/>
  <c r="H24" i="3" l="1"/>
  <c r="I49" i="1" s="1"/>
  <c r="H12" i="2"/>
  <c r="I12" i="2" s="1"/>
  <c r="D16" i="1"/>
  <c r="F16" i="1" s="1"/>
  <c r="G16" i="1" s="1"/>
  <c r="H16" i="1" l="1"/>
  <c r="I16" i="1" s="1"/>
  <c r="D39" i="1"/>
  <c r="F39" i="1" s="1"/>
  <c r="D29" i="1"/>
  <c r="F29" i="1" s="1"/>
  <c r="G29" i="1" l="1"/>
  <c r="H29" i="1"/>
  <c r="I29" i="1" s="1"/>
  <c r="G39" i="1"/>
  <c r="I39" i="1" s="1"/>
  <c r="H39" i="1"/>
  <c r="D7" i="2" l="1"/>
  <c r="F7" i="2" s="1"/>
  <c r="D8" i="2"/>
  <c r="F8" i="2" s="1"/>
  <c r="D10" i="2"/>
  <c r="F10" i="2" s="1"/>
  <c r="G10" i="2" s="1"/>
  <c r="D11" i="2"/>
  <c r="F11" i="2" s="1"/>
  <c r="G11" i="2" s="1"/>
  <c r="D14" i="2"/>
  <c r="F14" i="2" s="1"/>
  <c r="G14" i="2" s="1"/>
  <c r="D15" i="2"/>
  <c r="F15" i="2" s="1"/>
  <c r="G15" i="2" s="1"/>
  <c r="D16" i="2"/>
  <c r="F16" i="2" s="1"/>
  <c r="G16" i="2" s="1"/>
  <c r="D18" i="2"/>
  <c r="F18" i="2" s="1"/>
  <c r="G18" i="2" s="1"/>
  <c r="D6" i="2"/>
  <c r="F6" i="2" s="1"/>
  <c r="G6" i="2" l="1"/>
  <c r="H6" i="2"/>
  <c r="H8" i="2"/>
  <c r="G8" i="2"/>
  <c r="H7" i="2"/>
  <c r="G7" i="2"/>
  <c r="H18" i="2"/>
  <c r="I18" i="2" s="1"/>
  <c r="H16" i="2"/>
  <c r="I16" i="2" s="1"/>
  <c r="H15" i="2"/>
  <c r="I15" i="2" s="1"/>
  <c r="H14" i="2"/>
  <c r="H11" i="2"/>
  <c r="I11" i="2" s="1"/>
  <c r="H10" i="2"/>
  <c r="I10" i="2" s="1"/>
  <c r="D45" i="1"/>
  <c r="F45" i="1" s="1"/>
  <c r="D10" i="1"/>
  <c r="F10" i="1" s="1"/>
  <c r="G10" i="1" s="1"/>
  <c r="D12" i="1"/>
  <c r="F12" i="1" s="1"/>
  <c r="G12" i="1" s="1"/>
  <c r="D13" i="1"/>
  <c r="F13" i="1" s="1"/>
  <c r="G13" i="1" s="1"/>
  <c r="D14" i="1"/>
  <c r="F14" i="1" s="1"/>
  <c r="G14" i="1" s="1"/>
  <c r="D15" i="1"/>
  <c r="F15" i="1" s="1"/>
  <c r="D17" i="1"/>
  <c r="F17" i="1" s="1"/>
  <c r="G17" i="1" s="1"/>
  <c r="D18" i="1"/>
  <c r="F18" i="1" s="1"/>
  <c r="G18" i="1" s="1"/>
  <c r="D19" i="1"/>
  <c r="F19" i="1" s="1"/>
  <c r="D23" i="1"/>
  <c r="F23" i="1" s="1"/>
  <c r="G23" i="1" s="1"/>
  <c r="D24" i="1"/>
  <c r="F24" i="1" s="1"/>
  <c r="G24" i="1" s="1"/>
  <c r="D25" i="1"/>
  <c r="F25" i="1" s="1"/>
  <c r="G25" i="1" s="1"/>
  <c r="D27" i="1"/>
  <c r="F27" i="1" s="1"/>
  <c r="G27" i="1" s="1"/>
  <c r="D28" i="1"/>
  <c r="F28" i="1" s="1"/>
  <c r="G28" i="1" s="1"/>
  <c r="D32" i="1"/>
  <c r="F32" i="1" s="1"/>
  <c r="G32" i="1" s="1"/>
  <c r="D33" i="1"/>
  <c r="F33" i="1" s="1"/>
  <c r="G33" i="1" s="1"/>
  <c r="D34" i="1"/>
  <c r="F34" i="1" s="1"/>
  <c r="G34" i="1" s="1"/>
  <c r="D42" i="1"/>
  <c r="F42" i="1" s="1"/>
  <c r="D9" i="1"/>
  <c r="F9" i="1" s="1"/>
  <c r="I6" i="2" l="1"/>
  <c r="I7" i="2"/>
  <c r="I8" i="2"/>
  <c r="I14" i="2"/>
  <c r="F19" i="2"/>
  <c r="H15" i="1"/>
  <c r="G15" i="1"/>
  <c r="H19" i="1"/>
  <c r="G19" i="1"/>
  <c r="H9" i="1"/>
  <c r="G9" i="1"/>
  <c r="G45" i="1"/>
  <c r="H45" i="1"/>
  <c r="G42" i="1"/>
  <c r="H42" i="1"/>
  <c r="H34" i="1"/>
  <c r="I34" i="1" s="1"/>
  <c r="H33" i="1"/>
  <c r="I33" i="1" s="1"/>
  <c r="H32" i="1"/>
  <c r="I32" i="1" s="1"/>
  <c r="H28" i="1"/>
  <c r="I28" i="1" s="1"/>
  <c r="H27" i="1"/>
  <c r="I27" i="1" s="1"/>
  <c r="H25" i="1"/>
  <c r="I25" i="1" s="1"/>
  <c r="H24" i="1"/>
  <c r="I24" i="1" s="1"/>
  <c r="H23" i="1"/>
  <c r="I23" i="1" s="1"/>
  <c r="H18" i="1"/>
  <c r="I18" i="1" s="1"/>
  <c r="H17" i="1"/>
  <c r="I17" i="1" s="1"/>
  <c r="H14" i="1"/>
  <c r="H13" i="1"/>
  <c r="I13" i="1" s="1"/>
  <c r="H12" i="1"/>
  <c r="I12" i="1" s="1"/>
  <c r="H10" i="1"/>
  <c r="I10" i="1" s="1"/>
  <c r="I19" i="2" l="1"/>
  <c r="I15" i="1"/>
  <c r="I9" i="1"/>
  <c r="I19" i="1"/>
  <c r="I42" i="1"/>
  <c r="I14" i="1"/>
  <c r="I45" i="1"/>
  <c r="I47" i="1" l="1"/>
  <c r="L48" i="1"/>
</calcChain>
</file>

<file path=xl/sharedStrings.xml><?xml version="1.0" encoding="utf-8"?>
<sst xmlns="http://schemas.openxmlformats.org/spreadsheetml/2006/main" count="225" uniqueCount="171">
  <si>
    <r>
      <t xml:space="preserve">Table 1: Annual Respondent Burden and Cost – </t>
    </r>
    <r>
      <rPr>
        <b/>
        <sz val="12"/>
        <color theme="1"/>
        <rFont val="Times New Roman"/>
        <family val="1"/>
      </rPr>
      <t>NESHAP for Primary Aluminum Reduction Plants (40 CFR Part 63, Subpart LL) (Renewal)</t>
    </r>
  </si>
  <si>
    <t xml:space="preserve">(A) </t>
  </si>
  <si>
    <t>Person-hours per occurrence</t>
  </si>
  <si>
    <t xml:space="preserve">(B) </t>
  </si>
  <si>
    <t>No. of occurrences per respondent per year</t>
  </si>
  <si>
    <t xml:space="preserve">(C) </t>
  </si>
  <si>
    <t xml:space="preserve">(H) </t>
  </si>
  <si>
    <t>1. Applications</t>
  </si>
  <si>
    <t>N/A</t>
  </si>
  <si>
    <t>2. Surveys and Studies</t>
  </si>
  <si>
    <t>3. Reporting Requirements</t>
  </si>
  <si>
    <t xml:space="preserve">B. Required activities </t>
  </si>
  <si>
    <t>Daily Monitoring</t>
  </si>
  <si>
    <t>C. Create information</t>
  </si>
  <si>
    <t>D. Gather existing information</t>
  </si>
  <si>
    <t>E. Write report</t>
  </si>
  <si>
    <t>Notification of special compliance requirements</t>
  </si>
  <si>
    <t>NESHAP waiver application</t>
  </si>
  <si>
    <t>Report of performance test</t>
  </si>
  <si>
    <t xml:space="preserve">4. Recordkeeping Requirements </t>
  </si>
  <si>
    <t>B. Plan activities</t>
  </si>
  <si>
    <r>
      <t>D. Develop record system</t>
    </r>
    <r>
      <rPr>
        <vertAlign val="superscript"/>
        <sz val="10"/>
        <color rgb="FF000000"/>
        <rFont val="Times New Roman"/>
        <family val="1"/>
      </rPr>
      <t xml:space="preserve"> </t>
    </r>
  </si>
  <si>
    <r>
      <t>E. Time to enter information</t>
    </r>
    <r>
      <rPr>
        <vertAlign val="superscript"/>
        <sz val="10"/>
        <color rgb="FF000000"/>
        <rFont val="Times New Roman"/>
        <family val="1"/>
      </rPr>
      <t xml:space="preserve"> </t>
    </r>
  </si>
  <si>
    <t>F. Time to train personnel</t>
  </si>
  <si>
    <t>G. Time to adjust existing ways to comply with previously applicable requirements</t>
  </si>
  <si>
    <t>I. Time for audits</t>
  </si>
  <si>
    <t>(D)</t>
  </si>
  <si>
    <t xml:space="preserve">(E) </t>
  </si>
  <si>
    <t>Technical person- hours per year 
(E=CxD)</t>
  </si>
  <si>
    <t>(F)</t>
  </si>
  <si>
    <t>Management person-hours per year 
(F=Ex0.05)</t>
  </si>
  <si>
    <t>Clerical person-hours per year 
(G=Ex0.1)</t>
  </si>
  <si>
    <t>(G)</t>
  </si>
  <si>
    <t>Person- hours per respondent per year (C=AxB)</t>
  </si>
  <si>
    <r>
      <t xml:space="preserve">Respondents per year </t>
    </r>
    <r>
      <rPr>
        <b/>
        <vertAlign val="superscript"/>
        <sz val="10"/>
        <color rgb="FF000000"/>
        <rFont val="Times New Roman"/>
        <family val="1"/>
      </rPr>
      <t>a</t>
    </r>
  </si>
  <si>
    <t>Subtotal for Recordkeeping Requirements</t>
  </si>
  <si>
    <t>Subtotal for Reporting Requirements</t>
  </si>
  <si>
    <t>Assumptions:</t>
  </si>
  <si>
    <t>Table 2: Average Annual EPA Burden and Cost – NESHAP for Primary Aluminum Reduction Plants (40 CFR Part 63, Subpart LL) (Renewal)</t>
  </si>
  <si>
    <t xml:space="preserve">Activity </t>
  </si>
  <si>
    <t>EPA person- hours per occurrence</t>
  </si>
  <si>
    <t>No. of occurrences per plant per year</t>
  </si>
  <si>
    <t>Existing facilities</t>
  </si>
  <si>
    <t>Review of NESHAP waiver application</t>
  </si>
  <si>
    <t xml:space="preserve">(D) </t>
  </si>
  <si>
    <t>Technical person- hours per year (E=CxD)</t>
  </si>
  <si>
    <t>Clerical person-hours per year (G=Ex0.1)</t>
  </si>
  <si>
    <t>Management person-hours per year (F=Ex0.05)</t>
  </si>
  <si>
    <t>EPA person- hours per plant-year 
(C=AxB)</t>
  </si>
  <si>
    <t>(H)</t>
  </si>
  <si>
    <r>
      <t xml:space="preserve">Cost ($) </t>
    </r>
    <r>
      <rPr>
        <b/>
        <vertAlign val="superscript"/>
        <sz val="10"/>
        <color rgb="FF000000"/>
        <rFont val="Times New Roman"/>
        <family val="1"/>
      </rPr>
      <t>b</t>
    </r>
  </si>
  <si>
    <r>
      <t xml:space="preserve">A. Familiarization with regulatory requirements </t>
    </r>
    <r>
      <rPr>
        <vertAlign val="superscript"/>
        <sz val="10"/>
        <color rgb="FF000000"/>
        <rFont val="Times New Roman"/>
        <family val="1"/>
      </rPr>
      <t>c</t>
    </r>
  </si>
  <si>
    <r>
      <t>c</t>
    </r>
    <r>
      <rPr>
        <sz val="10"/>
        <color theme="1"/>
        <rFont val="Times New Roman"/>
        <family val="1"/>
      </rPr>
      <t xml:space="preserve">  We have assumed all existing respondents will have to familiarize with the regulatory requirements each year. </t>
    </r>
  </si>
  <si>
    <t>New Sources</t>
  </si>
  <si>
    <t>Existing Sources</t>
  </si>
  <si>
    <t>Acquisition, Installation, and Utilization of Technology and Systems</t>
  </si>
  <si>
    <r>
      <t xml:space="preserve">Initial performance test </t>
    </r>
    <r>
      <rPr>
        <vertAlign val="superscript"/>
        <sz val="10"/>
        <color rgb="FF000000"/>
        <rFont val="Times New Roman"/>
        <family val="1"/>
      </rPr>
      <t>d</t>
    </r>
  </si>
  <si>
    <t>Notification of applicability</t>
  </si>
  <si>
    <t>Notification of construction/‌reconstruction</t>
  </si>
  <si>
    <t>Notification of actual startup</t>
  </si>
  <si>
    <t>Notification of performance test</t>
  </si>
  <si>
    <t>Notification of compliance status</t>
  </si>
  <si>
    <r>
      <t>h</t>
    </r>
    <r>
      <rPr>
        <sz val="10"/>
        <color theme="1"/>
        <rFont val="Times New Roman"/>
        <family val="1"/>
      </rPr>
      <t xml:space="preserve">  Assumes it takes 40 hours for testing of similar potlines (CEM or Alcan cassette).</t>
    </r>
  </si>
  <si>
    <t>A. Familiarization with regulatory requirements</t>
  </si>
  <si>
    <r>
      <t>Semiannual performance test (CEM or Alcan cassette) </t>
    </r>
    <r>
      <rPr>
        <vertAlign val="superscript"/>
        <sz val="10"/>
        <color rgb="FF000000"/>
        <rFont val="Times New Roman"/>
        <family val="1"/>
      </rPr>
      <t>h, i</t>
    </r>
  </si>
  <si>
    <t>See 3B</t>
  </si>
  <si>
    <r>
      <t xml:space="preserve">Annual performance tests </t>
    </r>
    <r>
      <rPr>
        <vertAlign val="superscript"/>
        <sz val="10"/>
        <color rgb="FF000000"/>
        <rFont val="Times New Roman"/>
        <family val="1"/>
      </rPr>
      <t>d, e</t>
    </r>
  </si>
  <si>
    <t>C. Implement activities (COS calculations)</t>
  </si>
  <si>
    <r>
      <t>d</t>
    </r>
    <r>
      <rPr>
        <sz val="10"/>
        <color theme="1"/>
        <rFont val="Times New Roman"/>
        <family val="1"/>
      </rPr>
      <t xml:space="preserve">  Assumes it takes 100 hours to complete each required TF, POM, PM, and Hg test for primary controls of potlines, bake furnaces and paste production plants.</t>
    </r>
  </si>
  <si>
    <r>
      <t>f</t>
    </r>
    <r>
      <rPr>
        <sz val="10"/>
        <color theme="1"/>
        <rFont val="Times New Roman"/>
        <family val="1"/>
      </rPr>
      <t xml:space="preserve">  Assumes it takes 200 hours to test for secondary TF and PM emissions from potlines and 100 hours to test for secondary POM emissions from potlines.</t>
    </r>
  </si>
  <si>
    <r>
      <t xml:space="preserve">Semiannual performance tests for TF and PM </t>
    </r>
    <r>
      <rPr>
        <vertAlign val="superscript"/>
        <sz val="10"/>
        <color rgb="FF000000"/>
        <rFont val="Times New Roman"/>
        <family val="1"/>
      </rPr>
      <t>f, g</t>
    </r>
  </si>
  <si>
    <r>
      <t xml:space="preserve">Semiannual POM testing </t>
    </r>
    <r>
      <rPr>
        <vertAlign val="superscript"/>
        <sz val="10"/>
        <color rgb="FF000000"/>
        <rFont val="Times New Roman"/>
        <family val="1"/>
      </rPr>
      <t>f, g</t>
    </r>
  </si>
  <si>
    <r>
      <t>j</t>
    </r>
    <r>
      <rPr>
        <sz val="10"/>
        <color theme="1"/>
        <rFont val="Times New Roman"/>
        <family val="1"/>
      </rPr>
      <t xml:space="preserve">  Assumes it takes 200 hours for a Method 315 test for secondary emissions at Soderberg plants.</t>
    </r>
  </si>
  <si>
    <r>
      <t xml:space="preserve">Plants per year </t>
    </r>
    <r>
      <rPr>
        <b/>
        <vertAlign val="superscript"/>
        <sz val="10"/>
        <color rgb="FF000000"/>
        <rFont val="Times New Roman"/>
        <family val="1"/>
      </rPr>
      <t>a</t>
    </r>
  </si>
  <si>
    <r>
      <t xml:space="preserve">Cost ($) </t>
    </r>
    <r>
      <rPr>
        <b/>
        <vertAlign val="superscript"/>
        <sz val="10"/>
        <color rgb="FF000000"/>
        <rFont val="Times New Roman"/>
        <family val="1"/>
      </rPr>
      <t>b</t>
    </r>
    <r>
      <rPr>
        <b/>
        <sz val="10"/>
        <color rgb="FF000000"/>
        <rFont val="Times New Roman"/>
        <family val="1"/>
      </rPr>
      <t xml:space="preserve"> </t>
    </r>
  </si>
  <si>
    <r>
      <t xml:space="preserve">New or reconstructed facilities </t>
    </r>
    <r>
      <rPr>
        <vertAlign val="superscript"/>
        <sz val="10"/>
        <color rgb="FF000000"/>
        <rFont val="Times New Roman"/>
        <family val="1"/>
      </rPr>
      <t>c</t>
    </r>
  </si>
  <si>
    <t>Notification of construction and reconstruction</t>
  </si>
  <si>
    <t>Notification of initial performance test</t>
  </si>
  <si>
    <r>
      <t xml:space="preserve">Review design specifications for pitch storage tank controls </t>
    </r>
    <r>
      <rPr>
        <vertAlign val="superscript"/>
        <sz val="10"/>
        <color rgb="FF000000"/>
        <rFont val="Times New Roman"/>
        <family val="1"/>
      </rPr>
      <t>d</t>
    </r>
  </si>
  <si>
    <r>
      <t>e</t>
    </r>
    <r>
      <rPr>
        <sz val="10"/>
        <color theme="1"/>
        <rFont val="Times New Roman"/>
        <family val="1"/>
      </rPr>
      <t xml:space="preserve">  Assumes that it will take 11 hours twice per year to review summary of performance tests requirements to be submitted by all 11 existing plants.</t>
    </r>
  </si>
  <si>
    <r>
      <t xml:space="preserve">Review of performance test report </t>
    </r>
    <r>
      <rPr>
        <vertAlign val="superscript"/>
        <sz val="10"/>
        <color rgb="FF000000"/>
        <rFont val="Times New Roman"/>
        <family val="1"/>
      </rPr>
      <t>e</t>
    </r>
  </si>
  <si>
    <r>
      <t xml:space="preserve">Review of excess emissions report </t>
    </r>
    <r>
      <rPr>
        <vertAlign val="superscript"/>
        <sz val="10"/>
        <color rgb="FF000000"/>
        <rFont val="Times New Roman"/>
        <family val="1"/>
      </rPr>
      <t>f</t>
    </r>
  </si>
  <si>
    <r>
      <t xml:space="preserve">Review of no excess emissions report </t>
    </r>
    <r>
      <rPr>
        <vertAlign val="superscript"/>
        <sz val="10"/>
        <color rgb="FF000000"/>
        <rFont val="Times New Roman"/>
        <family val="1"/>
      </rPr>
      <t>g</t>
    </r>
  </si>
  <si>
    <r>
      <t xml:space="preserve">i  </t>
    </r>
    <r>
      <rPr>
        <sz val="10"/>
        <color theme="1"/>
        <rFont val="Times New Roman"/>
        <family val="1"/>
      </rPr>
      <t xml:space="preserve">Totals have been rounded to 3 significant figures. Figures may not add exactly due to rounding. </t>
    </r>
  </si>
  <si>
    <t>responses</t>
  </si>
  <si>
    <t>hr/response</t>
  </si>
  <si>
    <t>Burden Item</t>
  </si>
  <si>
    <r>
      <t>k</t>
    </r>
    <r>
      <rPr>
        <sz val="10"/>
        <color theme="1"/>
        <rFont val="Times New Roman"/>
        <family val="1"/>
      </rPr>
      <t xml:space="preserve">  Per the Final Cost Impacts for the Primary Aluminum Production Source Category for the 2015 amendments the only remaining Soderberg plant in the U.S. has announced permanent shutdown. Therefore, no Soderberg plants will require quarterly testing.</t>
    </r>
  </si>
  <si>
    <r>
      <t xml:space="preserve">Quarterly performance test </t>
    </r>
    <r>
      <rPr>
        <vertAlign val="superscript"/>
        <sz val="10"/>
        <color rgb="FF000000"/>
        <rFont val="Times New Roman"/>
        <family val="1"/>
      </rPr>
      <t>j, k</t>
    </r>
  </si>
  <si>
    <r>
      <t xml:space="preserve">m  </t>
    </r>
    <r>
      <rPr>
        <sz val="10"/>
        <color theme="1"/>
        <rFont val="Times New Roman"/>
        <family val="1"/>
      </rPr>
      <t>This rule requires that all existing respondents submit semiannual reports. Performance test results will be submitted with the semiannual reports.</t>
    </r>
  </si>
  <si>
    <r>
      <t>r</t>
    </r>
    <r>
      <rPr>
        <sz val="10"/>
        <color theme="1"/>
        <rFont val="Times New Roman"/>
        <family val="1"/>
      </rPr>
      <t xml:space="preserve">  Assumes it takes 1 hour to transmit recorded information.</t>
    </r>
  </si>
  <si>
    <r>
      <t xml:space="preserve">s  </t>
    </r>
    <r>
      <rPr>
        <sz val="10"/>
        <color theme="1"/>
        <rFont val="Times New Roman"/>
        <family val="1"/>
      </rPr>
      <t xml:space="preserve">Totals have been rounded to 3 significant figures. Figures may not add exactly due to rounding. </t>
    </r>
  </si>
  <si>
    <r>
      <t xml:space="preserve">Design specifications for pitch storage tank controls </t>
    </r>
    <r>
      <rPr>
        <vertAlign val="superscript"/>
        <sz val="10"/>
        <color rgb="FF000000"/>
        <rFont val="Times New Roman"/>
        <family val="1"/>
      </rPr>
      <t>l</t>
    </r>
  </si>
  <si>
    <r>
      <t xml:space="preserve">Report of monitoring exceedances </t>
    </r>
    <r>
      <rPr>
        <vertAlign val="superscript"/>
        <sz val="10"/>
        <color rgb="FF000000"/>
        <rFont val="Times New Roman"/>
        <family val="1"/>
      </rPr>
      <t>m, n</t>
    </r>
  </si>
  <si>
    <r>
      <t xml:space="preserve">Report of no excess emissions </t>
    </r>
    <r>
      <rPr>
        <vertAlign val="superscript"/>
        <sz val="10"/>
        <color rgb="FF000000"/>
        <rFont val="Times New Roman"/>
        <family val="1"/>
      </rPr>
      <t>m, o</t>
    </r>
  </si>
  <si>
    <r>
      <t xml:space="preserve">Malfunction report </t>
    </r>
    <r>
      <rPr>
        <vertAlign val="superscript"/>
        <sz val="10"/>
        <color rgb="FF000000"/>
        <rFont val="Times New Roman"/>
        <family val="1"/>
      </rPr>
      <t>m, p</t>
    </r>
  </si>
  <si>
    <r>
      <t xml:space="preserve">Records of all information required by standards </t>
    </r>
    <r>
      <rPr>
        <vertAlign val="superscript"/>
        <sz val="10"/>
        <color rgb="FF000000"/>
        <rFont val="Times New Roman"/>
        <family val="1"/>
      </rPr>
      <t>q</t>
    </r>
  </si>
  <si>
    <r>
      <t xml:space="preserve">H. Time to transmit or disclose information </t>
    </r>
    <r>
      <rPr>
        <vertAlign val="superscript"/>
        <sz val="10"/>
        <color rgb="FF000000"/>
        <rFont val="Times New Roman"/>
        <family val="1"/>
      </rPr>
      <t>m, r</t>
    </r>
  </si>
  <si>
    <r>
      <t xml:space="preserve">GRAND TOTAL (rounded) </t>
    </r>
    <r>
      <rPr>
        <b/>
        <vertAlign val="superscript"/>
        <sz val="10"/>
        <color rgb="FF000000"/>
        <rFont val="Times New Roman"/>
        <family val="1"/>
      </rPr>
      <t>s</t>
    </r>
  </si>
  <si>
    <r>
      <t>l</t>
    </r>
    <r>
      <rPr>
        <sz val="10"/>
        <color theme="1"/>
        <rFont val="Times New Roman"/>
        <family val="1"/>
      </rPr>
      <t xml:space="preserve">  Assumes that all existing sources have design specifications for pitch storage tank controls in place.</t>
    </r>
  </si>
  <si>
    <r>
      <t>q</t>
    </r>
    <r>
      <rPr>
        <sz val="10"/>
        <color theme="1"/>
        <rFont val="Times New Roman"/>
        <family val="1"/>
      </rPr>
      <t xml:space="preserve">  Assumes it takes 3 hours per week per plant to enter monitoring data into records.</t>
    </r>
  </si>
  <si>
    <r>
      <t xml:space="preserve">Malfunction report </t>
    </r>
    <r>
      <rPr>
        <vertAlign val="superscript"/>
        <sz val="10"/>
        <color rgb="FF000000"/>
        <rFont val="Times New Roman"/>
        <family val="1"/>
      </rPr>
      <t>h</t>
    </r>
  </si>
  <si>
    <r>
      <t>d</t>
    </r>
    <r>
      <rPr>
        <sz val="10"/>
        <color theme="1"/>
        <rFont val="Times New Roman"/>
        <family val="1"/>
      </rPr>
      <t xml:space="preserve">  Assumes that all existing sources have design specifications for pitch storage tank controls in place.</t>
    </r>
  </si>
  <si>
    <r>
      <t>a</t>
    </r>
    <r>
      <rPr>
        <sz val="10"/>
        <color theme="1"/>
        <rFont val="Times New Roman"/>
        <family val="1"/>
      </rPr>
      <t xml:space="preserve">  Assumes that there is an average of 8 respondents per year subject to the standards and that no additional respondents per year will become subject to the standards. </t>
    </r>
  </si>
  <si>
    <r>
      <t>f</t>
    </r>
    <r>
      <rPr>
        <sz val="10"/>
        <color theme="1"/>
        <rFont val="Times New Roman"/>
        <family val="1"/>
      </rPr>
      <t xml:space="preserve">  Assumes that 10 percent of the 8 plants (0.1×8 = 0.8 will have excess emissions.</t>
    </r>
  </si>
  <si>
    <r>
      <t>g</t>
    </r>
    <r>
      <rPr>
        <sz val="10"/>
        <color theme="1"/>
        <rFont val="Times New Roman"/>
        <family val="1"/>
      </rPr>
      <t xml:space="preserve">  Assumes that the remaining 90 percent of the 8 plants (0.9×8 = 7.2) will not have excess emissions.</t>
    </r>
  </si>
  <si>
    <r>
      <t>h</t>
    </r>
    <r>
      <rPr>
        <sz val="10"/>
        <color theme="1"/>
        <rFont val="Times New Roman"/>
        <family val="1"/>
      </rPr>
      <t xml:space="preserve">  Assumes that 10 percent of plants per year (0.1×8 = 0.8, rounded to 1) will report a malfunction incident.</t>
    </r>
  </si>
  <si>
    <r>
      <t>n</t>
    </r>
    <r>
      <rPr>
        <sz val="10"/>
        <color theme="1"/>
        <rFont val="Times New Roman"/>
        <family val="1"/>
      </rPr>
      <t xml:space="preserve"> Assumes that 10 percent of the 8 plants (0.1×8 = 0.8 will have excess emissions.</t>
    </r>
  </si>
  <si>
    <r>
      <t>o</t>
    </r>
    <r>
      <rPr>
        <sz val="10"/>
        <color theme="1"/>
        <rFont val="Times New Roman"/>
        <family val="1"/>
      </rPr>
      <t xml:space="preserve">  Assumes that the remaining 90 percent of the 8 plants (0.9×8 = 7.2) will not have excess emissions.</t>
    </r>
  </si>
  <si>
    <r>
      <t>p</t>
    </r>
    <r>
      <rPr>
        <sz val="10"/>
        <color theme="1"/>
        <rFont val="Times New Roman"/>
        <family val="1"/>
      </rPr>
      <t xml:space="preserve">  Assumes that 10 percent of plants per year (0.1×8 = 0.8, rounded to 1) will report a malfunction incident.</t>
    </r>
  </si>
  <si>
    <t>Number of Respondents</t>
  </si>
  <si>
    <t>Respondents That Submit Reports</t>
  </si>
  <si>
    <t>Respondents That Do Not Submit Any Reports</t>
  </si>
  <si>
    <t>(A)</t>
  </si>
  <si>
    <t>(B)</t>
  </si>
  <si>
    <t>(C)</t>
  </si>
  <si>
    <t>(E)</t>
  </si>
  <si>
    <t>Year</t>
  </si>
  <si>
    <r>
      <t xml:space="preserve">Number of New Respondents </t>
    </r>
    <r>
      <rPr>
        <vertAlign val="superscript"/>
        <sz val="10"/>
        <color rgb="FF000000"/>
        <rFont val="Times New Roman"/>
        <family val="1"/>
      </rPr>
      <t>1</t>
    </r>
  </si>
  <si>
    <t>Number of Existing Respondents</t>
  </si>
  <si>
    <t>Number of Existing Respondents that keep records but do not submit reports</t>
  </si>
  <si>
    <t>Number of Existing Respondents That Are Also New Respondents</t>
  </si>
  <si>
    <t>Number of Respondents
(E=A+B+C-D)</t>
  </si>
  <si>
    <t>Average</t>
  </si>
  <si>
    <t>Capital/Startup vs. Operation and Maintenance (O&amp;M) Costs</t>
  </si>
  <si>
    <t>Continuous Monitoring Device</t>
  </si>
  <si>
    <t>Capital/Startup Cost for One Respondent</t>
  </si>
  <si>
    <t xml:space="preserve">Number of New Respondents </t>
  </si>
  <si>
    <t>Total Capital/Startup Cost, (B X C)</t>
  </si>
  <si>
    <t>Annual O&amp;M Costs for One Respondent</t>
  </si>
  <si>
    <t>Number of Respondents with O&amp;M</t>
  </si>
  <si>
    <t>Total O&amp;M,
(E x F)</t>
  </si>
  <si>
    <r>
      <t xml:space="preserve">HF CEMs (similar potlines) </t>
    </r>
    <r>
      <rPr>
        <vertAlign val="superscript"/>
        <sz val="10"/>
        <color theme="1"/>
        <rFont val="Times New Roman"/>
        <family val="1"/>
      </rPr>
      <t>a</t>
    </r>
  </si>
  <si>
    <t>CEPCI Index 1997:</t>
  </si>
  <si>
    <t>CEPCI Index 2019:</t>
  </si>
  <si>
    <r>
      <t xml:space="preserve">Install two manifold sampling systems at one facility </t>
    </r>
    <r>
      <rPr>
        <vertAlign val="superscript"/>
        <sz val="10"/>
        <color theme="1"/>
        <rFont val="Times New Roman"/>
        <family val="1"/>
      </rPr>
      <t>c</t>
    </r>
  </si>
  <si>
    <r>
      <t xml:space="preserve">Record storage </t>
    </r>
    <r>
      <rPr>
        <vertAlign val="superscript"/>
        <sz val="10"/>
        <color theme="1"/>
        <rFont val="Times New Roman"/>
        <family val="1"/>
      </rPr>
      <t>d</t>
    </r>
  </si>
  <si>
    <r>
      <rPr>
        <vertAlign val="superscript"/>
        <sz val="10"/>
        <color rgb="FF000000"/>
        <rFont val="Times New Roman"/>
        <family val="1"/>
      </rPr>
      <t>c</t>
    </r>
    <r>
      <rPr>
        <sz val="10"/>
        <color rgb="FF000000"/>
        <rFont val="Times New Roman"/>
        <family val="1"/>
      </rPr>
      <t xml:space="preserve">  Per the revisions in the 2015 RTR, one facility is required to install two manifold sampling systems at a total cost of $1 million. Annualized at 7% for 15 years, the annual cost is $110,000 per year. Cost data is from "Final Cost Impacts for the Primary Aluminum Production Source Category", September 1, 2015, EPA-HQ-OAR-0797-0423.</t>
    </r>
  </si>
  <si>
    <t>Total Annual Responses</t>
  </si>
  <si>
    <t>Information Collection Activity</t>
  </si>
  <si>
    <t>Number of Responses</t>
  </si>
  <si>
    <t>Number of Existing Respondents That Keep Records But Do Not Submit Reports</t>
  </si>
  <si>
    <t>Total Annual Responses
E=(BxC)+D</t>
  </si>
  <si>
    <t>Notification of compliance status/approach</t>
  </si>
  <si>
    <t>Semiannual report of monitoring exceedances</t>
  </si>
  <si>
    <t>Semiannual report of no excess emissions</t>
  </si>
  <si>
    <t>Startup, shutdown, malfunction report</t>
  </si>
  <si>
    <t>Submit a design specification for pitch storage tank controls</t>
  </si>
  <si>
    <t>Total (rounded)</t>
  </si>
  <si>
    <r>
      <t>b</t>
    </r>
    <r>
      <rPr>
        <sz val="10"/>
        <color theme="1"/>
        <rFont val="Times New Roman"/>
        <family val="1"/>
      </rPr>
      <t xml:space="preserve">  This ICR uses the following labor rates: $68.37 for managerial, $50.72 for technical,  and $27.46 for clerical labor. These rates are from the Office of Personnel Management (OPM), 2020 General Schedule, which excludes locality rates of pay.  The rates have been increased by 60 percent to account for the benefit packages available to government employees.</t>
    </r>
  </si>
  <si>
    <r>
      <t>Method 14 sampling manifolds at potlines</t>
    </r>
    <r>
      <rPr>
        <vertAlign val="superscript"/>
        <sz val="12"/>
        <color rgb="FF000000"/>
        <rFont val="Times New Roman"/>
        <family val="1"/>
      </rPr>
      <t xml:space="preserve"> b</t>
    </r>
  </si>
  <si>
    <r>
      <t xml:space="preserve">PM testing on anode bake furnaces </t>
    </r>
    <r>
      <rPr>
        <vertAlign val="superscript"/>
        <sz val="10"/>
        <color theme="1"/>
        <rFont val="Times New Roman"/>
        <family val="1"/>
      </rPr>
      <t>e</t>
    </r>
  </si>
  <si>
    <r>
      <t xml:space="preserve">PM testing on paste production plants </t>
    </r>
    <r>
      <rPr>
        <vertAlign val="superscript"/>
        <sz val="10"/>
        <color theme="1"/>
        <rFont val="Times New Roman"/>
        <family val="1"/>
      </rPr>
      <t>f</t>
    </r>
  </si>
  <si>
    <r>
      <rPr>
        <vertAlign val="superscript"/>
        <sz val="10"/>
        <color rgb="FF000000"/>
        <rFont val="Times New Roman"/>
        <family val="1"/>
      </rPr>
      <t>e</t>
    </r>
    <r>
      <rPr>
        <sz val="10"/>
        <color rgb="FF000000"/>
        <rFont val="Times New Roman"/>
        <family val="1"/>
      </rPr>
      <t xml:space="preserve">  Per the revisions in the 2015 RTR, annual monitoring costs are estimated at $5,625/furnace/year. Cost data is from "Final Cost Impacts for the Primary Aluminum Production Source Category", September 1, 2015, EPA-HQ-OAR-0797-0423.</t>
    </r>
  </si>
  <si>
    <r>
      <rPr>
        <vertAlign val="superscript"/>
        <sz val="10"/>
        <color rgb="FF000000"/>
        <rFont val="Times New Roman"/>
        <family val="1"/>
      </rPr>
      <t>f</t>
    </r>
    <r>
      <rPr>
        <sz val="10"/>
        <color rgb="FF000000"/>
        <rFont val="Times New Roman"/>
        <family val="1"/>
      </rPr>
      <t xml:space="preserve">  Per the revisions in the 2015 RTR, annual monitoring costs are estimated at $5,625/plant/year. Cost data is from "Final Cost Impacts for the Primary Aluminum Production Source Category", September 1, 2015, EPA-HQ-OAR-0797-0423.</t>
    </r>
  </si>
  <si>
    <r>
      <t>e</t>
    </r>
    <r>
      <rPr>
        <sz val="10"/>
        <rFont val="Times New Roman"/>
        <family val="1"/>
      </rPr>
      <t xml:space="preserve">  We assume an average of 13.09 tests per facility (primary control systems). This estimate is based on the Final Cost Impacts for the Primary Aluminum Production Source Category for the 2015 amendments which estimates: 35 potlines and 8 pitch storage tanks will require annual POM testing; 37 potlines, 12 anode bake furnaces, and 10 paste production plants will require annual PM testing; 12 anode bake furnaces will require annual Hg testing; and 30 potlines will require annual testing for TF (Note: there are a total of 37 potlines that require TF testing; however, 7 potlines are located in states that already required testing). (35+8+37+12+10+12+30 =144 tests at 11 facilities = 13.09 tests/facility).</t>
    </r>
  </si>
  <si>
    <r>
      <t xml:space="preserve">i  </t>
    </r>
    <r>
      <rPr>
        <sz val="10"/>
        <rFont val="Times New Roman"/>
        <family val="1"/>
      </rPr>
      <t>Assumes 2.18 tests per facility, based on estimates from the Final Cost Impacts for the Primary Aluminum Production Source Category for the 2015 amendments which estimates that 12 potlines will not have manifolds installed and will use Alcan Cassette tests. (12x2/11 = 2.18 tests/facility).</t>
    </r>
  </si>
  <si>
    <r>
      <t>1</t>
    </r>
    <r>
      <rPr>
        <sz val="10"/>
        <color rgb="FF000000"/>
        <rFont val="Times New Roman"/>
        <family val="1"/>
      </rPr>
      <t xml:space="preserve"> New respondents include sources with constructed, reconstructed and modified affected facilities. </t>
    </r>
  </si>
  <si>
    <r>
      <t>c</t>
    </r>
    <r>
      <rPr>
        <sz val="10"/>
        <color theme="1"/>
        <rFont val="Times New Roman"/>
        <family val="1"/>
      </rPr>
      <t xml:space="preserve">  Assumes that there are no new or reconstructed sources over the three-year period of this ICR. </t>
    </r>
  </si>
  <si>
    <r>
      <t xml:space="preserve">Method 14A (alcan cassettes) sampling at potlines </t>
    </r>
    <r>
      <rPr>
        <vertAlign val="superscript"/>
        <sz val="10"/>
        <color theme="1"/>
        <rFont val="Times New Roman"/>
        <family val="1"/>
      </rPr>
      <t>b</t>
    </r>
  </si>
  <si>
    <r>
      <rPr>
        <vertAlign val="superscript"/>
        <sz val="10"/>
        <color rgb="FF000000"/>
        <rFont val="Times New Roman"/>
        <family val="1"/>
      </rPr>
      <t>g</t>
    </r>
    <r>
      <rPr>
        <sz val="10"/>
        <color rgb="FF000000"/>
        <rFont val="Times New Roman"/>
        <family val="1"/>
      </rPr>
      <t xml:space="preserve">  Totals have been rounded to 3 significant figures. Figures may not add exactly due to rounding.</t>
    </r>
  </si>
  <si>
    <r>
      <t xml:space="preserve">Totals (rounded) </t>
    </r>
    <r>
      <rPr>
        <vertAlign val="superscript"/>
        <sz val="10"/>
        <color rgb="FF000000"/>
        <rFont val="Times New Roman"/>
        <family val="1"/>
      </rPr>
      <t>g</t>
    </r>
  </si>
  <si>
    <r>
      <rPr>
        <vertAlign val="superscript"/>
        <sz val="10"/>
        <color rgb="FF000000"/>
        <rFont val="Times New Roman"/>
        <family val="1"/>
      </rPr>
      <t>a</t>
    </r>
    <r>
      <rPr>
        <sz val="10"/>
        <color rgb="FF000000"/>
        <rFont val="Times New Roman"/>
        <family val="1"/>
      </rPr>
      <t xml:space="preserve">  The previous ICR (1767.08) assumes that no respondents are using hydrogen fluoride CEMS for monitoring similar potlines.</t>
    </r>
  </si>
  <si>
    <r>
      <t>g</t>
    </r>
    <r>
      <rPr>
        <sz val="10"/>
        <rFont val="Times New Roman"/>
        <family val="1"/>
      </rPr>
      <t xml:space="preserve">  We assume an average of 10 tests per facility for PM and 6.36 tests per facility for POM secondary emissions from potlines. This estimate is based on the Final Cost Impacts for the Primary Aluminum Production Source Category for the 2015 amendments which estimates: 35 potlines will require semiannual POM testing; 37 potlines will require semiannual PM testing; and 18 potlines will require semiannual testing for TF (Note: there are a total of 37 potlines that require TF testing; however, 7 potlines are located in states that already required testing and 12 potlines do not have manifolds installed and will use the Method 14A Alcan Cassette test). [(37+18) x 2 tests/year = 110 TF and PM tests/year at 11 facilities = 10 tests/facility. 35 x 2 tests/yr = 70 POM tests/year at 11 facilities = 6.36 tests/facility].</t>
    </r>
  </si>
  <si>
    <r>
      <t xml:space="preserve">TOTAL  (rounded) </t>
    </r>
    <r>
      <rPr>
        <b/>
        <vertAlign val="superscript"/>
        <sz val="10"/>
        <color rgb="FF000000"/>
        <rFont val="Times New Roman"/>
        <family val="1"/>
      </rPr>
      <t>i</t>
    </r>
  </si>
  <si>
    <r>
      <t xml:space="preserve">TOTAL LABOR BURDEN AND COST (rounded) </t>
    </r>
    <r>
      <rPr>
        <b/>
        <vertAlign val="superscript"/>
        <sz val="10"/>
        <color rgb="FF000000"/>
        <rFont val="Times New Roman"/>
        <family val="1"/>
      </rPr>
      <t>s</t>
    </r>
  </si>
  <si>
    <r>
      <t xml:space="preserve">TOTAL CAPITAL AND O&amp;M COSTS (rounded) </t>
    </r>
    <r>
      <rPr>
        <b/>
        <vertAlign val="superscript"/>
        <sz val="10"/>
        <color rgb="FF000000"/>
        <rFont val="Times New Roman"/>
        <family val="1"/>
      </rPr>
      <t>s</t>
    </r>
  </si>
  <si>
    <r>
      <t>b</t>
    </r>
    <r>
      <rPr>
        <sz val="10"/>
        <color theme="1"/>
        <rFont val="Times New Roman"/>
        <family val="1"/>
      </rPr>
      <t xml:space="preserve">  This ICR uses the following labor rates for privately-owned sources: $148.45 for managerial, $121.46 for technical,  and $60.23 for clerical labor. These rates are from the United States Department of Labor, Bureau of Labor Statistics, March 2020, “Table 2. Civilian Workers, by occupational and industry group.” The rates are from column 1, “Total compensation.” The rates have been increased by 110 percent to account for the benefit packages available to those employed by private industry.</t>
    </r>
    <r>
      <rPr>
        <vertAlign val="superscript"/>
        <sz val="10"/>
        <color theme="1"/>
        <rFont val="Times New Roman"/>
        <family val="1"/>
      </rPr>
      <t xml:space="preserve">  </t>
    </r>
  </si>
  <si>
    <r>
      <t xml:space="preserve">b  </t>
    </r>
    <r>
      <rPr>
        <sz val="10"/>
        <color rgb="FF000000"/>
        <rFont val="Times New Roman"/>
        <family val="1"/>
      </rPr>
      <t>We assume 16 potlines will used Method 14 testing for TF and 11 potlines do not have manifolds installed and will use Method 14A Alcan Cassette testing. These values are based on adjustments to estimates from the Final Cost Impacts for the Primary Aluminum Production Source Category for the 2015 amendments, which estimated 30 potlines at 9 facilities will require TF testing, including 18 potlines with manifolds and 12 potlines without manifolds. We have adjusted these estimates to account for the lower number of facilities. O&amp;M costs have been updated from 1997 dollars to 2019 dollars using the CEPCI CE Index.</t>
    </r>
  </si>
  <si>
    <r>
      <rPr>
        <vertAlign val="superscript"/>
        <sz val="10"/>
        <color rgb="FF000000"/>
        <rFont val="Times New Roman"/>
        <family val="1"/>
      </rPr>
      <t>d</t>
    </r>
    <r>
      <rPr>
        <sz val="10"/>
        <color rgb="FF000000"/>
        <rFont val="Times New Roman"/>
        <family val="1"/>
      </rPr>
      <t xml:space="preserve">  Per the revisions in the 2015 RTR, all eight facilities are required to install record storage systems at a total cost of $500 each, annualized at 7% for 15 years ($500 x capital recovery factor of 0.10979 = $55 annually).</t>
    </r>
  </si>
  <si>
    <t>Report of performance tests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</si>
</sst>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8" formatCode="&quot;$&quot;#,##0.00_);[Red]\(&quot;$&quot;#,##0.00\)"/>
    <numFmt numFmtId="164" formatCode="0.0"/>
    <numFmt numFmtId="165" formatCode="#,##0.0"/>
    <numFmt numFmtId="166" formatCode="&quot;$&quot;#,##0.00"/>
  </numFmts>
  <fonts count="24" x14ac:knownFonts="1">
    <font>
      <sz val="11"/>
      <color theme="1"/>
      <name val="Calibri"/>
      <family val="2"/>
      <scheme val="minor"/>
    </font>
    <font>
      <b/>
      <sz val="11"/>
      <color theme="1"/>
      <name val="Calibri"/>
      <family val="2"/>
      <scheme val="minor"/>
    </font>
    <font>
      <b/>
      <sz val="12"/>
      <color theme="1"/>
      <name val="Times New Roman"/>
      <family val="1"/>
    </font>
    <font>
      <b/>
      <sz val="12"/>
      <color rgb="FF000000"/>
      <name val="Times New Roman"/>
      <family val="1"/>
    </font>
    <font>
      <sz val="10"/>
      <color theme="1"/>
      <name val="Times New Roman"/>
      <family val="1"/>
    </font>
    <font>
      <b/>
      <sz val="10"/>
      <color rgb="FF000000"/>
      <name val="Times New Roman"/>
      <family val="1"/>
    </font>
    <font>
      <b/>
      <vertAlign val="superscript"/>
      <sz val="10"/>
      <color rgb="FF000000"/>
      <name val="Times New Roman"/>
      <family val="1"/>
    </font>
    <font>
      <sz val="10"/>
      <color rgb="FF000000"/>
      <name val="Times New Roman"/>
      <family val="1"/>
    </font>
    <font>
      <vertAlign val="superscript"/>
      <sz val="10"/>
      <color rgb="FF000000"/>
      <name val="Times New Roman"/>
      <family val="1"/>
    </font>
    <font>
      <i/>
      <sz val="10"/>
      <color rgb="FF000000"/>
      <name val="Times New Roman"/>
      <family val="1"/>
    </font>
    <font>
      <b/>
      <i/>
      <sz val="10"/>
      <color rgb="FF000000"/>
      <name val="Times New Roman"/>
      <family val="1"/>
    </font>
    <font>
      <b/>
      <i/>
      <sz val="10"/>
      <color theme="1"/>
      <name val="Times New Roman"/>
      <family val="1"/>
    </font>
    <font>
      <b/>
      <sz val="10"/>
      <color theme="1"/>
      <name val="Times New Roman"/>
      <family val="1"/>
    </font>
    <font>
      <vertAlign val="superscript"/>
      <sz val="10"/>
      <color theme="1"/>
      <name val="Times New Roman"/>
      <family val="1"/>
    </font>
    <font>
      <sz val="11"/>
      <color theme="1"/>
      <name val="Calibri"/>
      <family val="2"/>
      <scheme val="minor"/>
    </font>
    <font>
      <sz val="11"/>
      <color rgb="FFFF0000"/>
      <name val="Calibri"/>
      <family val="2"/>
      <scheme val="minor"/>
    </font>
    <font>
      <b/>
      <sz val="10"/>
      <color rgb="FFFF0000"/>
      <name val="Times New Roman"/>
      <family val="1"/>
    </font>
    <font>
      <sz val="10"/>
      <color rgb="FFFF0000"/>
      <name val="Times New Roman"/>
      <family val="1"/>
    </font>
    <font>
      <vertAlign val="superscript"/>
      <sz val="12"/>
      <color rgb="FF000000"/>
      <name val="Times New Roman"/>
      <family val="1"/>
    </font>
    <font>
      <b/>
      <sz val="10"/>
      <color rgb="FF7030A0"/>
      <name val="Times New Roman"/>
      <family val="1"/>
    </font>
    <font>
      <sz val="10"/>
      <name val="Times New Roman"/>
      <family val="1"/>
    </font>
    <font>
      <vertAlign val="superscript"/>
      <sz val="10"/>
      <name val="Times New Roman"/>
      <family val="1"/>
    </font>
    <font>
      <b/>
      <sz val="10"/>
      <color rgb="FF0070C0"/>
      <name val="Times New Roman"/>
      <family val="1"/>
    </font>
    <font>
      <sz val="11"/>
      <color rgb="FF000000"/>
      <name val="Calibri"/>
      <family val="2"/>
      <scheme val="minor"/>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9" fontId="14" fillId="0" borderId="0" applyFont="0" applyFill="0" applyBorder="0" applyAlignment="0" applyProtection="0"/>
  </cellStyleXfs>
  <cellXfs count="79">
    <xf numFmtId="0" fontId="0" fillId="0" borderId="0" xfId="0"/>
    <xf numFmtId="0" fontId="3" fillId="0" borderId="0" xfId="0" applyFont="1" applyAlignment="1">
      <alignment horizontal="left" vertical="center"/>
    </xf>
    <xf numFmtId="0" fontId="5" fillId="0" borderId="1" xfId="0" applyFont="1" applyBorder="1" applyAlignment="1">
      <alignment horizontal="center" vertical="center" wrapText="1"/>
    </xf>
    <xf numFmtId="0" fontId="7" fillId="0" borderId="1" xfId="0" applyFont="1" applyBorder="1" applyAlignment="1">
      <alignment vertical="center"/>
    </xf>
    <xf numFmtId="0" fontId="7" fillId="0" borderId="1" xfId="0" applyFont="1" applyBorder="1" applyAlignment="1">
      <alignment horizontal="center" vertical="center"/>
    </xf>
    <xf numFmtId="0" fontId="7" fillId="0" borderId="1" xfId="0" applyFont="1" applyBorder="1" applyAlignment="1">
      <alignment horizontal="right" vertical="center"/>
    </xf>
    <xf numFmtId="8" fontId="7" fillId="0" borderId="1" xfId="0" applyNumberFormat="1" applyFont="1" applyBorder="1" applyAlignment="1">
      <alignment horizontal="right" vertical="center"/>
    </xf>
    <xf numFmtId="3" fontId="7" fillId="0" borderId="1" xfId="0" applyNumberFormat="1" applyFont="1" applyBorder="1" applyAlignment="1">
      <alignment horizontal="center" vertical="center"/>
    </xf>
    <xf numFmtId="0" fontId="9" fillId="0" borderId="1" xfId="0" applyFont="1" applyBorder="1" applyAlignment="1">
      <alignment horizontal="center" vertical="center"/>
    </xf>
    <xf numFmtId="0" fontId="5" fillId="0" borderId="1" xfId="0" applyFont="1" applyBorder="1" applyAlignment="1">
      <alignment vertical="center"/>
    </xf>
    <xf numFmtId="6" fontId="5" fillId="0" borderId="1" xfId="0" applyNumberFormat="1" applyFont="1" applyBorder="1" applyAlignment="1">
      <alignment horizontal="right" vertical="center"/>
    </xf>
    <xf numFmtId="0" fontId="11" fillId="0" borderId="1" xfId="0" applyFont="1" applyBorder="1" applyAlignment="1">
      <alignment vertical="center" wrapText="1"/>
    </xf>
    <xf numFmtId="0" fontId="12" fillId="0" borderId="0" xfId="0" applyFont="1" applyAlignment="1">
      <alignment vertical="center"/>
    </xf>
    <xf numFmtId="0" fontId="5" fillId="0" borderId="1" xfId="0" applyFont="1" applyBorder="1" applyAlignment="1">
      <alignment horizontal="center" vertical="center"/>
    </xf>
    <xf numFmtId="0" fontId="1" fillId="0" borderId="0" xfId="0" applyFont="1"/>
    <xf numFmtId="0" fontId="10" fillId="0" borderId="1" xfId="0" applyFont="1" applyBorder="1" applyAlignment="1">
      <alignment horizontal="center" vertical="center"/>
    </xf>
    <xf numFmtId="0" fontId="7" fillId="0" borderId="1" xfId="0" applyFont="1" applyBorder="1" applyAlignment="1">
      <alignment horizontal="left" vertical="center" indent="1"/>
    </xf>
    <xf numFmtId="6" fontId="7" fillId="0" borderId="1" xfId="0" applyNumberFormat="1" applyFont="1" applyBorder="1" applyAlignment="1">
      <alignment horizontal="right" vertical="center"/>
    </xf>
    <xf numFmtId="8" fontId="0" fillId="0" borderId="0" xfId="0" applyNumberFormat="1"/>
    <xf numFmtId="1" fontId="0" fillId="0" borderId="0" xfId="0" applyNumberFormat="1"/>
    <xf numFmtId="2" fontId="0" fillId="0" borderId="0" xfId="0" applyNumberFormat="1"/>
    <xf numFmtId="0" fontId="7" fillId="0" borderId="1" xfId="0" applyFont="1" applyFill="1" applyBorder="1" applyAlignment="1">
      <alignment horizontal="left" vertical="center" indent="1"/>
    </xf>
    <xf numFmtId="0" fontId="7" fillId="0" borderId="1" xfId="0" applyFont="1" applyFill="1" applyBorder="1" applyAlignment="1">
      <alignment horizontal="center" vertical="center"/>
    </xf>
    <xf numFmtId="3" fontId="7" fillId="0" borderId="1" xfId="0" applyNumberFormat="1" applyFont="1" applyFill="1" applyBorder="1" applyAlignment="1">
      <alignment horizontal="center" vertical="center"/>
    </xf>
    <xf numFmtId="8" fontId="7" fillId="0" borderId="1" xfId="0" applyNumberFormat="1" applyFont="1" applyFill="1" applyBorder="1" applyAlignment="1">
      <alignment horizontal="right" vertical="center"/>
    </xf>
    <xf numFmtId="165" fontId="7" fillId="0" borderId="1" xfId="0" applyNumberFormat="1" applyFont="1" applyFill="1" applyBorder="1" applyAlignment="1">
      <alignment horizontal="center" vertical="center"/>
    </xf>
    <xf numFmtId="4" fontId="7" fillId="0" borderId="1" xfId="0" applyNumberFormat="1" applyFont="1" applyFill="1" applyBorder="1" applyAlignment="1">
      <alignment horizontal="center" vertical="center"/>
    </xf>
    <xf numFmtId="0" fontId="5" fillId="0" borderId="0" xfId="0" applyFont="1" applyFill="1" applyBorder="1" applyAlignment="1">
      <alignment horizontal="center" vertical="center" wrapText="1"/>
    </xf>
    <xf numFmtId="9" fontId="0" fillId="0" borderId="0" xfId="1" applyFont="1"/>
    <xf numFmtId="10" fontId="0" fillId="0" borderId="0" xfId="0" applyNumberFormat="1"/>
    <xf numFmtId="0" fontId="15" fillId="0" borderId="0" xfId="0" applyFont="1"/>
    <xf numFmtId="0" fontId="5" fillId="0" borderId="1" xfId="0" applyFont="1" applyBorder="1" applyAlignment="1">
      <alignment horizontal="center" vertical="center" wrapText="1"/>
    </xf>
    <xf numFmtId="0" fontId="16" fillId="0" borderId="2" xfId="0" applyFont="1" applyFill="1" applyBorder="1" applyAlignment="1">
      <alignment horizontal="center" vertical="center" wrapText="1"/>
    </xf>
    <xf numFmtId="0" fontId="0" fillId="0" borderId="0" xfId="0" applyBorder="1"/>
    <xf numFmtId="0" fontId="7" fillId="0" borderId="0" xfId="0" applyFont="1"/>
    <xf numFmtId="0" fontId="5" fillId="0" borderId="1" xfId="0" applyFont="1" applyBorder="1" applyAlignment="1">
      <alignment vertical="center" wrapText="1"/>
    </xf>
    <xf numFmtId="0" fontId="7" fillId="0" borderId="1" xfId="0" applyFont="1" applyBorder="1" applyAlignment="1">
      <alignment vertical="center" wrapText="1"/>
    </xf>
    <xf numFmtId="0" fontId="7" fillId="0" borderId="1" xfId="0" applyFont="1" applyBorder="1" applyAlignment="1">
      <alignment horizontal="center" vertical="center" wrapText="1"/>
    </xf>
    <xf numFmtId="0" fontId="4" fillId="0" borderId="1" xfId="0" applyFont="1" applyBorder="1" applyAlignment="1">
      <alignment vertical="center" wrapText="1"/>
    </xf>
    <xf numFmtId="6" fontId="4" fillId="0" borderId="1" xfId="0" applyNumberFormat="1" applyFont="1" applyBorder="1" applyAlignment="1">
      <alignment horizontal="center" vertical="center" wrapText="1"/>
    </xf>
    <xf numFmtId="0" fontId="4" fillId="0" borderId="1" xfId="0" applyFont="1" applyBorder="1" applyAlignment="1">
      <alignment horizontal="center" vertical="center" wrapText="1"/>
    </xf>
    <xf numFmtId="0" fontId="17" fillId="0" borderId="0" xfId="0" applyFont="1"/>
    <xf numFmtId="6" fontId="7" fillId="0" borderId="1" xfId="0" applyNumberFormat="1" applyFont="1" applyBorder="1" applyAlignment="1">
      <alignment horizontal="center" vertical="center" wrapText="1"/>
    </xf>
    <xf numFmtId="0" fontId="4" fillId="0" borderId="4" xfId="0" applyFont="1" applyBorder="1" applyAlignment="1">
      <alignment horizontal="center" vertical="center" wrapText="1"/>
    </xf>
    <xf numFmtId="0" fontId="19" fillId="0" borderId="0" xfId="0" applyFont="1"/>
    <xf numFmtId="6" fontId="7" fillId="0" borderId="0" xfId="0" applyNumberFormat="1" applyFont="1"/>
    <xf numFmtId="0" fontId="15" fillId="0" borderId="0" xfId="0" applyFont="1" applyFill="1"/>
    <xf numFmtId="0" fontId="0" fillId="0" borderId="0" xfId="0" applyFill="1"/>
    <xf numFmtId="0" fontId="7" fillId="0" borderId="1" xfId="0" applyFont="1" applyFill="1" applyBorder="1" applyAlignment="1">
      <alignment horizontal="right" vertical="center"/>
    </xf>
    <xf numFmtId="6" fontId="7" fillId="0" borderId="1" xfId="0" applyNumberFormat="1" applyFont="1" applyFill="1" applyBorder="1" applyAlignment="1">
      <alignment horizontal="right" vertical="center"/>
    </xf>
    <xf numFmtId="8" fontId="0" fillId="0" borderId="0" xfId="0" applyNumberFormat="1" applyFill="1"/>
    <xf numFmtId="164" fontId="7" fillId="0" borderId="1" xfId="0" applyNumberFormat="1" applyFont="1" applyFill="1" applyBorder="1" applyAlignment="1">
      <alignment horizontal="center" vertical="center"/>
    </xf>
    <xf numFmtId="0" fontId="9" fillId="0" borderId="1" xfId="0" applyFont="1" applyFill="1" applyBorder="1" applyAlignment="1">
      <alignment horizontal="center" vertical="center"/>
    </xf>
    <xf numFmtId="6" fontId="5" fillId="0" borderId="1" xfId="0" applyNumberFormat="1" applyFont="1" applyFill="1" applyBorder="1" applyAlignment="1">
      <alignment horizontal="right" vertical="center"/>
    </xf>
    <xf numFmtId="0" fontId="5" fillId="0" borderId="1" xfId="0" applyFont="1" applyFill="1" applyBorder="1" applyAlignment="1">
      <alignment vertical="center"/>
    </xf>
    <xf numFmtId="0" fontId="4" fillId="0" borderId="1" xfId="0" applyFont="1" applyFill="1" applyBorder="1" applyAlignment="1">
      <alignment vertical="center" wrapText="1"/>
    </xf>
    <xf numFmtId="6" fontId="4"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6" fontId="20" fillId="0" borderId="0" xfId="0" applyNumberFormat="1" applyFont="1"/>
    <xf numFmtId="0" fontId="22" fillId="0" borderId="0" xfId="0" applyFont="1" applyAlignment="1">
      <alignment wrapText="1"/>
    </xf>
    <xf numFmtId="0" fontId="7" fillId="0" borderId="1" xfId="0" applyFont="1" applyBorder="1" applyAlignment="1">
      <alignment horizontal="left" vertical="center" wrapText="1" indent="1"/>
    </xf>
    <xf numFmtId="0" fontId="23" fillId="0" borderId="0" xfId="0" applyFont="1" applyAlignment="1">
      <alignment vertical="top" wrapText="1"/>
    </xf>
    <xf numFmtId="166" fontId="0" fillId="0" borderId="0" xfId="0" applyNumberFormat="1"/>
    <xf numFmtId="0" fontId="5" fillId="0" borderId="1" xfId="0" applyFont="1" applyBorder="1" applyAlignment="1">
      <alignment horizontal="center" vertical="center" wrapText="1"/>
    </xf>
    <xf numFmtId="3" fontId="5" fillId="0" borderId="1" xfId="0" applyNumberFormat="1" applyFont="1" applyFill="1" applyBorder="1" applyAlignment="1">
      <alignment horizontal="center" vertical="center"/>
    </xf>
    <xf numFmtId="0" fontId="13" fillId="0" borderId="0" xfId="0" applyFont="1" applyAlignment="1">
      <alignment horizontal="left" vertical="top" wrapText="1"/>
    </xf>
    <xf numFmtId="0" fontId="21" fillId="0" borderId="0" xfId="0" applyFont="1" applyAlignment="1">
      <alignment horizontal="left" vertical="top" wrapText="1"/>
    </xf>
    <xf numFmtId="0" fontId="12" fillId="0" borderId="0" xfId="0" applyFont="1" applyAlignment="1">
      <alignment horizontal="left" vertical="top"/>
    </xf>
    <xf numFmtId="0" fontId="5" fillId="0" borderId="1" xfId="0" applyFont="1" applyBorder="1" applyAlignment="1">
      <alignment horizontal="center" vertical="center"/>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7" fillId="0" borderId="0" xfId="0" applyFont="1" applyFill="1" applyAlignment="1">
      <alignment horizontal="left" wrapText="1"/>
    </xf>
    <xf numFmtId="0" fontId="7" fillId="0" borderId="0" xfId="0" applyFont="1" applyAlignment="1">
      <alignment horizontal="left" wrapText="1"/>
    </xf>
    <xf numFmtId="0" fontId="3" fillId="0" borderId="1" xfId="0" applyFont="1" applyBorder="1" applyAlignment="1">
      <alignment horizontal="center" vertical="center" wrapText="1"/>
    </xf>
    <xf numFmtId="0" fontId="8" fillId="0" borderId="0" xfId="0" applyFont="1" applyAlignment="1">
      <alignment horizontal="left" vertical="top" wrapText="1"/>
    </xf>
    <xf numFmtId="0" fontId="23" fillId="0" borderId="0" xfId="0" applyFont="1" applyAlignment="1">
      <alignment horizontal="center" vertical="center" wrapText="1"/>
    </xf>
    <xf numFmtId="0" fontId="7" fillId="0" borderId="0" xfId="0" applyFont="1" applyAlignment="1">
      <alignment vertical="center" wrapText="1"/>
    </xf>
    <xf numFmtId="0" fontId="7" fillId="0" borderId="1" xfId="0" applyFont="1" applyBorder="1" applyAlignment="1">
      <alignment vertical="center" wrapText="1"/>
    </xf>
    <xf numFmtId="0" fontId="8" fillId="0" borderId="3" xfId="0" applyFont="1" applyBorder="1" applyAlignment="1">
      <alignment horizontal="left" vertical="top" wrapText="1"/>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STreimel.ERG\Desktop\Air%20ICRs%20-%20Tracy\1767.09%20NESHAP%20Primary%20Aluminum\Tracy%20Comments\1767calcs09_rev.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1"/>
      <sheetName val="Table 2"/>
      <sheetName val="O&amp;M"/>
    </sheetNames>
    <sheetDataSet>
      <sheetData sheetId="0">
        <row r="31">
          <cell r="E31">
            <v>8</v>
          </cell>
        </row>
        <row r="32">
          <cell r="E32">
            <v>0.8</v>
          </cell>
        </row>
        <row r="33">
          <cell r="E33">
            <v>7.2</v>
          </cell>
        </row>
        <row r="34">
          <cell r="E34">
            <v>1</v>
          </cell>
        </row>
      </sheetData>
      <sheetData sheetId="1"/>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71"/>
  <sheetViews>
    <sheetView tabSelected="1" topLeftCell="A19" zoomScaleNormal="100" workbookViewId="0">
      <selection activeCell="K48" sqref="K48"/>
    </sheetView>
  </sheetViews>
  <sheetFormatPr defaultRowHeight="14.5" x14ac:dyDescent="0.35"/>
  <cols>
    <col min="1" max="1" width="67.26953125" customWidth="1"/>
    <col min="2" max="2" width="10.26953125" customWidth="1"/>
    <col min="3" max="3" width="13.08984375" customWidth="1"/>
    <col min="4" max="4" width="13.7265625" customWidth="1"/>
    <col min="5" max="6" width="12.54296875" customWidth="1"/>
    <col min="7" max="7" width="12.36328125" customWidth="1"/>
    <col min="8" max="8" width="12.7265625" customWidth="1"/>
    <col min="9" max="9" width="15" customWidth="1"/>
    <col min="10" max="10" width="3.54296875" style="30" customWidth="1"/>
    <col min="11" max="11" width="14.54296875" bestFit="1" customWidth="1"/>
    <col min="12" max="13" width="13.54296875" bestFit="1" customWidth="1"/>
  </cols>
  <sheetData>
    <row r="1" spans="1:13" ht="15" x14ac:dyDescent="0.35">
      <c r="A1" s="1" t="s">
        <v>0</v>
      </c>
    </row>
    <row r="2" spans="1:13" x14ac:dyDescent="0.35">
      <c r="F2" s="62">
        <v>121.46</v>
      </c>
      <c r="G2" s="62">
        <v>148.44999999999999</v>
      </c>
      <c r="H2" s="62">
        <v>60.23</v>
      </c>
    </row>
    <row r="3" spans="1:13" ht="15" customHeight="1" x14ac:dyDescent="0.35">
      <c r="A3" s="63" t="s">
        <v>86</v>
      </c>
      <c r="B3" s="2" t="s">
        <v>1</v>
      </c>
      <c r="C3" s="2" t="s">
        <v>3</v>
      </c>
      <c r="D3" s="2" t="s">
        <v>5</v>
      </c>
      <c r="E3" s="2" t="s">
        <v>26</v>
      </c>
      <c r="F3" s="2" t="s">
        <v>27</v>
      </c>
      <c r="G3" s="2" t="s">
        <v>29</v>
      </c>
      <c r="H3" s="2" t="s">
        <v>32</v>
      </c>
      <c r="I3" s="2" t="s">
        <v>6</v>
      </c>
    </row>
    <row r="4" spans="1:13" ht="62.25" customHeight="1" x14ac:dyDescent="0.35">
      <c r="A4" s="63"/>
      <c r="B4" s="2" t="s">
        <v>2</v>
      </c>
      <c r="C4" s="2" t="s">
        <v>4</v>
      </c>
      <c r="D4" s="2" t="s">
        <v>33</v>
      </c>
      <c r="E4" s="2" t="s">
        <v>34</v>
      </c>
      <c r="F4" s="2" t="s">
        <v>28</v>
      </c>
      <c r="G4" s="2" t="s">
        <v>30</v>
      </c>
      <c r="H4" s="2" t="s">
        <v>31</v>
      </c>
      <c r="I4" s="2" t="s">
        <v>50</v>
      </c>
      <c r="J4" s="32"/>
      <c r="K4" s="33"/>
    </row>
    <row r="5" spans="1:13" x14ac:dyDescent="0.35">
      <c r="A5" s="3" t="s">
        <v>7</v>
      </c>
      <c r="B5" s="4" t="s">
        <v>8</v>
      </c>
      <c r="C5" s="4"/>
      <c r="D5" s="4"/>
      <c r="E5" s="4"/>
      <c r="F5" s="4"/>
      <c r="G5" s="4"/>
      <c r="H5" s="4"/>
      <c r="I5" s="5"/>
    </row>
    <row r="6" spans="1:13" x14ac:dyDescent="0.35">
      <c r="A6" s="3" t="s">
        <v>9</v>
      </c>
      <c r="B6" s="4" t="s">
        <v>8</v>
      </c>
      <c r="C6" s="4"/>
      <c r="D6" s="4"/>
      <c r="E6" s="4"/>
      <c r="F6" s="4"/>
      <c r="G6" s="4"/>
      <c r="H6" s="4"/>
      <c r="I6" s="5"/>
    </row>
    <row r="7" spans="1:13" x14ac:dyDescent="0.35">
      <c r="A7" s="3" t="s">
        <v>10</v>
      </c>
      <c r="B7" s="4"/>
      <c r="C7" s="4"/>
      <c r="D7" s="4"/>
      <c r="E7" s="4"/>
      <c r="F7" s="4"/>
      <c r="G7" s="4"/>
      <c r="H7" s="4"/>
      <c r="I7" s="5"/>
    </row>
    <row r="8" spans="1:13" ht="15.5" x14ac:dyDescent="0.35">
      <c r="A8" s="3" t="s">
        <v>51</v>
      </c>
      <c r="B8" s="4"/>
      <c r="C8" s="4"/>
      <c r="D8" s="4"/>
      <c r="E8" s="4"/>
      <c r="F8" s="4"/>
      <c r="G8" s="4"/>
      <c r="H8" s="4"/>
      <c r="I8" s="5"/>
    </row>
    <row r="9" spans="1:13" x14ac:dyDescent="0.35">
      <c r="A9" s="16" t="s">
        <v>53</v>
      </c>
      <c r="B9" s="4">
        <v>4</v>
      </c>
      <c r="C9" s="4">
        <v>1</v>
      </c>
      <c r="D9" s="4">
        <f>+B9*C9</f>
        <v>4</v>
      </c>
      <c r="E9" s="22">
        <v>0</v>
      </c>
      <c r="F9" s="4">
        <f>+D9*E9</f>
        <v>0</v>
      </c>
      <c r="G9" s="4">
        <f>+F9*0.05</f>
        <v>0</v>
      </c>
      <c r="H9" s="4">
        <f>+F9*0.1</f>
        <v>0</v>
      </c>
      <c r="I9" s="17">
        <f>+$F$2*F9+$G$2*G9+$H$2*H9</f>
        <v>0</v>
      </c>
    </row>
    <row r="10" spans="1:13" x14ac:dyDescent="0.35">
      <c r="A10" s="16" t="s">
        <v>54</v>
      </c>
      <c r="B10" s="4">
        <v>2</v>
      </c>
      <c r="C10" s="4">
        <v>1</v>
      </c>
      <c r="D10" s="4">
        <f t="shared" ref="D10:D45" si="0">+B10*C10</f>
        <v>2</v>
      </c>
      <c r="E10" s="22">
        <v>8</v>
      </c>
      <c r="F10" s="22">
        <f t="shared" ref="F10:F34" si="1">+D10*E10</f>
        <v>16</v>
      </c>
      <c r="G10" s="22">
        <f t="shared" ref="G10:G34" si="2">+F10*0.05</f>
        <v>0.8</v>
      </c>
      <c r="H10" s="22">
        <f t="shared" ref="H10:H34" si="3">+F10*0.1</f>
        <v>1.6</v>
      </c>
      <c r="I10" s="24">
        <f t="shared" ref="I10:I34" si="4">+$F$2*F10+$G$2*G10+$H$2*H10</f>
        <v>2158.4879999999998</v>
      </c>
      <c r="J10" s="46"/>
      <c r="K10" s="47"/>
    </row>
    <row r="11" spans="1:13" x14ac:dyDescent="0.35">
      <c r="A11" s="3" t="s">
        <v>11</v>
      </c>
      <c r="B11" s="4"/>
      <c r="C11" s="4"/>
      <c r="D11" s="4"/>
      <c r="E11" s="22"/>
      <c r="F11" s="22"/>
      <c r="G11" s="22"/>
      <c r="H11" s="22"/>
      <c r="I11" s="48"/>
      <c r="J11" s="46"/>
      <c r="K11" s="47"/>
    </row>
    <row r="12" spans="1:13" x14ac:dyDescent="0.35">
      <c r="A12" s="16" t="s">
        <v>55</v>
      </c>
      <c r="B12" s="4">
        <v>8</v>
      </c>
      <c r="C12" s="4">
        <v>1</v>
      </c>
      <c r="D12" s="4">
        <f t="shared" si="0"/>
        <v>8</v>
      </c>
      <c r="E12" s="22">
        <v>0</v>
      </c>
      <c r="F12" s="22">
        <f t="shared" si="1"/>
        <v>0</v>
      </c>
      <c r="G12" s="22">
        <f t="shared" si="2"/>
        <v>0</v>
      </c>
      <c r="H12" s="22">
        <f t="shared" si="3"/>
        <v>0</v>
      </c>
      <c r="I12" s="49">
        <f t="shared" si="4"/>
        <v>0</v>
      </c>
      <c r="J12" s="46"/>
      <c r="K12" s="47"/>
    </row>
    <row r="13" spans="1:13" ht="15.5" x14ac:dyDescent="0.35">
      <c r="A13" s="16" t="s">
        <v>56</v>
      </c>
      <c r="B13" s="4">
        <v>100</v>
      </c>
      <c r="C13" s="4">
        <v>1</v>
      </c>
      <c r="D13" s="4">
        <f t="shared" si="0"/>
        <v>100</v>
      </c>
      <c r="E13" s="22">
        <v>0</v>
      </c>
      <c r="F13" s="22">
        <f t="shared" si="1"/>
        <v>0</v>
      </c>
      <c r="G13" s="22">
        <f t="shared" si="2"/>
        <v>0</v>
      </c>
      <c r="H13" s="22">
        <f t="shared" si="3"/>
        <v>0</v>
      </c>
      <c r="I13" s="49">
        <f t="shared" si="4"/>
        <v>0</v>
      </c>
      <c r="J13" s="46"/>
      <c r="K13" s="47"/>
    </row>
    <row r="14" spans="1:13" ht="15.5" x14ac:dyDescent="0.35">
      <c r="A14" s="21" t="s">
        <v>66</v>
      </c>
      <c r="B14" s="22">
        <v>100</v>
      </c>
      <c r="C14" s="22">
        <v>13.09</v>
      </c>
      <c r="D14" s="23">
        <f t="shared" si="0"/>
        <v>1309</v>
      </c>
      <c r="E14" s="22">
        <v>8</v>
      </c>
      <c r="F14" s="23">
        <f t="shared" si="1"/>
        <v>10472</v>
      </c>
      <c r="G14" s="22">
        <f t="shared" si="2"/>
        <v>523.6</v>
      </c>
      <c r="H14" s="22">
        <f t="shared" si="3"/>
        <v>1047.2</v>
      </c>
      <c r="I14" s="24">
        <f t="shared" si="4"/>
        <v>1412730.3959999997</v>
      </c>
      <c r="J14" s="46"/>
      <c r="K14" s="50"/>
      <c r="L14" s="20"/>
      <c r="M14" s="18"/>
    </row>
    <row r="15" spans="1:13" ht="15.5" x14ac:dyDescent="0.35">
      <c r="A15" s="21" t="s">
        <v>70</v>
      </c>
      <c r="B15" s="22">
        <v>200</v>
      </c>
      <c r="C15" s="22">
        <v>10</v>
      </c>
      <c r="D15" s="23">
        <f t="shared" si="0"/>
        <v>2000</v>
      </c>
      <c r="E15" s="22">
        <v>8</v>
      </c>
      <c r="F15" s="23">
        <f t="shared" si="1"/>
        <v>16000</v>
      </c>
      <c r="G15" s="23">
        <f t="shared" si="2"/>
        <v>800</v>
      </c>
      <c r="H15" s="23">
        <f t="shared" si="3"/>
        <v>1600</v>
      </c>
      <c r="I15" s="24">
        <f>+$F$2*F15+$G$2*G15+$H$2*H15</f>
        <v>2158488</v>
      </c>
      <c r="J15" s="46"/>
      <c r="K15" s="50"/>
      <c r="L15" s="18"/>
    </row>
    <row r="16" spans="1:13" ht="16.5" customHeight="1" x14ac:dyDescent="0.35">
      <c r="A16" s="21" t="s">
        <v>71</v>
      </c>
      <c r="B16" s="22">
        <v>100</v>
      </c>
      <c r="C16" s="22">
        <v>6.36</v>
      </c>
      <c r="D16" s="22">
        <f>+B16*C16</f>
        <v>636</v>
      </c>
      <c r="E16" s="22">
        <v>8</v>
      </c>
      <c r="F16" s="23">
        <f>+D16*E16</f>
        <v>5088</v>
      </c>
      <c r="G16" s="22">
        <f t="shared" ref="G16" si="5">+F16*0.05</f>
        <v>254.4</v>
      </c>
      <c r="H16" s="25">
        <f t="shared" ref="H16" si="6">+F16*0.1</f>
        <v>508.8</v>
      </c>
      <c r="I16" s="24">
        <f t="shared" ref="I16" si="7">+$F$2*F16+$G$2*G16+$H$2*H16</f>
        <v>686399.18400000001</v>
      </c>
      <c r="J16" s="46"/>
      <c r="K16" s="50"/>
    </row>
    <row r="17" spans="1:11" ht="16.5" customHeight="1" x14ac:dyDescent="0.35">
      <c r="A17" s="21" t="s">
        <v>64</v>
      </c>
      <c r="B17" s="22">
        <v>40</v>
      </c>
      <c r="C17" s="22">
        <v>2.1800000000000002</v>
      </c>
      <c r="D17" s="22">
        <f t="shared" si="0"/>
        <v>87.2</v>
      </c>
      <c r="E17" s="22">
        <v>8</v>
      </c>
      <c r="F17" s="25">
        <f t="shared" si="1"/>
        <v>697.6</v>
      </c>
      <c r="G17" s="22">
        <f t="shared" si="2"/>
        <v>34.880000000000003</v>
      </c>
      <c r="H17" s="26">
        <f t="shared" si="3"/>
        <v>69.760000000000005</v>
      </c>
      <c r="I17" s="24">
        <f t="shared" si="4"/>
        <v>94110.076799999995</v>
      </c>
      <c r="J17" s="46"/>
      <c r="K17" s="50"/>
    </row>
    <row r="18" spans="1:11" ht="15.5" x14ac:dyDescent="0.35">
      <c r="A18" s="16" t="s">
        <v>88</v>
      </c>
      <c r="B18" s="4">
        <v>200</v>
      </c>
      <c r="C18" s="4">
        <v>16</v>
      </c>
      <c r="D18" s="7">
        <f t="shared" si="0"/>
        <v>3200</v>
      </c>
      <c r="E18" s="22">
        <v>0</v>
      </c>
      <c r="F18" s="23">
        <f t="shared" si="1"/>
        <v>0</v>
      </c>
      <c r="G18" s="22">
        <f t="shared" si="2"/>
        <v>0</v>
      </c>
      <c r="H18" s="22">
        <f t="shared" si="3"/>
        <v>0</v>
      </c>
      <c r="I18" s="49">
        <f t="shared" si="4"/>
        <v>0</v>
      </c>
      <c r="J18" s="46"/>
      <c r="K18" s="47"/>
    </row>
    <row r="19" spans="1:11" x14ac:dyDescent="0.35">
      <c r="A19" s="21" t="s">
        <v>12</v>
      </c>
      <c r="B19" s="22">
        <v>2</v>
      </c>
      <c r="C19" s="22">
        <v>730</v>
      </c>
      <c r="D19" s="23">
        <f t="shared" si="0"/>
        <v>1460</v>
      </c>
      <c r="E19" s="22">
        <v>8</v>
      </c>
      <c r="F19" s="23">
        <f t="shared" si="1"/>
        <v>11680</v>
      </c>
      <c r="G19" s="22">
        <f t="shared" si="2"/>
        <v>584</v>
      </c>
      <c r="H19" s="23">
        <f t="shared" si="3"/>
        <v>1168</v>
      </c>
      <c r="I19" s="24">
        <f t="shared" si="4"/>
        <v>1575696.2399999998</v>
      </c>
      <c r="J19" s="46"/>
      <c r="K19" s="47"/>
    </row>
    <row r="20" spans="1:11" x14ac:dyDescent="0.35">
      <c r="A20" s="3" t="s">
        <v>13</v>
      </c>
      <c r="B20" s="4" t="s">
        <v>65</v>
      </c>
      <c r="C20" s="4"/>
      <c r="D20" s="4"/>
      <c r="E20" s="22"/>
      <c r="F20" s="22"/>
      <c r="G20" s="22"/>
      <c r="H20" s="22"/>
      <c r="I20" s="48"/>
      <c r="J20" s="46"/>
      <c r="K20" s="47"/>
    </row>
    <row r="21" spans="1:11" x14ac:dyDescent="0.35">
      <c r="A21" s="3" t="s">
        <v>14</v>
      </c>
      <c r="B21" s="4" t="s">
        <v>65</v>
      </c>
      <c r="C21" s="4"/>
      <c r="D21" s="4"/>
      <c r="E21" s="22"/>
      <c r="F21" s="22"/>
      <c r="G21" s="22"/>
      <c r="H21" s="22"/>
      <c r="I21" s="48"/>
      <c r="J21" s="46"/>
      <c r="K21" s="47"/>
    </row>
    <row r="22" spans="1:11" x14ac:dyDescent="0.35">
      <c r="A22" s="3" t="s">
        <v>15</v>
      </c>
      <c r="B22" s="4" t="s">
        <v>65</v>
      </c>
      <c r="C22" s="4"/>
      <c r="D22" s="4"/>
      <c r="E22" s="22"/>
      <c r="F22" s="22"/>
      <c r="G22" s="22"/>
      <c r="H22" s="22"/>
      <c r="I22" s="48"/>
      <c r="J22" s="46"/>
      <c r="K22" s="47"/>
    </row>
    <row r="23" spans="1:11" x14ac:dyDescent="0.35">
      <c r="A23" s="16" t="s">
        <v>57</v>
      </c>
      <c r="B23" s="4">
        <v>2</v>
      </c>
      <c r="C23" s="4">
        <v>1</v>
      </c>
      <c r="D23" s="4">
        <f t="shared" si="0"/>
        <v>2</v>
      </c>
      <c r="E23" s="22">
        <v>0</v>
      </c>
      <c r="F23" s="22">
        <f t="shared" si="1"/>
        <v>0</v>
      </c>
      <c r="G23" s="22">
        <f t="shared" si="2"/>
        <v>0</v>
      </c>
      <c r="H23" s="22">
        <f t="shared" si="3"/>
        <v>0</v>
      </c>
      <c r="I23" s="49">
        <f t="shared" si="4"/>
        <v>0</v>
      </c>
      <c r="J23" s="46"/>
      <c r="K23" s="47"/>
    </row>
    <row r="24" spans="1:11" x14ac:dyDescent="0.35">
      <c r="A24" s="16" t="s">
        <v>58</v>
      </c>
      <c r="B24" s="4">
        <v>2</v>
      </c>
      <c r="C24" s="4">
        <v>1</v>
      </c>
      <c r="D24" s="4">
        <f t="shared" si="0"/>
        <v>2</v>
      </c>
      <c r="E24" s="22">
        <v>0</v>
      </c>
      <c r="F24" s="22">
        <f t="shared" si="1"/>
        <v>0</v>
      </c>
      <c r="G24" s="22">
        <f t="shared" si="2"/>
        <v>0</v>
      </c>
      <c r="H24" s="22">
        <f t="shared" si="3"/>
        <v>0</v>
      </c>
      <c r="I24" s="49">
        <f t="shared" si="4"/>
        <v>0</v>
      </c>
      <c r="J24" s="46"/>
      <c r="K24" s="47"/>
    </row>
    <row r="25" spans="1:11" x14ac:dyDescent="0.35">
      <c r="A25" s="16" t="s">
        <v>59</v>
      </c>
      <c r="B25" s="4">
        <v>2</v>
      </c>
      <c r="C25" s="4">
        <v>1</v>
      </c>
      <c r="D25" s="4">
        <f t="shared" si="0"/>
        <v>2</v>
      </c>
      <c r="E25" s="22">
        <v>0</v>
      </c>
      <c r="F25" s="22">
        <f t="shared" si="1"/>
        <v>0</v>
      </c>
      <c r="G25" s="22">
        <f t="shared" si="2"/>
        <v>0</v>
      </c>
      <c r="H25" s="22">
        <f t="shared" si="3"/>
        <v>0</v>
      </c>
      <c r="I25" s="49">
        <f t="shared" si="4"/>
        <v>0</v>
      </c>
      <c r="J25" s="46"/>
      <c r="K25" s="47"/>
    </row>
    <row r="26" spans="1:11" x14ac:dyDescent="0.35">
      <c r="A26" s="16" t="s">
        <v>16</v>
      </c>
      <c r="B26" s="4" t="s">
        <v>8</v>
      </c>
      <c r="C26" s="4"/>
      <c r="D26" s="4"/>
      <c r="E26" s="22"/>
      <c r="F26" s="22"/>
      <c r="G26" s="22"/>
      <c r="H26" s="22"/>
      <c r="I26" s="49"/>
      <c r="J26" s="46"/>
      <c r="K26" s="47"/>
    </row>
    <row r="27" spans="1:11" x14ac:dyDescent="0.35">
      <c r="A27" s="16" t="s">
        <v>60</v>
      </c>
      <c r="B27" s="4">
        <v>2</v>
      </c>
      <c r="C27" s="4">
        <v>1</v>
      </c>
      <c r="D27" s="4">
        <f t="shared" si="0"/>
        <v>2</v>
      </c>
      <c r="E27" s="22">
        <v>0</v>
      </c>
      <c r="F27" s="22">
        <f t="shared" si="1"/>
        <v>0</v>
      </c>
      <c r="G27" s="22">
        <f t="shared" si="2"/>
        <v>0</v>
      </c>
      <c r="H27" s="22">
        <f t="shared" si="3"/>
        <v>0</v>
      </c>
      <c r="I27" s="49">
        <f t="shared" si="4"/>
        <v>0</v>
      </c>
      <c r="J27" s="46"/>
      <c r="K27" s="47"/>
    </row>
    <row r="28" spans="1:11" x14ac:dyDescent="0.35">
      <c r="A28" s="16" t="s">
        <v>61</v>
      </c>
      <c r="B28" s="4">
        <v>4</v>
      </c>
      <c r="C28" s="4">
        <v>1</v>
      </c>
      <c r="D28" s="4">
        <f t="shared" si="0"/>
        <v>4</v>
      </c>
      <c r="E28" s="22">
        <v>0</v>
      </c>
      <c r="F28" s="22">
        <f t="shared" si="1"/>
        <v>0</v>
      </c>
      <c r="G28" s="22">
        <f t="shared" si="2"/>
        <v>0</v>
      </c>
      <c r="H28" s="22">
        <f t="shared" si="3"/>
        <v>0</v>
      </c>
      <c r="I28" s="49">
        <f t="shared" si="4"/>
        <v>0</v>
      </c>
      <c r="J28" s="46"/>
      <c r="K28" s="47"/>
    </row>
    <row r="29" spans="1:11" ht="15.5" x14ac:dyDescent="0.35">
      <c r="A29" s="16" t="s">
        <v>92</v>
      </c>
      <c r="B29" s="4">
        <v>46</v>
      </c>
      <c r="C29" s="4">
        <v>1</v>
      </c>
      <c r="D29" s="4">
        <f>+B29*C29</f>
        <v>46</v>
      </c>
      <c r="E29" s="22">
        <v>0</v>
      </c>
      <c r="F29" s="22">
        <f>+D29*E29</f>
        <v>0</v>
      </c>
      <c r="G29" s="22">
        <f>+F29*0.05</f>
        <v>0</v>
      </c>
      <c r="H29" s="22">
        <f>+F29*0.1</f>
        <v>0</v>
      </c>
      <c r="I29" s="49">
        <f>+$F$2*F29+$G$2*G29+$H$2*H29</f>
        <v>0</v>
      </c>
      <c r="J29" s="46"/>
      <c r="K29" s="47"/>
    </row>
    <row r="30" spans="1:11" x14ac:dyDescent="0.35">
      <c r="A30" s="16" t="s">
        <v>17</v>
      </c>
      <c r="B30" s="4" t="s">
        <v>8</v>
      </c>
      <c r="C30" s="4"/>
      <c r="D30" s="4"/>
      <c r="E30" s="22"/>
      <c r="F30" s="22"/>
      <c r="G30" s="22"/>
      <c r="H30" s="22"/>
      <c r="I30" s="48"/>
      <c r="J30" s="46"/>
      <c r="K30" s="47"/>
    </row>
    <row r="31" spans="1:11" x14ac:dyDescent="0.35">
      <c r="A31" s="16" t="s">
        <v>18</v>
      </c>
      <c r="B31" s="4" t="s">
        <v>65</v>
      </c>
      <c r="C31" s="4"/>
      <c r="D31" s="4"/>
      <c r="E31" s="22"/>
      <c r="F31" s="22"/>
      <c r="G31" s="22"/>
      <c r="H31" s="22"/>
      <c r="I31" s="48"/>
      <c r="J31" s="46"/>
      <c r="K31" s="47"/>
    </row>
    <row r="32" spans="1:11" ht="15.5" x14ac:dyDescent="0.35">
      <c r="A32" s="16" t="s">
        <v>93</v>
      </c>
      <c r="B32" s="4">
        <v>16</v>
      </c>
      <c r="C32" s="4">
        <v>2</v>
      </c>
      <c r="D32" s="4">
        <f t="shared" si="0"/>
        <v>32</v>
      </c>
      <c r="E32" s="22">
        <v>0.8</v>
      </c>
      <c r="F32" s="51">
        <f t="shared" si="1"/>
        <v>25.6</v>
      </c>
      <c r="G32" s="22">
        <f t="shared" si="2"/>
        <v>1.2800000000000002</v>
      </c>
      <c r="H32" s="22">
        <f t="shared" si="3"/>
        <v>2.5600000000000005</v>
      </c>
      <c r="I32" s="24">
        <f t="shared" si="4"/>
        <v>3453.5808000000002</v>
      </c>
      <c r="J32" s="46"/>
      <c r="K32" s="47"/>
    </row>
    <row r="33" spans="1:12" ht="15.5" x14ac:dyDescent="0.35">
      <c r="A33" s="16" t="s">
        <v>94</v>
      </c>
      <c r="B33" s="4">
        <v>8</v>
      </c>
      <c r="C33" s="4">
        <v>2</v>
      </c>
      <c r="D33" s="4">
        <f t="shared" si="0"/>
        <v>16</v>
      </c>
      <c r="E33" s="22">
        <v>7.2</v>
      </c>
      <c r="F33" s="22">
        <f t="shared" si="1"/>
        <v>115.2</v>
      </c>
      <c r="G33" s="22">
        <f t="shared" si="2"/>
        <v>5.7600000000000007</v>
      </c>
      <c r="H33" s="22">
        <f t="shared" si="3"/>
        <v>11.520000000000001</v>
      </c>
      <c r="I33" s="24">
        <f t="shared" si="4"/>
        <v>15541.113599999999</v>
      </c>
      <c r="J33" s="46"/>
      <c r="K33" s="47"/>
    </row>
    <row r="34" spans="1:12" ht="15.5" x14ac:dyDescent="0.35">
      <c r="A34" s="16" t="s">
        <v>95</v>
      </c>
      <c r="B34" s="4">
        <v>8</v>
      </c>
      <c r="C34" s="4">
        <v>2</v>
      </c>
      <c r="D34" s="4">
        <f t="shared" si="0"/>
        <v>16</v>
      </c>
      <c r="E34" s="22">
        <v>1</v>
      </c>
      <c r="F34" s="22">
        <f t="shared" si="1"/>
        <v>16</v>
      </c>
      <c r="G34" s="22">
        <f t="shared" si="2"/>
        <v>0.8</v>
      </c>
      <c r="H34" s="22">
        <f t="shared" si="3"/>
        <v>1.6</v>
      </c>
      <c r="I34" s="24">
        <f t="shared" si="4"/>
        <v>2158.4879999999998</v>
      </c>
      <c r="J34" s="46"/>
      <c r="K34" s="47"/>
    </row>
    <row r="35" spans="1:12" x14ac:dyDescent="0.35">
      <c r="A35" s="11" t="s">
        <v>36</v>
      </c>
      <c r="B35" s="8"/>
      <c r="C35" s="8"/>
      <c r="D35" s="4"/>
      <c r="E35" s="52"/>
      <c r="F35" s="64">
        <f>SUM(F5:H34)</f>
        <v>50726.959999999992</v>
      </c>
      <c r="G35" s="64"/>
      <c r="H35" s="64"/>
      <c r="I35" s="53">
        <f>SUM(I5:I34)</f>
        <v>5950735.5671999995</v>
      </c>
      <c r="J35" s="46"/>
      <c r="K35" s="47"/>
    </row>
    <row r="36" spans="1:12" x14ac:dyDescent="0.35">
      <c r="A36" s="3" t="s">
        <v>19</v>
      </c>
      <c r="B36" s="4"/>
      <c r="C36" s="4"/>
      <c r="D36" s="4"/>
      <c r="E36" s="22"/>
      <c r="F36" s="22"/>
      <c r="G36" s="22"/>
      <c r="H36" s="22"/>
      <c r="I36" s="48"/>
      <c r="J36" s="46"/>
      <c r="K36" s="47"/>
    </row>
    <row r="37" spans="1:12" x14ac:dyDescent="0.35">
      <c r="A37" s="3" t="s">
        <v>63</v>
      </c>
      <c r="B37" s="4" t="s">
        <v>65</v>
      </c>
      <c r="C37" s="4"/>
      <c r="D37" s="4"/>
      <c r="E37" s="22"/>
      <c r="F37" s="22"/>
      <c r="G37" s="22"/>
      <c r="H37" s="22"/>
      <c r="I37" s="48"/>
      <c r="J37" s="46"/>
      <c r="K37" s="47"/>
    </row>
    <row r="38" spans="1:12" x14ac:dyDescent="0.35">
      <c r="A38" s="3" t="s">
        <v>20</v>
      </c>
      <c r="B38" s="4" t="s">
        <v>8</v>
      </c>
      <c r="C38" s="4"/>
      <c r="D38" s="4"/>
      <c r="E38" s="22"/>
      <c r="F38" s="22"/>
      <c r="G38" s="22"/>
      <c r="H38" s="22"/>
      <c r="I38" s="48"/>
      <c r="J38" s="46"/>
      <c r="K38" s="47"/>
    </row>
    <row r="39" spans="1:12" x14ac:dyDescent="0.35">
      <c r="A39" s="3" t="s">
        <v>67</v>
      </c>
      <c r="B39" s="4">
        <v>1</v>
      </c>
      <c r="C39" s="4">
        <v>11</v>
      </c>
      <c r="D39" s="4">
        <f t="shared" si="0"/>
        <v>11</v>
      </c>
      <c r="E39" s="22">
        <v>8</v>
      </c>
      <c r="F39" s="23">
        <f t="shared" ref="F39" si="8">+D39*E39</f>
        <v>88</v>
      </c>
      <c r="G39" s="22">
        <f t="shared" ref="G39" si="9">+F39*0.05</f>
        <v>4.4000000000000004</v>
      </c>
      <c r="H39" s="22">
        <f t="shared" ref="H39" si="10">+F39*0.1</f>
        <v>8.8000000000000007</v>
      </c>
      <c r="I39" s="24">
        <f t="shared" ref="I39" si="11">+$F$2*F39+$G$2*G39+$H$2*H39</f>
        <v>11871.683999999999</v>
      </c>
      <c r="J39" s="46"/>
      <c r="K39" s="47"/>
    </row>
    <row r="40" spans="1:12" ht="15.5" x14ac:dyDescent="0.35">
      <c r="A40" s="3" t="s">
        <v>21</v>
      </c>
      <c r="B40" s="4" t="s">
        <v>8</v>
      </c>
      <c r="C40" s="4"/>
      <c r="D40" s="4"/>
      <c r="E40" s="22"/>
      <c r="F40" s="22"/>
      <c r="G40" s="22"/>
      <c r="H40" s="22"/>
      <c r="I40" s="48"/>
      <c r="J40" s="46"/>
      <c r="K40" s="47"/>
    </row>
    <row r="41" spans="1:12" ht="15.5" x14ac:dyDescent="0.35">
      <c r="A41" s="3" t="s">
        <v>22</v>
      </c>
      <c r="B41" s="4"/>
      <c r="C41" s="4"/>
      <c r="D41" s="4"/>
      <c r="E41" s="22"/>
      <c r="F41" s="22"/>
      <c r="G41" s="22"/>
      <c r="H41" s="22"/>
      <c r="I41" s="48"/>
      <c r="J41" s="46"/>
      <c r="K41" s="47"/>
    </row>
    <row r="42" spans="1:12" ht="15.5" x14ac:dyDescent="0.35">
      <c r="A42" s="16" t="s">
        <v>96</v>
      </c>
      <c r="B42" s="4">
        <v>3</v>
      </c>
      <c r="C42" s="4">
        <v>52</v>
      </c>
      <c r="D42" s="4">
        <f t="shared" si="0"/>
        <v>156</v>
      </c>
      <c r="E42" s="22">
        <v>8</v>
      </c>
      <c r="F42" s="23">
        <f t="shared" ref="F42" si="12">+D42*E42</f>
        <v>1248</v>
      </c>
      <c r="G42" s="22">
        <f t="shared" ref="G42" si="13">+F42*0.05</f>
        <v>62.400000000000006</v>
      </c>
      <c r="H42" s="22">
        <f t="shared" ref="H42" si="14">+F42*0.1</f>
        <v>124.80000000000001</v>
      </c>
      <c r="I42" s="24">
        <f t="shared" ref="I42" si="15">+$F$2*F42+$G$2*G42+$H$2*H42</f>
        <v>168362.06399999998</v>
      </c>
      <c r="J42" s="46"/>
      <c r="K42" s="47"/>
    </row>
    <row r="43" spans="1:12" x14ac:dyDescent="0.35">
      <c r="A43" s="3" t="s">
        <v>23</v>
      </c>
      <c r="B43" s="4" t="s">
        <v>8</v>
      </c>
      <c r="C43" s="4"/>
      <c r="D43" s="4"/>
      <c r="E43" s="22"/>
      <c r="F43" s="22"/>
      <c r="G43" s="22"/>
      <c r="H43" s="22"/>
      <c r="I43" s="48"/>
      <c r="J43" s="46"/>
      <c r="K43" s="47"/>
    </row>
    <row r="44" spans="1:12" x14ac:dyDescent="0.35">
      <c r="A44" s="3" t="s">
        <v>24</v>
      </c>
      <c r="B44" s="4" t="s">
        <v>8</v>
      </c>
      <c r="C44" s="4"/>
      <c r="D44" s="4"/>
      <c r="E44" s="22"/>
      <c r="F44" s="22"/>
      <c r="G44" s="22"/>
      <c r="H44" s="22"/>
      <c r="I44" s="48"/>
      <c r="J44" s="46"/>
      <c r="K44" s="47"/>
    </row>
    <row r="45" spans="1:12" ht="15.5" x14ac:dyDescent="0.35">
      <c r="A45" s="3" t="s">
        <v>97</v>
      </c>
      <c r="B45" s="4">
        <v>1</v>
      </c>
      <c r="C45" s="4">
        <v>2</v>
      </c>
      <c r="D45" s="4">
        <f t="shared" si="0"/>
        <v>2</v>
      </c>
      <c r="E45" s="22">
        <v>8</v>
      </c>
      <c r="F45" s="22">
        <f t="shared" ref="F45" si="16">+D45*E45</f>
        <v>16</v>
      </c>
      <c r="G45" s="22">
        <f t="shared" ref="G45" si="17">+F45*0.05</f>
        <v>0.8</v>
      </c>
      <c r="H45" s="22">
        <f t="shared" ref="H45" si="18">+F45*0.1</f>
        <v>1.6</v>
      </c>
      <c r="I45" s="24">
        <f t="shared" ref="I45" si="19">+$F$2*F45+$G$2*G45+$H$2*H45</f>
        <v>2158.4879999999998</v>
      </c>
      <c r="J45" s="46"/>
      <c r="K45" s="47"/>
    </row>
    <row r="46" spans="1:12" x14ac:dyDescent="0.35">
      <c r="A46" s="3" t="s">
        <v>25</v>
      </c>
      <c r="B46" s="4" t="s">
        <v>8</v>
      </c>
      <c r="C46" s="4"/>
      <c r="D46" s="4"/>
      <c r="E46" s="22"/>
      <c r="F46" s="22"/>
      <c r="G46" s="22"/>
      <c r="H46" s="22"/>
      <c r="I46" s="48"/>
      <c r="J46" s="46"/>
      <c r="K46" s="47"/>
    </row>
    <row r="47" spans="1:12" x14ac:dyDescent="0.35">
      <c r="A47" s="11" t="s">
        <v>35</v>
      </c>
      <c r="B47" s="8"/>
      <c r="C47" s="8"/>
      <c r="D47" s="8"/>
      <c r="E47" s="52"/>
      <c r="F47" s="64">
        <f>SUM(F36:H46)</f>
        <v>1554.8</v>
      </c>
      <c r="G47" s="64"/>
      <c r="H47" s="64"/>
      <c r="I47" s="53">
        <f>SUM(I36:I46)</f>
        <v>182392.236</v>
      </c>
      <c r="J47" s="46"/>
      <c r="K47" s="47" t="s">
        <v>84</v>
      </c>
      <c r="L47" t="s">
        <v>85</v>
      </c>
    </row>
    <row r="48" spans="1:12" ht="15" x14ac:dyDescent="0.35">
      <c r="A48" s="9" t="s">
        <v>165</v>
      </c>
      <c r="B48" s="9"/>
      <c r="C48" s="9"/>
      <c r="D48" s="9"/>
      <c r="E48" s="54"/>
      <c r="F48" s="64">
        <f>ROUND(F35+F47,-2)</f>
        <v>52300</v>
      </c>
      <c r="G48" s="64"/>
      <c r="H48" s="64"/>
      <c r="I48" s="53">
        <f>+ROUND(I35+I47,-4)</f>
        <v>6130000</v>
      </c>
      <c r="J48" s="46"/>
      <c r="K48" s="47">
        <f>'O&amp;M'!E47</f>
        <v>26</v>
      </c>
      <c r="L48" s="19">
        <f>+F48/K48</f>
        <v>2011.5384615384614</v>
      </c>
    </row>
    <row r="49" spans="1:14" ht="15" x14ac:dyDescent="0.35">
      <c r="A49" s="9" t="s">
        <v>166</v>
      </c>
      <c r="B49" s="9"/>
      <c r="C49" s="9"/>
      <c r="D49" s="9"/>
      <c r="E49" s="9"/>
      <c r="F49" s="13"/>
      <c r="G49" s="13"/>
      <c r="H49" s="13"/>
      <c r="I49" s="10">
        <f>'O&amp;M'!H24</f>
        <v>310000</v>
      </c>
    </row>
    <row r="50" spans="1:14" ht="15" x14ac:dyDescent="0.35">
      <c r="A50" s="9" t="s">
        <v>98</v>
      </c>
      <c r="B50" s="9"/>
      <c r="C50" s="9"/>
      <c r="D50" s="9"/>
      <c r="E50" s="9"/>
      <c r="F50" s="13"/>
      <c r="G50" s="13"/>
      <c r="H50" s="13"/>
      <c r="I50" s="10">
        <f>+ROUND(I48+I49,-4)</f>
        <v>6440000</v>
      </c>
    </row>
    <row r="52" spans="1:14" x14ac:dyDescent="0.35">
      <c r="A52" s="67" t="s">
        <v>37</v>
      </c>
      <c r="B52" s="67"/>
      <c r="C52" s="67"/>
      <c r="D52" s="67"/>
      <c r="E52" s="67"/>
      <c r="F52" s="67"/>
      <c r="G52" s="67"/>
      <c r="H52" s="67"/>
      <c r="I52" s="67"/>
    </row>
    <row r="53" spans="1:14" ht="15.5" x14ac:dyDescent="0.35">
      <c r="A53" s="65" t="s">
        <v>103</v>
      </c>
      <c r="B53" s="65"/>
      <c r="C53" s="65"/>
      <c r="D53" s="65"/>
      <c r="E53" s="65"/>
      <c r="F53" s="65"/>
      <c r="G53" s="65"/>
      <c r="H53" s="65"/>
      <c r="I53" s="65"/>
    </row>
    <row r="54" spans="1:14" ht="48" customHeight="1" x14ac:dyDescent="0.35">
      <c r="A54" s="65" t="s">
        <v>167</v>
      </c>
      <c r="B54" s="65"/>
      <c r="C54" s="65"/>
      <c r="D54" s="65"/>
      <c r="E54" s="65"/>
      <c r="F54" s="65"/>
      <c r="G54" s="65"/>
      <c r="H54" s="65"/>
      <c r="I54" s="65"/>
    </row>
    <row r="55" spans="1:14" ht="15.5" x14ac:dyDescent="0.35">
      <c r="A55" s="65" t="s">
        <v>52</v>
      </c>
      <c r="B55" s="65"/>
      <c r="C55" s="65"/>
      <c r="D55" s="65"/>
      <c r="E55" s="65"/>
      <c r="F55" s="65"/>
      <c r="G55" s="65"/>
      <c r="H55" s="65"/>
      <c r="I55" s="65"/>
    </row>
    <row r="56" spans="1:14" ht="15.5" x14ac:dyDescent="0.35">
      <c r="A56" s="65" t="s">
        <v>68</v>
      </c>
      <c r="B56" s="65"/>
      <c r="C56" s="65"/>
      <c r="D56" s="65"/>
      <c r="E56" s="65"/>
      <c r="F56" s="65"/>
      <c r="G56" s="65"/>
      <c r="H56" s="65"/>
      <c r="I56" s="65"/>
      <c r="K56" s="61"/>
      <c r="L56" s="61"/>
      <c r="M56" s="61"/>
      <c r="N56" s="61"/>
    </row>
    <row r="57" spans="1:14" ht="58.5" customHeight="1" x14ac:dyDescent="0.35">
      <c r="A57" s="66" t="s">
        <v>155</v>
      </c>
      <c r="B57" s="66"/>
      <c r="C57" s="66"/>
      <c r="D57" s="66"/>
      <c r="E57" s="66"/>
      <c r="F57" s="66"/>
      <c r="G57" s="66"/>
      <c r="H57" s="66"/>
      <c r="I57" s="66"/>
      <c r="K57" s="61"/>
      <c r="L57" s="61"/>
      <c r="M57" s="61"/>
      <c r="N57" s="61"/>
    </row>
    <row r="58" spans="1:14" ht="15.5" x14ac:dyDescent="0.35">
      <c r="A58" s="65" t="s">
        <v>69</v>
      </c>
      <c r="B58" s="65"/>
      <c r="C58" s="65"/>
      <c r="D58" s="65"/>
      <c r="E58" s="65"/>
      <c r="F58" s="65"/>
      <c r="G58" s="65"/>
      <c r="H58" s="65"/>
      <c r="I58" s="65"/>
      <c r="K58" s="61"/>
      <c r="L58" s="61"/>
      <c r="M58" s="61"/>
      <c r="N58" s="61"/>
    </row>
    <row r="59" spans="1:14" ht="58.5" customHeight="1" x14ac:dyDescent="0.35">
      <c r="A59" s="66" t="s">
        <v>163</v>
      </c>
      <c r="B59" s="66"/>
      <c r="C59" s="66"/>
      <c r="D59" s="66"/>
      <c r="E59" s="66"/>
      <c r="F59" s="66"/>
      <c r="G59" s="66"/>
      <c r="H59" s="66"/>
      <c r="I59" s="66"/>
      <c r="K59" s="61"/>
      <c r="L59" s="61"/>
      <c r="M59" s="61"/>
      <c r="N59" s="61"/>
    </row>
    <row r="60" spans="1:14" ht="15.5" x14ac:dyDescent="0.35">
      <c r="A60" s="65" t="s">
        <v>62</v>
      </c>
      <c r="B60" s="65"/>
      <c r="C60" s="65"/>
      <c r="D60" s="65"/>
      <c r="E60" s="65"/>
      <c r="F60" s="65"/>
      <c r="G60" s="65"/>
      <c r="H60" s="65"/>
      <c r="I60" s="65"/>
      <c r="K60" s="61"/>
      <c r="L60" s="61"/>
      <c r="M60" s="61"/>
      <c r="N60" s="61"/>
    </row>
    <row r="61" spans="1:14" ht="36" customHeight="1" x14ac:dyDescent="0.35">
      <c r="A61" s="66" t="s">
        <v>156</v>
      </c>
      <c r="B61" s="66"/>
      <c r="C61" s="66"/>
      <c r="D61" s="66"/>
      <c r="E61" s="66"/>
      <c r="F61" s="66"/>
      <c r="G61" s="66"/>
      <c r="H61" s="66"/>
      <c r="I61" s="66"/>
      <c r="K61" s="61"/>
      <c r="L61" s="61"/>
      <c r="M61" s="61"/>
      <c r="N61" s="61"/>
    </row>
    <row r="62" spans="1:14" ht="15.5" x14ac:dyDescent="0.35">
      <c r="A62" s="65" t="s">
        <v>72</v>
      </c>
      <c r="B62" s="65"/>
      <c r="C62" s="65"/>
      <c r="D62" s="65"/>
      <c r="E62" s="65"/>
      <c r="F62" s="65"/>
      <c r="G62" s="65"/>
      <c r="H62" s="65"/>
      <c r="I62" s="65"/>
      <c r="K62" s="61"/>
      <c r="L62" s="61"/>
      <c r="M62" s="61"/>
      <c r="N62" s="61"/>
    </row>
    <row r="63" spans="1:14" ht="31.5" customHeight="1" x14ac:dyDescent="0.35">
      <c r="A63" s="65" t="s">
        <v>87</v>
      </c>
      <c r="B63" s="65"/>
      <c r="C63" s="65"/>
      <c r="D63" s="65"/>
      <c r="E63" s="65"/>
      <c r="F63" s="65"/>
      <c r="G63" s="65"/>
      <c r="H63" s="65"/>
      <c r="I63" s="65"/>
      <c r="K63" s="61"/>
      <c r="L63" s="61"/>
      <c r="M63" s="61"/>
      <c r="N63" s="61"/>
    </row>
    <row r="64" spans="1:14" ht="15.5" x14ac:dyDescent="0.35">
      <c r="A64" s="65" t="s">
        <v>99</v>
      </c>
      <c r="B64" s="65"/>
      <c r="C64" s="65"/>
      <c r="D64" s="65"/>
      <c r="E64" s="65"/>
      <c r="F64" s="65"/>
      <c r="G64" s="65"/>
      <c r="H64" s="65"/>
      <c r="I64" s="65"/>
    </row>
    <row r="65" spans="1:9" ht="15.5" x14ac:dyDescent="0.35">
      <c r="A65" s="65" t="s">
        <v>89</v>
      </c>
      <c r="B65" s="65"/>
      <c r="C65" s="65"/>
      <c r="D65" s="65"/>
      <c r="E65" s="65"/>
      <c r="F65" s="65"/>
      <c r="G65" s="65"/>
      <c r="H65" s="65"/>
      <c r="I65" s="65"/>
    </row>
    <row r="66" spans="1:9" ht="15.5" x14ac:dyDescent="0.35">
      <c r="A66" s="65" t="s">
        <v>107</v>
      </c>
      <c r="B66" s="65"/>
      <c r="C66" s="65"/>
      <c r="D66" s="65"/>
      <c r="E66" s="65"/>
      <c r="F66" s="65"/>
      <c r="G66" s="65"/>
      <c r="H66" s="65"/>
      <c r="I66" s="65"/>
    </row>
    <row r="67" spans="1:9" ht="15.5" x14ac:dyDescent="0.35">
      <c r="A67" s="65" t="s">
        <v>108</v>
      </c>
      <c r="B67" s="65"/>
      <c r="C67" s="65"/>
      <c r="D67" s="65"/>
      <c r="E67" s="65"/>
      <c r="F67" s="65"/>
      <c r="G67" s="65"/>
      <c r="H67" s="65"/>
      <c r="I67" s="65"/>
    </row>
    <row r="68" spans="1:9" ht="15.5" x14ac:dyDescent="0.35">
      <c r="A68" s="65" t="s">
        <v>109</v>
      </c>
      <c r="B68" s="65"/>
      <c r="C68" s="65"/>
      <c r="D68" s="65"/>
      <c r="E68" s="65"/>
      <c r="F68" s="65"/>
      <c r="G68" s="65"/>
      <c r="H68" s="65"/>
      <c r="I68" s="65"/>
    </row>
    <row r="69" spans="1:9" ht="15.5" x14ac:dyDescent="0.35">
      <c r="A69" s="65" t="s">
        <v>100</v>
      </c>
      <c r="B69" s="65"/>
      <c r="C69" s="65"/>
      <c r="D69" s="65"/>
      <c r="E69" s="65"/>
      <c r="F69" s="65"/>
      <c r="G69" s="65"/>
      <c r="H69" s="65"/>
      <c r="I69" s="65"/>
    </row>
    <row r="70" spans="1:9" ht="15.5" x14ac:dyDescent="0.35">
      <c r="A70" s="65" t="s">
        <v>90</v>
      </c>
      <c r="B70" s="65"/>
      <c r="C70" s="65"/>
      <c r="D70" s="65"/>
      <c r="E70" s="65"/>
      <c r="F70" s="65"/>
      <c r="G70" s="65"/>
      <c r="H70" s="65"/>
      <c r="I70" s="65"/>
    </row>
    <row r="71" spans="1:9" ht="15.5" x14ac:dyDescent="0.35">
      <c r="A71" s="65" t="s">
        <v>91</v>
      </c>
      <c r="B71" s="65"/>
      <c r="C71" s="65"/>
      <c r="D71" s="65"/>
      <c r="E71" s="65"/>
      <c r="F71" s="65"/>
      <c r="G71" s="65"/>
      <c r="H71" s="65"/>
      <c r="I71" s="65"/>
    </row>
  </sheetData>
  <mergeCells count="24">
    <mergeCell ref="A71:I71"/>
    <mergeCell ref="A52:I52"/>
    <mergeCell ref="A64:I64"/>
    <mergeCell ref="A65:I65"/>
    <mergeCell ref="A66:I66"/>
    <mergeCell ref="A67:I67"/>
    <mergeCell ref="A68:I68"/>
    <mergeCell ref="A59:I59"/>
    <mergeCell ref="A60:I60"/>
    <mergeCell ref="A61:I61"/>
    <mergeCell ref="A62:I62"/>
    <mergeCell ref="A63:I63"/>
    <mergeCell ref="A54:I54"/>
    <mergeCell ref="A55:I55"/>
    <mergeCell ref="A58:I58"/>
    <mergeCell ref="F47:H47"/>
    <mergeCell ref="F48:H48"/>
    <mergeCell ref="A69:I69"/>
    <mergeCell ref="A70:I70"/>
    <mergeCell ref="A3:A4"/>
    <mergeCell ref="F35:H35"/>
    <mergeCell ref="A53:I53"/>
    <mergeCell ref="A56:I56"/>
    <mergeCell ref="A57:I57"/>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30"/>
  <sheetViews>
    <sheetView zoomScale="109" zoomScaleNormal="109" workbookViewId="0">
      <selection activeCell="E11" sqref="E11"/>
    </sheetView>
  </sheetViews>
  <sheetFormatPr defaultRowHeight="14.5" x14ac:dyDescent="0.35"/>
  <cols>
    <col min="1" max="1" width="39.54296875" customWidth="1"/>
    <col min="2" max="2" width="10" customWidth="1"/>
    <col min="3" max="3" width="10.54296875" customWidth="1"/>
    <col min="9" max="9" width="12.54296875" customWidth="1"/>
    <col min="13" max="13" width="11.90625" customWidth="1"/>
    <col min="15" max="15" width="18.08984375" customWidth="1"/>
  </cols>
  <sheetData>
    <row r="1" spans="1:15" x14ac:dyDescent="0.35">
      <c r="A1" s="14" t="s">
        <v>38</v>
      </c>
    </row>
    <row r="2" spans="1:15" x14ac:dyDescent="0.35">
      <c r="F2">
        <v>50.72</v>
      </c>
      <c r="G2">
        <v>68.37</v>
      </c>
      <c r="H2">
        <v>27.46</v>
      </c>
    </row>
    <row r="3" spans="1:15" ht="15" customHeight="1" x14ac:dyDescent="0.35">
      <c r="A3" s="63" t="s">
        <v>39</v>
      </c>
      <c r="B3" s="2" t="s">
        <v>1</v>
      </c>
      <c r="C3" s="2" t="s">
        <v>3</v>
      </c>
      <c r="D3" s="2" t="s">
        <v>5</v>
      </c>
      <c r="E3" s="2" t="s">
        <v>44</v>
      </c>
      <c r="F3" s="2" t="s">
        <v>27</v>
      </c>
      <c r="G3" s="2" t="s">
        <v>29</v>
      </c>
      <c r="H3" s="2" t="s">
        <v>32</v>
      </c>
      <c r="I3" s="2" t="s">
        <v>49</v>
      </c>
    </row>
    <row r="4" spans="1:15" ht="91" x14ac:dyDescent="0.35">
      <c r="A4" s="63"/>
      <c r="B4" s="2" t="s">
        <v>40</v>
      </c>
      <c r="C4" s="2" t="s">
        <v>41</v>
      </c>
      <c r="D4" s="2" t="s">
        <v>48</v>
      </c>
      <c r="E4" s="2" t="s">
        <v>73</v>
      </c>
      <c r="F4" s="2" t="s">
        <v>45</v>
      </c>
      <c r="G4" s="2" t="s">
        <v>47</v>
      </c>
      <c r="H4" s="2" t="s">
        <v>46</v>
      </c>
      <c r="I4" s="2" t="s">
        <v>74</v>
      </c>
      <c r="L4" s="27"/>
    </row>
    <row r="5" spans="1:15" ht="15.5" x14ac:dyDescent="0.35">
      <c r="A5" s="3" t="s">
        <v>75</v>
      </c>
      <c r="B5" s="4">
        <v>2</v>
      </c>
      <c r="C5" s="4">
        <v>1</v>
      </c>
      <c r="D5" s="4"/>
      <c r="E5" s="4"/>
      <c r="F5" s="4"/>
      <c r="G5" s="4"/>
      <c r="H5" s="4"/>
      <c r="I5" s="5"/>
    </row>
    <row r="6" spans="1:15" x14ac:dyDescent="0.35">
      <c r="A6" s="16" t="s">
        <v>57</v>
      </c>
      <c r="B6" s="4">
        <v>2</v>
      </c>
      <c r="C6" s="4">
        <v>1</v>
      </c>
      <c r="D6" s="4">
        <f>+B6*C6</f>
        <v>2</v>
      </c>
      <c r="E6" s="22">
        <f>'Table 1'!E23</f>
        <v>0</v>
      </c>
      <c r="F6" s="4">
        <f>+D6*E6</f>
        <v>0</v>
      </c>
      <c r="G6" s="4">
        <f>+F6*0.05</f>
        <v>0</v>
      </c>
      <c r="H6" s="4">
        <f>+F6*0.1</f>
        <v>0</v>
      </c>
      <c r="I6" s="17">
        <f>+$F$2*F6+$G$2*G6+$H$2*H6</f>
        <v>0</v>
      </c>
    </row>
    <row r="7" spans="1:15" x14ac:dyDescent="0.35">
      <c r="A7" s="16" t="s">
        <v>76</v>
      </c>
      <c r="B7" s="4">
        <v>2</v>
      </c>
      <c r="C7" s="4">
        <v>1</v>
      </c>
      <c r="D7" s="4">
        <f t="shared" ref="D7:D18" si="0">+B7*C7</f>
        <v>2</v>
      </c>
      <c r="E7" s="22">
        <f>'Table 1'!E24</f>
        <v>0</v>
      </c>
      <c r="F7" s="4">
        <f t="shared" ref="F7:F18" si="1">+D7*E7</f>
        <v>0</v>
      </c>
      <c r="G7" s="4">
        <f t="shared" ref="G7:G18" si="2">+F7*0.05</f>
        <v>0</v>
      </c>
      <c r="H7" s="4">
        <f t="shared" ref="H7:H18" si="3">+F7*0.1</f>
        <v>0</v>
      </c>
      <c r="I7" s="17">
        <f t="shared" ref="I7:I18" si="4">+$F$2*F7+$G$2*G7+$H$2*H7</f>
        <v>0</v>
      </c>
      <c r="M7" s="28"/>
      <c r="O7" s="29"/>
    </row>
    <row r="8" spans="1:15" x14ac:dyDescent="0.35">
      <c r="A8" s="16" t="s">
        <v>59</v>
      </c>
      <c r="B8" s="4">
        <v>2</v>
      </c>
      <c r="C8" s="4">
        <v>1</v>
      </c>
      <c r="D8" s="4">
        <f t="shared" si="0"/>
        <v>2</v>
      </c>
      <c r="E8" s="22">
        <f>'Table 1'!E25</f>
        <v>0</v>
      </c>
      <c r="F8" s="4">
        <f t="shared" si="1"/>
        <v>0</v>
      </c>
      <c r="G8" s="4">
        <f t="shared" si="2"/>
        <v>0</v>
      </c>
      <c r="H8" s="4">
        <f t="shared" si="3"/>
        <v>0</v>
      </c>
      <c r="I8" s="17">
        <f t="shared" si="4"/>
        <v>0</v>
      </c>
      <c r="M8" s="28"/>
      <c r="O8" s="29"/>
    </row>
    <row r="9" spans="1:15" x14ac:dyDescent="0.35">
      <c r="A9" s="16" t="s">
        <v>16</v>
      </c>
      <c r="B9" s="4" t="s">
        <v>8</v>
      </c>
      <c r="C9" s="4"/>
      <c r="D9" s="4"/>
      <c r="E9" s="22"/>
      <c r="F9" s="4"/>
      <c r="G9" s="4"/>
      <c r="H9" s="4"/>
      <c r="I9" s="17"/>
    </row>
    <row r="10" spans="1:15" x14ac:dyDescent="0.35">
      <c r="A10" s="16" t="s">
        <v>77</v>
      </c>
      <c r="B10" s="4">
        <v>2</v>
      </c>
      <c r="C10" s="4">
        <v>1</v>
      </c>
      <c r="D10" s="4">
        <f t="shared" si="0"/>
        <v>2</v>
      </c>
      <c r="E10" s="22">
        <f>'Table 1'!E27</f>
        <v>0</v>
      </c>
      <c r="F10" s="4">
        <f t="shared" si="1"/>
        <v>0</v>
      </c>
      <c r="G10" s="4">
        <f t="shared" si="2"/>
        <v>0</v>
      </c>
      <c r="H10" s="4">
        <f t="shared" si="3"/>
        <v>0</v>
      </c>
      <c r="I10" s="17">
        <f t="shared" si="4"/>
        <v>0</v>
      </c>
    </row>
    <row r="11" spans="1:15" x14ac:dyDescent="0.35">
      <c r="A11" s="16" t="s">
        <v>61</v>
      </c>
      <c r="B11" s="4">
        <v>8</v>
      </c>
      <c r="C11" s="4">
        <v>1</v>
      </c>
      <c r="D11" s="4">
        <f t="shared" si="0"/>
        <v>8</v>
      </c>
      <c r="E11" s="22">
        <f>'Table 1'!E28</f>
        <v>0</v>
      </c>
      <c r="F11" s="4">
        <f t="shared" si="1"/>
        <v>0</v>
      </c>
      <c r="G11" s="4">
        <f t="shared" si="2"/>
        <v>0</v>
      </c>
      <c r="H11" s="4">
        <f t="shared" si="3"/>
        <v>0</v>
      </c>
      <c r="I11" s="17">
        <f t="shared" si="4"/>
        <v>0</v>
      </c>
    </row>
    <row r="12" spans="1:15" ht="28.5" x14ac:dyDescent="0.35">
      <c r="A12" s="60" t="s">
        <v>78</v>
      </c>
      <c r="B12" s="4">
        <v>10</v>
      </c>
      <c r="C12" s="4">
        <v>1</v>
      </c>
      <c r="D12" s="4">
        <f t="shared" si="0"/>
        <v>10</v>
      </c>
      <c r="E12" s="22">
        <f>'Table 1'!E29</f>
        <v>0</v>
      </c>
      <c r="F12" s="4">
        <f t="shared" ref="F12" si="5">+D12*E12</f>
        <v>0</v>
      </c>
      <c r="G12" s="4">
        <f t="shared" ref="G12" si="6">+F12*0.05</f>
        <v>0</v>
      </c>
      <c r="H12" s="4">
        <f t="shared" ref="H12" si="7">+F12*0.1</f>
        <v>0</v>
      </c>
      <c r="I12" s="17">
        <f t="shared" ref="I12" si="8">+$F$2*F12+$G$2*G12+$H$2*H12</f>
        <v>0</v>
      </c>
    </row>
    <row r="13" spans="1:15" x14ac:dyDescent="0.35">
      <c r="A13" s="3" t="s">
        <v>42</v>
      </c>
      <c r="B13" s="4"/>
      <c r="C13" s="4"/>
      <c r="D13" s="4"/>
      <c r="E13" s="22"/>
      <c r="F13" s="4"/>
      <c r="G13" s="4"/>
      <c r="H13" s="4"/>
      <c r="I13" s="5"/>
    </row>
    <row r="14" spans="1:15" ht="15.5" x14ac:dyDescent="0.35">
      <c r="A14" s="16" t="s">
        <v>80</v>
      </c>
      <c r="B14" s="4">
        <v>11</v>
      </c>
      <c r="C14" s="4">
        <v>2</v>
      </c>
      <c r="D14" s="4">
        <f t="shared" si="0"/>
        <v>22</v>
      </c>
      <c r="E14" s="22">
        <f>'Table 1'!E14</f>
        <v>8</v>
      </c>
      <c r="F14" s="4">
        <f t="shared" si="1"/>
        <v>176</v>
      </c>
      <c r="G14" s="4">
        <f t="shared" si="2"/>
        <v>8.8000000000000007</v>
      </c>
      <c r="H14" s="4">
        <f t="shared" si="3"/>
        <v>17.600000000000001</v>
      </c>
      <c r="I14" s="6">
        <f t="shared" si="4"/>
        <v>10011.672</v>
      </c>
    </row>
    <row r="15" spans="1:15" ht="15.5" x14ac:dyDescent="0.35">
      <c r="A15" s="16" t="s">
        <v>81</v>
      </c>
      <c r="B15" s="4">
        <v>8</v>
      </c>
      <c r="C15" s="4">
        <v>1</v>
      </c>
      <c r="D15" s="4">
        <f t="shared" si="0"/>
        <v>8</v>
      </c>
      <c r="E15" s="22">
        <f>'Table 1'!E32</f>
        <v>0.8</v>
      </c>
      <c r="F15" s="4">
        <f t="shared" si="1"/>
        <v>6.4</v>
      </c>
      <c r="G15" s="4">
        <f t="shared" si="2"/>
        <v>0.32000000000000006</v>
      </c>
      <c r="H15" s="4">
        <f t="shared" si="3"/>
        <v>0.64000000000000012</v>
      </c>
      <c r="I15" s="6">
        <f t="shared" si="4"/>
        <v>364.06080000000003</v>
      </c>
    </row>
    <row r="16" spans="1:15" ht="15.5" x14ac:dyDescent="0.35">
      <c r="A16" s="16" t="s">
        <v>82</v>
      </c>
      <c r="B16" s="4">
        <v>2</v>
      </c>
      <c r="C16" s="4">
        <v>2</v>
      </c>
      <c r="D16" s="4">
        <f t="shared" si="0"/>
        <v>4</v>
      </c>
      <c r="E16" s="22">
        <f>'Table 1'!E33</f>
        <v>7.2</v>
      </c>
      <c r="F16" s="4">
        <f t="shared" si="1"/>
        <v>28.8</v>
      </c>
      <c r="G16" s="4">
        <f t="shared" si="2"/>
        <v>1.4400000000000002</v>
      </c>
      <c r="H16" s="4">
        <f t="shared" si="3"/>
        <v>2.8800000000000003</v>
      </c>
      <c r="I16" s="6">
        <f t="shared" si="4"/>
        <v>1638.2736000000002</v>
      </c>
    </row>
    <row r="17" spans="1:9" x14ac:dyDescent="0.35">
      <c r="A17" s="16" t="s">
        <v>43</v>
      </c>
      <c r="B17" s="4" t="s">
        <v>8</v>
      </c>
      <c r="C17" s="4"/>
      <c r="D17" s="4"/>
      <c r="E17" s="22"/>
      <c r="F17" s="4"/>
      <c r="G17" s="4"/>
      <c r="H17" s="4"/>
      <c r="I17" s="5"/>
    </row>
    <row r="18" spans="1:9" ht="15.5" x14ac:dyDescent="0.35">
      <c r="A18" s="16" t="s">
        <v>101</v>
      </c>
      <c r="B18" s="4">
        <v>2</v>
      </c>
      <c r="C18" s="4">
        <v>1</v>
      </c>
      <c r="D18" s="4">
        <f t="shared" si="0"/>
        <v>2</v>
      </c>
      <c r="E18" s="22">
        <f>'Table 1'!E34</f>
        <v>1</v>
      </c>
      <c r="F18" s="4">
        <f t="shared" si="1"/>
        <v>2</v>
      </c>
      <c r="G18" s="4">
        <f t="shared" si="2"/>
        <v>0.1</v>
      </c>
      <c r="H18" s="4">
        <f t="shared" si="3"/>
        <v>0.2</v>
      </c>
      <c r="I18" s="6">
        <f t="shared" si="4"/>
        <v>113.76900000000001</v>
      </c>
    </row>
    <row r="19" spans="1:9" ht="15" x14ac:dyDescent="0.35">
      <c r="A19" s="9" t="s">
        <v>164</v>
      </c>
      <c r="B19" s="15"/>
      <c r="C19" s="15"/>
      <c r="D19" s="15"/>
      <c r="E19" s="15"/>
      <c r="F19" s="68">
        <f>ROUND(SUM(F5:H18),0)</f>
        <v>245</v>
      </c>
      <c r="G19" s="68"/>
      <c r="H19" s="68"/>
      <c r="I19" s="10">
        <f>ROUND(SUM(I5:I18),-2)</f>
        <v>12100</v>
      </c>
    </row>
    <row r="21" spans="1:9" x14ac:dyDescent="0.35">
      <c r="A21" s="12" t="s">
        <v>37</v>
      </c>
    </row>
    <row r="22" spans="1:9" ht="19.5" customHeight="1" x14ac:dyDescent="0.35">
      <c r="A22" s="65" t="s">
        <v>103</v>
      </c>
      <c r="B22" s="65"/>
      <c r="C22" s="65"/>
      <c r="D22" s="65"/>
      <c r="E22" s="65"/>
      <c r="F22" s="65"/>
      <c r="G22" s="65"/>
      <c r="H22" s="65"/>
      <c r="I22" s="65"/>
    </row>
    <row r="23" spans="1:9" ht="48" customHeight="1" x14ac:dyDescent="0.35">
      <c r="A23" s="65" t="s">
        <v>149</v>
      </c>
      <c r="B23" s="65"/>
      <c r="C23" s="65"/>
      <c r="D23" s="65"/>
      <c r="E23" s="65"/>
      <c r="F23" s="65"/>
      <c r="G23" s="65"/>
      <c r="H23" s="65"/>
      <c r="I23" s="65"/>
    </row>
    <row r="24" spans="1:9" ht="15.5" x14ac:dyDescent="0.35">
      <c r="A24" s="65" t="s">
        <v>158</v>
      </c>
      <c r="B24" s="65"/>
      <c r="C24" s="65"/>
      <c r="D24" s="65"/>
      <c r="E24" s="65"/>
      <c r="F24" s="65"/>
      <c r="G24" s="65"/>
      <c r="H24" s="65"/>
      <c r="I24" s="65"/>
    </row>
    <row r="25" spans="1:9" ht="15.5" x14ac:dyDescent="0.35">
      <c r="A25" s="65" t="s">
        <v>102</v>
      </c>
      <c r="B25" s="65"/>
      <c r="C25" s="65"/>
      <c r="D25" s="65"/>
      <c r="E25" s="65"/>
      <c r="F25" s="65"/>
      <c r="G25" s="65"/>
      <c r="H25" s="65"/>
      <c r="I25" s="65"/>
    </row>
    <row r="26" spans="1:9" ht="15.5" x14ac:dyDescent="0.35">
      <c r="A26" s="65" t="s">
        <v>79</v>
      </c>
      <c r="B26" s="65"/>
      <c r="C26" s="65"/>
      <c r="D26" s="65"/>
      <c r="E26" s="65"/>
      <c r="F26" s="65"/>
      <c r="G26" s="65"/>
      <c r="H26" s="65"/>
      <c r="I26" s="65"/>
    </row>
    <row r="27" spans="1:9" ht="15.5" x14ac:dyDescent="0.35">
      <c r="A27" s="65" t="s">
        <v>104</v>
      </c>
      <c r="B27" s="65"/>
      <c r="C27" s="65"/>
      <c r="D27" s="65"/>
      <c r="E27" s="65"/>
      <c r="F27" s="65"/>
      <c r="G27" s="65"/>
      <c r="H27" s="65"/>
      <c r="I27" s="65"/>
    </row>
    <row r="28" spans="1:9" ht="15.5" x14ac:dyDescent="0.35">
      <c r="A28" s="65" t="s">
        <v>105</v>
      </c>
      <c r="B28" s="65"/>
      <c r="C28" s="65"/>
      <c r="D28" s="65"/>
      <c r="E28" s="65"/>
      <c r="F28" s="65"/>
      <c r="G28" s="65"/>
      <c r="H28" s="65"/>
      <c r="I28" s="65"/>
    </row>
    <row r="29" spans="1:9" ht="15.5" x14ac:dyDescent="0.35">
      <c r="A29" s="65" t="s">
        <v>106</v>
      </c>
      <c r="B29" s="65"/>
      <c r="C29" s="65"/>
      <c r="D29" s="65"/>
      <c r="E29" s="65"/>
      <c r="F29" s="65"/>
      <c r="G29" s="65"/>
      <c r="H29" s="65"/>
      <c r="I29" s="65"/>
    </row>
    <row r="30" spans="1:9" ht="15.5" x14ac:dyDescent="0.35">
      <c r="A30" s="65" t="s">
        <v>83</v>
      </c>
      <c r="B30" s="65"/>
      <c r="C30" s="65"/>
      <c r="D30" s="65"/>
      <c r="E30" s="65"/>
      <c r="F30" s="65"/>
      <c r="G30" s="65"/>
      <c r="H30" s="65"/>
      <c r="I30" s="65"/>
    </row>
  </sheetData>
  <mergeCells count="11">
    <mergeCell ref="A30:I30"/>
    <mergeCell ref="A25:I25"/>
    <mergeCell ref="A26:I26"/>
    <mergeCell ref="A27:I27"/>
    <mergeCell ref="A28:I28"/>
    <mergeCell ref="A29:I29"/>
    <mergeCell ref="F19:H19"/>
    <mergeCell ref="A3:A4"/>
    <mergeCell ref="A22:I22"/>
    <mergeCell ref="A23:I23"/>
    <mergeCell ref="A24:I24"/>
  </mergeCells>
  <pageMargins left="0.7" right="0.7" top="0.75" bottom="0.75" header="0.3" footer="0.3"/>
  <pageSetup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1D122E-AC9C-4B5C-A4E6-C46D67D894D5}">
  <dimension ref="A1:O47"/>
  <sheetViews>
    <sheetView topLeftCell="A28" workbookViewId="0">
      <selection activeCell="A42" sqref="A42"/>
    </sheetView>
  </sheetViews>
  <sheetFormatPr defaultColWidth="13.7265625" defaultRowHeight="13" x14ac:dyDescent="0.3"/>
  <cols>
    <col min="1" max="1" width="19.26953125" style="34" customWidth="1"/>
    <col min="2" max="8" width="13.7265625" style="34"/>
    <col min="9" max="9" width="25.7265625" style="34" customWidth="1"/>
    <col min="10" max="11" width="13.7265625" style="34"/>
    <col min="12" max="12" width="15.7265625" style="34" customWidth="1"/>
    <col min="13" max="16384" width="13.7265625" style="34"/>
  </cols>
  <sheetData>
    <row r="1" spans="1:13" x14ac:dyDescent="0.3">
      <c r="I1" s="76"/>
      <c r="J1" s="76"/>
      <c r="K1" s="76"/>
      <c r="L1" s="76"/>
      <c r="M1" s="76"/>
    </row>
    <row r="3" spans="1:13" ht="15" x14ac:dyDescent="0.3">
      <c r="A3" s="73" t="s">
        <v>110</v>
      </c>
      <c r="B3" s="73"/>
      <c r="C3" s="73"/>
      <c r="D3" s="73"/>
      <c r="E3" s="73"/>
      <c r="F3" s="73"/>
    </row>
    <row r="4" spans="1:13" ht="39" x14ac:dyDescent="0.3">
      <c r="A4" s="35"/>
      <c r="B4" s="77" t="s">
        <v>111</v>
      </c>
      <c r="C4" s="77"/>
      <c r="D4" s="36" t="s">
        <v>112</v>
      </c>
      <c r="E4" s="36"/>
      <c r="F4" s="36"/>
    </row>
    <row r="5" spans="1:13" x14ac:dyDescent="0.3">
      <c r="A5" s="36"/>
      <c r="B5" s="37" t="s">
        <v>113</v>
      </c>
      <c r="C5" s="37" t="s">
        <v>114</v>
      </c>
      <c r="D5" s="37" t="s">
        <v>115</v>
      </c>
      <c r="E5" s="37" t="s">
        <v>26</v>
      </c>
      <c r="F5" s="37" t="s">
        <v>116</v>
      </c>
    </row>
    <row r="6" spans="1:13" ht="78" x14ac:dyDescent="0.3">
      <c r="A6" s="37" t="s">
        <v>117</v>
      </c>
      <c r="B6" s="36" t="s">
        <v>118</v>
      </c>
      <c r="C6" s="36" t="s">
        <v>119</v>
      </c>
      <c r="D6" s="36" t="s">
        <v>120</v>
      </c>
      <c r="E6" s="36" t="s">
        <v>121</v>
      </c>
      <c r="F6" s="36" t="s">
        <v>122</v>
      </c>
    </row>
    <row r="7" spans="1:13" x14ac:dyDescent="0.3">
      <c r="A7" s="37">
        <v>1</v>
      </c>
      <c r="B7" s="37">
        <v>0</v>
      </c>
      <c r="C7" s="37">
        <v>8</v>
      </c>
      <c r="D7" s="37">
        <v>0</v>
      </c>
      <c r="E7" s="37">
        <v>0</v>
      </c>
      <c r="F7" s="37">
        <f>B7+C7+D7-E7</f>
        <v>8</v>
      </c>
    </row>
    <row r="8" spans="1:13" x14ac:dyDescent="0.3">
      <c r="A8" s="37">
        <v>2</v>
      </c>
      <c r="B8" s="37">
        <v>0</v>
      </c>
      <c r="C8" s="37">
        <v>8</v>
      </c>
      <c r="D8" s="37">
        <v>0</v>
      </c>
      <c r="E8" s="37">
        <v>0</v>
      </c>
      <c r="F8" s="37">
        <f t="shared" ref="F8:F9" si="0">B8+C8+D8-E8</f>
        <v>8</v>
      </c>
    </row>
    <row r="9" spans="1:13" x14ac:dyDescent="0.3">
      <c r="A9" s="37">
        <v>3</v>
      </c>
      <c r="B9" s="37">
        <v>0</v>
      </c>
      <c r="C9" s="37">
        <v>8</v>
      </c>
      <c r="D9" s="37">
        <v>0</v>
      </c>
      <c r="E9" s="37">
        <v>0</v>
      </c>
      <c r="F9" s="37">
        <f t="shared" si="0"/>
        <v>8</v>
      </c>
    </row>
    <row r="10" spans="1:13" x14ac:dyDescent="0.3">
      <c r="A10" s="36" t="s">
        <v>123</v>
      </c>
      <c r="B10" s="37">
        <f>AVERAGE(B7:B9)</f>
        <v>0</v>
      </c>
      <c r="C10" s="37">
        <f t="shared" ref="C10:F10" si="1">AVERAGE(C7:C9)</f>
        <v>8</v>
      </c>
      <c r="D10" s="37">
        <f t="shared" si="1"/>
        <v>0</v>
      </c>
      <c r="E10" s="37">
        <f t="shared" si="1"/>
        <v>0</v>
      </c>
      <c r="F10" s="37">
        <f t="shared" si="1"/>
        <v>8</v>
      </c>
    </row>
    <row r="11" spans="1:13" ht="24.75" customHeight="1" x14ac:dyDescent="0.3">
      <c r="A11" s="78" t="s">
        <v>157</v>
      </c>
      <c r="B11" s="78"/>
      <c r="C11" s="78"/>
      <c r="D11" s="78"/>
      <c r="E11" s="78"/>
      <c r="F11" s="78"/>
    </row>
    <row r="13" spans="1:13" x14ac:dyDescent="0.3">
      <c r="A13" s="76"/>
      <c r="B13" s="76"/>
      <c r="C13" s="76"/>
      <c r="D13" s="76"/>
      <c r="E13" s="76"/>
      <c r="F13" s="76"/>
      <c r="G13" s="76"/>
    </row>
    <row r="14" spans="1:13" ht="15" x14ac:dyDescent="0.3">
      <c r="A14" s="73" t="s">
        <v>124</v>
      </c>
      <c r="B14" s="73"/>
      <c r="C14" s="73"/>
      <c r="D14" s="73"/>
      <c r="E14" s="73"/>
      <c r="F14" s="73"/>
      <c r="G14" s="73"/>
    </row>
    <row r="15" spans="1:13" x14ac:dyDescent="0.3">
      <c r="A15" s="37" t="s">
        <v>113</v>
      </c>
      <c r="B15" s="37" t="s">
        <v>114</v>
      </c>
      <c r="C15" s="37" t="s">
        <v>115</v>
      </c>
      <c r="D15" s="37" t="s">
        <v>26</v>
      </c>
      <c r="E15" s="37" t="s">
        <v>116</v>
      </c>
      <c r="F15" s="37" t="s">
        <v>29</v>
      </c>
      <c r="G15" s="37" t="s">
        <v>32</v>
      </c>
    </row>
    <row r="16" spans="1:13" ht="39" x14ac:dyDescent="0.3">
      <c r="A16" s="37" t="s">
        <v>125</v>
      </c>
      <c r="B16" s="37" t="s">
        <v>126</v>
      </c>
      <c r="C16" s="37" t="s">
        <v>127</v>
      </c>
      <c r="D16" s="37" t="s">
        <v>128</v>
      </c>
      <c r="E16" s="37" t="s">
        <v>129</v>
      </c>
      <c r="F16" s="37" t="s">
        <v>130</v>
      </c>
      <c r="G16" s="37" t="s">
        <v>131</v>
      </c>
    </row>
    <row r="17" spans="1:15" ht="28.5" x14ac:dyDescent="0.3">
      <c r="A17" s="38" t="s">
        <v>132</v>
      </c>
      <c r="B17" s="39">
        <v>100000</v>
      </c>
      <c r="C17" s="40">
        <v>0</v>
      </c>
      <c r="D17" s="39">
        <f>B17*C17</f>
        <v>0</v>
      </c>
      <c r="E17" s="39">
        <f>1669*J18/J17</f>
        <v>2623.3311772315651</v>
      </c>
      <c r="F17" s="57">
        <v>0</v>
      </c>
      <c r="G17" s="39">
        <f>E17*F17</f>
        <v>0</v>
      </c>
      <c r="I17" s="34" t="s">
        <v>133</v>
      </c>
      <c r="J17" s="34">
        <v>386.5</v>
      </c>
    </row>
    <row r="18" spans="1:15" ht="32.25" customHeight="1" x14ac:dyDescent="0.3">
      <c r="A18" s="38" t="s">
        <v>150</v>
      </c>
      <c r="B18" s="39">
        <v>200000</v>
      </c>
      <c r="C18" s="40">
        <v>0</v>
      </c>
      <c r="D18" s="39">
        <f t="shared" ref="D18:D19" si="2">B18*C18</f>
        <v>0</v>
      </c>
      <c r="E18" s="39">
        <f>3339*J18/J17</f>
        <v>5248.2341526520049</v>
      </c>
      <c r="F18" s="40">
        <v>16</v>
      </c>
      <c r="G18" s="39">
        <f>E18*F18</f>
        <v>83971.746442432079</v>
      </c>
      <c r="I18" s="34" t="s">
        <v>134</v>
      </c>
      <c r="J18" s="34">
        <v>607.5</v>
      </c>
    </row>
    <row r="19" spans="1:15" ht="41.5" x14ac:dyDescent="0.3">
      <c r="A19" s="38" t="s">
        <v>159</v>
      </c>
      <c r="B19" s="39">
        <v>92000</v>
      </c>
      <c r="C19" s="40">
        <v>0</v>
      </c>
      <c r="D19" s="39">
        <f t="shared" si="2"/>
        <v>0</v>
      </c>
      <c r="E19" s="39">
        <f>1536*J18/J17</f>
        <v>2414.2820181112547</v>
      </c>
      <c r="F19" s="40">
        <v>11</v>
      </c>
      <c r="G19" s="39">
        <f>E19*F19</f>
        <v>26557.102199223802</v>
      </c>
    </row>
    <row r="20" spans="1:15" ht="41.5" x14ac:dyDescent="0.3">
      <c r="A20" s="55" t="s">
        <v>135</v>
      </c>
      <c r="B20" s="56">
        <v>110000</v>
      </c>
      <c r="C20" s="57">
        <v>1</v>
      </c>
      <c r="D20" s="56">
        <f>B20*C20</f>
        <v>110000</v>
      </c>
      <c r="E20" s="56">
        <f>E18</f>
        <v>5248.2341526520049</v>
      </c>
      <c r="F20" s="57">
        <v>1</v>
      </c>
      <c r="G20" s="56">
        <f>E20*F20</f>
        <v>5248.2341526520049</v>
      </c>
      <c r="H20" s="41"/>
      <c r="K20" s="44"/>
    </row>
    <row r="21" spans="1:15" ht="15.5" x14ac:dyDescent="0.3">
      <c r="A21" s="55" t="s">
        <v>136</v>
      </c>
      <c r="B21" s="56">
        <v>55</v>
      </c>
      <c r="C21" s="57">
        <v>8</v>
      </c>
      <c r="D21" s="56">
        <f>B21*C21</f>
        <v>440</v>
      </c>
      <c r="E21" s="56"/>
      <c r="F21" s="57"/>
      <c r="G21" s="56"/>
      <c r="H21" s="41"/>
      <c r="K21" s="44"/>
    </row>
    <row r="22" spans="1:15" ht="28.5" x14ac:dyDescent="0.3">
      <c r="A22" s="55" t="s">
        <v>151</v>
      </c>
      <c r="B22" s="56"/>
      <c r="C22" s="57"/>
      <c r="D22" s="56"/>
      <c r="E22" s="56">
        <v>5625</v>
      </c>
      <c r="F22" s="57">
        <v>8</v>
      </c>
      <c r="G22" s="56">
        <f>E22*F22</f>
        <v>45000</v>
      </c>
      <c r="H22" s="41"/>
      <c r="K22" s="44"/>
    </row>
    <row r="23" spans="1:15" ht="28.5" x14ac:dyDescent="0.3">
      <c r="A23" s="55" t="s">
        <v>152</v>
      </c>
      <c r="B23" s="56"/>
      <c r="C23" s="57"/>
      <c r="D23" s="56"/>
      <c r="E23" s="56">
        <v>5625</v>
      </c>
      <c r="F23" s="57">
        <v>7</v>
      </c>
      <c r="G23" s="56">
        <f>E23*F23</f>
        <v>39375</v>
      </c>
      <c r="H23" s="41"/>
      <c r="K23" s="44"/>
    </row>
    <row r="24" spans="1:15" ht="15.5" x14ac:dyDescent="0.3">
      <c r="A24" s="36" t="s">
        <v>161</v>
      </c>
      <c r="B24" s="37"/>
      <c r="C24" s="37"/>
      <c r="D24" s="42">
        <f>ROUND(SUM(D17:D23),-3)</f>
        <v>110000</v>
      </c>
      <c r="E24" s="37"/>
      <c r="F24" s="37"/>
      <c r="G24" s="42">
        <f>ROUND(SUM(G17:G23),-3)</f>
        <v>200000</v>
      </c>
      <c r="H24" s="58">
        <f>D24+G24</f>
        <v>310000</v>
      </c>
      <c r="L24" s="45"/>
    </row>
    <row r="25" spans="1:15" ht="18.75" customHeight="1" x14ac:dyDescent="0.3">
      <c r="A25" s="72" t="s">
        <v>162</v>
      </c>
      <c r="B25" s="72"/>
      <c r="C25" s="72"/>
      <c r="D25" s="72"/>
      <c r="E25" s="72"/>
      <c r="F25" s="72"/>
      <c r="G25" s="72"/>
      <c r="H25" s="41"/>
      <c r="I25" s="45"/>
    </row>
    <row r="26" spans="1:15" ht="66.75" customHeight="1" x14ac:dyDescent="0.3">
      <c r="A26" s="74" t="s">
        <v>168</v>
      </c>
      <c r="B26" s="74"/>
      <c r="C26" s="74"/>
      <c r="D26" s="74"/>
      <c r="E26" s="74"/>
      <c r="F26" s="74"/>
      <c r="G26" s="74"/>
      <c r="H26" s="44"/>
      <c r="I26" s="75"/>
      <c r="J26" s="75"/>
      <c r="K26" s="75"/>
      <c r="L26" s="75"/>
      <c r="M26" s="75"/>
      <c r="N26" s="75"/>
    </row>
    <row r="27" spans="1:15" ht="39.75" customHeight="1" x14ac:dyDescent="0.3">
      <c r="A27" s="71" t="s">
        <v>137</v>
      </c>
      <c r="B27" s="71"/>
      <c r="C27" s="71"/>
      <c r="D27" s="71"/>
      <c r="E27" s="71"/>
      <c r="F27" s="71"/>
      <c r="G27" s="71"/>
      <c r="H27" s="59"/>
      <c r="I27" s="75"/>
      <c r="J27" s="75"/>
      <c r="K27" s="75"/>
      <c r="L27" s="75"/>
      <c r="M27" s="75"/>
      <c r="N27" s="75"/>
      <c r="O27" s="59"/>
    </row>
    <row r="28" spans="1:15" ht="25.5" customHeight="1" x14ac:dyDescent="0.3">
      <c r="A28" s="71" t="s">
        <v>169</v>
      </c>
      <c r="B28" s="71"/>
      <c r="C28" s="71"/>
      <c r="D28" s="71"/>
      <c r="E28" s="71"/>
      <c r="F28" s="71"/>
      <c r="G28" s="71"/>
      <c r="H28" s="44"/>
      <c r="I28" s="75"/>
      <c r="J28" s="75"/>
      <c r="K28" s="75"/>
      <c r="L28" s="75"/>
      <c r="M28" s="75"/>
      <c r="N28" s="75"/>
    </row>
    <row r="29" spans="1:15" ht="30" customHeight="1" x14ac:dyDescent="0.3">
      <c r="A29" s="71" t="s">
        <v>153</v>
      </c>
      <c r="B29" s="71"/>
      <c r="C29" s="71"/>
      <c r="D29" s="71"/>
      <c r="E29" s="71"/>
      <c r="F29" s="71"/>
      <c r="G29" s="71"/>
      <c r="H29" s="44"/>
      <c r="I29" s="75"/>
      <c r="J29" s="75"/>
      <c r="K29" s="75"/>
      <c r="L29" s="75"/>
      <c r="M29" s="75"/>
      <c r="N29" s="75"/>
    </row>
    <row r="30" spans="1:15" ht="30" customHeight="1" x14ac:dyDescent="0.3">
      <c r="A30" s="71" t="s">
        <v>154</v>
      </c>
      <c r="B30" s="71"/>
      <c r="C30" s="71"/>
      <c r="D30" s="71"/>
      <c r="E30" s="71"/>
      <c r="F30" s="71"/>
      <c r="G30" s="71"/>
      <c r="H30" s="44"/>
      <c r="I30" s="75"/>
      <c r="J30" s="75"/>
      <c r="K30" s="75"/>
      <c r="L30" s="75"/>
      <c r="M30" s="75"/>
      <c r="N30" s="75"/>
    </row>
    <row r="31" spans="1:15" x14ac:dyDescent="0.3">
      <c r="A31" s="72" t="s">
        <v>160</v>
      </c>
      <c r="B31" s="72"/>
      <c r="C31" s="72"/>
      <c r="D31" s="72"/>
      <c r="E31" s="72"/>
      <c r="F31" s="72"/>
      <c r="G31" s="72"/>
    </row>
    <row r="34" spans="1:6" ht="15" x14ac:dyDescent="0.3">
      <c r="A34" s="73" t="s">
        <v>138</v>
      </c>
      <c r="B34" s="73"/>
      <c r="C34" s="73"/>
      <c r="D34" s="73"/>
      <c r="E34" s="73"/>
    </row>
    <row r="35" spans="1:6" x14ac:dyDescent="0.3">
      <c r="A35" s="37" t="s">
        <v>113</v>
      </c>
      <c r="B35" s="37" t="s">
        <v>114</v>
      </c>
      <c r="C35" s="37" t="s">
        <v>115</v>
      </c>
      <c r="D35" s="37" t="s">
        <v>26</v>
      </c>
      <c r="E35" s="37" t="s">
        <v>116</v>
      </c>
    </row>
    <row r="36" spans="1:6" ht="78" x14ac:dyDescent="0.3">
      <c r="A36" s="37" t="s">
        <v>139</v>
      </c>
      <c r="B36" s="37" t="s">
        <v>110</v>
      </c>
      <c r="C36" s="37" t="s">
        <v>140</v>
      </c>
      <c r="D36" s="37" t="s">
        <v>141</v>
      </c>
      <c r="E36" s="37" t="s">
        <v>142</v>
      </c>
    </row>
    <row r="37" spans="1:6" ht="26" x14ac:dyDescent="0.3">
      <c r="A37" s="38" t="s">
        <v>57</v>
      </c>
      <c r="B37" s="57">
        <v>0</v>
      </c>
      <c r="C37" s="40">
        <v>1</v>
      </c>
      <c r="D37" s="37" t="s">
        <v>8</v>
      </c>
      <c r="E37" s="37">
        <f>B37*C37</f>
        <v>0</v>
      </c>
    </row>
    <row r="38" spans="1:6" ht="39" x14ac:dyDescent="0.3">
      <c r="A38" s="38" t="s">
        <v>58</v>
      </c>
      <c r="B38" s="57">
        <v>0</v>
      </c>
      <c r="C38" s="40">
        <v>1</v>
      </c>
      <c r="D38" s="37" t="s">
        <v>8</v>
      </c>
      <c r="E38" s="37">
        <f t="shared" ref="E38:E46" si="3">B38*C38</f>
        <v>0</v>
      </c>
    </row>
    <row r="39" spans="1:6" ht="26.25" customHeight="1" x14ac:dyDescent="0.3">
      <c r="A39" s="38" t="s">
        <v>59</v>
      </c>
      <c r="B39" s="57">
        <v>0</v>
      </c>
      <c r="C39" s="40">
        <v>1</v>
      </c>
      <c r="D39" s="37" t="s">
        <v>8</v>
      </c>
      <c r="E39" s="37">
        <f t="shared" si="3"/>
        <v>0</v>
      </c>
    </row>
    <row r="40" spans="1:6" ht="26" x14ac:dyDescent="0.3">
      <c r="A40" s="38" t="s">
        <v>77</v>
      </c>
      <c r="B40" s="57">
        <v>0</v>
      </c>
      <c r="C40" s="40">
        <v>1</v>
      </c>
      <c r="D40" s="37" t="s">
        <v>8</v>
      </c>
      <c r="E40" s="37">
        <f t="shared" si="3"/>
        <v>0</v>
      </c>
    </row>
    <row r="41" spans="1:6" ht="39" x14ac:dyDescent="0.3">
      <c r="A41" s="38" t="s">
        <v>143</v>
      </c>
      <c r="B41" s="57">
        <v>0</v>
      </c>
      <c r="C41" s="40">
        <v>1</v>
      </c>
      <c r="D41" s="37" t="s">
        <v>8</v>
      </c>
      <c r="E41" s="37">
        <f t="shared" si="3"/>
        <v>0</v>
      </c>
    </row>
    <row r="42" spans="1:6" ht="26" x14ac:dyDescent="0.3">
      <c r="A42" s="38" t="s">
        <v>170</v>
      </c>
      <c r="B42" s="57">
        <f>'[1]Table 1'!E31</f>
        <v>8</v>
      </c>
      <c r="C42" s="40">
        <v>1</v>
      </c>
      <c r="D42" s="37" t="s">
        <v>8</v>
      </c>
      <c r="E42" s="37">
        <f t="shared" si="3"/>
        <v>8</v>
      </c>
    </row>
    <row r="43" spans="1:6" ht="26" x14ac:dyDescent="0.3">
      <c r="A43" s="38" t="s">
        <v>144</v>
      </c>
      <c r="B43" s="57">
        <f>'[1]Table 1'!E32</f>
        <v>0.8</v>
      </c>
      <c r="C43" s="40">
        <v>2</v>
      </c>
      <c r="D43" s="37" t="s">
        <v>8</v>
      </c>
      <c r="E43" s="37">
        <f t="shared" si="3"/>
        <v>1.6</v>
      </c>
    </row>
    <row r="44" spans="1:6" ht="26" x14ac:dyDescent="0.3">
      <c r="A44" s="38" t="s">
        <v>145</v>
      </c>
      <c r="B44" s="57">
        <f>'[1]Table 1'!E33</f>
        <v>7.2</v>
      </c>
      <c r="C44" s="40">
        <v>2</v>
      </c>
      <c r="D44" s="37" t="s">
        <v>8</v>
      </c>
      <c r="E44" s="37">
        <f t="shared" si="3"/>
        <v>14.4</v>
      </c>
    </row>
    <row r="45" spans="1:6" ht="26" x14ac:dyDescent="0.3">
      <c r="A45" s="38" t="s">
        <v>146</v>
      </c>
      <c r="B45" s="57">
        <f>'[1]Table 1'!E34</f>
        <v>1</v>
      </c>
      <c r="C45" s="40">
        <v>2</v>
      </c>
      <c r="D45" s="37" t="s">
        <v>8</v>
      </c>
      <c r="E45" s="37">
        <f t="shared" si="3"/>
        <v>2</v>
      </c>
    </row>
    <row r="46" spans="1:6" ht="39" x14ac:dyDescent="0.3">
      <c r="A46" s="38" t="s">
        <v>147</v>
      </c>
      <c r="B46" s="57">
        <v>0</v>
      </c>
      <c r="C46" s="43">
        <v>1</v>
      </c>
      <c r="D46" s="37" t="s">
        <v>8</v>
      </c>
      <c r="E46" s="37">
        <f t="shared" si="3"/>
        <v>0</v>
      </c>
      <c r="F46" s="41"/>
    </row>
    <row r="47" spans="1:6" ht="15" customHeight="1" x14ac:dyDescent="0.3">
      <c r="A47" s="36"/>
      <c r="B47" s="37"/>
      <c r="C47" s="69" t="s">
        <v>148</v>
      </c>
      <c r="D47" s="70"/>
      <c r="E47" s="31">
        <f>ROUND(SUM(E37:E46),0)</f>
        <v>26</v>
      </c>
    </row>
  </sheetData>
  <mergeCells count="16">
    <mergeCell ref="I1:M1"/>
    <mergeCell ref="A3:F3"/>
    <mergeCell ref="B4:C4"/>
    <mergeCell ref="A11:F11"/>
    <mergeCell ref="A13:G13"/>
    <mergeCell ref="A14:G14"/>
    <mergeCell ref="A25:G25"/>
    <mergeCell ref="A26:G26"/>
    <mergeCell ref="A27:G27"/>
    <mergeCell ref="I26:N30"/>
    <mergeCell ref="A28:G28"/>
    <mergeCell ref="C47:D47"/>
    <mergeCell ref="A29:G29"/>
    <mergeCell ref="A30:G30"/>
    <mergeCell ref="A31:G31"/>
    <mergeCell ref="A34:E34"/>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Table 1</vt:lpstr>
      <vt:lpstr>Table 2</vt:lpstr>
      <vt:lpstr>O&amp;M</vt:lpstr>
      <vt:lpstr>'Table 2'!OLE_LINK1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Sean Layton</dc:creator>
  <cp:lastModifiedBy>Wrigley, William</cp:lastModifiedBy>
  <dcterms:created xsi:type="dcterms:W3CDTF">2017-05-01T19:56:52Z</dcterms:created>
  <dcterms:modified xsi:type="dcterms:W3CDTF">2021-04-07T13:22:51Z</dcterms:modified>
</cp:coreProperties>
</file>