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16488EDF-E580-49F1-BD94-E13D5A4F0815}" xr6:coauthVersionLast="45" xr6:coauthVersionMax="45" xr10:uidLastSave="{00000000-0000-0000-0000-000000000000}"/>
  <bookViews>
    <workbookView xWindow="-110" yWindow="-110" windowWidth="19420" windowHeight="10420" tabRatio="783" xr2:uid="{FE0B234E-F545-42E9-9050-3267AE0A3803}"/>
  </bookViews>
  <sheets>
    <sheet name="Industry Burden &amp; Response Cost" sheetId="6" r:id="rId1"/>
    <sheet name="agency burden" sheetId="3" r:id="rId2"/>
    <sheet name="labor rates" sheetId="2" r:id="rId3"/>
    <sheet name="Industry_Burden_From_ICR_Data" sheetId="5" r:id="rId4"/>
    <sheet name="initial ICR data summary" sheetId="1" r:id="rId5"/>
  </sheets>
  <definedNames>
    <definedName name="_xlnm._FilterDatabase" localSheetId="3" hidden="1">Industry_Burden_From_ICR_Data!$A$2:$L$47</definedName>
    <definedName name="_xlnm.Print_Area" localSheetId="0">'Industry Burden &amp; Response Cost'!$A$1:$N$39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2" i="5" l="1"/>
  <c r="E35" i="5"/>
  <c r="E33" i="5"/>
  <c r="I32" i="6" l="1"/>
  <c r="B21" i="6" l="1"/>
  <c r="D7" i="6"/>
  <c r="E22" i="6"/>
  <c r="E21" i="6"/>
  <c r="E20" i="6"/>
  <c r="E19" i="6"/>
  <c r="E18" i="6"/>
  <c r="E17" i="6"/>
  <c r="E16" i="6"/>
  <c r="E15" i="6"/>
  <c r="E14" i="6"/>
  <c r="E13" i="6"/>
  <c r="E12" i="6"/>
  <c r="E11" i="6"/>
  <c r="E7" i="6"/>
  <c r="E7" i="3"/>
  <c r="E6" i="3"/>
  <c r="E5" i="3"/>
  <c r="E4" i="3"/>
  <c r="H45" i="5"/>
  <c r="H46" i="5"/>
  <c r="BD38" i="1" l="1"/>
  <c r="BD35" i="1"/>
  <c r="BD31" i="1"/>
  <c r="BD30" i="1"/>
  <c r="BD28" i="1"/>
  <c r="BD27" i="1"/>
  <c r="BD26" i="1"/>
  <c r="BD25" i="1"/>
  <c r="BD23" i="1"/>
  <c r="BD21" i="1"/>
  <c r="BD20" i="1"/>
  <c r="BD19" i="1"/>
  <c r="BD18" i="1"/>
  <c r="BD17" i="1"/>
  <c r="BD16" i="1"/>
  <c r="BD14" i="1"/>
  <c r="BD13" i="1"/>
  <c r="BD12" i="1"/>
  <c r="BD11" i="1"/>
  <c r="BD10" i="1"/>
  <c r="BD9" i="1"/>
  <c r="BD5" i="1"/>
  <c r="A45" i="5"/>
  <c r="B45" i="5"/>
  <c r="A46" i="5"/>
  <c r="B46" i="5"/>
  <c r="B8" i="5"/>
  <c r="B9" i="5"/>
  <c r="A8" i="5"/>
  <c r="A9" i="5"/>
  <c r="H9" i="5" l="1"/>
  <c r="I12" i="3" l="1"/>
  <c r="M4" i="6" l="1"/>
  <c r="N4" i="6" s="1"/>
  <c r="M3" i="6"/>
  <c r="N3" i="6" s="1"/>
  <c r="M2" i="6"/>
  <c r="N2" i="6" s="1"/>
  <c r="H3" i="5"/>
  <c r="H44" i="5"/>
  <c r="H27" i="5"/>
  <c r="H19" i="5"/>
  <c r="H16" i="5"/>
  <c r="H4" i="5"/>
  <c r="H5" i="5"/>
  <c r="H7" i="5"/>
  <c r="I33" i="6"/>
  <c r="C26" i="3"/>
  <c r="D26" i="3" s="1"/>
  <c r="C25" i="3"/>
  <c r="D25" i="3" s="1"/>
  <c r="D24" i="3"/>
  <c r="D6" i="3"/>
  <c r="D5" i="3"/>
  <c r="D4" i="3"/>
  <c r="D22" i="6"/>
  <c r="D21" i="6"/>
  <c r="F21" i="6" s="1"/>
  <c r="F7" i="6"/>
  <c r="G7" i="6" s="1"/>
  <c r="A49" i="5"/>
  <c r="A48" i="5"/>
  <c r="A4" i="5"/>
  <c r="B4" i="5"/>
  <c r="A5" i="5"/>
  <c r="A6" i="5"/>
  <c r="B6" i="5"/>
  <c r="A7" i="5"/>
  <c r="B7" i="5"/>
  <c r="A11" i="5"/>
  <c r="B11" i="5"/>
  <c r="A12" i="5"/>
  <c r="B12" i="5"/>
  <c r="A13" i="5"/>
  <c r="B13" i="5"/>
  <c r="A14" i="5"/>
  <c r="B14" i="5"/>
  <c r="A16" i="5"/>
  <c r="B16" i="5"/>
  <c r="A17" i="5"/>
  <c r="B17" i="5"/>
  <c r="A19" i="5"/>
  <c r="B19" i="5"/>
  <c r="A20" i="5"/>
  <c r="B20" i="5"/>
  <c r="A21" i="5"/>
  <c r="B21" i="5"/>
  <c r="A22" i="5"/>
  <c r="B22" i="5"/>
  <c r="A23" i="5"/>
  <c r="B23" i="5"/>
  <c r="A25" i="5"/>
  <c r="B25" i="5"/>
  <c r="A26" i="5"/>
  <c r="B26" i="5"/>
  <c r="A27" i="5"/>
  <c r="B27" i="5"/>
  <c r="A29" i="5"/>
  <c r="B29" i="5"/>
  <c r="A30" i="5"/>
  <c r="B30" i="5"/>
  <c r="A32" i="5"/>
  <c r="B32" i="5"/>
  <c r="A33" i="5"/>
  <c r="B33" i="5"/>
  <c r="A34" i="5"/>
  <c r="B34" i="5"/>
  <c r="A35" i="5"/>
  <c r="B35" i="5"/>
  <c r="A36" i="5"/>
  <c r="B36" i="5"/>
  <c r="A38" i="5"/>
  <c r="B38" i="5"/>
  <c r="A39" i="5"/>
  <c r="B39" i="5"/>
  <c r="A40" i="5"/>
  <c r="B40" i="5"/>
  <c r="A42" i="5"/>
  <c r="B42" i="5"/>
  <c r="A43" i="5"/>
  <c r="B43" i="5"/>
  <c r="A44" i="5"/>
  <c r="B44" i="5"/>
  <c r="B48" i="5"/>
  <c r="B3" i="5"/>
  <c r="A3" i="5"/>
  <c r="F6" i="3" l="1"/>
  <c r="I13" i="3"/>
  <c r="F5" i="3"/>
  <c r="F4" i="3"/>
  <c r="G21" i="6"/>
  <c r="H21" i="6"/>
  <c r="F22" i="6"/>
  <c r="H7" i="6"/>
  <c r="G6" i="3" l="1"/>
  <c r="I21" i="6"/>
  <c r="H6" i="3"/>
  <c r="D7" i="3"/>
  <c r="F7" i="3" s="1"/>
  <c r="F9" i="3" s="1"/>
  <c r="H4" i="3"/>
  <c r="G4" i="3"/>
  <c r="I4" i="3" s="1"/>
  <c r="G5" i="3"/>
  <c r="H5" i="3"/>
  <c r="I7" i="6"/>
  <c r="H22" i="6"/>
  <c r="G22" i="6"/>
  <c r="I6" i="3" l="1"/>
  <c r="I5" i="3"/>
  <c r="G7" i="3"/>
  <c r="G9" i="3" s="1"/>
  <c r="H7" i="3"/>
  <c r="H9" i="3" s="1"/>
  <c r="I22" i="6"/>
  <c r="H10" i="3" l="1"/>
  <c r="I7" i="3"/>
  <c r="I9" i="3" s="1"/>
  <c r="I14" i="3" s="1"/>
  <c r="BD24" i="1" l="1"/>
  <c r="AX3" i="1" l="1"/>
  <c r="AY3" i="1"/>
  <c r="AZ3" i="1"/>
  <c r="BA3" i="1"/>
  <c r="BB3" i="1"/>
  <c r="AX5" i="1"/>
  <c r="AY5" i="1"/>
  <c r="AZ5" i="1"/>
  <c r="C6" i="5" s="1"/>
  <c r="E6" i="5" s="1"/>
  <c r="E10" i="5" s="1"/>
  <c r="BA5" i="1"/>
  <c r="BB5" i="1"/>
  <c r="AX6" i="1"/>
  <c r="AY6" i="1"/>
  <c r="AZ6" i="1"/>
  <c r="BA6" i="1"/>
  <c r="BB6" i="1"/>
  <c r="AX9" i="1"/>
  <c r="AY9" i="1"/>
  <c r="AZ9" i="1"/>
  <c r="BA9" i="1"/>
  <c r="BB9" i="1"/>
  <c r="AX10" i="1"/>
  <c r="AY10" i="1"/>
  <c r="AZ10" i="1"/>
  <c r="C12" i="5" s="1"/>
  <c r="E12" i="5" s="1"/>
  <c r="H12" i="5" s="1"/>
  <c r="BA10" i="1"/>
  <c r="BB10" i="1"/>
  <c r="AX11" i="1"/>
  <c r="AY11" i="1"/>
  <c r="AZ11" i="1"/>
  <c r="C13" i="5" s="1"/>
  <c r="E13" i="5" s="1"/>
  <c r="H13" i="5" s="1"/>
  <c r="BA11" i="1"/>
  <c r="BB11" i="1"/>
  <c r="AX12" i="1"/>
  <c r="AY12" i="1"/>
  <c r="AZ12" i="1"/>
  <c r="C14" i="5" s="1"/>
  <c r="E14" i="5" s="1"/>
  <c r="H14" i="5" s="1"/>
  <c r="BA12" i="1"/>
  <c r="BB12" i="1"/>
  <c r="AX13" i="1"/>
  <c r="AY13" i="1"/>
  <c r="AZ13" i="1"/>
  <c r="BA13" i="1"/>
  <c r="BB13" i="1"/>
  <c r="AX14" i="1"/>
  <c r="AY14" i="1"/>
  <c r="AZ14" i="1"/>
  <c r="C17" i="5" s="1"/>
  <c r="E17" i="5" s="1"/>
  <c r="BA14" i="1"/>
  <c r="BB14" i="1"/>
  <c r="AX15" i="1"/>
  <c r="AY15" i="1"/>
  <c r="AZ15" i="1"/>
  <c r="BA15" i="1"/>
  <c r="BB15" i="1"/>
  <c r="AX16" i="1"/>
  <c r="AY16" i="1"/>
  <c r="AZ16" i="1"/>
  <c r="C20" i="5" s="1"/>
  <c r="E20" i="5" s="1"/>
  <c r="BA16" i="1"/>
  <c r="BB16" i="1"/>
  <c r="AX17" i="1"/>
  <c r="AY17" i="1"/>
  <c r="AZ17" i="1"/>
  <c r="C21" i="5" s="1"/>
  <c r="E21" i="5" s="1"/>
  <c r="H21" i="5" s="1"/>
  <c r="BA17" i="1"/>
  <c r="BB17" i="1"/>
  <c r="AX18" i="1"/>
  <c r="AY18" i="1"/>
  <c r="AZ18" i="1"/>
  <c r="C22" i="5" s="1"/>
  <c r="E22" i="5" s="1"/>
  <c r="H22" i="5" s="1"/>
  <c r="BA18" i="1"/>
  <c r="BB18" i="1"/>
  <c r="AX19" i="1"/>
  <c r="AY19" i="1"/>
  <c r="AZ19" i="1"/>
  <c r="C23" i="5" s="1"/>
  <c r="E23" i="5" s="1"/>
  <c r="H23" i="5" s="1"/>
  <c r="BA19" i="1"/>
  <c r="BB19" i="1"/>
  <c r="AX20" i="1"/>
  <c r="AY20" i="1"/>
  <c r="AZ20" i="1"/>
  <c r="C25" i="5" s="1"/>
  <c r="E25" i="5" s="1"/>
  <c r="BA20" i="1"/>
  <c r="BB20" i="1"/>
  <c r="AX21" i="1"/>
  <c r="AY21" i="1"/>
  <c r="AZ21" i="1"/>
  <c r="C26" i="5" s="1"/>
  <c r="E26" i="5" s="1"/>
  <c r="H26" i="5" s="1"/>
  <c r="BA21" i="1"/>
  <c r="BB21" i="1"/>
  <c r="AX22" i="1"/>
  <c r="AY22" i="1"/>
  <c r="AZ22" i="1"/>
  <c r="BA22" i="1"/>
  <c r="BB22" i="1"/>
  <c r="AX23" i="1"/>
  <c r="AY23" i="1"/>
  <c r="AZ23" i="1"/>
  <c r="C29" i="5" s="1"/>
  <c r="E29" i="5" s="1"/>
  <c r="BA23" i="1"/>
  <c r="BB23" i="1"/>
  <c r="AX24" i="1"/>
  <c r="AY24" i="1"/>
  <c r="AZ24" i="1"/>
  <c r="C30" i="5" s="1"/>
  <c r="E30" i="5" s="1"/>
  <c r="H30" i="5" s="1"/>
  <c r="BA24" i="1"/>
  <c r="BB24" i="1"/>
  <c r="AX25" i="1"/>
  <c r="AY25" i="1"/>
  <c r="AZ25" i="1"/>
  <c r="C32" i="5" s="1"/>
  <c r="E32" i="5" s="1"/>
  <c r="BA25" i="1"/>
  <c r="BB25" i="1"/>
  <c r="AX26" i="1"/>
  <c r="AY26" i="1"/>
  <c r="AZ26" i="1"/>
  <c r="H33" i="5" s="1"/>
  <c r="BA26" i="1"/>
  <c r="BB26" i="1"/>
  <c r="AX27" i="1"/>
  <c r="AY27" i="1"/>
  <c r="AZ27" i="1"/>
  <c r="C34" i="5" s="1"/>
  <c r="E34" i="5" s="1"/>
  <c r="H34" i="5" s="1"/>
  <c r="BA27" i="1"/>
  <c r="BB27" i="1"/>
  <c r="AX28" i="1"/>
  <c r="AY28" i="1"/>
  <c r="AZ28" i="1"/>
  <c r="H35" i="5" s="1"/>
  <c r="BA28" i="1"/>
  <c r="BB28" i="1"/>
  <c r="AX29" i="1"/>
  <c r="AY29" i="1"/>
  <c r="AZ29" i="1"/>
  <c r="C36" i="5" s="1"/>
  <c r="E36" i="5" s="1"/>
  <c r="H36" i="5" s="1"/>
  <c r="BA29" i="1"/>
  <c r="BB29" i="1"/>
  <c r="AX30" i="1"/>
  <c r="AY30" i="1"/>
  <c r="AZ30" i="1"/>
  <c r="C38" i="5" s="1"/>
  <c r="E38" i="5" s="1"/>
  <c r="BA30" i="1"/>
  <c r="BB30" i="1"/>
  <c r="AX31" i="1"/>
  <c r="AY31" i="1"/>
  <c r="AZ31" i="1"/>
  <c r="C39" i="5" s="1"/>
  <c r="E39" i="5" s="1"/>
  <c r="H39" i="5" s="1"/>
  <c r="BA31" i="1"/>
  <c r="BB31" i="1"/>
  <c r="AX32" i="1"/>
  <c r="AY32" i="1"/>
  <c r="AZ32" i="1"/>
  <c r="C40" i="5" s="1"/>
  <c r="E40" i="5" s="1"/>
  <c r="H40" i="5" s="1"/>
  <c r="BA32" i="1"/>
  <c r="BB32" i="1"/>
  <c r="AX33" i="1"/>
  <c r="AY33" i="1"/>
  <c r="AZ33" i="1"/>
  <c r="BA33" i="1"/>
  <c r="BB33" i="1"/>
  <c r="AX34" i="1"/>
  <c r="AY34" i="1"/>
  <c r="AZ34" i="1"/>
  <c r="C43" i="5" s="1"/>
  <c r="E43" i="5" s="1"/>
  <c r="H43" i="5" s="1"/>
  <c r="H47" i="5" s="1"/>
  <c r="BA34" i="1"/>
  <c r="BB34" i="1"/>
  <c r="AX35" i="1"/>
  <c r="AY35" i="1"/>
  <c r="AZ35" i="1"/>
  <c r="BA35" i="1"/>
  <c r="BB35" i="1"/>
  <c r="AX38" i="1"/>
  <c r="AY38" i="1"/>
  <c r="AZ38" i="1"/>
  <c r="C48" i="5" s="1"/>
  <c r="E48" i="5" s="1"/>
  <c r="BA38" i="1"/>
  <c r="BB38" i="1"/>
  <c r="AX39" i="1"/>
  <c r="AY39" i="1"/>
  <c r="AZ39" i="1"/>
  <c r="C49" i="5" s="1"/>
  <c r="BA39" i="1"/>
  <c r="BB39" i="1"/>
  <c r="BB2" i="1"/>
  <c r="BA2" i="1"/>
  <c r="AZ2" i="1"/>
  <c r="AY2" i="1"/>
  <c r="AX2" i="1"/>
  <c r="E47" i="5" l="1"/>
  <c r="H38" i="5"/>
  <c r="H41" i="5" s="1"/>
  <c r="E41" i="5"/>
  <c r="G41" i="5" s="1"/>
  <c r="B18" i="6" s="1"/>
  <c r="D18" i="6" s="1"/>
  <c r="F18" i="6" s="1"/>
  <c r="H17" i="5"/>
  <c r="H18" i="5" s="1"/>
  <c r="E18" i="5"/>
  <c r="G18" i="5" s="1"/>
  <c r="B13" i="6" s="1"/>
  <c r="D13" i="6" s="1"/>
  <c r="F13" i="6" s="1"/>
  <c r="H29" i="5"/>
  <c r="H31" i="5" s="1"/>
  <c r="E31" i="5"/>
  <c r="G31" i="5" s="1"/>
  <c r="B16" i="6" s="1"/>
  <c r="D16" i="6" s="1"/>
  <c r="F16" i="6" s="1"/>
  <c r="H6" i="5"/>
  <c r="G10" i="5"/>
  <c r="B11" i="6" s="1"/>
  <c r="D11" i="6" s="1"/>
  <c r="F11" i="6" s="1"/>
  <c r="H42" i="5"/>
  <c r="G47" i="5"/>
  <c r="B19" i="6" s="1"/>
  <c r="D19" i="6" s="1"/>
  <c r="F19" i="6" s="1"/>
  <c r="H32" i="5"/>
  <c r="H37" i="5" s="1"/>
  <c r="E37" i="5"/>
  <c r="G37" i="5" s="1"/>
  <c r="B17" i="6" s="1"/>
  <c r="D17" i="6" s="1"/>
  <c r="F17" i="6" s="1"/>
  <c r="H8" i="5"/>
  <c r="C11" i="5"/>
  <c r="E11" i="5" s="1"/>
  <c r="G48" i="5"/>
  <c r="B20" i="6" s="1"/>
  <c r="D20" i="6" s="1"/>
  <c r="F20" i="6" s="1"/>
  <c r="H48" i="5"/>
  <c r="H25" i="5"/>
  <c r="H28" i="5" s="1"/>
  <c r="E28" i="5"/>
  <c r="G28" i="5" s="1"/>
  <c r="B15" i="6" s="1"/>
  <c r="D15" i="6" s="1"/>
  <c r="F15" i="6" s="1"/>
  <c r="H20" i="5"/>
  <c r="H24" i="5" s="1"/>
  <c r="E24" i="5"/>
  <c r="G24" i="5" s="1"/>
  <c r="B14" i="6" s="1"/>
  <c r="D14" i="6" s="1"/>
  <c r="F14" i="6" s="1"/>
  <c r="G19" i="6" l="1"/>
  <c r="H19" i="6"/>
  <c r="I19" i="6"/>
  <c r="H18" i="6"/>
  <c r="G18" i="6"/>
  <c r="H10" i="5"/>
  <c r="H20" i="6"/>
  <c r="G20" i="6"/>
  <c r="I20" i="6" s="1"/>
  <c r="H15" i="6"/>
  <c r="G15" i="6"/>
  <c r="I15" i="6" s="1"/>
  <c r="G16" i="6"/>
  <c r="H16" i="6"/>
  <c r="H14" i="6"/>
  <c r="G14" i="6"/>
  <c r="I14" i="6" s="1"/>
  <c r="G17" i="6"/>
  <c r="H17" i="6"/>
  <c r="H11" i="6"/>
  <c r="G11" i="6"/>
  <c r="H13" i="6"/>
  <c r="G13" i="6"/>
  <c r="I13" i="6" s="1"/>
  <c r="H11" i="5"/>
  <c r="H15" i="5" s="1"/>
  <c r="E15" i="5"/>
  <c r="G15" i="5" s="1"/>
  <c r="B12" i="6" s="1"/>
  <c r="D12" i="6" s="1"/>
  <c r="F12" i="6" s="1"/>
  <c r="F27" i="6" s="1"/>
  <c r="G12" i="6" l="1"/>
  <c r="G27" i="6" s="1"/>
  <c r="H12" i="6"/>
  <c r="H27" i="6" s="1"/>
  <c r="I11" i="6"/>
  <c r="I17" i="6"/>
  <c r="I16" i="6"/>
  <c r="I18" i="6"/>
  <c r="I12" i="6" l="1"/>
  <c r="H28" i="6"/>
  <c r="G29" i="6" s="1"/>
  <c r="I27" i="6"/>
  <c r="I29" i="6" s="1"/>
  <c r="I34" i="6" l="1"/>
</calcChain>
</file>

<file path=xl/sharedStrings.xml><?xml version="1.0" encoding="utf-8"?>
<sst xmlns="http://schemas.openxmlformats.org/spreadsheetml/2006/main" count="760" uniqueCount="314">
  <si>
    <t>Table 1. Facility Information</t>
  </si>
  <si>
    <t>Table 2. Parent Company Information</t>
  </si>
  <si>
    <t>Table 3. Facility Documents</t>
  </si>
  <si>
    <t>Table 4. Facility Buildings</t>
  </si>
  <si>
    <t>Table 1. Characteristics of Room Areas</t>
  </si>
  <si>
    <t>Table 2. Natural Draft Openings (NDO)</t>
  </si>
  <si>
    <t>Table 3. Leak Checks of Components in EtO Service</t>
  </si>
  <si>
    <t>Table 4. Room Area Controls</t>
  </si>
  <si>
    <t>Facility Details</t>
  </si>
  <si>
    <t>Room Area</t>
  </si>
  <si>
    <t>EtO &amp; EG Storage</t>
  </si>
  <si>
    <t>C. EtO Drum and Container Storage</t>
  </si>
  <si>
    <t>D. Ethylene Glycol (EG) Tanks</t>
  </si>
  <si>
    <t>Sterilizer Chambers</t>
  </si>
  <si>
    <t>Table 1. Summary for Sterilizer Chambers</t>
  </si>
  <si>
    <t>Table 2. Sterilizer Chamber Operation and Monitoring Characteristics</t>
  </si>
  <si>
    <t>Table 3. Control Characteristics for Sterilizer Chambers</t>
  </si>
  <si>
    <t>Table 4. Control Characteristics for Sterilizer Chambers (continued)</t>
  </si>
  <si>
    <t>Table 5. Vacuum Pumps</t>
  </si>
  <si>
    <t>Aeration</t>
  </si>
  <si>
    <t>Table 1. Aeration that Occurs in Separate Unit (Aeration Room &amp; Aeration Cell/Chamber)</t>
  </si>
  <si>
    <t>Table 2. Aeration that Occurs within Sterilizer Chamber</t>
  </si>
  <si>
    <t xml:space="preserve">Table 3. Movement of Sterilized Products through the Facility </t>
  </si>
  <si>
    <t>APCD Summary</t>
  </si>
  <si>
    <t>Table 1. APCD Characteristics</t>
  </si>
  <si>
    <t>Table 2. Emissions and CEMS</t>
  </si>
  <si>
    <t>APCD Details</t>
  </si>
  <si>
    <t>Table 1. Wet Scrubber &amp; Glygen Absorber Unit</t>
  </si>
  <si>
    <t>Table 2. Dry-bed Scrubber</t>
  </si>
  <si>
    <t>Table 3. Catalytic Oxidizer &amp; Balancer/Abator</t>
  </si>
  <si>
    <t>Table 4. Thermal Oxidizer</t>
  </si>
  <si>
    <t>Table 5. Other APCDs</t>
  </si>
  <si>
    <t>EtO Monitoring</t>
  </si>
  <si>
    <t>Table 1. Personal Monitoring (Badges) for EtO</t>
  </si>
  <si>
    <t>Table 2. Room Area Monitoring for EtO</t>
  </si>
  <si>
    <t>Table 3. Other Monitoring for EtO</t>
  </si>
  <si>
    <t>Miscellaneous</t>
  </si>
  <si>
    <t>J. Wastewater</t>
  </si>
  <si>
    <t>K. Unique Cycles and EtO Reduction</t>
  </si>
  <si>
    <t>Additional Info</t>
  </si>
  <si>
    <t>Attachments</t>
  </si>
  <si>
    <t>N/A</t>
  </si>
  <si>
    <t>Tab</t>
  </si>
  <si>
    <t>Table Name</t>
  </si>
  <si>
    <t>No. of Questions</t>
  </si>
  <si>
    <t>BD 
Covington GA</t>
  </si>
  <si>
    <t>BD 
Madison GA</t>
  </si>
  <si>
    <t>Altair
Richmond, VA</t>
  </si>
  <si>
    <t>Altair
Memphis, TN</t>
  </si>
  <si>
    <t>Altair
Atlanta, GA</t>
  </si>
  <si>
    <t>Cosmed
Franklin, NJ</t>
  </si>
  <si>
    <t>Cosmed
Linden, NJ</t>
  </si>
  <si>
    <t>Cosmed
Eerie, PA</t>
  </si>
  <si>
    <t>BD 
Columbus, NE</t>
  </si>
  <si>
    <t>BD 
Sandy, UT</t>
  </si>
  <si>
    <t>Elite Spice
Sparks, NV</t>
  </si>
  <si>
    <t>Medline
Salisbury, NC</t>
  </si>
  <si>
    <t>Medline
Howell, MI</t>
  </si>
  <si>
    <t>Medline
Waukegan, IL</t>
  </si>
  <si>
    <t>Medline
Yuma, ZA</t>
  </si>
  <si>
    <t>Medtronic
North Haven, CT</t>
  </si>
  <si>
    <t>Medtronic
Miami Lakes, FL</t>
  </si>
  <si>
    <t>Medtronic
Jacksonville, FL</t>
  </si>
  <si>
    <t>Medtronic
Juncos, PR</t>
  </si>
  <si>
    <t>Medtronic
Fridley, MN</t>
  </si>
  <si>
    <t>Medtronic
Coon Rapids, MN</t>
  </si>
  <si>
    <t>Sterigenics
Queensbury, NY</t>
  </si>
  <si>
    <t>Sterigenics
Charlotte, NC</t>
  </si>
  <si>
    <t>Sterigenics
Atlanta, GA</t>
  </si>
  <si>
    <t>Sterigenics
Grand Prairie, TX</t>
  </si>
  <si>
    <t>Sterigenics
Santa Teresa, NM</t>
  </si>
  <si>
    <t>Sterigenics
SLCUT</t>
  </si>
  <si>
    <t>Sterigenics
LAGifford, CA</t>
  </si>
  <si>
    <t>Sterigenics
Ontario, CA</t>
  </si>
  <si>
    <t>Sterigenics
LA50CA</t>
  </si>
  <si>
    <t>Elite Spice
Hanover, MD</t>
  </si>
  <si>
    <t>Elite Spice
Jessup, MD</t>
  </si>
  <si>
    <t>Medtronic
Villalba, PR</t>
  </si>
  <si>
    <t>Midwest
Laredo, TX</t>
  </si>
  <si>
    <t>Midwest
Jackson, MO</t>
  </si>
  <si>
    <t>Steris
Northborough, MA</t>
  </si>
  <si>
    <t>Steris
South Plainfield, NJ</t>
  </si>
  <si>
    <t>Steris
Spartanburg, SC</t>
  </si>
  <si>
    <t>Steris
Minneapolis, MN</t>
  </si>
  <si>
    <t>Steris
Grand Prairie, TX</t>
  </si>
  <si>
    <t>Steris
San Diego, CA</t>
  </si>
  <si>
    <t>Steris
Temecula, CA</t>
  </si>
  <si>
    <t>Steris
El Paso, TX #1</t>
  </si>
  <si>
    <t>Steris
El Paso, TX #2</t>
  </si>
  <si>
    <t>N/A, Accounted for in the Attachments Tab</t>
  </si>
  <si>
    <t>Table 5. Facility-level Data</t>
  </si>
  <si>
    <t>Data Source / Assumptions</t>
  </si>
  <si>
    <t>No. of buildings (i.e., rows completed in the table)</t>
  </si>
  <si>
    <t>No. of rooms (i.e., rows completed in the table)</t>
  </si>
  <si>
    <t>responses to questions</t>
  </si>
  <si>
    <t>No. of chambers (i.e., rows completed in the table)</t>
  </si>
  <si>
    <t>response to question</t>
  </si>
  <si>
    <t>No. of responses</t>
  </si>
  <si>
    <t>No. of Attachments</t>
  </si>
  <si>
    <t>n/a</t>
  </si>
  <si>
    <t>No. of Unique ID (i.e., rows of data)</t>
  </si>
  <si>
    <t>MIN</t>
  </si>
  <si>
    <t>MAX</t>
  </si>
  <si>
    <t>AVG</t>
  </si>
  <si>
    <t>MODE</t>
  </si>
  <si>
    <t>MEDIAN</t>
  </si>
  <si>
    <t>No. of tanks (i.e., rows completed in the table)</t>
  </si>
  <si>
    <t>No. of aeration rooms (i.e., rows completed in the table)</t>
  </si>
  <si>
    <t>No. of aeration rooms within sterilization chamber (i.e., rows completed in the table)</t>
  </si>
  <si>
    <t>No. of APCDs (i.e., rows completed in the table)</t>
  </si>
  <si>
    <t>No. of Wet Scrubber &amp; Glygen Absorber (i.e., rows completed in the table)</t>
  </si>
  <si>
    <t>No. of CatOx &amp; Balancer/Absorber (i.e., rows completed in the table)</t>
  </si>
  <si>
    <t>No. dry-bed scrubber (i.e., rows completed in the table)</t>
  </si>
  <si>
    <t>No. of ThermOx (i.e., rows completed in the table)</t>
  </si>
  <si>
    <t>No. of Other APCD (i.e., rows completed in the table)</t>
  </si>
  <si>
    <t>No. of rooms areas monitored</t>
  </si>
  <si>
    <t>Expected Responses</t>
  </si>
  <si>
    <t>assumes all columns completed for 2 buildings (i.e., rows)</t>
  </si>
  <si>
    <t>All</t>
  </si>
  <si>
    <t>assumes all columns completed for 6 rooms (i.e., rows)</t>
  </si>
  <si>
    <t>assumes all columns completed for 6 checks (i.e., rows)</t>
  </si>
  <si>
    <t>assumes all columns completed for 2NDOs (i.e., rows)</t>
  </si>
  <si>
    <t>assumes all columns completed for 8 control devices (i.e., rows)</t>
  </si>
  <si>
    <t>assumes all columns completed for 1 tank</t>
  </si>
  <si>
    <t>assumes all columns completed for 7 chambers</t>
  </si>
  <si>
    <t xml:space="preserve">assumes all columns completed for 6 control devices </t>
  </si>
  <si>
    <t>assumes all columns completed for 3 control devices</t>
  </si>
  <si>
    <t>assumes all columns completed for 6 vacuum pumps</t>
  </si>
  <si>
    <t>all</t>
  </si>
  <si>
    <t>assumes all columns completed for 5 aeration rooms</t>
  </si>
  <si>
    <t>assumes all columns completed for 2 aeration rooms with sterilizer chamber</t>
  </si>
  <si>
    <t>assumes all columns completed for 4 APCDs</t>
  </si>
  <si>
    <t>assumes all columns completed for 1 wet scrubber</t>
  </si>
  <si>
    <t>assumes all columns completed for 1 catox</t>
  </si>
  <si>
    <t>assumes 0 other</t>
  </si>
  <si>
    <t>assumes all columns completed for 1 dry-bed scrubbers</t>
  </si>
  <si>
    <t>assumes all columns completed for 1 thermox</t>
  </si>
  <si>
    <t>assumes all columns completed for 44 personal monitoring locations</t>
  </si>
  <si>
    <t>assumes all columns completed for 4 room area monitors</t>
  </si>
  <si>
    <t>assumes 1 response</t>
  </si>
  <si>
    <t>assumes all columns completed for 9 rows</t>
  </si>
  <si>
    <t>assume 10 attachments per facility</t>
  </si>
  <si>
    <t>No. of Question</t>
  </si>
  <si>
    <t>Average No. of Units</t>
  </si>
  <si>
    <t>N/A, accounted for in Attachments</t>
  </si>
  <si>
    <t>All columns completed for the average number of units</t>
  </si>
  <si>
    <t>Expected No. of Responses</t>
  </si>
  <si>
    <t>All columns completed for all 5 reporting years</t>
  </si>
  <si>
    <t>0-50</t>
  </si>
  <si>
    <t>51-100</t>
  </si>
  <si>
    <t>101-150</t>
  </si>
  <si>
    <t>151-200</t>
  </si>
  <si>
    <t>201-250</t>
  </si>
  <si>
    <t>251-300</t>
  </si>
  <si>
    <t>301-350</t>
  </si>
  <si>
    <t>351-400</t>
  </si>
  <si>
    <t>All columns/rows completed</t>
  </si>
  <si>
    <t>Buildings</t>
  </si>
  <si>
    <t>Tanks</t>
  </si>
  <si>
    <t>Room Areas</t>
  </si>
  <si>
    <t>NDOs</t>
  </si>
  <si>
    <t>Checks</t>
  </si>
  <si>
    <t>Room Area Controls</t>
  </si>
  <si>
    <t>Controls for Sterilizer Chambers</t>
  </si>
  <si>
    <t>Pumps</t>
  </si>
  <si>
    <t>Aeration Room &amp; Cell/Chamber</t>
  </si>
  <si>
    <t>Aeration within Sterilizer Chamber</t>
  </si>
  <si>
    <t>APCDs</t>
  </si>
  <si>
    <t>Wet Scrubber &amp; Glygen Absorber Units</t>
  </si>
  <si>
    <t>Dry-bed Scrubbers</t>
  </si>
  <si>
    <t>Catalytic Oxidzer &amp; Balancer/Abator</t>
  </si>
  <si>
    <t>Thermal Oxidizer</t>
  </si>
  <si>
    <t>Personal Monitors</t>
  </si>
  <si>
    <t>Room Area Monitors</t>
  </si>
  <si>
    <t>Other Monitors</t>
  </si>
  <si>
    <t>Wastewater Treatment</t>
  </si>
  <si>
    <t>Unique Cycle and EtO Reduction</t>
  </si>
  <si>
    <t>Additional Information (rows of data)</t>
  </si>
  <si>
    <t>Count</t>
  </si>
  <si>
    <t>UOM</t>
  </si>
  <si>
    <t>Notes</t>
  </si>
  <si>
    <t>Number of attachments</t>
  </si>
  <si>
    <t>--</t>
  </si>
  <si>
    <t>Respondent Activity</t>
  </si>
  <si>
    <t>(A) Hours per Occurrence</t>
  </si>
  <si>
    <t>(B) Occurrences/ Respondent/Year</t>
  </si>
  <si>
    <t>(C) Hours/ Respondent/ Year (A x B)</t>
  </si>
  <si>
    <r>
      <t>(D) Respondents/ Year</t>
    </r>
    <r>
      <rPr>
        <b/>
        <vertAlign val="superscript"/>
        <sz val="8"/>
        <color theme="1"/>
        <rFont val="Times New Roman"/>
        <family val="1"/>
      </rPr>
      <t>1</t>
    </r>
  </si>
  <si>
    <t>(E) Technical Hours/Year
(C x D)</t>
  </si>
  <si>
    <t>(F) Managerial Hours/Year
(E x 0.05)</t>
  </si>
  <si>
    <t>(G) Clerical Hours/Year
(E x 0.10)</t>
  </si>
  <si>
    <r>
      <t>(H) Cost/ Year</t>
    </r>
    <r>
      <rPr>
        <b/>
        <vertAlign val="superscript"/>
        <sz val="8"/>
        <color theme="1"/>
        <rFont val="Times New Roman"/>
        <family val="1"/>
      </rPr>
      <t>2</t>
    </r>
  </si>
  <si>
    <t>Original Basis for Time Estimates:</t>
  </si>
  <si>
    <t>Multiplier</t>
  </si>
  <si>
    <t>1. APPLICATIONS (Not Applicable)</t>
  </si>
  <si>
    <t>technical</t>
  </si>
  <si>
    <t>2. SURVEY AND STUDIES (Not Applicable)</t>
  </si>
  <si>
    <t>managerial</t>
  </si>
  <si>
    <t>3. ACQUISITION, INSTALLATION, AND UTILIZATION OF TECHNOLOGY AND SYSTEMS (Not Applicable)</t>
  </si>
  <si>
    <t>clerical</t>
  </si>
  <si>
    <t>4. REPORT REQUIREMENTS</t>
  </si>
  <si>
    <t>A. Read Instructions</t>
  </si>
  <si>
    <t>B. Required Activities</t>
  </si>
  <si>
    <t>i. Complete and submit survey spreadsheet tabs, as follows:</t>
  </si>
  <si>
    <t>Certification</t>
  </si>
  <si>
    <t>C. Create Information (Included in 4B)</t>
  </si>
  <si>
    <t>D. Gather Existing Information (Included in 4B)</t>
  </si>
  <si>
    <t>E. Write Report (Not Applicable)</t>
  </si>
  <si>
    <t>5. RECORDKEEPING REQUIREMENTS (Not applicable)</t>
  </si>
  <si>
    <t>TOTAL ANNUAL LABOR BURDEN AND COST</t>
  </si>
  <si>
    <t>Total Labor:</t>
  </si>
  <si>
    <t>Avg. hr./facility:</t>
  </si>
  <si>
    <t>Avg. $/facility:</t>
  </si>
  <si>
    <t>ANNUAL CAPITAL COSTS (Not Applicable)</t>
  </si>
  <si>
    <t>ANNUALIZED CAPITAL COSTS (Not Applicable)</t>
  </si>
  <si>
    <t>media</t>
  </si>
  <si>
    <t>TOTAL ANNUALIZED COSTS (Annualized capital + O&amp;M costs)</t>
  </si>
  <si>
    <t>mail</t>
  </si>
  <si>
    <t>TOTAL LABOR AND O&amp;M COSTS</t>
  </si>
  <si>
    <t>x</t>
  </si>
  <si>
    <t>401-450</t>
  </si>
  <si>
    <t>451-500</t>
  </si>
  <si>
    <t>501-550</t>
  </si>
  <si>
    <t>601-650</t>
  </si>
  <si>
    <t>701-750</t>
  </si>
  <si>
    <t>551-600</t>
  </si>
  <si>
    <t>651-700</t>
  </si>
  <si>
    <t>751-800</t>
  </si>
  <si>
    <t>801-850</t>
  </si>
  <si>
    <t>+</t>
  </si>
  <si>
    <t>Agency Activity</t>
  </si>
  <si>
    <t>(A) EPA Hours/ Occurrence</t>
  </si>
  <si>
    <t>(C) EPA Hours/Respondent/Year (A x B)</t>
  </si>
  <si>
    <r>
      <t>(D) Respondents/Year</t>
    </r>
    <r>
      <rPr>
        <b/>
        <vertAlign val="superscript"/>
        <sz val="8"/>
        <color theme="1"/>
        <rFont val="Times New Roman"/>
        <family val="1"/>
      </rPr>
      <t>1</t>
    </r>
  </si>
  <si>
    <t>(E) EPA Technical Hours/Year (C x D)</t>
  </si>
  <si>
    <t>(F) EPA Managerial Hours/Year (E x 0.05)</t>
  </si>
  <si>
    <t>(G) EPA Clerical Hours/Year (E x 0.1)</t>
  </si>
  <si>
    <r>
      <t>(H) Cost, $/Year</t>
    </r>
    <r>
      <rPr>
        <b/>
        <vertAlign val="superscript"/>
        <sz val="8"/>
        <color theme="1"/>
        <rFont val="Times New Roman"/>
        <family val="1"/>
      </rPr>
      <t>2</t>
    </r>
  </si>
  <si>
    <t>Develop/revise questionnaire spreadsheets and instructions</t>
  </si>
  <si>
    <t>Develop survey webpage</t>
  </si>
  <si>
    <t>Review and analyze responses (including follow-up)</t>
  </si>
  <si>
    <t>Total Annual Hours/Cost</t>
  </si>
  <si>
    <t>Computer storage of data</t>
  </si>
  <si>
    <t>$6/GB/mo x 10 GB x 24 mos</t>
  </si>
  <si>
    <t>P&amp;P part 1 was 6 GB</t>
  </si>
  <si>
    <t>Total O&amp;M Expenses</t>
  </si>
  <si>
    <t>1. The number of respondents per year is based on the facility counts listed in Section 4 of the Supporting Statement.</t>
  </si>
  <si>
    <t>Technical (GS-13, step 1)</t>
  </si>
  <si>
    <t>Managerial (GS-15, step 1)</t>
  </si>
  <si>
    <t>Clerical (GS-7, step 1)</t>
  </si>
  <si>
    <t>Hours for responses By Tab</t>
  </si>
  <si>
    <t>Hours for responses By Table</t>
  </si>
  <si>
    <t xml:space="preserve">1. The number of respondents per year is based on the facility counts listed in Section 4(a) of the Supporting Statement. </t>
  </si>
  <si>
    <t>https://www.bls.gov/oes/current/naics4_339100.htm#11-0000</t>
  </si>
  <si>
    <t>May 2019 NAICS-code specific ($/hr) (updated4/13/20)</t>
  </si>
  <si>
    <t>2019 rate x 2.1 (for 110% increase)</t>
  </si>
  <si>
    <t>SOC</t>
  </si>
  <si>
    <t>Desc</t>
  </si>
  <si>
    <t>Wage</t>
  </si>
  <si>
    <t>17-2000</t>
  </si>
  <si>
    <t>Engineers</t>
  </si>
  <si>
    <t>11-1021</t>
  </si>
  <si>
    <t>General and Operations Managers</t>
  </si>
  <si>
    <t>43-0000</t>
  </si>
  <si>
    <t xml:space="preserve">Office and Administrative Support Occupations </t>
  </si>
  <si>
    <t>https://www.opm.gov/policy-data-oversight/pay-leave/salaries-wages/salary-tables/20Tables/html/GS_h.aspx</t>
  </si>
  <si>
    <t>GS Rates</t>
  </si>
  <si>
    <r>
      <t>Answer respondent questions via phone, email, and/or frequently asked questions posted on webpage</t>
    </r>
    <r>
      <rPr>
        <vertAlign val="superscript"/>
        <sz val="8"/>
        <color theme="1"/>
        <rFont val="Times New Roman"/>
        <family val="1"/>
      </rPr>
      <t>3</t>
    </r>
  </si>
  <si>
    <r>
      <t>Analyze requests for confidentiality</t>
    </r>
    <r>
      <rPr>
        <vertAlign val="superscript"/>
        <sz val="8"/>
        <color theme="1"/>
        <rFont val="Times New Roman"/>
        <family val="1"/>
      </rPr>
      <t>4</t>
    </r>
  </si>
  <si>
    <r>
      <t>Expenses (O&amp;M)</t>
    </r>
    <r>
      <rPr>
        <vertAlign val="superscript"/>
        <sz val="8"/>
        <color theme="1"/>
        <rFont val="Times New Roman"/>
        <family val="1"/>
      </rPr>
      <t>6</t>
    </r>
  </si>
  <si>
    <t>3. Assumes that 25 percent of the facilities will have questions.</t>
  </si>
  <si>
    <t>4. Assumes that 90 percent of facilities will have confidential data.</t>
  </si>
  <si>
    <t>5. Assumes that 10 percent of facilities will have performance test, emissions test, or other engineering study provided as an attachment to the ICR requiring additional review . Assume 1 hour to perform additional analyses of these attachments.</t>
  </si>
  <si>
    <r>
      <t>Analyze previous emissions test, performance test or engineering study data</t>
    </r>
    <r>
      <rPr>
        <vertAlign val="superscript"/>
        <sz val="8"/>
        <color theme="1"/>
        <rFont val="Times New Roman"/>
        <family val="1"/>
      </rPr>
      <t>5</t>
    </r>
  </si>
  <si>
    <t>Majority of the initial ICR respondents included at least 1 data element as CBI</t>
  </si>
  <si>
    <t>Using the exisitng survey</t>
  </si>
  <si>
    <t>Using the existing webpage</t>
  </si>
  <si>
    <t>2. Based on mean hourly wages in Bureau of Labor Statistics, April 2020 National Industry-Specific Occupational Employment and Wage Estimates for NAICS code 339100—Medical Supplies and Equipment Manufacturing, available at https://www.bls.gov/oes/current/naics4_339100.htm#11-0000. Final loaded labor rates are: Technical: $93.66/hour (SOC 17-2000: Engineers), Managerial: $149.88/hour (SOC 11-1021: General and Operations Managers), Clerical: $43.64/hour (SOC 43-0000: Office and Administrative Support Occupations); all labor rates include 110 percent increase to account for fringe benefits and overhead expenses).</t>
  </si>
  <si>
    <t>2020 rate</t>
  </si>
  <si>
    <t>k</t>
  </si>
  <si>
    <t>Tab Name</t>
  </si>
  <si>
    <t>90% of respondents will make a CBI claim and have to mail in their survey</t>
  </si>
  <si>
    <r>
      <t>TOTAL ANNUAL COSTS (O&amp;M)</t>
    </r>
    <r>
      <rPr>
        <vertAlign val="superscript"/>
        <sz val="8"/>
        <color theme="1"/>
        <rFont val="Times New Roman"/>
        <family val="1"/>
      </rPr>
      <t>3</t>
    </r>
  </si>
  <si>
    <t xml:space="preserve">3. Postage costs for mailing survey responses to the EPA are estimated at $9.75 for Federal Express letter-size envelope flat rate (1 per respondent). The costs of digital media (CD, DVD, or flash drive) are estimated to be $7 each. </t>
  </si>
  <si>
    <t>6. Data storage at $6/GB/month assuming 10 GB data for 24 months.</t>
  </si>
  <si>
    <t>Initially review the form for completeness, compile/consolidate results into the access database, export and perform reviews. Assume that we will have to go back to each facility with at least one question. Also, it has taken significant time in the past to map the coordinates provided in google earth to confirm that stack params, building placement is reasonable.</t>
  </si>
  <si>
    <t>EtO Commercial Sterilization facilities</t>
  </si>
  <si>
    <t>2. Based on GS Scale 2020: Technical/GS 13-1: $36.75/hour, Managerial/GS 15-1: $51.08/hour, Clerical/GS 7-1: $17.42/hour. All agency labor rates have been scaled a multiplier of 1.6 to account for overhead and fringe benefit costs.</t>
  </si>
  <si>
    <t>Table 6. Materials Sterilized with EtO</t>
  </si>
  <si>
    <t>Table 7. Materials Sterilized with Non-EtO Techniques and Approaches</t>
  </si>
  <si>
    <t>Table 1. EtO and Facility Operation</t>
  </si>
  <si>
    <t>Table 2. Standalone Non-Colocated Warehouse, Distribution Center, or Enclosed Building for Sterilized Products</t>
  </si>
  <si>
    <t>Table 3. Alternative Sterilization</t>
  </si>
  <si>
    <t>5 years worth of data; responses to questions</t>
  </si>
  <si>
    <t>Table 3. Catalytic Oxidizer &amp; Combination Water Balancer/Catalytic Oxidizer</t>
  </si>
  <si>
    <t>No. of sterilized products with non-EtO</t>
  </si>
  <si>
    <t>No. of sterilized products with EtO</t>
  </si>
  <si>
    <t>n/a (new in v5.5.1)</t>
  </si>
  <si>
    <t>assumes each facility has 4 products sterilized with EtO</t>
  </si>
  <si>
    <t>assumes each facility has 2 products sterilized with non-EtO</t>
  </si>
  <si>
    <t>No. of standalone non-colocated warehouse</t>
  </si>
  <si>
    <t>assumes each facility sends products to 2 standalone non-colocated warehouses</t>
  </si>
  <si>
    <t>assumes each facility has 2 applicable alternative sterilization methods on their products</t>
  </si>
  <si>
    <t>Assumes rate of 50 questions per 1.5 hour</t>
  </si>
  <si>
    <t>Expected Time for number of questions</t>
  </si>
  <si>
    <t>All columns completed</t>
  </si>
  <si>
    <t>types of materials</t>
  </si>
  <si>
    <t>number of locations</t>
  </si>
  <si>
    <t>number of alternative methods</t>
  </si>
  <si>
    <t>No. of alternative sterilization methods</t>
  </si>
  <si>
    <t>Total Number of Facilities to Cover</t>
  </si>
  <si>
    <t>Basis for Time Estimates</t>
  </si>
  <si>
    <t>assumes all columns completed for 1 wastewater point</t>
  </si>
  <si>
    <t>assumes all columns completed for 1 unique cycle entry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</si>
</sst>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quot;$&quot;#,##0"/>
    <numFmt numFmtId="166" formatCode="0.0"/>
  </numFmts>
  <fonts count="22" x14ac:knownFonts="1">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b/>
      <sz val="8"/>
      <color theme="1"/>
      <name val="Times New Roman"/>
      <family val="1"/>
    </font>
    <font>
      <b/>
      <vertAlign val="superscript"/>
      <sz val="8"/>
      <color theme="1"/>
      <name val="Times New Roman"/>
      <family val="1"/>
    </font>
    <font>
      <sz val="8"/>
      <color theme="1"/>
      <name val="Times New Roman"/>
      <family val="1"/>
    </font>
    <font>
      <sz val="8"/>
      <name val="Times New Roman"/>
      <family val="1"/>
    </font>
    <font>
      <vertAlign val="superscript"/>
      <sz val="8"/>
      <color theme="1"/>
      <name val="Times New Roman"/>
      <family val="1"/>
    </font>
    <font>
      <sz val="11"/>
      <color indexed="8"/>
      <name val="Calibri"/>
      <family val="2"/>
    </font>
    <font>
      <b/>
      <sz val="8"/>
      <color indexed="8"/>
      <name val="Times New Roman"/>
      <family val="1"/>
    </font>
    <font>
      <u/>
      <sz val="11"/>
      <color theme="10"/>
      <name val="Calibri"/>
      <family val="2"/>
      <scheme val="minor"/>
    </font>
    <font>
      <sz val="11"/>
      <color theme="1"/>
      <name val="Calibri"/>
      <family val="2"/>
    </font>
    <font>
      <sz val="11"/>
      <color rgb="FFFF0000"/>
      <name val="Calibri"/>
      <family val="2"/>
      <scheme val="minor"/>
    </font>
    <font>
      <i/>
      <sz val="11"/>
      <name val="Calibri"/>
      <family val="2"/>
      <scheme val="minor"/>
    </font>
    <font>
      <sz val="8"/>
      <color rgb="FFFF0000"/>
      <name val="Times New Roman"/>
      <family val="1"/>
    </font>
    <font>
      <b/>
      <sz val="11"/>
      <name val="Calibri"/>
      <family val="2"/>
      <scheme val="minor"/>
    </font>
    <font>
      <sz val="9"/>
      <color theme="1"/>
      <name val="Calibri"/>
      <family val="2"/>
      <scheme val="minor"/>
    </font>
    <font>
      <b/>
      <sz val="9"/>
      <color theme="1"/>
      <name val="Calibri"/>
      <family val="2"/>
      <scheme val="minor"/>
    </font>
    <font>
      <i/>
      <sz val="11"/>
      <color rgb="FFFF0000"/>
      <name val="Calibri"/>
      <family val="2"/>
      <scheme val="minor"/>
    </font>
    <font>
      <sz val="8"/>
      <color rgb="FF0070C0"/>
      <name val="Times New Roman"/>
      <family val="1"/>
    </font>
    <font>
      <sz val="11"/>
      <color rgb="FF0070C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99"/>
        <bgColor indexed="64"/>
      </patternFill>
    </fill>
    <fill>
      <patternFill patternType="solid">
        <fgColor rgb="FFD8D8D8"/>
        <bgColor indexed="64"/>
      </patternFill>
    </fill>
    <fill>
      <patternFill patternType="solid">
        <fgColor theme="0" tint="-0.499984740745262"/>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CC"/>
        <bgColor indexed="64"/>
      </patternFill>
    </fill>
  </fills>
  <borders count="2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11" fillId="0" borderId="0" applyNumberFormat="0" applyFill="0" applyBorder="0" applyAlignment="0" applyProtection="0"/>
  </cellStyleXfs>
  <cellXfs count="176">
    <xf numFmtId="0" fontId="0" fillId="0" borderId="0" xfId="0"/>
    <xf numFmtId="0" fontId="0" fillId="0" borderId="0" xfId="0" applyAlignment="1">
      <alignment wrapText="1"/>
    </xf>
    <xf numFmtId="1" fontId="0" fillId="0" borderId="0" xfId="0" applyNumberFormat="1"/>
    <xf numFmtId="0" fontId="4" fillId="0" borderId="1" xfId="0" applyFont="1" applyBorder="1" applyAlignment="1">
      <alignment horizontal="center" wrapText="1"/>
    </xf>
    <xf numFmtId="0" fontId="6" fillId="0" borderId="0" xfId="0" applyFont="1" applyAlignment="1">
      <alignment wrapText="1"/>
    </xf>
    <xf numFmtId="0" fontId="6" fillId="0" borderId="0" xfId="0" applyFont="1" applyAlignment="1">
      <alignment horizontal="left" vertical="center" wrapText="1"/>
    </xf>
    <xf numFmtId="0" fontId="6" fillId="4" borderId="2" xfId="0" applyFont="1" applyFill="1" applyBorder="1" applyAlignment="1">
      <alignment wrapText="1"/>
    </xf>
    <xf numFmtId="17" fontId="6" fillId="0" borderId="0" xfId="0" applyNumberFormat="1" applyFont="1"/>
    <xf numFmtId="0" fontId="6" fillId="0" borderId="0" xfId="0" applyFont="1"/>
    <xf numFmtId="0" fontId="6" fillId="0" borderId="3" xfId="0" applyFont="1" applyBorder="1" applyAlignment="1">
      <alignment vertical="center" wrapText="1"/>
    </xf>
    <xf numFmtId="0" fontId="6" fillId="5" borderId="4" xfId="0" applyFont="1" applyFill="1" applyBorder="1" applyAlignment="1">
      <alignment vertical="center" wrapText="1"/>
    </xf>
    <xf numFmtId="0" fontId="6" fillId="0" borderId="0" xfId="0" applyFont="1" applyAlignment="1">
      <alignment vertical="center"/>
    </xf>
    <xf numFmtId="0" fontId="6" fillId="4" borderId="2" xfId="0" applyFont="1" applyFill="1" applyBorder="1" applyAlignment="1">
      <alignment vertical="center"/>
    </xf>
    <xf numFmtId="44" fontId="6" fillId="4" borderId="2" xfId="2" applyFont="1" applyFill="1" applyBorder="1" applyAlignment="1">
      <alignment vertical="center"/>
    </xf>
    <xf numFmtId="0" fontId="6" fillId="0" borderId="2" xfId="0" applyFont="1" applyBorder="1" applyAlignment="1">
      <alignment vertical="center" wrapText="1"/>
    </xf>
    <xf numFmtId="0" fontId="6" fillId="5" borderId="2" xfId="0" applyFont="1" applyFill="1" applyBorder="1" applyAlignment="1">
      <alignment vertical="center" wrapText="1"/>
    </xf>
    <xf numFmtId="44" fontId="6" fillId="0" borderId="0" xfId="0" applyNumberFormat="1" applyFont="1" applyAlignment="1">
      <alignment vertical="center"/>
    </xf>
    <xf numFmtId="0" fontId="7" fillId="0" borderId="2" xfId="0" applyFont="1" applyBorder="1" applyAlignment="1">
      <alignment horizontal="right" vertical="center" wrapText="1"/>
    </xf>
    <xf numFmtId="3" fontId="7" fillId="0" borderId="2" xfId="0" applyNumberFormat="1" applyFont="1" applyBorder="1" applyAlignment="1">
      <alignment horizontal="right" vertical="center" wrapText="1"/>
    </xf>
    <xf numFmtId="1" fontId="7" fillId="0" borderId="2" xfId="0" applyNumberFormat="1" applyFont="1" applyBorder="1" applyAlignment="1">
      <alignment horizontal="right" vertical="center" wrapText="1"/>
    </xf>
    <xf numFmtId="6" fontId="7" fillId="0" borderId="2" xfId="0" applyNumberFormat="1" applyFont="1" applyBorder="1" applyAlignment="1">
      <alignment vertical="center" wrapText="1"/>
    </xf>
    <xf numFmtId="0" fontId="6" fillId="0" borderId="0" xfId="0" applyFont="1" applyAlignment="1">
      <alignment horizontal="left" vertical="center"/>
    </xf>
    <xf numFmtId="0" fontId="7" fillId="5" borderId="2" xfId="0" applyFont="1" applyFill="1" applyBorder="1" applyAlignment="1">
      <alignment vertical="center" wrapText="1"/>
    </xf>
    <xf numFmtId="0" fontId="6" fillId="0" borderId="2" xfId="0" applyFont="1" applyBorder="1" applyAlignment="1">
      <alignment horizontal="left" vertical="center" wrapText="1" indent="3"/>
    </xf>
    <xf numFmtId="0" fontId="7" fillId="0" borderId="2" xfId="0" applyFont="1" applyBorder="1" applyAlignment="1">
      <alignment vertical="center" wrapText="1"/>
    </xf>
    <xf numFmtId="0" fontId="6" fillId="5" borderId="2" xfId="0" applyFont="1" applyFill="1" applyBorder="1" applyAlignment="1">
      <alignment horizontal="right" vertical="center" wrapText="1"/>
    </xf>
    <xf numFmtId="3" fontId="6" fillId="5" borderId="2" xfId="0" applyNumberFormat="1" applyFont="1" applyFill="1" applyBorder="1" applyAlignment="1">
      <alignment horizontal="right" vertical="center" wrapText="1"/>
    </xf>
    <xf numFmtId="3" fontId="6" fillId="5" borderId="2" xfId="0" applyNumberFormat="1" applyFont="1" applyFill="1" applyBorder="1" applyAlignment="1">
      <alignment horizontal="left" vertical="center" wrapText="1"/>
    </xf>
    <xf numFmtId="6" fontId="6" fillId="5" borderId="2" xfId="0" applyNumberFormat="1" applyFont="1" applyFill="1" applyBorder="1" applyAlignment="1">
      <alignment horizontal="right" vertical="center" wrapText="1"/>
    </xf>
    <xf numFmtId="0" fontId="6" fillId="0" borderId="2" xfId="0" applyFont="1" applyBorder="1" applyAlignment="1">
      <alignment vertical="center"/>
    </xf>
    <xf numFmtId="0" fontId="6" fillId="5" borderId="2" xfId="0" applyFont="1" applyFill="1" applyBorder="1" applyAlignment="1">
      <alignment vertical="center"/>
    </xf>
    <xf numFmtId="0" fontId="6" fillId="5" borderId="2" xfId="0" applyFont="1" applyFill="1" applyBorder="1" applyAlignment="1">
      <alignment horizontal="righ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5" borderId="1" xfId="0" applyFont="1" applyFill="1" applyBorder="1" applyAlignment="1">
      <alignment horizontal="right" vertical="center"/>
    </xf>
    <xf numFmtId="0" fontId="4"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164" fontId="6" fillId="0" borderId="4" xfId="1" applyNumberFormat="1" applyFont="1" applyBorder="1" applyAlignment="1">
      <alignment vertical="center"/>
    </xf>
    <xf numFmtId="165" fontId="4" fillId="0" borderId="4" xfId="2" applyNumberFormat="1" applyFont="1" applyBorder="1" applyAlignment="1">
      <alignment horizontal="right" vertical="center" wrapText="1"/>
    </xf>
    <xf numFmtId="165" fontId="6" fillId="0" borderId="0" xfId="0" applyNumberFormat="1" applyFont="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164" fontId="6" fillId="0" borderId="12" xfId="1" applyNumberFormat="1" applyFont="1" applyBorder="1" applyAlignment="1">
      <alignment vertical="center"/>
    </xf>
    <xf numFmtId="164" fontId="6" fillId="0" borderId="13" xfId="1" applyNumberFormat="1" applyFont="1" applyBorder="1" applyAlignment="1">
      <alignment vertical="center"/>
    </xf>
    <xf numFmtId="165" fontId="6" fillId="0" borderId="14" xfId="2" applyNumberFormat="1" applyFont="1" applyBorder="1" applyAlignment="1">
      <alignment horizontal="right" vertical="center"/>
    </xf>
    <xf numFmtId="0" fontId="6" fillId="0" borderId="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164" fontId="6" fillId="0" borderId="14" xfId="1" applyNumberFormat="1" applyFont="1" applyBorder="1" applyAlignment="1">
      <alignment vertical="center"/>
    </xf>
    <xf numFmtId="165" fontId="6" fillId="0" borderId="14" xfId="2" applyNumberFormat="1" applyFont="1" applyBorder="1" applyAlignment="1">
      <alignment horizontal="right" vertical="center" wrapText="1"/>
    </xf>
    <xf numFmtId="165" fontId="6" fillId="5" borderId="2" xfId="0" applyNumberFormat="1" applyFont="1" applyFill="1" applyBorder="1" applyAlignment="1">
      <alignment horizontal="right" vertical="center"/>
    </xf>
    <xf numFmtId="165" fontId="6" fillId="0" borderId="2" xfId="2" applyNumberFormat="1" applyFont="1" applyBorder="1" applyAlignment="1">
      <alignment horizontal="right" vertical="center" wrapText="1"/>
    </xf>
    <xf numFmtId="0" fontId="10" fillId="0" borderId="12" xfId="5" applyFont="1" applyBorder="1" applyAlignment="1" applyProtection="1">
      <alignment wrapText="1"/>
      <protection locked="0"/>
    </xf>
    <xf numFmtId="165" fontId="4" fillId="0" borderId="2" xfId="2" applyNumberFormat="1" applyFont="1" applyBorder="1" applyAlignment="1">
      <alignment horizontal="right" vertical="center" wrapText="1"/>
    </xf>
    <xf numFmtId="0" fontId="6" fillId="0" borderId="16" xfId="0" applyFont="1" applyBorder="1" applyAlignment="1">
      <alignment horizontal="left" vertical="center"/>
    </xf>
    <xf numFmtId="0" fontId="6" fillId="0" borderId="16" xfId="0" applyFont="1" applyBorder="1" applyAlignment="1">
      <alignment wrapText="1"/>
    </xf>
    <xf numFmtId="1" fontId="0" fillId="6" borderId="0" xfId="0" applyNumberFormat="1" applyFill="1"/>
    <xf numFmtId="0" fontId="0" fillId="6" borderId="0" xfId="0" applyFill="1"/>
    <xf numFmtId="0" fontId="4" fillId="0" borderId="1" xfId="0" applyFont="1" applyBorder="1" applyAlignment="1">
      <alignment horizontal="center" vertical="center" wrapText="1"/>
    </xf>
    <xf numFmtId="0" fontId="4" fillId="0" borderId="1" xfId="0" applyFont="1" applyBorder="1" applyAlignment="1">
      <alignment horizontal="left" vertical="center" wrapText="1" inden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6"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right" vertical="center" wrapText="1"/>
    </xf>
    <xf numFmtId="165" fontId="6" fillId="0" borderId="4" xfId="0" applyNumberFormat="1" applyFont="1" applyBorder="1" applyAlignment="1">
      <alignment horizontal="right" vertical="center" wrapText="1"/>
    </xf>
    <xf numFmtId="0" fontId="6" fillId="0" borderId="2" xfId="0" applyFont="1" applyBorder="1" applyAlignment="1">
      <alignment horizontal="right" vertical="center" wrapText="1"/>
    </xf>
    <xf numFmtId="1" fontId="6" fillId="0" borderId="2" xfId="0" applyNumberFormat="1" applyFont="1" applyBorder="1" applyAlignment="1">
      <alignment horizontal="right" vertical="center" wrapText="1"/>
    </xf>
    <xf numFmtId="0" fontId="0" fillId="5" borderId="2" xfId="0" applyFill="1" applyBorder="1" applyAlignment="1">
      <alignment horizontal="right" vertical="center" wrapText="1"/>
    </xf>
    <xf numFmtId="0" fontId="1" fillId="0" borderId="0" xfId="0" applyFont="1"/>
    <xf numFmtId="0" fontId="1" fillId="7" borderId="2" xfId="0" applyFont="1" applyFill="1" applyBorder="1" applyAlignment="1">
      <alignment vertical="center" wrapText="1"/>
    </xf>
    <xf numFmtId="0" fontId="1" fillId="7" borderId="2" xfId="0" applyFont="1" applyFill="1" applyBorder="1" applyAlignment="1">
      <alignment horizontal="right" vertical="center" wrapText="1"/>
    </xf>
    <xf numFmtId="1" fontId="1" fillId="7" borderId="2" xfId="0" applyNumberFormat="1" applyFont="1" applyFill="1" applyBorder="1" applyAlignment="1">
      <alignment horizontal="right" vertical="center" wrapText="1"/>
    </xf>
    <xf numFmtId="165" fontId="1" fillId="7" borderId="2" xfId="0" applyNumberFormat="1" applyFont="1" applyFill="1" applyBorder="1" applyAlignment="1">
      <alignment horizontal="right" wrapText="1"/>
    </xf>
    <xf numFmtId="0" fontId="6" fillId="0" borderId="18" xfId="0" applyFont="1" applyBorder="1" applyAlignment="1">
      <alignment vertical="center" wrapText="1"/>
    </xf>
    <xf numFmtId="0" fontId="0" fillId="0" borderId="19" xfId="0" applyBorder="1" applyAlignment="1">
      <alignment horizontal="right" vertical="center" wrapText="1"/>
    </xf>
    <xf numFmtId="0" fontId="0" fillId="0" borderId="20" xfId="0" applyBorder="1" applyAlignment="1">
      <alignment horizontal="right" vertical="center" wrapText="1"/>
    </xf>
    <xf numFmtId="1" fontId="0" fillId="0" borderId="21" xfId="0" applyNumberFormat="1" applyBorder="1" applyAlignment="1">
      <alignment horizontal="right" vertical="center" wrapText="1"/>
    </xf>
    <xf numFmtId="3" fontId="6" fillId="0" borderId="2" xfId="0" applyNumberFormat="1" applyFont="1" applyBorder="1" applyAlignment="1">
      <alignment horizontal="right" vertical="center" wrapText="1"/>
    </xf>
    <xf numFmtId="1" fontId="6" fillId="0" borderId="2" xfId="0" applyNumberFormat="1" applyFont="1" applyBorder="1" applyAlignment="1">
      <alignment horizontal="right" wrapText="1"/>
    </xf>
    <xf numFmtId="3" fontId="6" fillId="0" borderId="2" xfId="0" applyNumberFormat="1" applyFont="1" applyBorder="1" applyAlignment="1">
      <alignment horizontal="right" wrapText="1"/>
    </xf>
    <xf numFmtId="165" fontId="6" fillId="0" borderId="2" xfId="2" applyNumberFormat="1" applyFont="1" applyBorder="1" applyAlignment="1">
      <alignment horizontal="right" wrapText="1"/>
    </xf>
    <xf numFmtId="0" fontId="0" fillId="0" borderId="15" xfId="0" applyBorder="1" applyAlignment="1">
      <alignment horizontal="right" vertical="center" wrapText="1"/>
    </xf>
    <xf numFmtId="0" fontId="0" fillId="0" borderId="16" xfId="0" applyBorder="1" applyAlignment="1">
      <alignment horizontal="right" vertical="center" wrapText="1"/>
    </xf>
    <xf numFmtId="1" fontId="0" fillId="0" borderId="17" xfId="0" applyNumberFormat="1" applyBorder="1" applyAlignment="1">
      <alignment horizontal="right" vertical="center" wrapText="1"/>
    </xf>
    <xf numFmtId="1" fontId="6" fillId="0" borderId="12" xfId="0" applyNumberFormat="1" applyFont="1" applyBorder="1" applyAlignment="1">
      <alignment horizontal="right" vertical="center" wrapText="1"/>
    </xf>
    <xf numFmtId="164" fontId="6" fillId="0" borderId="13" xfId="1" applyNumberFormat="1" applyFont="1" applyBorder="1" applyAlignment="1">
      <alignment horizontal="right"/>
    </xf>
    <xf numFmtId="164" fontId="6" fillId="0" borderId="13" xfId="1" applyNumberFormat="1" applyFont="1" applyBorder="1" applyAlignment="1">
      <alignment horizontal="right" wrapText="1"/>
    </xf>
    <xf numFmtId="165" fontId="6" fillId="0" borderId="14" xfId="2" applyNumberFormat="1" applyFont="1" applyBorder="1" applyAlignment="1">
      <alignment horizontal="right" wrapText="1"/>
    </xf>
    <xf numFmtId="166" fontId="0" fillId="0" borderId="0" xfId="0" applyNumberFormat="1"/>
    <xf numFmtId="165" fontId="0" fillId="5" borderId="2" xfId="0" applyNumberFormat="1" applyFill="1" applyBorder="1" applyAlignment="1">
      <alignment horizontal="right" wrapText="1"/>
    </xf>
    <xf numFmtId="0" fontId="0" fillId="0" borderId="2" xfId="0" applyBorder="1" applyAlignment="1">
      <alignment horizontal="right" vertical="center" wrapText="1"/>
    </xf>
    <xf numFmtId="165" fontId="6" fillId="0" borderId="2" xfId="0" applyNumberFormat="1" applyFont="1" applyBorder="1" applyAlignment="1">
      <alignment horizontal="right" wrapText="1"/>
    </xf>
    <xf numFmtId="0" fontId="6" fillId="0" borderId="1" xfId="0" applyFont="1" applyBorder="1" applyAlignment="1">
      <alignment vertical="center" wrapText="1"/>
    </xf>
    <xf numFmtId="0" fontId="0" fillId="0" borderId="1" xfId="0" applyBorder="1" applyAlignment="1">
      <alignment horizontal="right" vertical="center" wrapText="1"/>
    </xf>
    <xf numFmtId="165" fontId="6" fillId="0" borderId="1" xfId="0" applyNumberFormat="1" applyFont="1" applyBorder="1" applyAlignment="1">
      <alignment horizontal="right" wrapText="1"/>
    </xf>
    <xf numFmtId="0" fontId="0" fillId="0" borderId="4" xfId="0" applyBorder="1" applyAlignment="1">
      <alignment horizontal="right" vertical="center" wrapText="1"/>
    </xf>
    <xf numFmtId="165" fontId="4" fillId="0" borderId="4" xfId="0" applyNumberFormat="1" applyFont="1" applyBorder="1" applyAlignment="1">
      <alignment horizontal="right" wrapText="1"/>
    </xf>
    <xf numFmtId="0" fontId="6" fillId="0" borderId="0" xfId="0" applyFont="1" applyAlignment="1">
      <alignment horizontal="left" vertical="center" indent="1"/>
    </xf>
    <xf numFmtId="0" fontId="6" fillId="0" borderId="16" xfId="0" applyFont="1" applyBorder="1" applyAlignment="1">
      <alignment horizontal="left" vertical="center" indent="1"/>
    </xf>
    <xf numFmtId="0" fontId="0" fillId="0" borderId="16" xfId="0" applyBorder="1"/>
    <xf numFmtId="0" fontId="0" fillId="4" borderId="2" xfId="0" applyFill="1" applyBorder="1"/>
    <xf numFmtId="2" fontId="0" fillId="4" borderId="2" xfId="0" applyNumberFormat="1" applyFill="1" applyBorder="1"/>
    <xf numFmtId="0" fontId="11" fillId="0" borderId="0" xfId="6"/>
    <xf numFmtId="0" fontId="12" fillId="0" borderId="0" xfId="0" applyFont="1"/>
    <xf numFmtId="8" fontId="12" fillId="0" borderId="0" xfId="0" applyNumberFormat="1" applyFont="1"/>
    <xf numFmtId="0" fontId="12" fillId="0" borderId="0" xfId="0" applyFont="1" applyAlignment="1">
      <alignment wrapText="1"/>
    </xf>
    <xf numFmtId="8" fontId="6" fillId="4" borderId="2" xfId="2" applyNumberFormat="1" applyFont="1" applyFill="1" applyBorder="1" applyAlignment="1">
      <alignment vertical="center"/>
    </xf>
    <xf numFmtId="1" fontId="6" fillId="6" borderId="2" xfId="0" applyNumberFormat="1" applyFont="1" applyFill="1" applyBorder="1" applyAlignment="1"/>
    <xf numFmtId="0" fontId="6" fillId="6" borderId="2" xfId="0" applyFont="1" applyFill="1" applyBorder="1" applyAlignment="1"/>
    <xf numFmtId="0" fontId="6" fillId="0" borderId="2" xfId="0" applyFont="1" applyBorder="1" applyAlignment="1"/>
    <xf numFmtId="1" fontId="6" fillId="0" borderId="2" xfId="0" applyNumberFormat="1" applyFont="1" applyBorder="1" applyAlignment="1"/>
    <xf numFmtId="0" fontId="6" fillId="0" borderId="2" xfId="0" applyFont="1" applyFill="1" applyBorder="1" applyAlignment="1"/>
    <xf numFmtId="1" fontId="6" fillId="0" borderId="2" xfId="0" applyNumberFormat="1" applyFont="1" applyFill="1" applyBorder="1" applyAlignment="1"/>
    <xf numFmtId="0" fontId="0" fillId="0" borderId="0" xfId="0" applyAlignment="1">
      <alignment vertical="top" wrapText="1"/>
    </xf>
    <xf numFmtId="0" fontId="0" fillId="0" borderId="0" xfId="0" applyAlignment="1">
      <alignment vertical="top"/>
    </xf>
    <xf numFmtId="1" fontId="0" fillId="0" borderId="0" xfId="0" applyNumberFormat="1" applyAlignment="1">
      <alignment vertical="top"/>
    </xf>
    <xf numFmtId="0" fontId="0" fillId="0" borderId="0" xfId="0" applyFill="1" applyAlignment="1">
      <alignment vertical="top"/>
    </xf>
    <xf numFmtId="0" fontId="3" fillId="3" borderId="0" xfId="0" applyFont="1" applyFill="1" applyAlignment="1">
      <alignment vertical="top" wrapText="1"/>
    </xf>
    <xf numFmtId="0" fontId="0" fillId="3" borderId="0" xfId="0" applyFill="1" applyAlignment="1">
      <alignment vertical="top"/>
    </xf>
    <xf numFmtId="1" fontId="0" fillId="3" borderId="0" xfId="0" applyNumberFormat="1" applyFill="1" applyAlignment="1">
      <alignment vertical="top"/>
    </xf>
    <xf numFmtId="0" fontId="0" fillId="3" borderId="0" xfId="0" applyFill="1" applyAlignment="1">
      <alignment vertical="top" wrapText="1"/>
    </xf>
    <xf numFmtId="0" fontId="0" fillId="0" borderId="0" xfId="0" quotePrefix="1" applyAlignment="1">
      <alignment vertical="top"/>
    </xf>
    <xf numFmtId="0" fontId="7" fillId="0" borderId="2" xfId="0" applyFont="1" applyBorder="1" applyAlignment="1">
      <alignment horizontal="left" vertical="center" wrapText="1"/>
    </xf>
    <xf numFmtId="0" fontId="7" fillId="0" borderId="2" xfId="0" applyFont="1" applyBorder="1" applyAlignment="1">
      <alignment horizontal="left" vertical="center" wrapText="1" indent="1"/>
    </xf>
    <xf numFmtId="0" fontId="7" fillId="0" borderId="2" xfId="0" applyFont="1" applyBorder="1" applyAlignment="1">
      <alignment horizontal="left" vertical="center" wrapText="1" indent="2"/>
    </xf>
    <xf numFmtId="0" fontId="7" fillId="0" borderId="2" xfId="0" applyFont="1" applyBorder="1" applyAlignment="1">
      <alignment horizontal="left" vertical="center" wrapText="1" indent="3"/>
    </xf>
    <xf numFmtId="0" fontId="1" fillId="2" borderId="0" xfId="0" applyFont="1" applyFill="1" applyAlignment="1"/>
    <xf numFmtId="0" fontId="13" fillId="0" borderId="0" xfId="0" applyFont="1" applyAlignment="1">
      <alignment vertical="top"/>
    </xf>
    <xf numFmtId="0" fontId="13" fillId="0" borderId="0" xfId="0" applyFont="1"/>
    <xf numFmtId="0" fontId="0" fillId="0" borderId="22" xfId="0" applyBorder="1"/>
    <xf numFmtId="0" fontId="0" fillId="0" borderId="23" xfId="0" applyBorder="1"/>
    <xf numFmtId="0" fontId="0" fillId="0" borderId="24" xfId="0" applyBorder="1"/>
    <xf numFmtId="0" fontId="0" fillId="0" borderId="25" xfId="0" applyBorder="1"/>
    <xf numFmtId="0" fontId="0" fillId="0" borderId="24" xfId="0" applyBorder="1" applyAlignment="1">
      <alignment vertical="top"/>
    </xf>
    <xf numFmtId="0" fontId="0" fillId="0" borderId="25" xfId="0" applyBorder="1" applyAlignment="1">
      <alignment vertical="top"/>
    </xf>
    <xf numFmtId="0" fontId="0" fillId="0" borderId="25" xfId="0" applyFill="1" applyBorder="1" applyAlignment="1">
      <alignment vertical="top"/>
    </xf>
    <xf numFmtId="0" fontId="0" fillId="0" borderId="26" xfId="0" applyBorder="1" applyAlignment="1">
      <alignment vertical="top"/>
    </xf>
    <xf numFmtId="0" fontId="0" fillId="0" borderId="27" xfId="0" applyFill="1" applyBorder="1" applyAlignment="1">
      <alignment vertical="top"/>
    </xf>
    <xf numFmtId="0" fontId="15" fillId="0" borderId="0" xfId="0" applyFont="1" applyAlignment="1">
      <alignment vertical="center"/>
    </xf>
    <xf numFmtId="0" fontId="13" fillId="0" borderId="0" xfId="0" applyFont="1" applyFill="1" applyAlignment="1">
      <alignment vertical="top"/>
    </xf>
    <xf numFmtId="0" fontId="1" fillId="2" borderId="0" xfId="0" applyFont="1" applyFill="1" applyAlignment="1">
      <alignment vertical="top"/>
    </xf>
    <xf numFmtId="0" fontId="14" fillId="2" borderId="0" xfId="0" applyFont="1" applyFill="1" applyAlignment="1">
      <alignment vertical="top" wrapText="1"/>
    </xf>
    <xf numFmtId="0" fontId="1" fillId="2" borderId="0" xfId="0" applyFont="1" applyFill="1" applyAlignment="1">
      <alignment vertical="top" wrapText="1"/>
    </xf>
    <xf numFmtId="0" fontId="7" fillId="8" borderId="2" xfId="0" applyFont="1" applyFill="1" applyBorder="1" applyAlignment="1">
      <alignment horizontal="right" vertical="center" wrapText="1"/>
    </xf>
    <xf numFmtId="0" fontId="16" fillId="0" borderId="0" xfId="0" applyFont="1" applyAlignment="1"/>
    <xf numFmtId="0" fontId="16" fillId="0" borderId="0" xfId="0" applyFont="1" applyFill="1" applyAlignment="1">
      <alignment wrapText="1"/>
    </xf>
    <xf numFmtId="0" fontId="16" fillId="0" borderId="0" xfId="0" applyFont="1" applyFill="1" applyAlignment="1"/>
    <xf numFmtId="0" fontId="1" fillId="0" borderId="0" xfId="0" applyFont="1" applyAlignment="1">
      <alignment vertical="top"/>
    </xf>
    <xf numFmtId="0" fontId="14" fillId="0" borderId="0" xfId="0" applyFont="1" applyFill="1" applyAlignment="1">
      <alignment vertical="top" wrapText="1"/>
    </xf>
    <xf numFmtId="0" fontId="1" fillId="0" borderId="0" xfId="0" applyFont="1" applyFill="1" applyAlignment="1">
      <alignment vertical="top"/>
    </xf>
    <xf numFmtId="0" fontId="1" fillId="0" borderId="0" xfId="0" applyFont="1" applyAlignment="1"/>
    <xf numFmtId="0" fontId="1" fillId="0" borderId="0" xfId="0" applyFont="1" applyFill="1" applyAlignment="1"/>
    <xf numFmtId="0" fontId="1" fillId="0" borderId="0" xfId="0" applyFont="1" applyAlignment="1">
      <alignment vertical="top" wrapText="1"/>
    </xf>
    <xf numFmtId="0" fontId="1" fillId="0" borderId="0" xfId="0" applyFont="1" applyAlignment="1">
      <alignment wrapText="1"/>
    </xf>
    <xf numFmtId="1" fontId="1" fillId="0" borderId="0" xfId="0" applyNumberFormat="1" applyFont="1" applyAlignment="1">
      <alignment vertical="top"/>
    </xf>
    <xf numFmtId="0" fontId="1" fillId="0" borderId="24" xfId="0" applyFont="1" applyBorder="1" applyAlignment="1">
      <alignment vertical="top"/>
    </xf>
    <xf numFmtId="0" fontId="1" fillId="0" borderId="25" xfId="0" applyFont="1" applyFill="1" applyBorder="1" applyAlignment="1">
      <alignment vertical="top"/>
    </xf>
    <xf numFmtId="0" fontId="3" fillId="2" borderId="28" xfId="0" applyFont="1" applyFill="1" applyBorder="1"/>
    <xf numFmtId="0" fontId="17" fillId="0" borderId="0" xfId="0" applyFont="1"/>
    <xf numFmtId="0" fontId="18" fillId="0" borderId="0" xfId="0" applyFont="1" applyAlignment="1">
      <alignment wrapText="1"/>
    </xf>
    <xf numFmtId="0" fontId="19" fillId="0" borderId="0" xfId="0" applyFont="1" applyFill="1" applyAlignment="1">
      <alignment vertical="top" wrapText="1"/>
    </xf>
    <xf numFmtId="0" fontId="13" fillId="0" borderId="0" xfId="0" applyFont="1" applyFill="1" applyAlignment="1">
      <alignment vertical="top" wrapText="1"/>
    </xf>
    <xf numFmtId="0" fontId="0" fillId="2" borderId="0" xfId="0" applyFill="1" applyAlignment="1">
      <alignment vertical="top" wrapText="1"/>
    </xf>
    <xf numFmtId="0" fontId="20" fillId="0" borderId="0" xfId="0" applyFont="1" applyAlignment="1">
      <alignment vertical="center"/>
    </xf>
    <xf numFmtId="1" fontId="0" fillId="0" borderId="0" xfId="0" applyNumberFormat="1" applyFill="1" applyAlignment="1">
      <alignment vertical="top"/>
    </xf>
    <xf numFmtId="0" fontId="21" fillId="9" borderId="0" xfId="0" applyFont="1" applyFill="1" applyAlignment="1">
      <alignment vertical="top"/>
    </xf>
    <xf numFmtId="1" fontId="21" fillId="9" borderId="0" xfId="0" applyNumberFormat="1" applyFont="1" applyFill="1" applyAlignment="1">
      <alignment vertical="top"/>
    </xf>
    <xf numFmtId="0" fontId="6" fillId="6" borderId="2" xfId="0" applyFont="1" applyFill="1" applyBorder="1" applyAlignment="1"/>
    <xf numFmtId="0" fontId="0" fillId="6" borderId="0" xfId="0" applyFill="1" applyAlignment="1">
      <alignment horizontal="center" wrapText="1"/>
    </xf>
    <xf numFmtId="0" fontId="0" fillId="6" borderId="0" xfId="0" applyFill="1" applyAlignment="1">
      <alignment wrapText="1"/>
    </xf>
    <xf numFmtId="1" fontId="0" fillId="6" borderId="0" xfId="0" applyNumberFormat="1" applyFill="1" applyAlignment="1">
      <alignment horizontal="center"/>
    </xf>
  </cellXfs>
  <cellStyles count="7">
    <cellStyle name="Comma" xfId="1" builtinId="3"/>
    <cellStyle name="Comma 6" xfId="4" xr:uid="{666C3DEA-3226-444B-B6DC-FC153A8AB1DA}"/>
    <cellStyle name="Currency" xfId="2" builtinId="4"/>
    <cellStyle name="Hyperlink" xfId="6" builtinId="8"/>
    <cellStyle name="Normal" xfId="0" builtinId="0"/>
    <cellStyle name="Normal 5_P&amp;P_Burden_Tables" xfId="5" xr:uid="{A04CCBC6-CDF0-4E43-AB2F-1B7D68FB5ED5}"/>
    <cellStyle name="Normal 6_P&amp;P_Burden_Tables" xfId="3" xr:uid="{74CDE936-B121-424D-9459-B3A347C7EAF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opm.gov/policy-data-oversight/pay-leave/salaries-wages/salary-tables/20Tables/html/GS_h.aspx" TargetMode="External"/><Relationship Id="rId1" Type="http://schemas.openxmlformats.org/officeDocument/2006/relationships/hyperlink" Target="https://www.bls.gov/oes/current/naics4_339100.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6AFDC-E976-4877-9B03-BCB56ED560C7}">
  <sheetPr>
    <pageSetUpPr fitToPage="1"/>
  </sheetPr>
  <dimension ref="A1:P65"/>
  <sheetViews>
    <sheetView tabSelected="1" zoomScaleNormal="100" workbookViewId="0">
      <pane ySplit="1" topLeftCell="A2" activePane="bottomLeft" state="frozen"/>
      <selection pane="bottomLeft"/>
    </sheetView>
  </sheetViews>
  <sheetFormatPr defaultColWidth="9.08984375" defaultRowHeight="10.5" x14ac:dyDescent="0.35"/>
  <cols>
    <col min="1" max="1" width="46" style="11" customWidth="1"/>
    <col min="2" max="2" width="10.453125" style="11" customWidth="1"/>
    <col min="3" max="3" width="13.90625" style="11" bestFit="1" customWidth="1"/>
    <col min="4" max="4" width="10.08984375" style="11" bestFit="1" customWidth="1"/>
    <col min="5" max="5" width="10.90625" style="11" bestFit="1" customWidth="1"/>
    <col min="6" max="6" width="11.36328125" style="11" customWidth="1"/>
    <col min="7" max="7" width="11.6328125" style="11" customWidth="1"/>
    <col min="8" max="8" width="10.54296875" style="11" customWidth="1"/>
    <col min="9" max="9" width="13.90625" style="11" bestFit="1" customWidth="1"/>
    <col min="10" max="10" width="54.36328125" style="11" customWidth="1"/>
    <col min="11" max="11" width="10.08984375" style="11" customWidth="1"/>
    <col min="12" max="12" width="9.36328125" style="11" customWidth="1"/>
    <col min="13" max="13" width="12.54296875" style="11" customWidth="1"/>
    <col min="14" max="14" width="10" style="11" customWidth="1"/>
    <col min="15" max="16384" width="9.08984375" style="11"/>
  </cols>
  <sheetData>
    <row r="1" spans="1:16" s="8" customFormat="1" ht="48.5" thickBot="1" x14ac:dyDescent="0.35">
      <c r="A1" s="3" t="s">
        <v>183</v>
      </c>
      <c r="B1" s="3" t="s">
        <v>184</v>
      </c>
      <c r="C1" s="3" t="s">
        <v>185</v>
      </c>
      <c r="D1" s="3" t="s">
        <v>186</v>
      </c>
      <c r="E1" s="3" t="s">
        <v>187</v>
      </c>
      <c r="F1" s="3" t="s">
        <v>188</v>
      </c>
      <c r="G1" s="3" t="s">
        <v>189</v>
      </c>
      <c r="H1" s="3" t="s">
        <v>190</v>
      </c>
      <c r="I1" s="3" t="s">
        <v>191</v>
      </c>
      <c r="J1" s="4" t="s">
        <v>180</v>
      </c>
      <c r="K1" s="5" t="s">
        <v>192</v>
      </c>
      <c r="L1" s="6"/>
      <c r="M1" s="6" t="s">
        <v>254</v>
      </c>
      <c r="N1" s="6" t="s">
        <v>255</v>
      </c>
      <c r="O1" s="7" t="s">
        <v>193</v>
      </c>
      <c r="P1" s="164" t="s">
        <v>310</v>
      </c>
    </row>
    <row r="2" spans="1:16" ht="15.5" thickTop="1" thickBot="1" x14ac:dyDescent="0.4">
      <c r="A2" s="9" t="s">
        <v>194</v>
      </c>
      <c r="B2" s="10"/>
      <c r="C2" s="10"/>
      <c r="D2" s="10"/>
      <c r="E2" s="10"/>
      <c r="F2" s="10"/>
      <c r="G2" s="10"/>
      <c r="H2" s="10"/>
      <c r="I2" s="10"/>
      <c r="L2" s="12" t="s">
        <v>195</v>
      </c>
      <c r="M2" s="111">
        <f>'labor rates'!C5</f>
        <v>44.6</v>
      </c>
      <c r="N2" s="13">
        <f>M2*$O$2</f>
        <v>93.660000000000011</v>
      </c>
      <c r="O2" s="11">
        <v>2.1</v>
      </c>
      <c r="P2" s="162">
        <v>61</v>
      </c>
    </row>
    <row r="3" spans="1:16" ht="14.4" customHeight="1" x14ac:dyDescent="0.35">
      <c r="A3" s="14" t="s">
        <v>196</v>
      </c>
      <c r="B3" s="15"/>
      <c r="C3" s="15"/>
      <c r="D3" s="15"/>
      <c r="E3" s="15"/>
      <c r="F3" s="15"/>
      <c r="G3" s="15"/>
      <c r="H3" s="15"/>
      <c r="I3" s="15"/>
      <c r="L3" s="12" t="s">
        <v>197</v>
      </c>
      <c r="M3" s="111">
        <f>'labor rates'!C6</f>
        <v>71.37</v>
      </c>
      <c r="N3" s="13">
        <f t="shared" ref="N3:N4" si="0">M3*$O$2</f>
        <v>149.87700000000001</v>
      </c>
      <c r="O3" s="16"/>
    </row>
    <row r="4" spans="1:16" ht="21" x14ac:dyDescent="0.35">
      <c r="A4" s="14" t="s">
        <v>198</v>
      </c>
      <c r="B4" s="15"/>
      <c r="C4" s="15"/>
      <c r="D4" s="15"/>
      <c r="E4" s="15"/>
      <c r="F4" s="15"/>
      <c r="G4" s="15"/>
      <c r="H4" s="15"/>
      <c r="I4" s="15"/>
      <c r="L4" s="12" t="s">
        <v>199</v>
      </c>
      <c r="M4" s="111">
        <f>'labor rates'!C7</f>
        <v>20.78</v>
      </c>
      <c r="N4" s="13">
        <f t="shared" si="0"/>
        <v>43.638000000000005</v>
      </c>
      <c r="O4" s="16"/>
    </row>
    <row r="5" spans="1:16" ht="11.75" customHeight="1" x14ac:dyDescent="0.35">
      <c r="A5" s="14" t="s">
        <v>200</v>
      </c>
      <c r="B5" s="15"/>
      <c r="C5" s="15"/>
      <c r="D5" s="15"/>
      <c r="E5" s="15"/>
      <c r="F5" s="15"/>
      <c r="G5" s="15"/>
      <c r="H5" s="15"/>
      <c r="I5" s="15"/>
    </row>
    <row r="6" spans="1:16" ht="11.75" customHeight="1" x14ac:dyDescent="0.35">
      <c r="A6" s="127" t="s">
        <v>201</v>
      </c>
      <c r="B6" s="15"/>
      <c r="C6" s="15"/>
      <c r="D6" s="15"/>
      <c r="E6" s="15"/>
      <c r="F6" s="15"/>
      <c r="G6" s="15"/>
      <c r="H6" s="15"/>
      <c r="I6" s="15"/>
    </row>
    <row r="7" spans="1:16" ht="11.75" customHeight="1" x14ac:dyDescent="0.35">
      <c r="A7" s="128" t="s">
        <v>286</v>
      </c>
      <c r="B7" s="148">
        <v>4</v>
      </c>
      <c r="C7" s="148">
        <v>1</v>
      </c>
      <c r="D7" s="17">
        <f t="shared" ref="D7" si="1">B7*C7</f>
        <v>4</v>
      </c>
      <c r="E7" s="17">
        <f>$P$2</f>
        <v>61</v>
      </c>
      <c r="F7" s="18">
        <f t="shared" ref="F7" si="2">D7*E7</f>
        <v>244</v>
      </c>
      <c r="G7" s="19">
        <f t="shared" ref="G7" si="3">F7*0.05</f>
        <v>12.200000000000001</v>
      </c>
      <c r="H7" s="17">
        <f t="shared" ref="H7" si="4">F7*0.1</f>
        <v>24.400000000000002</v>
      </c>
      <c r="I7" s="20">
        <f>((F7*$N$2)+(G7*$N$3)+(H7*$N$4))</f>
        <v>25746.306600000004</v>
      </c>
      <c r="K7" s="21"/>
    </row>
    <row r="8" spans="1:16" ht="11.75" customHeight="1" x14ac:dyDescent="0.35">
      <c r="A8" s="127" t="s">
        <v>202</v>
      </c>
      <c r="B8" s="22"/>
      <c r="C8" s="22"/>
      <c r="D8" s="22"/>
      <c r="E8" s="22"/>
      <c r="F8" s="22"/>
      <c r="G8" s="22"/>
      <c r="H8" s="22"/>
      <c r="I8" s="22"/>
    </row>
    <row r="9" spans="1:16" ht="11.75" customHeight="1" x14ac:dyDescent="0.35">
      <c r="A9" s="128" t="s">
        <v>203</v>
      </c>
      <c r="B9" s="22"/>
      <c r="C9" s="22"/>
      <c r="D9" s="22"/>
      <c r="E9" s="22"/>
      <c r="F9" s="22"/>
      <c r="G9" s="22"/>
      <c r="H9" s="22"/>
      <c r="I9" s="22"/>
    </row>
    <row r="10" spans="1:16" ht="11.75" customHeight="1" x14ac:dyDescent="0.35">
      <c r="A10" s="129" t="s">
        <v>286</v>
      </c>
      <c r="B10" s="22"/>
      <c r="C10" s="22"/>
      <c r="D10" s="22"/>
      <c r="E10" s="22"/>
      <c r="F10" s="22"/>
      <c r="G10" s="22"/>
      <c r="H10" s="22"/>
      <c r="I10" s="22"/>
    </row>
    <row r="11" spans="1:16" ht="11.75" customHeight="1" x14ac:dyDescent="0.35">
      <c r="A11" s="130" t="s">
        <v>8</v>
      </c>
      <c r="B11" s="24">
        <f>Industry_Burden_From_ICR_Data!G10</f>
        <v>4.5</v>
      </c>
      <c r="C11" s="17">
        <v>1</v>
      </c>
      <c r="D11" s="17">
        <f t="shared" ref="D11:D22" si="5">B11*C11</f>
        <v>4.5</v>
      </c>
      <c r="E11" s="17">
        <f t="shared" ref="E11:E22" si="6">$P$2</f>
        <v>61</v>
      </c>
      <c r="F11" s="18">
        <f>D11*E11</f>
        <v>274.5</v>
      </c>
      <c r="G11" s="19">
        <f>F11*0.05</f>
        <v>13.725000000000001</v>
      </c>
      <c r="H11" s="17">
        <f>F11*0.1</f>
        <v>27.450000000000003</v>
      </c>
      <c r="I11" s="20">
        <f t="shared" ref="I11:I22" si="7">((F11*$N$2)+(G11*$N$3)+(H11*$N$4))</f>
        <v>28964.594925000001</v>
      </c>
      <c r="K11" s="21"/>
    </row>
    <row r="12" spans="1:16" ht="11.75" customHeight="1" x14ac:dyDescent="0.35">
      <c r="A12" s="23" t="s">
        <v>9</v>
      </c>
      <c r="B12" s="24">
        <f>Industry_Burden_From_ICR_Data!G15</f>
        <v>13.5</v>
      </c>
      <c r="C12" s="17">
        <v>1</v>
      </c>
      <c r="D12" s="17">
        <f t="shared" si="5"/>
        <v>13.5</v>
      </c>
      <c r="E12" s="17">
        <f t="shared" si="6"/>
        <v>61</v>
      </c>
      <c r="F12" s="18">
        <f>D12*E12</f>
        <v>823.5</v>
      </c>
      <c r="G12" s="19">
        <f>F12*0.05</f>
        <v>41.175000000000004</v>
      </c>
      <c r="H12" s="17">
        <f>F12*0.1</f>
        <v>82.350000000000009</v>
      </c>
      <c r="I12" s="20">
        <f t="shared" si="7"/>
        <v>86893.784775000022</v>
      </c>
      <c r="K12" s="21"/>
    </row>
    <row r="13" spans="1:16" ht="11.75" customHeight="1" x14ac:dyDescent="0.35">
      <c r="A13" s="23" t="s">
        <v>10</v>
      </c>
      <c r="B13" s="24">
        <f>Industry_Burden_From_ICR_Data!G18</f>
        <v>1.5</v>
      </c>
      <c r="C13" s="17">
        <v>1</v>
      </c>
      <c r="D13" s="17">
        <f t="shared" si="5"/>
        <v>1.5</v>
      </c>
      <c r="E13" s="17">
        <f t="shared" si="6"/>
        <v>61</v>
      </c>
      <c r="F13" s="18">
        <f>D13*E13</f>
        <v>91.5</v>
      </c>
      <c r="G13" s="19">
        <f>F13*0.05</f>
        <v>4.5750000000000002</v>
      </c>
      <c r="H13" s="17">
        <f>F13*0.1</f>
        <v>9.15</v>
      </c>
      <c r="I13" s="20">
        <f t="shared" si="7"/>
        <v>9654.8649750000022</v>
      </c>
      <c r="K13" s="21"/>
    </row>
    <row r="14" spans="1:16" ht="11.75" customHeight="1" x14ac:dyDescent="0.35">
      <c r="A14" s="23" t="s">
        <v>13</v>
      </c>
      <c r="B14" s="24">
        <f>Industry_Burden_From_ICR_Data!G24</f>
        <v>25.5</v>
      </c>
      <c r="C14" s="17">
        <v>1</v>
      </c>
      <c r="D14" s="17">
        <f t="shared" si="5"/>
        <v>25.5</v>
      </c>
      <c r="E14" s="17">
        <f t="shared" si="6"/>
        <v>61</v>
      </c>
      <c r="F14" s="18">
        <f t="shared" ref="F14:F22" si="8">D14*E14</f>
        <v>1555.5</v>
      </c>
      <c r="G14" s="19">
        <f t="shared" ref="G14:G22" si="9">F14*0.05</f>
        <v>77.775000000000006</v>
      </c>
      <c r="H14" s="17">
        <f t="shared" ref="H14:H22" si="10">F14*0.1</f>
        <v>155.55000000000001</v>
      </c>
      <c r="I14" s="20">
        <f t="shared" si="7"/>
        <v>164132.70457500001</v>
      </c>
      <c r="K14" s="21"/>
    </row>
    <row r="15" spans="1:16" ht="11.75" customHeight="1" x14ac:dyDescent="0.35">
      <c r="A15" s="23" t="s">
        <v>19</v>
      </c>
      <c r="B15" s="24">
        <f>Industry_Burden_From_ICR_Data!G28</f>
        <v>7.5</v>
      </c>
      <c r="C15" s="17">
        <v>1</v>
      </c>
      <c r="D15" s="17">
        <f t="shared" si="5"/>
        <v>7.5</v>
      </c>
      <c r="E15" s="17">
        <f t="shared" si="6"/>
        <v>61</v>
      </c>
      <c r="F15" s="18">
        <f t="shared" si="8"/>
        <v>457.5</v>
      </c>
      <c r="G15" s="19">
        <f t="shared" si="9"/>
        <v>22.875</v>
      </c>
      <c r="H15" s="17">
        <f t="shared" si="10"/>
        <v>45.75</v>
      </c>
      <c r="I15" s="20">
        <f t="shared" si="7"/>
        <v>48274.324875000006</v>
      </c>
      <c r="K15" s="21"/>
    </row>
    <row r="16" spans="1:16" ht="11.75" customHeight="1" x14ac:dyDescent="0.35">
      <c r="A16" s="23" t="s">
        <v>23</v>
      </c>
      <c r="B16" s="24">
        <f>Industry_Burden_From_ICR_Data!G31</f>
        <v>4.5</v>
      </c>
      <c r="C16" s="17">
        <v>1</v>
      </c>
      <c r="D16" s="17">
        <f t="shared" si="5"/>
        <v>4.5</v>
      </c>
      <c r="E16" s="17">
        <f t="shared" si="6"/>
        <v>61</v>
      </c>
      <c r="F16" s="18">
        <f t="shared" si="8"/>
        <v>274.5</v>
      </c>
      <c r="G16" s="19">
        <f t="shared" si="9"/>
        <v>13.725000000000001</v>
      </c>
      <c r="H16" s="17">
        <f t="shared" si="10"/>
        <v>27.450000000000003</v>
      </c>
      <c r="I16" s="20">
        <f t="shared" si="7"/>
        <v>28964.594925000001</v>
      </c>
      <c r="K16" s="21"/>
    </row>
    <row r="17" spans="1:11" ht="11.75" customHeight="1" x14ac:dyDescent="0.35">
      <c r="A17" s="23" t="s">
        <v>26</v>
      </c>
      <c r="B17" s="24">
        <f>Industry_Burden_From_ICR_Data!G37</f>
        <v>3</v>
      </c>
      <c r="C17" s="17">
        <v>1</v>
      </c>
      <c r="D17" s="17">
        <f t="shared" si="5"/>
        <v>3</v>
      </c>
      <c r="E17" s="17">
        <f t="shared" si="6"/>
        <v>61</v>
      </c>
      <c r="F17" s="18">
        <f t="shared" si="8"/>
        <v>183</v>
      </c>
      <c r="G17" s="19">
        <f t="shared" si="9"/>
        <v>9.15</v>
      </c>
      <c r="H17" s="17">
        <f t="shared" si="10"/>
        <v>18.3</v>
      </c>
      <c r="I17" s="20">
        <f t="shared" si="7"/>
        <v>19309.729950000004</v>
      </c>
      <c r="K17" s="21"/>
    </row>
    <row r="18" spans="1:11" ht="11.75" customHeight="1" x14ac:dyDescent="0.35">
      <c r="A18" s="23" t="s">
        <v>32</v>
      </c>
      <c r="B18" s="24">
        <f>Industry_Burden_From_ICR_Data!G41</f>
        <v>16.5</v>
      </c>
      <c r="C18" s="17">
        <v>1</v>
      </c>
      <c r="D18" s="17">
        <f t="shared" si="5"/>
        <v>16.5</v>
      </c>
      <c r="E18" s="17">
        <f t="shared" si="6"/>
        <v>61</v>
      </c>
      <c r="F18" s="18">
        <f t="shared" si="8"/>
        <v>1006.5</v>
      </c>
      <c r="G18" s="19">
        <f t="shared" si="9"/>
        <v>50.325000000000003</v>
      </c>
      <c r="H18" s="17">
        <f t="shared" si="10"/>
        <v>100.65</v>
      </c>
      <c r="I18" s="20">
        <f t="shared" si="7"/>
        <v>106203.51472500002</v>
      </c>
      <c r="K18" s="21"/>
    </row>
    <row r="19" spans="1:11" ht="11.75" customHeight="1" x14ac:dyDescent="0.35">
      <c r="A19" s="23" t="s">
        <v>36</v>
      </c>
      <c r="B19" s="24">
        <f>Industry_Burden_From_ICR_Data!G47</f>
        <v>1.5</v>
      </c>
      <c r="C19" s="17">
        <v>1</v>
      </c>
      <c r="D19" s="17">
        <f t="shared" si="5"/>
        <v>1.5</v>
      </c>
      <c r="E19" s="17">
        <f t="shared" si="6"/>
        <v>61</v>
      </c>
      <c r="F19" s="18">
        <f t="shared" si="8"/>
        <v>91.5</v>
      </c>
      <c r="G19" s="19">
        <f t="shared" si="9"/>
        <v>4.5750000000000002</v>
      </c>
      <c r="H19" s="17">
        <f t="shared" si="10"/>
        <v>9.15</v>
      </c>
      <c r="I19" s="20">
        <f t="shared" si="7"/>
        <v>9654.8649750000022</v>
      </c>
      <c r="K19" s="21"/>
    </row>
    <row r="20" spans="1:11" ht="11.75" customHeight="1" x14ac:dyDescent="0.35">
      <c r="A20" s="23" t="s">
        <v>39</v>
      </c>
      <c r="B20" s="24">
        <f>Industry_Burden_From_ICR_Data!G48</f>
        <v>1.5</v>
      </c>
      <c r="C20" s="17">
        <v>1</v>
      </c>
      <c r="D20" s="17">
        <f t="shared" si="5"/>
        <v>1.5</v>
      </c>
      <c r="E20" s="17">
        <f t="shared" si="6"/>
        <v>61</v>
      </c>
      <c r="F20" s="18">
        <f t="shared" si="8"/>
        <v>91.5</v>
      </c>
      <c r="G20" s="19">
        <f t="shared" si="9"/>
        <v>4.5750000000000002</v>
      </c>
      <c r="H20" s="17">
        <f t="shared" si="10"/>
        <v>9.15</v>
      </c>
      <c r="I20" s="20">
        <f t="shared" si="7"/>
        <v>9654.8649750000022</v>
      </c>
      <c r="K20" s="21"/>
    </row>
    <row r="21" spans="1:11" ht="11.75" customHeight="1" x14ac:dyDescent="0.35">
      <c r="A21" s="23" t="s">
        <v>40</v>
      </c>
      <c r="B21" s="24">
        <f>Industry_Burden_From_ICR_Data!G49</f>
        <v>10</v>
      </c>
      <c r="C21" s="17">
        <v>1</v>
      </c>
      <c r="D21" s="17">
        <f t="shared" si="5"/>
        <v>10</v>
      </c>
      <c r="E21" s="17">
        <f t="shared" si="6"/>
        <v>61</v>
      </c>
      <c r="F21" s="18">
        <f t="shared" si="8"/>
        <v>610</v>
      </c>
      <c r="G21" s="19">
        <f t="shared" si="9"/>
        <v>30.5</v>
      </c>
      <c r="H21" s="17">
        <f t="shared" si="10"/>
        <v>61</v>
      </c>
      <c r="I21" s="20">
        <f t="shared" si="7"/>
        <v>64365.766500000005</v>
      </c>
      <c r="K21" s="21"/>
    </row>
    <row r="22" spans="1:11" ht="11.75" customHeight="1" x14ac:dyDescent="0.35">
      <c r="A22" s="23" t="s">
        <v>204</v>
      </c>
      <c r="B22" s="24">
        <v>0.2</v>
      </c>
      <c r="C22" s="24">
        <v>1</v>
      </c>
      <c r="D22" s="17">
        <f t="shared" si="5"/>
        <v>0.2</v>
      </c>
      <c r="E22" s="17">
        <f t="shared" si="6"/>
        <v>61</v>
      </c>
      <c r="F22" s="18">
        <f t="shared" si="8"/>
        <v>12.200000000000001</v>
      </c>
      <c r="G22" s="19">
        <f t="shared" si="9"/>
        <v>0.6100000000000001</v>
      </c>
      <c r="H22" s="17">
        <f t="shared" si="10"/>
        <v>1.2200000000000002</v>
      </c>
      <c r="I22" s="20">
        <f t="shared" si="7"/>
        <v>1287.3153300000004</v>
      </c>
    </row>
    <row r="23" spans="1:11" ht="11.75" customHeight="1" x14ac:dyDescent="0.35">
      <c r="A23" s="14" t="s">
        <v>205</v>
      </c>
      <c r="B23" s="25"/>
      <c r="C23" s="25"/>
      <c r="D23" s="25"/>
      <c r="E23" s="25"/>
      <c r="F23" s="15"/>
      <c r="G23" s="26"/>
      <c r="H23" s="27"/>
      <c r="I23" s="28"/>
    </row>
    <row r="24" spans="1:11" ht="11.75" customHeight="1" x14ac:dyDescent="0.35">
      <c r="A24" s="14" t="s">
        <v>206</v>
      </c>
      <c r="B24" s="25"/>
      <c r="C24" s="25"/>
      <c r="D24" s="25"/>
      <c r="E24" s="25"/>
      <c r="F24" s="15"/>
      <c r="G24" s="26"/>
      <c r="H24" s="27"/>
      <c r="I24" s="28"/>
    </row>
    <row r="25" spans="1:11" ht="11.75" customHeight="1" x14ac:dyDescent="0.35">
      <c r="A25" s="29" t="s">
        <v>207</v>
      </c>
      <c r="B25" s="30"/>
      <c r="C25" s="30"/>
      <c r="D25" s="30"/>
      <c r="E25" s="30"/>
      <c r="F25" s="30"/>
      <c r="G25" s="30"/>
      <c r="H25" s="30"/>
      <c r="I25" s="31"/>
    </row>
    <row r="26" spans="1:11" ht="11.75" customHeight="1" thickBot="1" x14ac:dyDescent="0.4">
      <c r="A26" s="32" t="s">
        <v>208</v>
      </c>
      <c r="B26" s="33"/>
      <c r="C26" s="33"/>
      <c r="D26" s="33"/>
      <c r="E26" s="33"/>
      <c r="F26" s="33"/>
      <c r="G26" s="33"/>
      <c r="H26" s="33"/>
      <c r="I26" s="34"/>
    </row>
    <row r="27" spans="1:11" ht="11.75" customHeight="1" thickTop="1" x14ac:dyDescent="0.35">
      <c r="A27" s="35" t="s">
        <v>209</v>
      </c>
      <c r="B27" s="36"/>
      <c r="C27" s="37"/>
      <c r="D27" s="37"/>
      <c r="E27" s="38"/>
      <c r="F27" s="39">
        <f>SUM(F2:F26)</f>
        <v>5715.7</v>
      </c>
      <c r="G27" s="39">
        <f>SUM(G2:G26)</f>
        <v>285.78500000000003</v>
      </c>
      <c r="H27" s="39">
        <f>SUM(H2:H26)</f>
        <v>571.57000000000005</v>
      </c>
      <c r="I27" s="40">
        <f>SUM(I2:I26)</f>
        <v>603107.23210500018</v>
      </c>
      <c r="J27" s="16"/>
      <c r="K27" s="41"/>
    </row>
    <row r="28" spans="1:11" ht="11.75" customHeight="1" x14ac:dyDescent="0.35">
      <c r="A28" s="42"/>
      <c r="B28" s="43"/>
      <c r="E28" s="44"/>
      <c r="F28" s="45"/>
      <c r="G28" s="46" t="s">
        <v>210</v>
      </c>
      <c r="H28" s="46">
        <f>F27+G27+H27</f>
        <v>6573.0549999999994</v>
      </c>
      <c r="I28" s="47"/>
    </row>
    <row r="29" spans="1:11" ht="11.75" customHeight="1" x14ac:dyDescent="0.35">
      <c r="A29" s="48"/>
      <c r="B29" s="49"/>
      <c r="C29" s="50"/>
      <c r="D29" s="50"/>
      <c r="E29" s="51"/>
      <c r="F29" s="45" t="s">
        <v>211</v>
      </c>
      <c r="G29" s="52">
        <f>H28/$P$2</f>
        <v>107.755</v>
      </c>
      <c r="H29" s="45" t="s">
        <v>212</v>
      </c>
      <c r="I29" s="53">
        <f>I27/$P$2</f>
        <v>9887.0038050000021</v>
      </c>
    </row>
    <row r="30" spans="1:11" ht="11.75" customHeight="1" x14ac:dyDescent="0.35">
      <c r="A30" s="29" t="s">
        <v>213</v>
      </c>
      <c r="B30" s="30"/>
      <c r="C30" s="30"/>
      <c r="D30" s="30"/>
      <c r="E30" s="30"/>
      <c r="F30" s="30"/>
      <c r="G30" s="30"/>
      <c r="H30" s="30"/>
      <c r="I30" s="54"/>
    </row>
    <row r="31" spans="1:11" ht="11.75" customHeight="1" x14ac:dyDescent="0.35">
      <c r="A31" s="29" t="s">
        <v>214</v>
      </c>
      <c r="B31" s="30"/>
      <c r="C31" s="30"/>
      <c r="D31" s="30"/>
      <c r="E31" s="30"/>
      <c r="F31" s="30"/>
      <c r="G31" s="30"/>
      <c r="H31" s="30"/>
      <c r="I31" s="54"/>
      <c r="J31" s="11" t="s">
        <v>281</v>
      </c>
    </row>
    <row r="32" spans="1:11" ht="12.5" x14ac:dyDescent="0.35">
      <c r="A32" s="29" t="s">
        <v>282</v>
      </c>
      <c r="B32" s="30"/>
      <c r="C32" s="30"/>
      <c r="D32" s="30"/>
      <c r="E32" s="30"/>
      <c r="F32" s="30"/>
      <c r="G32" s="30"/>
      <c r="H32" s="30"/>
      <c r="I32" s="55">
        <f>(9.75+7)*$P$2*0.9</f>
        <v>919.57500000000005</v>
      </c>
      <c r="J32" s="11">
        <v>7</v>
      </c>
      <c r="K32" s="11" t="s">
        <v>215</v>
      </c>
    </row>
    <row r="33" spans="1:11" ht="11.75" customHeight="1" x14ac:dyDescent="0.35">
      <c r="A33" s="29" t="s">
        <v>216</v>
      </c>
      <c r="B33" s="30"/>
      <c r="C33" s="30"/>
      <c r="D33" s="30"/>
      <c r="E33" s="30"/>
      <c r="F33" s="30"/>
      <c r="G33" s="30"/>
      <c r="H33" s="30"/>
      <c r="I33" s="55">
        <f>I30+I32</f>
        <v>919.57500000000005</v>
      </c>
      <c r="J33" s="11">
        <v>9.75</v>
      </c>
      <c r="K33" s="11" t="s">
        <v>217</v>
      </c>
    </row>
    <row r="34" spans="1:11" ht="11.75" customHeight="1" x14ac:dyDescent="0.25">
      <c r="A34" s="56" t="s">
        <v>218</v>
      </c>
      <c r="B34" s="30"/>
      <c r="C34" s="30"/>
      <c r="D34" s="30"/>
      <c r="E34" s="30"/>
      <c r="F34" s="30"/>
      <c r="G34" s="30"/>
      <c r="H34" s="30"/>
      <c r="I34" s="57">
        <f>I27+I33</f>
        <v>604026.80710500013</v>
      </c>
    </row>
    <row r="35" spans="1:11" ht="11.75" customHeight="1" x14ac:dyDescent="0.35"/>
    <row r="36" spans="1:11" ht="11.75" customHeight="1" x14ac:dyDescent="0.35">
      <c r="A36" s="21" t="s">
        <v>252</v>
      </c>
    </row>
    <row r="37" spans="1:11" ht="11.75" customHeight="1" x14ac:dyDescent="0.25">
      <c r="A37" s="8" t="s">
        <v>277</v>
      </c>
    </row>
    <row r="38" spans="1:11" ht="11.75" customHeight="1" x14ac:dyDescent="0.25">
      <c r="A38" s="8" t="s">
        <v>283</v>
      </c>
    </row>
    <row r="39" spans="1:11" s="50" customFormat="1" ht="11.75" customHeight="1" x14ac:dyDescent="0.25">
      <c r="A39" s="58"/>
      <c r="F39" s="59"/>
      <c r="G39" s="59"/>
    </row>
    <row r="45" spans="1:11" ht="15" customHeight="1" x14ac:dyDescent="0.25">
      <c r="A45" s="172" t="s">
        <v>280</v>
      </c>
      <c r="B45" s="172" t="s">
        <v>43</v>
      </c>
      <c r="C45" s="112" t="s">
        <v>143</v>
      </c>
      <c r="D45" s="112"/>
      <c r="E45" s="113" t="s">
        <v>44</v>
      </c>
      <c r="G45" s="143"/>
    </row>
    <row r="46" spans="1:11" x14ac:dyDescent="0.25">
      <c r="A46" s="172" t="s">
        <v>280</v>
      </c>
      <c r="B46" s="172"/>
      <c r="C46" s="112" t="s">
        <v>178</v>
      </c>
      <c r="D46" s="113" t="s">
        <v>179</v>
      </c>
      <c r="E46" s="113"/>
      <c r="G46" s="143"/>
    </row>
    <row r="47" spans="1:11" x14ac:dyDescent="0.25">
      <c r="A47" s="29" t="s">
        <v>8</v>
      </c>
      <c r="B47" s="114" t="s">
        <v>3</v>
      </c>
      <c r="C47" s="115">
        <v>1.5227272727272727</v>
      </c>
      <c r="D47" s="114" t="s">
        <v>157</v>
      </c>
      <c r="E47" s="114">
        <v>10</v>
      </c>
      <c r="G47" s="168"/>
    </row>
    <row r="48" spans="1:11" x14ac:dyDescent="0.25">
      <c r="A48" s="29" t="s">
        <v>9</v>
      </c>
      <c r="B48" s="114" t="s">
        <v>4</v>
      </c>
      <c r="C48" s="115">
        <v>5.9318181818181817</v>
      </c>
      <c r="D48" s="114" t="s">
        <v>159</v>
      </c>
      <c r="E48" s="114">
        <v>11</v>
      </c>
    </row>
    <row r="49" spans="1:7" x14ac:dyDescent="0.25">
      <c r="A49" s="29" t="s">
        <v>9</v>
      </c>
      <c r="B49" s="114" t="s">
        <v>5</v>
      </c>
      <c r="C49" s="115">
        <v>2.3636363636363638</v>
      </c>
      <c r="D49" s="114" t="s">
        <v>160</v>
      </c>
      <c r="E49" s="114">
        <v>10</v>
      </c>
    </row>
    <row r="50" spans="1:7" x14ac:dyDescent="0.25">
      <c r="A50" s="29" t="s">
        <v>9</v>
      </c>
      <c r="B50" s="114" t="s">
        <v>6</v>
      </c>
      <c r="C50" s="115">
        <v>5.6363636363636367</v>
      </c>
      <c r="D50" s="114" t="s">
        <v>161</v>
      </c>
      <c r="E50" s="114">
        <v>17</v>
      </c>
    </row>
    <row r="51" spans="1:7" x14ac:dyDescent="0.25">
      <c r="A51" s="29" t="s">
        <v>9</v>
      </c>
      <c r="B51" s="114" t="s">
        <v>7</v>
      </c>
      <c r="C51" s="115">
        <v>7.7272727272727275</v>
      </c>
      <c r="D51" s="114" t="s">
        <v>162</v>
      </c>
      <c r="E51" s="114">
        <v>27</v>
      </c>
    </row>
    <row r="52" spans="1:7" x14ac:dyDescent="0.25">
      <c r="A52" s="29" t="s">
        <v>10</v>
      </c>
      <c r="B52" s="114" t="s">
        <v>12</v>
      </c>
      <c r="C52" s="115">
        <v>0.95454545454545459</v>
      </c>
      <c r="D52" s="114" t="s">
        <v>158</v>
      </c>
      <c r="E52" s="114">
        <v>31</v>
      </c>
    </row>
    <row r="53" spans="1:7" x14ac:dyDescent="0.25">
      <c r="A53" s="29" t="s">
        <v>13</v>
      </c>
      <c r="B53" s="114" t="s">
        <v>15</v>
      </c>
      <c r="C53" s="115">
        <v>6.5</v>
      </c>
      <c r="D53" s="114" t="s">
        <v>13</v>
      </c>
      <c r="E53" s="114">
        <v>51</v>
      </c>
    </row>
    <row r="54" spans="1:7" x14ac:dyDescent="0.25">
      <c r="A54" s="29" t="s">
        <v>13</v>
      </c>
      <c r="B54" s="114" t="s">
        <v>16</v>
      </c>
      <c r="C54" s="115">
        <v>6.2954545454545459</v>
      </c>
      <c r="D54" s="114" t="s">
        <v>163</v>
      </c>
      <c r="E54" s="114">
        <v>64</v>
      </c>
    </row>
    <row r="55" spans="1:7" x14ac:dyDescent="0.25">
      <c r="A55" s="29" t="s">
        <v>13</v>
      </c>
      <c r="B55" s="114" t="s">
        <v>18</v>
      </c>
      <c r="C55" s="115">
        <v>6.0681818181818183</v>
      </c>
      <c r="D55" s="114" t="s">
        <v>164</v>
      </c>
      <c r="E55" s="114">
        <v>10</v>
      </c>
    </row>
    <row r="56" spans="1:7" x14ac:dyDescent="0.25">
      <c r="A56" s="29" t="s">
        <v>19</v>
      </c>
      <c r="B56" s="114" t="s">
        <v>20</v>
      </c>
      <c r="C56" s="115">
        <v>5.1136363636363633</v>
      </c>
      <c r="D56" s="114" t="s">
        <v>165</v>
      </c>
      <c r="E56" s="114">
        <v>45</v>
      </c>
    </row>
    <row r="57" spans="1:7" x14ac:dyDescent="0.25">
      <c r="A57" s="29" t="s">
        <v>19</v>
      </c>
      <c r="B57" s="114" t="s">
        <v>21</v>
      </c>
      <c r="C57" s="115">
        <v>1.9545454545454546</v>
      </c>
      <c r="D57" s="114" t="s">
        <v>166</v>
      </c>
      <c r="E57" s="114">
        <v>4</v>
      </c>
    </row>
    <row r="58" spans="1:7" x14ac:dyDescent="0.25">
      <c r="A58" s="29" t="s">
        <v>23</v>
      </c>
      <c r="B58" s="114" t="s">
        <v>24</v>
      </c>
      <c r="C58" s="115">
        <v>3.8181818181818183</v>
      </c>
      <c r="D58" s="114" t="s">
        <v>167</v>
      </c>
      <c r="E58" s="114">
        <v>16</v>
      </c>
    </row>
    <row r="59" spans="1:7" x14ac:dyDescent="0.25">
      <c r="A59" s="29" t="s">
        <v>26</v>
      </c>
      <c r="B59" s="114" t="s">
        <v>27</v>
      </c>
      <c r="C59" s="115">
        <v>1.4772727272727273</v>
      </c>
      <c r="D59" s="114" t="s">
        <v>168</v>
      </c>
      <c r="E59" s="114">
        <v>11</v>
      </c>
      <c r="G59" s="143"/>
    </row>
    <row r="60" spans="1:7" x14ac:dyDescent="0.25">
      <c r="A60" s="29" t="s">
        <v>26</v>
      </c>
      <c r="B60" s="114" t="s">
        <v>29</v>
      </c>
      <c r="C60" s="115">
        <v>1.2727272727272727</v>
      </c>
      <c r="D60" s="114" t="s">
        <v>170</v>
      </c>
      <c r="E60" s="114">
        <v>26</v>
      </c>
    </row>
    <row r="61" spans="1:7" x14ac:dyDescent="0.25">
      <c r="A61" s="29" t="s">
        <v>32</v>
      </c>
      <c r="B61" s="114" t="s">
        <v>33</v>
      </c>
      <c r="C61" s="115">
        <v>44.43181818181818</v>
      </c>
      <c r="D61" s="114" t="s">
        <v>172</v>
      </c>
      <c r="E61" s="114">
        <v>11</v>
      </c>
      <c r="G61" s="143"/>
    </row>
    <row r="62" spans="1:7" x14ac:dyDescent="0.25">
      <c r="A62" s="29" t="s">
        <v>32</v>
      </c>
      <c r="B62" s="114" t="s">
        <v>34</v>
      </c>
      <c r="C62" s="115">
        <v>4.0454545454545459</v>
      </c>
      <c r="D62" s="114" t="s">
        <v>173</v>
      </c>
      <c r="E62" s="114">
        <v>9</v>
      </c>
    </row>
    <row r="63" spans="1:7" x14ac:dyDescent="0.25">
      <c r="A63" s="29" t="s">
        <v>36</v>
      </c>
      <c r="B63" s="114" t="s">
        <v>38</v>
      </c>
      <c r="C63" s="115">
        <v>0.88636363636363635</v>
      </c>
      <c r="D63" s="114" t="s">
        <v>176</v>
      </c>
      <c r="E63" s="114">
        <v>13</v>
      </c>
      <c r="G63" s="143"/>
    </row>
    <row r="64" spans="1:7" x14ac:dyDescent="0.25">
      <c r="A64" s="29" t="s">
        <v>39</v>
      </c>
      <c r="B64" s="116" t="s">
        <v>41</v>
      </c>
      <c r="C64" s="117">
        <v>9.1363636363636367</v>
      </c>
      <c r="D64" s="116" t="s">
        <v>177</v>
      </c>
      <c r="E64" s="116">
        <v>3</v>
      </c>
    </row>
    <row r="65" spans="1:5" x14ac:dyDescent="0.25">
      <c r="A65" s="29" t="s">
        <v>40</v>
      </c>
      <c r="B65" s="116" t="s">
        <v>41</v>
      </c>
      <c r="C65" s="117">
        <v>10.409090909090908</v>
      </c>
      <c r="D65" s="116" t="s">
        <v>40</v>
      </c>
      <c r="E65" s="116" t="s">
        <v>41</v>
      </c>
    </row>
  </sheetData>
  <mergeCells count="2">
    <mergeCell ref="B45:B46"/>
    <mergeCell ref="A45:A46"/>
  </mergeCells>
  <pageMargins left="0.7" right="0.7" top="0.75" bottom="0.75" header="0.3" footer="0.3"/>
  <pageSetup scale="67"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9F062-30EB-4F52-A1FD-AD494815D2CD}">
  <dimension ref="A1:N27"/>
  <sheetViews>
    <sheetView zoomScale="90" zoomScaleNormal="90" workbookViewId="0">
      <selection activeCell="H10" sqref="H10"/>
    </sheetView>
  </sheetViews>
  <sheetFormatPr defaultRowHeight="14.5" x14ac:dyDescent="0.35"/>
  <cols>
    <col min="1" max="1" width="40.54296875" customWidth="1"/>
    <col min="2" max="3" width="13.453125" customWidth="1"/>
    <col min="4" max="4" width="12.6328125" customWidth="1"/>
    <col min="5" max="5" width="8.90625" customWidth="1"/>
    <col min="6" max="6" width="9.6328125" customWidth="1"/>
    <col min="7" max="7" width="10.54296875" customWidth="1"/>
    <col min="8" max="8" width="13" customWidth="1"/>
    <col min="9" max="9" width="14.6328125" customWidth="1"/>
    <col min="10" max="10" width="32.453125" customWidth="1"/>
  </cols>
  <sheetData>
    <row r="1" spans="1:14" ht="49" thickBot="1" x14ac:dyDescent="0.4">
      <c r="A1" s="62" t="s">
        <v>230</v>
      </c>
      <c r="B1" s="63" t="s">
        <v>231</v>
      </c>
      <c r="C1" s="64" t="s">
        <v>185</v>
      </c>
      <c r="D1" s="65" t="s">
        <v>232</v>
      </c>
      <c r="E1" s="62" t="s">
        <v>233</v>
      </c>
      <c r="F1" s="64" t="s">
        <v>234</v>
      </c>
      <c r="G1" s="64" t="s">
        <v>235</v>
      </c>
      <c r="H1" s="63" t="s">
        <v>236</v>
      </c>
      <c r="I1" s="64" t="s">
        <v>237</v>
      </c>
      <c r="J1" s="164" t="s">
        <v>311</v>
      </c>
      <c r="K1" s="164" t="s">
        <v>310</v>
      </c>
    </row>
    <row r="2" spans="1:14" ht="23.25" customHeight="1" thickTop="1" thickBot="1" x14ac:dyDescent="0.4">
      <c r="A2" s="66" t="s">
        <v>238</v>
      </c>
      <c r="B2" s="67" t="s">
        <v>41</v>
      </c>
      <c r="C2" s="67" t="s">
        <v>41</v>
      </c>
      <c r="D2" s="67" t="s">
        <v>41</v>
      </c>
      <c r="E2" s="67" t="s">
        <v>41</v>
      </c>
      <c r="F2" s="67" t="s">
        <v>41</v>
      </c>
      <c r="G2" s="67" t="s">
        <v>41</v>
      </c>
      <c r="H2" s="67" t="s">
        <v>41</v>
      </c>
      <c r="I2" s="69">
        <v>0</v>
      </c>
      <c r="J2" s="163" t="s">
        <v>275</v>
      </c>
      <c r="K2" s="162">
        <v>61</v>
      </c>
    </row>
    <row r="3" spans="1:14" x14ac:dyDescent="0.35">
      <c r="A3" s="14" t="s">
        <v>239</v>
      </c>
      <c r="B3" s="70" t="s">
        <v>41</v>
      </c>
      <c r="C3" s="70" t="s">
        <v>41</v>
      </c>
      <c r="D3" s="70" t="s">
        <v>41</v>
      </c>
      <c r="E3" s="70" t="s">
        <v>41</v>
      </c>
      <c r="F3" s="70" t="s">
        <v>41</v>
      </c>
      <c r="G3" s="70" t="s">
        <v>41</v>
      </c>
      <c r="H3" s="70" t="s">
        <v>41</v>
      </c>
      <c r="I3" s="69">
        <v>0</v>
      </c>
      <c r="J3" s="163" t="s">
        <v>276</v>
      </c>
    </row>
    <row r="4" spans="1:14" ht="23" x14ac:dyDescent="0.35">
      <c r="A4" s="14" t="s">
        <v>267</v>
      </c>
      <c r="B4" s="70">
        <v>1</v>
      </c>
      <c r="C4" s="70">
        <v>1</v>
      </c>
      <c r="D4" s="67">
        <f t="shared" ref="D4:D7" si="0">B4*C4</f>
        <v>1</v>
      </c>
      <c r="E4" s="71">
        <f>0.25*$K$2</f>
        <v>15.25</v>
      </c>
      <c r="F4" s="68">
        <f t="shared" ref="F4:F7" si="1">D4*E4</f>
        <v>15.25</v>
      </c>
      <c r="G4" s="68">
        <f t="shared" ref="G4:G7" si="2">F4*0.05</f>
        <v>0.76250000000000007</v>
      </c>
      <c r="H4" s="68">
        <f t="shared" ref="H4:H7" si="3">F4*0.1</f>
        <v>1.5250000000000001</v>
      </c>
      <c r="I4" s="69">
        <f>(F4*$D$24)+(G4*$D$25)+(H4*$D$26)</f>
        <v>1001.5224000000001</v>
      </c>
      <c r="J4" s="163"/>
    </row>
    <row r="5" spans="1:14" x14ac:dyDescent="0.35">
      <c r="A5" s="14" t="s">
        <v>268</v>
      </c>
      <c r="B5" s="70">
        <v>1</v>
      </c>
      <c r="C5" s="70">
        <v>1</v>
      </c>
      <c r="D5" s="67">
        <f t="shared" si="0"/>
        <v>1</v>
      </c>
      <c r="E5" s="71">
        <f>0.9*$K$2</f>
        <v>54.9</v>
      </c>
      <c r="F5" s="68">
        <f t="shared" si="1"/>
        <v>54.9</v>
      </c>
      <c r="G5" s="68">
        <f t="shared" si="2"/>
        <v>2.7450000000000001</v>
      </c>
      <c r="H5" s="68">
        <f t="shared" si="3"/>
        <v>5.49</v>
      </c>
      <c r="I5" s="69">
        <f>(F5*$D$24)+(G5*$D$25)+(H5*$D$26)</f>
        <v>3605.4806400000002</v>
      </c>
      <c r="J5" s="163" t="s">
        <v>274</v>
      </c>
    </row>
    <row r="6" spans="1:14" x14ac:dyDescent="0.35">
      <c r="A6" s="14" t="s">
        <v>240</v>
      </c>
      <c r="B6" s="70">
        <v>20</v>
      </c>
      <c r="C6" s="70">
        <v>1</v>
      </c>
      <c r="D6" s="67">
        <f>B6*C6</f>
        <v>20</v>
      </c>
      <c r="E6" s="71">
        <f>$K$2</f>
        <v>61</v>
      </c>
      <c r="F6" s="68">
        <f>D6*E6</f>
        <v>1220</v>
      </c>
      <c r="G6" s="68">
        <f>F6*0.05</f>
        <v>61</v>
      </c>
      <c r="H6" s="68">
        <f>F6*0.1</f>
        <v>122</v>
      </c>
      <c r="I6" s="69">
        <f>(F6*$D$24)+(G6*$D$25)+(H6*$D$26)</f>
        <v>80121.792000000001</v>
      </c>
      <c r="J6" s="163" t="s">
        <v>285</v>
      </c>
    </row>
    <row r="7" spans="1:14" ht="23" x14ac:dyDescent="0.35">
      <c r="A7" s="14" t="s">
        <v>273</v>
      </c>
      <c r="B7" s="70">
        <v>4</v>
      </c>
      <c r="C7" s="70">
        <v>4</v>
      </c>
      <c r="D7" s="67">
        <f t="shared" si="0"/>
        <v>16</v>
      </c>
      <c r="E7" s="71">
        <f>0.1*$K$2</f>
        <v>6.1000000000000005</v>
      </c>
      <c r="F7" s="68">
        <f t="shared" si="1"/>
        <v>97.600000000000009</v>
      </c>
      <c r="G7" s="68">
        <f t="shared" si="2"/>
        <v>4.8800000000000008</v>
      </c>
      <c r="H7" s="68">
        <f t="shared" si="3"/>
        <v>9.7600000000000016</v>
      </c>
      <c r="I7" s="69">
        <f>(F7*$D$24)+(G7*$D$25)+(H7*$D$26)</f>
        <v>6409.7433600000013</v>
      </c>
      <c r="J7" s="73"/>
    </row>
    <row r="8" spans="1:14" x14ac:dyDescent="0.35">
      <c r="A8" s="74"/>
      <c r="B8" s="75"/>
      <c r="C8" s="75"/>
      <c r="D8" s="75"/>
      <c r="E8" s="76"/>
      <c r="F8" s="76"/>
      <c r="G8" s="76"/>
      <c r="H8" s="76"/>
      <c r="I8" s="77"/>
    </row>
    <row r="9" spans="1:14" x14ac:dyDescent="0.35">
      <c r="A9" s="78" t="s">
        <v>241</v>
      </c>
      <c r="B9" s="79"/>
      <c r="C9" s="80"/>
      <c r="D9" s="80"/>
      <c r="E9" s="81"/>
      <c r="F9" s="82">
        <f>SUM(F2:F7)</f>
        <v>1387.75</v>
      </c>
      <c r="G9" s="83">
        <f>SUM(G2:G7)</f>
        <v>69.387499999999989</v>
      </c>
      <c r="H9" s="84">
        <f>SUM(H2:H7)</f>
        <v>138.77499999999998</v>
      </c>
      <c r="I9" s="85">
        <f>SUM(I2:I7)</f>
        <v>91138.538400000005</v>
      </c>
    </row>
    <row r="10" spans="1:14" x14ac:dyDescent="0.35">
      <c r="A10" s="66"/>
      <c r="B10" s="86"/>
      <c r="C10" s="87"/>
      <c r="D10" s="87"/>
      <c r="E10" s="88"/>
      <c r="F10" s="89"/>
      <c r="G10" s="90" t="s">
        <v>210</v>
      </c>
      <c r="H10" s="91">
        <f>F9+G9+H9</f>
        <v>1595.9124999999999</v>
      </c>
      <c r="I10" s="92"/>
      <c r="K10" s="93"/>
    </row>
    <row r="11" spans="1:14" x14ac:dyDescent="0.35">
      <c r="A11" s="14" t="s">
        <v>269</v>
      </c>
      <c r="B11" s="72"/>
      <c r="C11" s="72"/>
      <c r="D11" s="72"/>
      <c r="E11" s="72"/>
      <c r="F11" s="72"/>
      <c r="G11" s="72"/>
      <c r="H11" s="72"/>
      <c r="I11" s="94"/>
    </row>
    <row r="12" spans="1:14" x14ac:dyDescent="0.35">
      <c r="A12" s="14" t="s">
        <v>242</v>
      </c>
      <c r="B12" s="95"/>
      <c r="C12" s="95"/>
      <c r="D12" s="95"/>
      <c r="E12" s="95"/>
      <c r="F12" s="95"/>
      <c r="G12" s="95"/>
      <c r="H12" s="95"/>
      <c r="I12" s="96">
        <f>6*10*24</f>
        <v>1440</v>
      </c>
      <c r="J12" t="s">
        <v>243</v>
      </c>
      <c r="N12" t="s">
        <v>244</v>
      </c>
    </row>
    <row r="13" spans="1:14" ht="15" thickBot="1" x14ac:dyDescent="0.4">
      <c r="A13" s="97" t="s">
        <v>245</v>
      </c>
      <c r="B13" s="98"/>
      <c r="C13" s="98"/>
      <c r="D13" s="98"/>
      <c r="E13" s="98"/>
      <c r="F13" s="98"/>
      <c r="G13" s="98"/>
      <c r="H13" s="98"/>
      <c r="I13" s="99">
        <f>SUM(I12:I12)</f>
        <v>1440</v>
      </c>
    </row>
    <row r="14" spans="1:14" ht="15" thickTop="1" x14ac:dyDescent="0.35">
      <c r="A14" s="66" t="s">
        <v>209</v>
      </c>
      <c r="B14" s="100"/>
      <c r="C14" s="100"/>
      <c r="D14" s="100"/>
      <c r="E14" s="100"/>
      <c r="F14" s="100"/>
      <c r="G14" s="100"/>
      <c r="H14" s="100"/>
      <c r="I14" s="101">
        <f>I9+I13</f>
        <v>92578.538400000005</v>
      </c>
    </row>
    <row r="15" spans="1:14" x14ac:dyDescent="0.35">
      <c r="A15" s="102" t="s">
        <v>246</v>
      </c>
    </row>
    <row r="16" spans="1:14" x14ac:dyDescent="0.35">
      <c r="A16" s="102" t="s">
        <v>287</v>
      </c>
    </row>
    <row r="17" spans="1:13" x14ac:dyDescent="0.35">
      <c r="A17" s="102" t="s">
        <v>270</v>
      </c>
    </row>
    <row r="18" spans="1:13" x14ac:dyDescent="0.35">
      <c r="A18" s="102" t="s">
        <v>271</v>
      </c>
    </row>
    <row r="19" spans="1:13" x14ac:dyDescent="0.35">
      <c r="A19" s="102" t="s">
        <v>272</v>
      </c>
    </row>
    <row r="20" spans="1:13" x14ac:dyDescent="0.35">
      <c r="A20" s="102" t="s">
        <v>284</v>
      </c>
    </row>
    <row r="21" spans="1:13" s="104" customFormat="1" x14ac:dyDescent="0.35">
      <c r="A21" s="103"/>
    </row>
    <row r="22" spans="1:13" x14ac:dyDescent="0.35">
      <c r="A22" s="11"/>
    </row>
    <row r="23" spans="1:13" x14ac:dyDescent="0.35">
      <c r="A23" s="105"/>
      <c r="B23" s="105" t="s">
        <v>278</v>
      </c>
      <c r="C23" s="105" t="s">
        <v>193</v>
      </c>
      <c r="D23" s="105" t="s">
        <v>278</v>
      </c>
    </row>
    <row r="24" spans="1:13" x14ac:dyDescent="0.35">
      <c r="A24" s="105" t="s">
        <v>247</v>
      </c>
      <c r="B24" s="105">
        <v>36.75</v>
      </c>
      <c r="C24" s="105">
        <v>1.6</v>
      </c>
      <c r="D24" s="106">
        <f>B24*C24</f>
        <v>58.800000000000004</v>
      </c>
    </row>
    <row r="25" spans="1:13" x14ac:dyDescent="0.35">
      <c r="A25" s="105" t="s">
        <v>248</v>
      </c>
      <c r="B25" s="105">
        <v>51.08</v>
      </c>
      <c r="C25" s="105">
        <f>C24</f>
        <v>1.6</v>
      </c>
      <c r="D25" s="106">
        <f t="shared" ref="D25:D26" si="4">B25*C25</f>
        <v>81.728000000000009</v>
      </c>
    </row>
    <row r="26" spans="1:13" x14ac:dyDescent="0.35">
      <c r="A26" s="105" t="s">
        <v>249</v>
      </c>
      <c r="B26" s="105">
        <v>17.420000000000002</v>
      </c>
      <c r="C26" s="105">
        <f>C24</f>
        <v>1.6</v>
      </c>
      <c r="D26" s="106">
        <f t="shared" si="4"/>
        <v>27.872000000000003</v>
      </c>
    </row>
    <row r="27" spans="1:13" x14ac:dyDescent="0.35">
      <c r="M27" s="1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D0B77-8780-4210-B1F8-0E79D0F3E14C}">
  <dimension ref="A2:C10"/>
  <sheetViews>
    <sheetView workbookViewId="0"/>
  </sheetViews>
  <sheetFormatPr defaultRowHeight="14.5" x14ac:dyDescent="0.35"/>
  <cols>
    <col min="2" max="2" width="43.90625" customWidth="1"/>
  </cols>
  <sheetData>
    <row r="2" spans="1:3" x14ac:dyDescent="0.35">
      <c r="A2" s="107" t="s">
        <v>253</v>
      </c>
    </row>
    <row r="4" spans="1:3" x14ac:dyDescent="0.35">
      <c r="A4" s="108" t="s">
        <v>256</v>
      </c>
      <c r="B4" s="108" t="s">
        <v>257</v>
      </c>
      <c r="C4" s="108" t="s">
        <v>258</v>
      </c>
    </row>
    <row r="5" spans="1:3" x14ac:dyDescent="0.35">
      <c r="A5" s="108" t="s">
        <v>259</v>
      </c>
      <c r="B5" s="108" t="s">
        <v>260</v>
      </c>
      <c r="C5" s="109">
        <v>44.6</v>
      </c>
    </row>
    <row r="6" spans="1:3" x14ac:dyDescent="0.35">
      <c r="A6" s="108" t="s">
        <v>261</v>
      </c>
      <c r="B6" s="110" t="s">
        <v>262</v>
      </c>
      <c r="C6" s="109">
        <v>71.37</v>
      </c>
    </row>
    <row r="7" spans="1:3" x14ac:dyDescent="0.35">
      <c r="A7" s="108" t="s">
        <v>263</v>
      </c>
      <c r="B7" s="110" t="s">
        <v>264</v>
      </c>
      <c r="C7" s="109">
        <v>20.78</v>
      </c>
    </row>
    <row r="9" spans="1:3" x14ac:dyDescent="0.35">
      <c r="A9" t="s">
        <v>266</v>
      </c>
    </row>
    <row r="10" spans="1:3" x14ac:dyDescent="0.35">
      <c r="A10" s="107" t="s">
        <v>265</v>
      </c>
    </row>
  </sheetData>
  <hyperlinks>
    <hyperlink ref="A2" r:id="rId1" location="11-0000" xr:uid="{0E5E248E-2038-48BB-B0A4-214BFF970382}"/>
    <hyperlink ref="A10" r:id="rId2" xr:uid="{A4449B0E-FB7F-4052-A533-792B090725BD}"/>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A13AD-DC1A-4FF4-9041-A644F8FE514A}">
  <dimension ref="A1:L54"/>
  <sheetViews>
    <sheetView zoomScale="85" zoomScaleNormal="85" workbookViewId="0">
      <pane ySplit="2" topLeftCell="A27" activePane="bottomLeft" state="frozen"/>
      <selection pane="bottomLeft" activeCell="C42" sqref="C42"/>
    </sheetView>
  </sheetViews>
  <sheetFormatPr defaultRowHeight="14.5" x14ac:dyDescent="0.35"/>
  <cols>
    <col min="1" max="1" width="37.36328125" style="1" customWidth="1"/>
    <col min="2" max="2" width="11.54296875" customWidth="1"/>
    <col min="3" max="3" width="11.453125" style="2" customWidth="1"/>
    <col min="4" max="4" width="20" customWidth="1"/>
    <col min="5" max="5" width="15.90625" customWidth="1"/>
    <col min="6" max="6" width="33.453125" style="1" customWidth="1"/>
    <col min="7" max="7" width="14.36328125" style="133" customWidth="1"/>
    <col min="8" max="8" width="17.08984375" customWidth="1"/>
    <col min="11" max="11" width="10.36328125" customWidth="1"/>
  </cols>
  <sheetData>
    <row r="1" spans="1:12" ht="14.4" customHeight="1" x14ac:dyDescent="0.35">
      <c r="A1" s="174" t="s">
        <v>43</v>
      </c>
      <c r="B1" s="174" t="s">
        <v>142</v>
      </c>
      <c r="C1" s="175" t="s">
        <v>143</v>
      </c>
      <c r="D1" s="175"/>
      <c r="E1" s="174" t="s">
        <v>146</v>
      </c>
      <c r="F1" s="174" t="s">
        <v>180</v>
      </c>
      <c r="G1" s="174" t="s">
        <v>250</v>
      </c>
      <c r="H1" s="173" t="s">
        <v>251</v>
      </c>
      <c r="K1" s="134" t="s">
        <v>304</v>
      </c>
      <c r="L1" s="135"/>
    </row>
    <row r="2" spans="1:12" ht="30.75" customHeight="1" x14ac:dyDescent="0.35">
      <c r="A2" s="174"/>
      <c r="B2" s="174"/>
      <c r="C2" s="60" t="s">
        <v>178</v>
      </c>
      <c r="D2" s="61" t="s">
        <v>179</v>
      </c>
      <c r="E2" s="174"/>
      <c r="F2" s="174"/>
      <c r="G2" s="174"/>
      <c r="H2" s="173"/>
      <c r="K2" s="136" t="s">
        <v>303</v>
      </c>
      <c r="L2" s="137"/>
    </row>
    <row r="3" spans="1:12" x14ac:dyDescent="0.35">
      <c r="A3" s="118" t="str">
        <f>'initial ICR data summary'!B2</f>
        <v>Table 1. Facility Information</v>
      </c>
      <c r="B3" s="119">
        <f>'initial ICR data summary'!C2</f>
        <v>12</v>
      </c>
      <c r="C3" s="120" t="s">
        <v>41</v>
      </c>
      <c r="D3" s="119"/>
      <c r="E3" s="119">
        <v>12</v>
      </c>
      <c r="F3" s="118" t="s">
        <v>156</v>
      </c>
      <c r="G3" s="144"/>
      <c r="H3" s="121">
        <f t="shared" ref="H3:H9" si="0">IF(AND(E3&gt;0,E3&lt;=50),$K$3,IF(AND(E3&gt;51,E3&lt;=100),$K$4,IF(AND(E3&gt;101,E3&lt;=150),$K$5,IF(AND(E3&gt;151,E3&lt;=200),$K$6,IF(AND(E3&gt;201,E3&lt;=250),$K$7,IF(AND(E3&gt;251,E3&lt;=300),$K$8,IF(AND(E3&gt;301,E3&lt;=350),$K$9,IF(AND(E3&gt;351,E3&lt;=400),$K$10,IF(AND(E3&gt;401,E3&lt;=450),$K$11,IF(AND(E3&gt;451,E3&lt;=500),$K$12,IF(AND(E3&gt;501,E3&lt;=550),$K$13,IF(AND(E3&gt;551,E3&lt;=600),$K$14,IF(AND(E3&gt;601,E3&lt;=650),$K$15,IF(AND(E3&gt;651,E3&lt;=700),$K$16,IF(AND(E3&gt;701,E3&lt;=750),$K$17,IF(AND(E3&gt;751,E3&lt;=800),$K$18,IF(AND(E3&gt;801,E3&lt;=8500),$K$19,"")))))))))))))))))</f>
        <v>1.5</v>
      </c>
      <c r="I3" s="119"/>
      <c r="J3" s="119"/>
      <c r="K3" s="138">
        <v>1.5</v>
      </c>
      <c r="L3" s="139" t="s">
        <v>148</v>
      </c>
    </row>
    <row r="4" spans="1:12" x14ac:dyDescent="0.35">
      <c r="A4" s="118" t="str">
        <f>'initial ICR data summary'!B3</f>
        <v>Table 2. Parent Company Information</v>
      </c>
      <c r="B4" s="119">
        <f>'initial ICR data summary'!C3</f>
        <v>8</v>
      </c>
      <c r="C4" s="120" t="s">
        <v>41</v>
      </c>
      <c r="D4" s="119"/>
      <c r="E4" s="119">
        <v>8</v>
      </c>
      <c r="F4" s="118" t="s">
        <v>156</v>
      </c>
      <c r="G4" s="144"/>
      <c r="H4" s="121">
        <f t="shared" si="0"/>
        <v>1.5</v>
      </c>
      <c r="I4" s="119"/>
      <c r="J4" s="119"/>
      <c r="K4" s="138">
        <v>3</v>
      </c>
      <c r="L4" s="139" t="s">
        <v>149</v>
      </c>
    </row>
    <row r="5" spans="1:12" x14ac:dyDescent="0.35">
      <c r="A5" s="118" t="str">
        <f>'initial ICR data summary'!B4</f>
        <v>Table 3. Facility Documents</v>
      </c>
      <c r="B5" s="119" t="s">
        <v>41</v>
      </c>
      <c r="C5" s="120"/>
      <c r="D5" s="119"/>
      <c r="E5" s="126" t="s">
        <v>182</v>
      </c>
      <c r="F5" s="118" t="s">
        <v>144</v>
      </c>
      <c r="G5" s="144"/>
      <c r="H5" s="121" t="str">
        <f t="shared" si="0"/>
        <v/>
      </c>
      <c r="I5" s="119"/>
      <c r="J5" s="119"/>
      <c r="K5" s="138">
        <v>4.5</v>
      </c>
      <c r="L5" s="139" t="s">
        <v>150</v>
      </c>
    </row>
    <row r="6" spans="1:12" ht="29" x14ac:dyDescent="0.35">
      <c r="A6" s="118" t="str">
        <f>'initial ICR data summary'!B5</f>
        <v>Table 4. Facility Buildings</v>
      </c>
      <c r="B6" s="119">
        <f>'initial ICR data summary'!C5</f>
        <v>10</v>
      </c>
      <c r="C6" s="120">
        <f>'initial ICR data summary'!AZ5</f>
        <v>1.5227272727272727</v>
      </c>
      <c r="D6" s="119" t="s">
        <v>157</v>
      </c>
      <c r="E6" s="119">
        <f>ROUND(C6,0)*B6</f>
        <v>20</v>
      </c>
      <c r="F6" s="118" t="s">
        <v>145</v>
      </c>
      <c r="G6" s="144"/>
      <c r="H6" s="121">
        <f t="shared" si="0"/>
        <v>1.5</v>
      </c>
      <c r="I6" s="119"/>
      <c r="J6" s="119" t="s">
        <v>279</v>
      </c>
      <c r="K6" s="138">
        <v>6</v>
      </c>
      <c r="L6" s="140" t="s">
        <v>151</v>
      </c>
    </row>
    <row r="7" spans="1:12" ht="29" x14ac:dyDescent="0.35">
      <c r="A7" s="118" t="str">
        <f>'initial ICR data summary'!B6</f>
        <v>Table 5. Facility-level Data</v>
      </c>
      <c r="B7" s="119">
        <f>'initial ICR data summary'!C6</f>
        <v>9</v>
      </c>
      <c r="C7" s="120" t="s">
        <v>41</v>
      </c>
      <c r="D7" s="119"/>
      <c r="E7" s="119">
        <v>42</v>
      </c>
      <c r="F7" s="118" t="s">
        <v>147</v>
      </c>
      <c r="G7" s="144"/>
      <c r="H7" s="121">
        <f t="shared" si="0"/>
        <v>1.5</v>
      </c>
      <c r="I7" s="119"/>
      <c r="J7" s="119"/>
      <c r="K7" s="138">
        <v>7.5</v>
      </c>
      <c r="L7" s="140" t="s">
        <v>152</v>
      </c>
    </row>
    <row r="8" spans="1:12" s="73" customFormat="1" x14ac:dyDescent="0.35">
      <c r="A8" s="157" t="str">
        <f>'initial ICR data summary'!B7</f>
        <v>Table 6. Materials Sterilized with EtO</v>
      </c>
      <c r="B8" s="152">
        <f>'initial ICR data summary'!C7</f>
        <v>5</v>
      </c>
      <c r="C8" s="159">
        <v>4</v>
      </c>
      <c r="D8" s="152" t="s">
        <v>306</v>
      </c>
      <c r="E8" s="152">
        <v>20</v>
      </c>
      <c r="F8" s="157" t="s">
        <v>305</v>
      </c>
      <c r="G8" s="154"/>
      <c r="H8" s="154">
        <f t="shared" si="0"/>
        <v>1.5</v>
      </c>
      <c r="I8" s="152" t="s">
        <v>219</v>
      </c>
      <c r="J8" s="152"/>
      <c r="K8" s="160">
        <v>9</v>
      </c>
      <c r="L8" s="161" t="s">
        <v>153</v>
      </c>
    </row>
    <row r="9" spans="1:12" s="73" customFormat="1" ht="29" x14ac:dyDescent="0.35">
      <c r="A9" s="157" t="str">
        <f>'initial ICR data summary'!B8</f>
        <v>Table 7. Materials Sterilized with Non-EtO Techniques and Approaches</v>
      </c>
      <c r="B9" s="152">
        <f>'initial ICR data summary'!C8</f>
        <v>4</v>
      </c>
      <c r="C9" s="159">
        <v>2</v>
      </c>
      <c r="D9" s="152" t="s">
        <v>306</v>
      </c>
      <c r="E9" s="152">
        <v>8</v>
      </c>
      <c r="F9" s="157" t="s">
        <v>305</v>
      </c>
      <c r="G9" s="154"/>
      <c r="H9" s="154">
        <f t="shared" si="0"/>
        <v>1.5</v>
      </c>
      <c r="I9" s="152"/>
      <c r="J9" s="152" t="s">
        <v>279</v>
      </c>
      <c r="K9" s="160">
        <v>10.5</v>
      </c>
      <c r="L9" s="161" t="s">
        <v>154</v>
      </c>
    </row>
    <row r="10" spans="1:12" x14ac:dyDescent="0.35">
      <c r="A10" s="122" t="s">
        <v>8</v>
      </c>
      <c r="B10" s="123"/>
      <c r="C10" s="124"/>
      <c r="D10" s="123"/>
      <c r="E10" s="123">
        <f>SUM(E3:E9)</f>
        <v>110</v>
      </c>
      <c r="F10" s="125"/>
      <c r="G10" s="167">
        <f>IF(AND(E10&gt;0,E10&lt;=50),$K$3,IF(AND(E10&gt;51,E10&lt;=100),$K$4,IF(AND(E10&gt;101,E10&lt;=150),$K$5,IF(AND(E10&gt;151,E10&lt;=200),$K$6,IF(AND(E10&gt;201,E10&lt;=250),$K$7,IF(AND(E10&gt;251,E10&lt;=300),$K$8,IF(AND(E10&gt;301,E10&lt;=350),$K$9,IF(AND(E10&gt;351,E10&lt;=400),$K$10,IF(AND(E10&gt;401,E10&lt;=450),$K$11,IF(AND(E10&gt;451,E10&lt;=500),$K$12,IF(AND(E10&gt;501,E10&lt;=550),$K$13,IF(AND(E10&gt;551,E10&lt;=600),$K$14,IF(AND(E10&gt;601,E10&lt;=650),$K$15,IF(AND(E10&gt;651,E10&lt;=700),$K$16,IF(AND(E10&gt;701,E10&lt;=750),$K$17,IF(AND(E10&gt;751,E10&lt;=800),$K$18,IF(AND(E10&gt;801,E10&lt;=8500),$K$19,"")))))))))))))))))</f>
        <v>4.5</v>
      </c>
      <c r="H10" s="123">
        <f>SUM(H3:H9)</f>
        <v>9</v>
      </c>
      <c r="I10" s="119"/>
      <c r="J10" s="119" t="s">
        <v>279</v>
      </c>
      <c r="K10" s="138">
        <v>12</v>
      </c>
      <c r="L10" s="140" t="s">
        <v>155</v>
      </c>
    </row>
    <row r="11" spans="1:12" ht="29" x14ac:dyDescent="0.35">
      <c r="A11" s="118" t="str">
        <f>'initial ICR data summary'!B9</f>
        <v>Table 1. Characteristics of Room Areas</v>
      </c>
      <c r="B11" s="119">
        <f>'initial ICR data summary'!C9</f>
        <v>11</v>
      </c>
      <c r="C11" s="120">
        <f>'initial ICR data summary'!AZ9</f>
        <v>5.9318181818181817</v>
      </c>
      <c r="D11" s="119" t="s">
        <v>159</v>
      </c>
      <c r="E11" s="119">
        <f>ROUND(C11,0)*B11</f>
        <v>66</v>
      </c>
      <c r="F11" s="118" t="s">
        <v>145</v>
      </c>
      <c r="G11" s="144"/>
      <c r="H11" s="121">
        <f>IF(AND(E11&gt;0,E11&lt;=50),$K$3,IF(AND(E11&gt;51,E11&lt;=100),$K$4,IF(AND(E11&gt;101,E11&lt;=150),$K$5,IF(AND(E11&gt;151,E11&lt;=200),$K$6,IF(AND(E11&gt;201,E11&lt;=250),$K$7,IF(AND(E11&gt;251,E11&lt;=300),$K$8,IF(AND(E11&gt;301,E11&lt;=350),$K$9,IF(AND(E11&gt;351,E11&lt;=400),$K$10,IF(AND(E11&gt;401,E11&lt;=450),$K$11,IF(AND(E11&gt;451,E11&lt;=500),$K$12,IF(AND(E11&gt;501,E11&lt;=550),$K$13,IF(AND(E11&gt;551,E11&lt;=600),$K$14,IF(AND(E11&gt;601,E11&lt;=650),$K$15,IF(AND(E11&gt;651,E11&lt;=700),$K$16,IF(AND(E11&gt;701,E11&lt;=750),$K$17,IF(AND(E11&gt;751,E11&lt;=800),$K$18,IF(AND(E11&gt;801,E11&lt;=8500),$K$19,"")))))))))))))))))</f>
        <v>3</v>
      </c>
      <c r="I11" s="119"/>
      <c r="J11" s="119" t="s">
        <v>279</v>
      </c>
      <c r="K11" s="138">
        <v>13.5</v>
      </c>
      <c r="L11" s="140" t="s">
        <v>220</v>
      </c>
    </row>
    <row r="12" spans="1:12" ht="29" x14ac:dyDescent="0.35">
      <c r="A12" s="118" t="str">
        <f>'initial ICR data summary'!B10</f>
        <v>Table 2. Natural Draft Openings (NDO)</v>
      </c>
      <c r="B12" s="119">
        <f>'initial ICR data summary'!C10</f>
        <v>10</v>
      </c>
      <c r="C12" s="120">
        <f>'initial ICR data summary'!AZ10</f>
        <v>2.3636363636363638</v>
      </c>
      <c r="D12" s="119" t="s">
        <v>160</v>
      </c>
      <c r="E12" s="119">
        <f>ROUND(C12,0)*B12</f>
        <v>20</v>
      </c>
      <c r="F12" s="118" t="s">
        <v>145</v>
      </c>
      <c r="G12" s="144"/>
      <c r="H12" s="121">
        <f>IF(AND(E12&gt;0,E12&lt;=50),$K$3,IF(AND(E12&gt;51,E12&lt;=100),$K$4,IF(AND(E12&gt;101,E12&lt;=150),$K$5,IF(AND(E12&gt;151,E12&lt;=200),$K$6,IF(AND(E12&gt;201,E12&lt;=250),$K$7,IF(AND(E12&gt;251,E12&lt;=300),$K$8,IF(AND(E12&gt;301,E12&lt;=350),$K$9,IF(AND(E12&gt;351,E12&lt;=400),$K$10,IF(AND(E12&gt;401,E12&lt;=450),$K$11,IF(AND(E12&gt;451,E12&lt;=500),$K$12,IF(AND(E12&gt;501,E12&lt;=550),$K$13,IF(AND(E12&gt;551,E12&lt;=600),$K$14,IF(AND(E12&gt;601,E12&lt;=650),$K$15,IF(AND(E12&gt;651,E12&lt;=700),$K$16,IF(AND(E12&gt;701,E12&lt;=750),$K$17,IF(AND(E12&gt;751,E12&lt;=800),$K$18,IF(AND(E12&gt;801,E12&lt;=8500),$K$19,"")))))))))))))))))</f>
        <v>1.5</v>
      </c>
      <c r="I12" s="119"/>
      <c r="J12" s="119" t="s">
        <v>279</v>
      </c>
      <c r="K12" s="138">
        <v>15</v>
      </c>
      <c r="L12" s="140" t="s">
        <v>221</v>
      </c>
    </row>
    <row r="13" spans="1:12" ht="29" x14ac:dyDescent="0.35">
      <c r="A13" s="118" t="str">
        <f>'initial ICR data summary'!B11</f>
        <v>Table 3. Leak Checks of Components in EtO Service</v>
      </c>
      <c r="B13" s="119">
        <f>'initial ICR data summary'!C11</f>
        <v>17</v>
      </c>
      <c r="C13" s="120">
        <f>'initial ICR data summary'!AZ11</f>
        <v>5.6363636363636367</v>
      </c>
      <c r="D13" s="119" t="s">
        <v>161</v>
      </c>
      <c r="E13" s="119">
        <f>ROUND(C13,0)*B13</f>
        <v>102</v>
      </c>
      <c r="F13" s="118" t="s">
        <v>145</v>
      </c>
      <c r="G13" s="144"/>
      <c r="H13" s="121">
        <f>IF(AND(E13&gt;0,E13&lt;=50),$K$3,IF(AND(E13&gt;51,E13&lt;=100),$K$4,IF(AND(E13&gt;101,E13&lt;=150),$K$5,IF(AND(E13&gt;151,E13&lt;=200),$K$6,IF(AND(E13&gt;201,E13&lt;=250),$K$7,IF(AND(E13&gt;251,E13&lt;=300),$K$8,IF(AND(E13&gt;301,E13&lt;=350),$K$9,IF(AND(E13&gt;351,E13&lt;=400),$K$10,IF(AND(E13&gt;401,E13&lt;=450),$K$11,IF(AND(E13&gt;451,E13&lt;=500),$K$12,IF(AND(E13&gt;501,E13&lt;=550),$K$13,IF(AND(E13&gt;551,E13&lt;=600),$K$14,IF(AND(E13&gt;601,E13&lt;=650),$K$15,IF(AND(E13&gt;651,E13&lt;=700),$K$16,IF(AND(E13&gt;701,E13&lt;=750),$K$17,IF(AND(E13&gt;751,E13&lt;=800),$K$18,IF(AND(E13&gt;801,E13&lt;=8500),$K$19,"")))))))))))))))))</f>
        <v>4.5</v>
      </c>
      <c r="I13" s="119" t="s">
        <v>219</v>
      </c>
      <c r="J13" s="119"/>
      <c r="K13" s="138">
        <v>16.5</v>
      </c>
      <c r="L13" s="140" t="s">
        <v>222</v>
      </c>
    </row>
    <row r="14" spans="1:12" ht="29" x14ac:dyDescent="0.35">
      <c r="A14" s="118" t="str">
        <f>'initial ICR data summary'!B12</f>
        <v>Table 4. Room Area Controls</v>
      </c>
      <c r="B14" s="119">
        <f>'initial ICR data summary'!C12</f>
        <v>27</v>
      </c>
      <c r="C14" s="120">
        <f>'initial ICR data summary'!AZ12</f>
        <v>7.7272727272727275</v>
      </c>
      <c r="D14" s="119" t="s">
        <v>162</v>
      </c>
      <c r="E14" s="119">
        <f>ROUND(C14,0)*B14</f>
        <v>216</v>
      </c>
      <c r="F14" s="118" t="s">
        <v>145</v>
      </c>
      <c r="G14" s="144"/>
      <c r="H14" s="121">
        <f>IF(AND(E14&gt;0,E14&lt;=50),$K$3,IF(AND(E14&gt;51,E14&lt;=100),$K$4,IF(AND(E14&gt;101,E14&lt;=150),$K$5,IF(AND(E14&gt;151,E14&lt;=200),$K$6,IF(AND(E14&gt;201,E14&lt;=250),$K$7,IF(AND(E14&gt;251,E14&lt;=300),$K$8,IF(AND(E14&gt;301,E14&lt;=350),$K$9,IF(AND(E14&gt;351,E14&lt;=400),$K$10,IF(AND(E14&gt;401,E14&lt;=450),$K$11,IF(AND(E14&gt;451,E14&lt;=500),$K$12,IF(AND(E14&gt;501,E14&lt;=550),$K$13,IF(AND(E14&gt;551,E14&lt;=600),$K$14,IF(AND(E14&gt;601,E14&lt;=650),$K$15,IF(AND(E14&gt;651,E14&lt;=700),$K$16,IF(AND(E14&gt;701,E14&lt;=750),$K$17,IF(AND(E14&gt;751,E14&lt;=800),$K$18,IF(AND(E14&gt;801,E14&lt;=8500),$K$19,"")))))))))))))))))</f>
        <v>7.5</v>
      </c>
      <c r="I14" s="119"/>
      <c r="J14" s="119"/>
      <c r="K14" s="138">
        <v>18</v>
      </c>
      <c r="L14" s="140" t="s">
        <v>225</v>
      </c>
    </row>
    <row r="15" spans="1:12" x14ac:dyDescent="0.35">
      <c r="A15" s="122" t="s">
        <v>9</v>
      </c>
      <c r="B15" s="123"/>
      <c r="C15" s="124"/>
      <c r="D15" s="123"/>
      <c r="E15" s="123">
        <f>SUM(E11:E14)</f>
        <v>404</v>
      </c>
      <c r="F15" s="125"/>
      <c r="G15" s="167">
        <f>IF(AND(E15&gt;0,E15&lt;=50),$K$3,IF(AND(E15&gt;51,E15&lt;=100),$K$4,IF(AND(E15&gt;101,E15&lt;=150),$K$5,IF(AND(E15&gt;151,E15&lt;=200),$K$6,IF(AND(E15&gt;201,E15&lt;=250),$K$7,IF(AND(E15&gt;251,E15&lt;=300),$K$8,IF(AND(E15&gt;301,E15&lt;=350),$K$9,IF(AND(E15&gt;351,E15&lt;=400),$K$10,IF(AND(E15&gt;401,E15&lt;=450),$K$11,IF(AND(E15&gt;451,E15&lt;=500),$K$12,IF(AND(E15&gt;501,E15&lt;=550),$K$13,IF(AND(E15&gt;551,E15&lt;=600),$K$14,IF(AND(E15&gt;601,E15&lt;=650),$K$15,IF(AND(E15&gt;651,E15&lt;=700),$K$16,IF(AND(E15&gt;701,E15&lt;=750),$K$17,IF(AND(E15&gt;751,E15&lt;=800),$K$18,IF(AND(E15&gt;801,E15&lt;=8500),$K$19,"")))))))))))))))))</f>
        <v>13.5</v>
      </c>
      <c r="H15" s="123">
        <f>SUM(H11:H14)</f>
        <v>16.5</v>
      </c>
      <c r="I15" s="119"/>
      <c r="J15" s="119" t="s">
        <v>279</v>
      </c>
      <c r="K15" s="138">
        <v>19.5</v>
      </c>
      <c r="L15" s="140" t="s">
        <v>223</v>
      </c>
    </row>
    <row r="16" spans="1:12" x14ac:dyDescent="0.35">
      <c r="A16" s="118" t="str">
        <f>'initial ICR data summary'!B13</f>
        <v>C. EtO Drum and Container Storage</v>
      </c>
      <c r="B16" s="119">
        <f>'initial ICR data summary'!C13</f>
        <v>13</v>
      </c>
      <c r="C16" s="120"/>
      <c r="D16" s="119"/>
      <c r="E16" s="119">
        <v>12</v>
      </c>
      <c r="F16" s="118" t="s">
        <v>156</v>
      </c>
      <c r="G16" s="144"/>
      <c r="H16" s="121">
        <f>IF(AND(E16&gt;0,E16&lt;=50),$K$3,IF(AND(E16&gt;51,E16&lt;=100),$K$4,IF(AND(E16&gt;101,E16&lt;=150),$K$5,IF(AND(E16&gt;151,E16&lt;=200),$K$6,IF(AND(E16&gt;201,E16&lt;=250),$K$7,IF(AND(E16&gt;251,E16&lt;=300),$K$8,IF(AND(E16&gt;301,E16&lt;=350),$K$9,IF(AND(E16&gt;351,E16&lt;=400),$K$10,IF(AND(E16&gt;401,E16&lt;=450),$K$11,IF(AND(E16&gt;451,E16&lt;=500),$K$12,IF(AND(E16&gt;501,E16&lt;=550),$K$13,IF(AND(E16&gt;551,E16&lt;=600),$K$14,IF(AND(E16&gt;601,E16&lt;=650),$K$15,IF(AND(E16&gt;651,E16&lt;=700),$K$16,IF(AND(E16&gt;701,E16&lt;=750),$K$17,IF(AND(E16&gt;751,E16&lt;=800),$K$18,IF(AND(E16&gt;801,E16&lt;=8500),$K$19,"")))))))))))))))))</f>
        <v>1.5</v>
      </c>
      <c r="I16" s="119" t="s">
        <v>219</v>
      </c>
      <c r="J16" s="119"/>
      <c r="K16" s="138">
        <v>21</v>
      </c>
      <c r="L16" s="140" t="s">
        <v>226</v>
      </c>
    </row>
    <row r="17" spans="1:12" ht="29" x14ac:dyDescent="0.35">
      <c r="A17" s="118" t="str">
        <f>'initial ICR data summary'!B14</f>
        <v>D. Ethylene Glycol (EG) Tanks</v>
      </c>
      <c r="B17" s="119">
        <f>'initial ICR data summary'!C14</f>
        <v>31</v>
      </c>
      <c r="C17" s="120">
        <f>'initial ICR data summary'!AZ14</f>
        <v>0.95454545454545459</v>
      </c>
      <c r="D17" s="119" t="s">
        <v>158</v>
      </c>
      <c r="E17" s="119">
        <f>ROUND(C17,0)*B17</f>
        <v>31</v>
      </c>
      <c r="F17" s="118" t="s">
        <v>145</v>
      </c>
      <c r="G17" s="144"/>
      <c r="H17" s="121">
        <f>IF(AND(E17&gt;0,E17&lt;=50),$K$3,IF(AND(E17&gt;51,E17&lt;=100),$K$4,IF(AND(E17&gt;101,E17&lt;=150),$K$5,IF(AND(E17&gt;151,E17&lt;=200),$K$6,IF(AND(E17&gt;201,E17&lt;=250),$K$7,IF(AND(E17&gt;251,E17&lt;=300),$K$8,IF(AND(E17&gt;301,E17&lt;=350),$K$9,IF(AND(E17&gt;351,E17&lt;=400),$K$10,IF(AND(E17&gt;401,E17&lt;=450),$K$11,IF(AND(E17&gt;451,E17&lt;=500),$K$12,IF(AND(E17&gt;501,E17&lt;=550),$K$13,IF(AND(E17&gt;551,E17&lt;=600),$K$14,IF(AND(E17&gt;601,E17&lt;=650),$K$15,IF(AND(E17&gt;651,E17&lt;=700),$K$16,IF(AND(E17&gt;701,E17&lt;=750),$K$17,IF(AND(E17&gt;751,E17&lt;=800),$K$18,IF(AND(E17&gt;801,E17&lt;=8500),$K$19,"")))))))))))))))))</f>
        <v>1.5</v>
      </c>
      <c r="I17" s="119"/>
      <c r="J17" s="119"/>
      <c r="K17" s="138">
        <v>22.5</v>
      </c>
      <c r="L17" s="140" t="s">
        <v>224</v>
      </c>
    </row>
    <row r="18" spans="1:12" x14ac:dyDescent="0.35">
      <c r="A18" s="122" t="s">
        <v>10</v>
      </c>
      <c r="B18" s="123"/>
      <c r="C18" s="124"/>
      <c r="D18" s="123"/>
      <c r="E18" s="123">
        <f>SUM(E16:E17)</f>
        <v>43</v>
      </c>
      <c r="F18" s="125"/>
      <c r="G18" s="167">
        <f>IF(AND(E18&gt;0,E18&lt;=50),$K$3,IF(AND(E18&gt;51,E18&lt;=100),$K$4,IF(AND(E18&gt;101,E18&lt;=150),$K$5,IF(AND(E18&gt;151,E18&lt;=200),$K$6,IF(AND(E18&gt;201,E18&lt;=250),$K$7,IF(AND(E18&gt;251,E18&lt;=300),$K$8,IF(AND(E18&gt;301,E18&lt;=350),$K$9,IF(AND(E18&gt;351,E18&lt;=400),$K$10,IF(AND(E18&gt;401,E18&lt;=450),$K$11,IF(AND(E18&gt;451,E18&lt;=500),$K$12,IF(AND(E18&gt;501,E18&lt;=550),$K$13,IF(AND(E18&gt;551,E18&lt;=600),$K$14,IF(AND(E18&gt;601,E18&lt;=650),$K$15,IF(AND(E18&gt;651,E18&lt;=700),$K$16,IF(AND(E18&gt;701,E18&lt;=750),$K$17,IF(AND(E18&gt;751,E18&lt;=800),$K$18,IF(AND(E18&gt;801,E18&lt;=8500),$K$19,"")))))))))))))))))</f>
        <v>1.5</v>
      </c>
      <c r="H18" s="123">
        <f>SUM(H16:H17)</f>
        <v>3</v>
      </c>
      <c r="I18" s="119"/>
      <c r="J18" s="119" t="s">
        <v>279</v>
      </c>
      <c r="K18" s="138">
        <v>24</v>
      </c>
      <c r="L18" s="140" t="s">
        <v>227</v>
      </c>
    </row>
    <row r="19" spans="1:12" ht="15" thickBot="1" x14ac:dyDescent="0.4">
      <c r="A19" s="118" t="str">
        <f>'initial ICR data summary'!B15</f>
        <v>Table 1. Summary for Sterilizer Chambers</v>
      </c>
      <c r="B19" s="119">
        <f>'initial ICR data summary'!C15</f>
        <v>1</v>
      </c>
      <c r="C19" s="120" t="s">
        <v>41</v>
      </c>
      <c r="D19" s="119"/>
      <c r="E19" s="119">
        <v>1</v>
      </c>
      <c r="F19" s="118" t="s">
        <v>156</v>
      </c>
      <c r="G19" s="144"/>
      <c r="H19" s="121">
        <f>IF(AND(E19&gt;0,E19&lt;=50),$K$3,IF(AND(E19&gt;51,E19&lt;=100),$K$4,IF(AND(E19&gt;101,E19&lt;=150),$K$5,IF(AND(E19&gt;151,E19&lt;=200),$K$6,IF(AND(E19&gt;201,E19&lt;=250),$K$7,IF(AND(E19&gt;251,E19&lt;=300),$K$8,IF(AND(E19&gt;301,E19&lt;=350),$K$9,IF(AND(E19&gt;351,E19&lt;=400),$K$10,IF(AND(E19&gt;401,E19&lt;=450),$K$11,IF(AND(E19&gt;451,E19&lt;=500),$K$12,IF(AND(E19&gt;501,E19&lt;=550),$K$13,IF(AND(E19&gt;551,E19&lt;=600),$K$14,IF(AND(E19&gt;601,E19&lt;=650),$K$15,IF(AND(E19&gt;651,E19&lt;=700),$K$16,IF(AND(E19&gt;701,E19&lt;=750),$K$17,IF(AND(E19&gt;751,E19&lt;=800),$K$18,IF(AND(E19&gt;801,E19&lt;=8500),$K$19,"")))))))))))))))))</f>
        <v>1.5</v>
      </c>
      <c r="I19" s="119"/>
      <c r="J19" s="119" t="s">
        <v>279</v>
      </c>
      <c r="K19" s="141">
        <v>25.5</v>
      </c>
      <c r="L19" s="142" t="s">
        <v>228</v>
      </c>
    </row>
    <row r="20" spans="1:12" ht="29" x14ac:dyDescent="0.35">
      <c r="A20" s="118" t="str">
        <f>'initial ICR data summary'!B16</f>
        <v>Table 2. Sterilizer Chamber Operation and Monitoring Characteristics</v>
      </c>
      <c r="B20" s="119">
        <f>'initial ICR data summary'!C16</f>
        <v>51</v>
      </c>
      <c r="C20" s="120">
        <f>'initial ICR data summary'!AZ16</f>
        <v>6.5</v>
      </c>
      <c r="D20" s="119" t="s">
        <v>13</v>
      </c>
      <c r="E20" s="119">
        <f>ROUND(C20,0)*B20</f>
        <v>357</v>
      </c>
      <c r="F20" s="118" t="s">
        <v>145</v>
      </c>
      <c r="G20" s="144"/>
      <c r="H20" s="121">
        <f>IF(AND(E20&gt;0,E20&lt;=50),$K$3,IF(AND(E20&gt;51,E20&lt;=100),$K$4,IF(AND(E20&gt;101,E20&lt;=150),$K$5,IF(AND(E20&gt;151,E20&lt;=200),$K$6,IF(AND(E20&gt;201,E20&lt;=250),$K$7,IF(AND(E20&gt;251,E20&lt;=300),$K$8,IF(AND(E20&gt;301,E20&lt;=350),$K$9,IF(AND(E20&gt;351,E20&lt;=400),$K$10,IF(AND(E20&gt;401,E20&lt;=450),$K$11,IF(AND(E20&gt;451,E20&lt;=500),$K$12,IF(AND(E20&gt;501,E20&lt;=550),$K$13,IF(AND(E20&gt;551,E20&lt;=600),$K$14,IF(AND(E20&gt;601,E20&lt;=650),$K$15,IF(AND(E20&gt;651,E20&lt;=700),$K$16,IF(AND(E20&gt;701,E20&lt;=750),$K$17,IF(AND(E20&gt;751,E20&lt;=800),$K$18,IF(AND(E20&gt;801,E20&lt;=8500),$K$19,"")))))))))))))))))</f>
        <v>12</v>
      </c>
      <c r="I20" s="119"/>
      <c r="J20" s="119"/>
      <c r="K20" s="119"/>
      <c r="L20" s="119"/>
    </row>
    <row r="21" spans="1:12" ht="29" x14ac:dyDescent="0.35">
      <c r="A21" s="118" t="str">
        <f>'initial ICR data summary'!B17</f>
        <v>Table 3. Control Characteristics for Sterilizer Chambers</v>
      </c>
      <c r="B21" s="119">
        <f>'initial ICR data summary'!C17</f>
        <v>64</v>
      </c>
      <c r="C21" s="120">
        <f>'initial ICR data summary'!AZ17</f>
        <v>6.2954545454545459</v>
      </c>
      <c r="D21" s="119" t="s">
        <v>163</v>
      </c>
      <c r="E21" s="119">
        <f>ROUND(C21,0)*B21</f>
        <v>384</v>
      </c>
      <c r="F21" s="118" t="s">
        <v>145</v>
      </c>
      <c r="G21" s="144"/>
      <c r="H21" s="121">
        <f>IF(AND(E21&gt;0,E21&lt;=50),$K$3,IF(AND(E21&gt;51,E21&lt;=100),$K$4,IF(AND(E21&gt;101,E21&lt;=150),$K$5,IF(AND(E21&gt;151,E21&lt;=200),$K$6,IF(AND(E21&gt;201,E21&lt;=250),$K$7,IF(AND(E21&gt;251,E21&lt;=300),$K$8,IF(AND(E21&gt;301,E21&lt;=350),$K$9,IF(AND(E21&gt;351,E21&lt;=400),$K$10,IF(AND(E21&gt;401,E21&lt;=450),$K$11,IF(AND(E21&gt;451,E21&lt;=500),$K$12,IF(AND(E21&gt;501,E21&lt;=550),$K$13,IF(AND(E21&gt;551,E21&lt;=600),$K$14,IF(AND(E21&gt;601,E21&lt;=650),$K$15,IF(AND(E21&gt;651,E21&lt;=700),$K$16,IF(AND(E21&gt;701,E21&lt;=750),$K$17,IF(AND(E21&gt;751,E21&lt;=800),$K$18,IF(AND(E21&gt;801,E21&lt;=8500),$K$19,"")))))))))))))))))</f>
        <v>12</v>
      </c>
      <c r="I21" s="119"/>
      <c r="J21" s="119" t="s">
        <v>279</v>
      </c>
      <c r="K21" s="119"/>
      <c r="L21" s="119"/>
    </row>
    <row r="22" spans="1:12" ht="29" x14ac:dyDescent="0.35">
      <c r="A22" s="118" t="str">
        <f>'initial ICR data summary'!B18</f>
        <v>Table 4. Control Characteristics for Sterilizer Chambers (continued)</v>
      </c>
      <c r="B22" s="119">
        <f>'initial ICR data summary'!C18</f>
        <v>24</v>
      </c>
      <c r="C22" s="120">
        <f>'initial ICR data summary'!AZ18</f>
        <v>3.25</v>
      </c>
      <c r="D22" s="119" t="s">
        <v>163</v>
      </c>
      <c r="E22" s="119">
        <f>ROUND(C22,0)*B22</f>
        <v>72</v>
      </c>
      <c r="F22" s="118" t="s">
        <v>145</v>
      </c>
      <c r="G22" s="144"/>
      <c r="H22" s="121">
        <f>IF(AND(E22&gt;0,E22&lt;=50),$K$3,IF(AND(E22&gt;51,E22&lt;=100),$K$4,IF(AND(E22&gt;101,E22&lt;=150),$K$5,IF(AND(E22&gt;151,E22&lt;=200),$K$6,IF(AND(E22&gt;201,E22&lt;=250),$K$7,IF(AND(E22&gt;251,E22&lt;=300),$K$8,IF(AND(E22&gt;301,E22&lt;=350),$K$9,IF(AND(E22&gt;351,E22&lt;=400),$K$10,IF(AND(E22&gt;401,E22&lt;=450),$K$11,IF(AND(E22&gt;451,E22&lt;=500),$K$12,IF(AND(E22&gt;501,E22&lt;=550),$K$13,IF(AND(E22&gt;551,E22&lt;=600),$K$14,IF(AND(E22&gt;601,E22&lt;=650),$K$15,IF(AND(E22&gt;651,E22&lt;=700),$K$16,IF(AND(E22&gt;701,E22&lt;=750),$K$17,IF(AND(E22&gt;751,E22&lt;=800),$K$18,IF(AND(E22&gt;801,E22&lt;=8500),$K$19,"")))))))))))))))))</f>
        <v>3</v>
      </c>
      <c r="I22" s="119" t="s">
        <v>219</v>
      </c>
      <c r="J22" s="119"/>
      <c r="K22" s="119"/>
      <c r="L22" s="119"/>
    </row>
    <row r="23" spans="1:12" ht="29" x14ac:dyDescent="0.35">
      <c r="A23" s="118" t="str">
        <f>'initial ICR data summary'!B19</f>
        <v>Table 5. Vacuum Pumps</v>
      </c>
      <c r="B23" s="119">
        <f>'initial ICR data summary'!C19</f>
        <v>10</v>
      </c>
      <c r="C23" s="120">
        <f>'initial ICR data summary'!AZ19</f>
        <v>6.0681818181818183</v>
      </c>
      <c r="D23" s="119" t="s">
        <v>164</v>
      </c>
      <c r="E23" s="119">
        <f>ROUND(C23,0)*B23</f>
        <v>60</v>
      </c>
      <c r="F23" s="118" t="s">
        <v>145</v>
      </c>
      <c r="G23" s="144"/>
      <c r="H23" s="121">
        <f>IF(AND(E23&gt;0,E23&lt;=50),$K$3,IF(AND(E23&gt;51,E23&lt;=100),$K$4,IF(AND(E23&gt;101,E23&lt;=150),$K$5,IF(AND(E23&gt;151,E23&lt;=200),$K$6,IF(AND(E23&gt;201,E23&lt;=250),$K$7,IF(AND(E23&gt;251,E23&lt;=300),$K$8,IF(AND(E23&gt;301,E23&lt;=350),$K$9,IF(AND(E23&gt;351,E23&lt;=400),$K$10,IF(AND(E23&gt;401,E23&lt;=450),$K$11,IF(AND(E23&gt;451,E23&lt;=500),$K$12,IF(AND(E23&gt;501,E23&lt;=550),$K$13,IF(AND(E23&gt;551,E23&lt;=600),$K$14,IF(AND(E23&gt;601,E23&lt;=650),$K$15,IF(AND(E23&gt;651,E23&lt;=700),$K$16,IF(AND(E23&gt;701,E23&lt;=750),$K$17,IF(AND(E23&gt;751,E23&lt;=800),$K$18,IF(AND(E23&gt;801,E23&lt;=8500),$K$19,"")))))))))))))))))</f>
        <v>3</v>
      </c>
      <c r="I23" s="119"/>
      <c r="J23" s="119" t="s">
        <v>279</v>
      </c>
      <c r="K23" s="119"/>
      <c r="L23" s="119"/>
    </row>
    <row r="24" spans="1:12" x14ac:dyDescent="0.35">
      <c r="A24" s="122" t="s">
        <v>13</v>
      </c>
      <c r="B24" s="123"/>
      <c r="C24" s="124"/>
      <c r="D24" s="123"/>
      <c r="E24" s="123">
        <f>SUM(E19:E23)</f>
        <v>874</v>
      </c>
      <c r="F24" s="125"/>
      <c r="G24" s="167">
        <f>IF(AND(E24&gt;0,E24&lt;=50),$K$3,IF(AND(E24&gt;51,E24&lt;=100),$K$4,IF(AND(E24&gt;101,E24&lt;=150),$K$5,IF(AND(E24&gt;151,E24&lt;=200),$K$6,IF(AND(E24&gt;201,E24&lt;=250),$K$7,IF(AND(E24&gt;251,E24&lt;=300),$K$8,IF(AND(E24&gt;301,E24&lt;=350),$K$9,IF(AND(E24&gt;351,E24&lt;=400),$K$10,IF(AND(E24&gt;401,E24&lt;=450),$K$11,IF(AND(E24&gt;451,E24&lt;=500),$K$12,IF(AND(E24&gt;501,E24&lt;=550),$K$13,IF(AND(E24&gt;551,E24&lt;=600),$K$14,IF(AND(E24&gt;601,E24&lt;=650),$K$15,IF(AND(E24&gt;651,E24&lt;=700),$K$16,IF(AND(E24&gt;701,E24&lt;=750),$K$17,IF(AND(E24&gt;751,E24&lt;=800),$K$18,IF(AND(E24&gt;801,E24&lt;=8500),$K$19,"")))))))))))))))))</f>
        <v>25.5</v>
      </c>
      <c r="H24" s="123">
        <f>SUM(H19:H23)</f>
        <v>31.5</v>
      </c>
      <c r="I24" s="119"/>
      <c r="J24" s="119" t="s">
        <v>279</v>
      </c>
      <c r="K24" s="119"/>
      <c r="L24" s="119"/>
    </row>
    <row r="25" spans="1:12" ht="43.5" x14ac:dyDescent="0.35">
      <c r="A25" s="118" t="str">
        <f>'initial ICR data summary'!B20</f>
        <v>Table 1. Aeration that Occurs in Separate Unit (Aeration Room &amp; Aeration Cell/Chamber)</v>
      </c>
      <c r="B25" s="119">
        <f>'initial ICR data summary'!C20</f>
        <v>45</v>
      </c>
      <c r="C25" s="120">
        <f>'initial ICR data summary'!AZ20</f>
        <v>5.1136363636363633</v>
      </c>
      <c r="D25" s="119" t="s">
        <v>165</v>
      </c>
      <c r="E25" s="119">
        <f>ROUND(C25,0)*B25</f>
        <v>225</v>
      </c>
      <c r="F25" s="118" t="s">
        <v>145</v>
      </c>
      <c r="G25" s="144"/>
      <c r="H25" s="121">
        <f>IF(AND(E25&gt;0,E25&lt;=50),$K$3,IF(AND(E25&gt;51,E25&lt;=100),$K$4,IF(AND(E25&gt;101,E25&lt;=150),$K$5,IF(AND(E25&gt;151,E25&lt;=200),$K$6,IF(AND(E25&gt;201,E25&lt;=250),$K$7,IF(AND(E25&gt;251,E25&lt;=300),$K$8,IF(AND(E25&gt;301,E25&lt;=350),$K$9,IF(AND(E25&gt;351,E25&lt;=400),$K$10,IF(AND(E25&gt;401,E25&lt;=450),$K$11,IF(AND(E25&gt;451,E25&lt;=500),$K$12,IF(AND(E25&gt;501,E25&lt;=550),$K$13,IF(AND(E25&gt;551,E25&lt;=600),$K$14,IF(AND(E25&gt;601,E25&lt;=650),$K$15,IF(AND(E25&gt;651,E25&lt;=700),$K$16,IF(AND(E25&gt;701,E25&lt;=750),$K$17,IF(AND(E25&gt;751,E25&lt;=800),$K$18,IF(AND(E25&gt;801,E25&lt;=8500),$K$19,"")))))))))))))))))</f>
        <v>7.5</v>
      </c>
      <c r="I25" s="119"/>
      <c r="J25" s="119"/>
      <c r="K25" s="119"/>
      <c r="L25" s="119"/>
    </row>
    <row r="26" spans="1:12" ht="29" x14ac:dyDescent="0.35">
      <c r="A26" s="118" t="str">
        <f>'initial ICR data summary'!B21</f>
        <v>Table 2. Aeration that Occurs within Sterilizer Chamber</v>
      </c>
      <c r="B26" s="119">
        <f>'initial ICR data summary'!C21</f>
        <v>4</v>
      </c>
      <c r="C26" s="120">
        <f>'initial ICR data summary'!AZ21</f>
        <v>1.9545454545454546</v>
      </c>
      <c r="D26" s="119" t="s">
        <v>166</v>
      </c>
      <c r="E26" s="119">
        <f>ROUND(C26,0)*B26</f>
        <v>8</v>
      </c>
      <c r="F26" s="118" t="s">
        <v>145</v>
      </c>
      <c r="G26" s="144"/>
      <c r="H26" s="121">
        <f>IF(AND(E26&gt;0,E26&lt;=50),$K$3,IF(AND(E26&gt;51,E26&lt;=100),$K$4,IF(AND(E26&gt;101,E26&lt;=150),$K$5,IF(AND(E26&gt;151,E26&lt;=200),$K$6,IF(AND(E26&gt;201,E26&lt;=250),$K$7,IF(AND(E26&gt;251,E26&lt;=300),$K$8,IF(AND(E26&gt;301,E26&lt;=350),$K$9,IF(AND(E26&gt;351,E26&lt;=400),$K$10,IF(AND(E26&gt;401,E26&lt;=450),$K$11,IF(AND(E26&gt;451,E26&lt;=500),$K$12,IF(AND(E26&gt;501,E26&lt;=550),$K$13,IF(AND(E26&gt;551,E26&lt;=600),$K$14,IF(AND(E26&gt;601,E26&lt;=650),$K$15,IF(AND(E26&gt;651,E26&lt;=700),$K$16,IF(AND(E26&gt;701,E26&lt;=750),$K$17,IF(AND(E26&gt;751,E26&lt;=800),$K$18,IF(AND(E26&gt;801,E26&lt;=8500),$K$19,"")))))))))))))))))</f>
        <v>1.5</v>
      </c>
      <c r="I26" s="119" t="s">
        <v>219</v>
      </c>
      <c r="J26" s="119"/>
      <c r="K26" s="119"/>
      <c r="L26" s="119"/>
    </row>
    <row r="27" spans="1:12" ht="29" x14ac:dyDescent="0.35">
      <c r="A27" s="118" t="str">
        <f>'initial ICR data summary'!B22</f>
        <v xml:space="preserve">Table 3. Movement of Sterilized Products through the Facility </v>
      </c>
      <c r="B27" s="119">
        <f>'initial ICR data summary'!C22</f>
        <v>3</v>
      </c>
      <c r="C27" s="120" t="s">
        <v>41</v>
      </c>
      <c r="D27" s="119"/>
      <c r="E27" s="119">
        <v>3</v>
      </c>
      <c r="F27" s="118" t="s">
        <v>156</v>
      </c>
      <c r="G27" s="144"/>
      <c r="H27" s="121">
        <f>IF(AND(E27&gt;0,E27&lt;=50),$K$3,IF(AND(E27&gt;51,E27&lt;=100),$K$4,IF(AND(E27&gt;101,E27&lt;=150),$K$5,IF(AND(E27&gt;151,E27&lt;=200),$K$6,IF(AND(E27&gt;201,E27&lt;=250),$K$7,IF(AND(E27&gt;251,E27&lt;=300),$K$8,IF(AND(E27&gt;301,E27&lt;=350),$K$9,IF(AND(E27&gt;351,E27&lt;=400),$K$10,IF(AND(E27&gt;401,E27&lt;=450),$K$11,IF(AND(E27&gt;451,E27&lt;=500),$K$12,IF(AND(E27&gt;501,E27&lt;=550),$K$13,IF(AND(E27&gt;551,E27&lt;=600),$K$14,IF(AND(E27&gt;601,E27&lt;=650),$K$15,IF(AND(E27&gt;651,E27&lt;=700),$K$16,IF(AND(E27&gt;701,E27&lt;=750),$K$17,IF(AND(E27&gt;751,E27&lt;=800),$K$18,IF(AND(E27&gt;801,E27&lt;=8500),$K$19,"")))))))))))))))))</f>
        <v>1.5</v>
      </c>
      <c r="I27" s="119"/>
      <c r="J27" s="119" t="s">
        <v>279</v>
      </c>
      <c r="K27" s="119"/>
      <c r="L27" s="119"/>
    </row>
    <row r="28" spans="1:12" x14ac:dyDescent="0.35">
      <c r="A28" s="122" t="s">
        <v>19</v>
      </c>
      <c r="B28" s="123"/>
      <c r="C28" s="124"/>
      <c r="D28" s="123"/>
      <c r="E28" s="123">
        <f>SUM(E25:E27)</f>
        <v>236</v>
      </c>
      <c r="F28" s="125"/>
      <c r="G28" s="167">
        <f>IF(AND(E28&gt;0,E28&lt;=50),$K$3,IF(AND(E28&gt;51,E28&lt;=100),$K$4,IF(AND(E28&gt;101,E28&lt;=150),$K$5,IF(AND(E28&gt;151,E28&lt;=200),$K$6,IF(AND(E28&gt;201,E28&lt;=250),$K$7,IF(AND(E28&gt;251,E28&lt;=300),$K$8,IF(AND(E28&gt;301,E28&lt;=350),$K$9,IF(AND(E28&gt;351,E28&lt;=400),$K$10,IF(AND(E28&gt;401,E28&lt;=450),$K$11,IF(AND(E28&gt;451,E28&lt;=500),$K$12,IF(AND(E28&gt;501,E28&lt;=550),$K$13,IF(AND(E28&gt;551,E28&lt;=600),$K$14,IF(AND(E28&gt;601,E28&lt;=650),$K$15,IF(AND(E28&gt;651,E28&lt;=700),$K$16,IF(AND(E28&gt;701,E28&lt;=750),$K$17,IF(AND(E28&gt;751,E28&lt;=800),$K$18,IF(AND(E28&gt;801,E28&lt;=8500),$K$19,"")))))))))))))))))</f>
        <v>7.5</v>
      </c>
      <c r="H28" s="123">
        <f>SUM(H25:H27)</f>
        <v>10.5</v>
      </c>
      <c r="I28" s="119"/>
      <c r="J28" s="119"/>
      <c r="K28" s="119"/>
      <c r="L28" s="119"/>
    </row>
    <row r="29" spans="1:12" ht="29" x14ac:dyDescent="0.35">
      <c r="A29" s="118" t="str">
        <f>'initial ICR data summary'!B23</f>
        <v>Table 1. APCD Characteristics</v>
      </c>
      <c r="B29" s="119">
        <f>'initial ICR data summary'!C23</f>
        <v>16</v>
      </c>
      <c r="C29" s="120">
        <f>'initial ICR data summary'!AZ23</f>
        <v>3.8181818181818183</v>
      </c>
      <c r="D29" s="119" t="s">
        <v>167</v>
      </c>
      <c r="E29" s="119">
        <f>ROUND(C29,0)*B29</f>
        <v>64</v>
      </c>
      <c r="F29" s="118" t="s">
        <v>145</v>
      </c>
      <c r="G29" s="144"/>
      <c r="H29" s="121">
        <f>IF(AND(E29&gt;0,E29&lt;=50),$K$3,IF(AND(E29&gt;51,E29&lt;=100),$K$4,IF(AND(E29&gt;101,E29&lt;=150),$K$5,IF(AND(E29&gt;151,E29&lt;=200),$K$6,IF(AND(E29&gt;201,E29&lt;=250),$K$7,IF(AND(E29&gt;251,E29&lt;=300),$K$8,IF(AND(E29&gt;301,E29&lt;=350),$K$9,IF(AND(E29&gt;351,E29&lt;=400),$K$10,IF(AND(E29&gt;401,E29&lt;=450),$K$11,IF(AND(E29&gt;451,E29&lt;=500),$K$12,IF(AND(E29&gt;501,E29&lt;=550),$K$13,IF(AND(E29&gt;551,E29&lt;=600),$K$14,IF(AND(E29&gt;601,E29&lt;=650),$K$15,IF(AND(E29&gt;651,E29&lt;=700),$K$16,IF(AND(E29&gt;701,E29&lt;=750),$K$17,IF(AND(E29&gt;751,E29&lt;=800),$K$18,IF(AND(E29&gt;801,E29&lt;=8500),$K$19,"")))))))))))))))))</f>
        <v>3</v>
      </c>
      <c r="I29" s="119" t="s">
        <v>219</v>
      </c>
      <c r="J29" s="119"/>
      <c r="K29" s="119"/>
      <c r="L29" s="119"/>
    </row>
    <row r="30" spans="1:12" ht="29" x14ac:dyDescent="0.35">
      <c r="A30" s="118" t="str">
        <f>'initial ICR data summary'!B24</f>
        <v>Table 2. Emissions and CEMS</v>
      </c>
      <c r="B30" s="119">
        <f>'initial ICR data summary'!C24</f>
        <v>10</v>
      </c>
      <c r="C30" s="120">
        <f>'initial ICR data summary'!AZ24</f>
        <v>3.7954545454545454</v>
      </c>
      <c r="D30" s="119" t="s">
        <v>167</v>
      </c>
      <c r="E30" s="119">
        <f t="shared" ref="E30:E48" si="1">ROUND(C30,0)*B30</f>
        <v>40</v>
      </c>
      <c r="F30" s="118" t="s">
        <v>145</v>
      </c>
      <c r="G30" s="144"/>
      <c r="H30" s="121">
        <f>IF(AND(E30&gt;0,E30&lt;=50),$K$3,IF(AND(E30&gt;51,E30&lt;=100),$K$4,IF(AND(E30&gt;101,E30&lt;=150),$K$5,IF(AND(E30&gt;151,E30&lt;=200),$K$6,IF(AND(E30&gt;201,E30&lt;=250),$K$7,IF(AND(E30&gt;251,E30&lt;=300),$K$8,IF(AND(E30&gt;301,E30&lt;=350),$K$9,IF(AND(E30&gt;351,E30&lt;=400),$K$10,IF(AND(E30&gt;401,E30&lt;=450),$K$11,IF(AND(E30&gt;451,E30&lt;=500),$K$12,IF(AND(E30&gt;501,E30&lt;=550),$K$13,IF(AND(E30&gt;551,E30&lt;=600),$K$14,IF(AND(E30&gt;601,E30&lt;=650),$K$15,IF(AND(E30&gt;651,E30&lt;=700),$K$16,IF(AND(E30&gt;701,E30&lt;=750),$K$17,IF(AND(E30&gt;751,E30&lt;=800),$K$18,IF(AND(E30&gt;801,E30&lt;=8500),$K$19,"")))))))))))))))))</f>
        <v>1.5</v>
      </c>
      <c r="I30" s="119"/>
      <c r="J30" s="119" t="s">
        <v>279</v>
      </c>
      <c r="K30" s="119"/>
      <c r="L30" s="119"/>
    </row>
    <row r="31" spans="1:12" x14ac:dyDescent="0.35">
      <c r="A31" s="122" t="s">
        <v>23</v>
      </c>
      <c r="B31" s="123"/>
      <c r="C31" s="124"/>
      <c r="D31" s="123"/>
      <c r="E31" s="123">
        <f>SUM(E29:E30)</f>
        <v>104</v>
      </c>
      <c r="F31" s="125"/>
      <c r="G31" s="167">
        <f>IF(AND(E31&gt;0,E31&lt;=50),$K$3,IF(AND(E31&gt;51,E31&lt;=100),$K$4,IF(AND(E31&gt;101,E31&lt;=150),$K$5,IF(AND(E31&gt;151,E31&lt;=200),$K$6,IF(AND(E31&gt;201,E31&lt;=250),$K$7,IF(AND(E31&gt;251,E31&lt;=300),$K$8,IF(AND(E31&gt;301,E31&lt;=350),$K$9,IF(AND(E31&gt;351,E31&lt;=400),$K$10,IF(AND(E31&gt;401,E31&lt;=450),$K$11,IF(AND(E31&gt;451,E31&lt;=500),$K$12,IF(AND(E31&gt;501,E31&lt;=550),$K$13,IF(AND(E31&gt;551,E31&lt;=600),$K$14,IF(AND(E31&gt;601,E31&lt;=650),$K$15,IF(AND(E31&gt;651,E31&lt;=700),$K$16,IF(AND(E31&gt;701,E31&lt;=750),$K$17,IF(AND(E31&gt;751,E31&lt;=800),$K$18,IF(AND(E31&gt;801,E31&lt;=8500),$K$19,"")))))))))))))))))</f>
        <v>4.5</v>
      </c>
      <c r="H31" s="123">
        <f>SUM(H29:H30)</f>
        <v>4.5</v>
      </c>
      <c r="I31" s="119"/>
      <c r="J31" s="119"/>
      <c r="K31" s="119"/>
      <c r="L31" s="119"/>
    </row>
    <row r="32" spans="1:12" ht="29" x14ac:dyDescent="0.35">
      <c r="A32" s="118" t="str">
        <f>'initial ICR data summary'!B25</f>
        <v>Table 1. Wet Scrubber &amp; Glygen Absorber Unit</v>
      </c>
      <c r="B32" s="121">
        <f>'initial ICR data summary'!C25</f>
        <v>11</v>
      </c>
      <c r="C32" s="169">
        <f>'initial ICR data summary'!AZ25</f>
        <v>1.4772727272727273</v>
      </c>
      <c r="D32" s="121" t="s">
        <v>168</v>
      </c>
      <c r="E32" s="121">
        <f t="shared" si="1"/>
        <v>11</v>
      </c>
      <c r="F32" s="118" t="s">
        <v>145</v>
      </c>
      <c r="G32" s="144"/>
      <c r="H32" s="121">
        <f>IF(AND(E32&gt;0,E32&lt;=50),$K$3,IF(AND(E32&gt;51,E32&lt;=100),$K$4,IF(AND(E32&gt;101,E32&lt;=150),$K$5,IF(AND(E32&gt;151,E32&lt;=200),$K$6,IF(AND(E32&gt;201,E32&lt;=250),$K$7,IF(AND(E32&gt;251,E32&lt;=300),$K$8,IF(AND(E32&gt;301,E32&lt;=350),$K$9,IF(AND(E32&gt;351,E32&lt;=400),$K$10,IF(AND(E32&gt;401,E32&lt;=450),$K$11,IF(AND(E32&gt;451,E32&lt;=500),$K$12,IF(AND(E32&gt;501,E32&lt;=550),$K$13,IF(AND(E32&gt;551,E32&lt;=600),$K$14,IF(AND(E32&gt;601,E32&lt;=650),$K$15,IF(AND(E32&gt;651,E32&lt;=700),$K$16,IF(AND(E32&gt;701,E32&lt;=750),$K$17,IF(AND(E32&gt;751,E32&lt;=800),$K$18,IF(AND(E32&gt;801,E32&lt;=8500),$K$19,"")))))))))))))))))</f>
        <v>1.5</v>
      </c>
      <c r="I32" s="119"/>
      <c r="J32" s="119" t="s">
        <v>279</v>
      </c>
      <c r="K32" s="119"/>
      <c r="L32" s="119"/>
    </row>
    <row r="33" spans="1:12" ht="29" x14ac:dyDescent="0.35">
      <c r="A33" s="118" t="str">
        <f>'initial ICR data summary'!B26</f>
        <v>Table 2. Dry-bed Scrubber</v>
      </c>
      <c r="B33" s="121">
        <f>'initial ICR data summary'!C26</f>
        <v>21</v>
      </c>
      <c r="C33" s="171">
        <v>1</v>
      </c>
      <c r="D33" s="121" t="s">
        <v>169</v>
      </c>
      <c r="E33" s="170">
        <f t="shared" si="1"/>
        <v>21</v>
      </c>
      <c r="F33" s="118" t="s">
        <v>145</v>
      </c>
      <c r="G33" s="144"/>
      <c r="H33" s="121">
        <f>IF(AND(E33&gt;0,E33&lt;=50),$K$3,IF(AND(E33&gt;51,E33&lt;=100),$K$4,IF(AND(E33&gt;101,E33&lt;=150),$K$5,IF(AND(E33&gt;151,E33&lt;=200),$K$6,IF(AND(E33&gt;201,E33&lt;=250),$K$7,IF(AND(E33&gt;251,E33&lt;=300),$K$8,IF(AND(E33&gt;301,E33&lt;=350),$K$9,IF(AND(E33&gt;351,E33&lt;=400),$K$10,IF(AND(E33&gt;401,E33&lt;=450),$K$11,IF(AND(E33&gt;451,E33&lt;=500),$K$12,IF(AND(E33&gt;501,E33&lt;=550),$K$13,IF(AND(E33&gt;551,E33&lt;=600),$K$14,IF(AND(E33&gt;601,E33&lt;=650),$K$15,IF(AND(E33&gt;651,E33&lt;=700),$K$16,IF(AND(E33&gt;701,E33&lt;=750),$K$17,IF(AND(E33&gt;751,E33&lt;=800),$K$18,IF(AND(E33&gt;801,E33&lt;=8500),$K$19,"")))))))))))))))))</f>
        <v>1.5</v>
      </c>
      <c r="I33" s="119"/>
      <c r="J33" s="119"/>
      <c r="K33" s="119"/>
      <c r="L33" s="119"/>
    </row>
    <row r="34" spans="1:12" ht="29" x14ac:dyDescent="0.35">
      <c r="A34" s="118" t="str">
        <f>'initial ICR data summary'!B27</f>
        <v>Table 3. Catalytic Oxidizer &amp; Combination Water Balancer/Catalytic Oxidizer</v>
      </c>
      <c r="B34" s="121">
        <f>'initial ICR data summary'!C27</f>
        <v>26</v>
      </c>
      <c r="C34" s="169">
        <f>'initial ICR data summary'!AZ27</f>
        <v>1.2727272727272727</v>
      </c>
      <c r="D34" s="121" t="s">
        <v>170</v>
      </c>
      <c r="E34" s="121">
        <f t="shared" si="1"/>
        <v>26</v>
      </c>
      <c r="F34" s="118" t="s">
        <v>145</v>
      </c>
      <c r="G34" s="144"/>
      <c r="H34" s="121">
        <f>IF(AND(E34&gt;0,E34&lt;=50),$K$3,IF(AND(E34&gt;51,E34&lt;=100),$K$4,IF(AND(E34&gt;101,E34&lt;=150),$K$5,IF(AND(E34&gt;151,E34&lt;=200),$K$6,IF(AND(E34&gt;201,E34&lt;=250),$K$7,IF(AND(E34&gt;251,E34&lt;=300),$K$8,IF(AND(E34&gt;301,E34&lt;=350),$K$9,IF(AND(E34&gt;351,E34&lt;=400),$K$10,IF(AND(E34&gt;401,E34&lt;=450),$K$11,IF(AND(E34&gt;451,E34&lt;=500),$K$12,IF(AND(E34&gt;501,E34&lt;=550),$K$13,IF(AND(E34&gt;551,E34&lt;=600),$K$14,IF(AND(E34&gt;601,E34&lt;=650),$K$15,IF(AND(E34&gt;651,E34&lt;=700),$K$16,IF(AND(E34&gt;701,E34&lt;=750),$K$17,IF(AND(E34&gt;751,E34&lt;=800),$K$18,IF(AND(E34&gt;801,E34&lt;=8500),$K$19,"")))))))))))))))))</f>
        <v>1.5</v>
      </c>
      <c r="I34" s="119"/>
      <c r="J34" s="119"/>
      <c r="K34" s="119"/>
      <c r="L34" s="119"/>
    </row>
    <row r="35" spans="1:12" ht="29" x14ac:dyDescent="0.35">
      <c r="A35" s="118" t="str">
        <f>'initial ICR data summary'!B28</f>
        <v>Table 4. Thermal Oxidizer</v>
      </c>
      <c r="B35" s="121">
        <f>'initial ICR data summary'!C28</f>
        <v>11</v>
      </c>
      <c r="C35" s="171">
        <v>1</v>
      </c>
      <c r="D35" s="121" t="s">
        <v>171</v>
      </c>
      <c r="E35" s="170">
        <f t="shared" si="1"/>
        <v>11</v>
      </c>
      <c r="F35" s="118" t="s">
        <v>145</v>
      </c>
      <c r="G35" s="144"/>
      <c r="H35" s="121">
        <f>IF(AND(E35&gt;0,E35&lt;=50),$K$3,IF(AND(E35&gt;51,E35&lt;=100),$K$4,IF(AND(E35&gt;101,E35&lt;=150),$K$5,IF(AND(E35&gt;151,E35&lt;=200),$K$6,IF(AND(E35&gt;201,E35&lt;=250),$K$7,IF(AND(E35&gt;251,E35&lt;=300),$K$8,IF(AND(E35&gt;301,E35&lt;=350),$K$9,IF(AND(E35&gt;351,E35&lt;=400),$K$10,IF(AND(E35&gt;401,E35&lt;=450),$K$11,IF(AND(E35&gt;451,E35&lt;=500),$K$12,IF(AND(E35&gt;501,E35&lt;=550),$K$13,IF(AND(E35&gt;551,E35&lt;=600),$K$14,IF(AND(E35&gt;601,E35&lt;=650),$K$15,IF(AND(E35&gt;651,E35&lt;=700),$K$16,IF(AND(E35&gt;701,E35&lt;=750),$K$17,IF(AND(E35&gt;751,E35&lt;=800),$K$18,IF(AND(E35&gt;801,E35&lt;=8500),$K$19,"")))))))))))))))))</f>
        <v>1.5</v>
      </c>
      <c r="I35" s="119" t="s">
        <v>219</v>
      </c>
      <c r="J35" s="119"/>
      <c r="K35" s="119"/>
      <c r="L35" s="119"/>
    </row>
    <row r="36" spans="1:12" ht="29" x14ac:dyDescent="0.35">
      <c r="A36" s="118" t="str">
        <f>'initial ICR data summary'!B29</f>
        <v>Table 5. Other APCDs</v>
      </c>
      <c r="B36" s="121">
        <f>'initial ICR data summary'!C29</f>
        <v>7</v>
      </c>
      <c r="C36" s="169">
        <f>'initial ICR data summary'!AZ29</f>
        <v>4.5454545454545456E-2</v>
      </c>
      <c r="D36" s="121" t="s">
        <v>167</v>
      </c>
      <c r="E36" s="121">
        <f t="shared" si="1"/>
        <v>0</v>
      </c>
      <c r="F36" s="118" t="s">
        <v>145</v>
      </c>
      <c r="G36" s="144"/>
      <c r="H36" s="121" t="str">
        <f>IF(AND(E36&gt;0,E36&lt;=50),$K$3,IF(AND(E36&gt;51,E36&lt;=100),$K$4,IF(AND(E36&gt;101,E36&lt;=150),$K$5,IF(AND(E36&gt;151,E36&lt;=200),$K$6,IF(AND(E36&gt;201,E36&lt;=250),$K$7,IF(AND(E36&gt;251,E36&lt;=300),$K$8,IF(AND(E36&gt;301,E36&lt;=350),$K$9,IF(AND(E36&gt;351,E36&lt;=400),$K$10,IF(AND(E36&gt;401,E36&lt;=450),$K$11,IF(AND(E36&gt;451,E36&lt;=500),$K$12,IF(AND(E36&gt;501,E36&lt;=550),$K$13,IF(AND(E36&gt;551,E36&lt;=600),$K$14,IF(AND(E36&gt;601,E36&lt;=650),$K$15,IF(AND(E36&gt;651,E36&lt;=700),$K$16,IF(AND(E36&gt;701,E36&lt;=750),$K$17,IF(AND(E36&gt;751,E36&lt;=800),$K$18,IF(AND(E36&gt;801,E36&lt;=8500),$K$19,"")))))))))))))))))</f>
        <v/>
      </c>
      <c r="I36" s="119"/>
      <c r="J36" s="119" t="s">
        <v>279</v>
      </c>
      <c r="K36" s="119"/>
      <c r="L36" s="119"/>
    </row>
    <row r="37" spans="1:12" x14ac:dyDescent="0.35">
      <c r="A37" s="122" t="s">
        <v>26</v>
      </c>
      <c r="B37" s="123"/>
      <c r="C37" s="124"/>
      <c r="D37" s="123"/>
      <c r="E37" s="123">
        <f>SUM(E32:E36)</f>
        <v>69</v>
      </c>
      <c r="F37" s="125"/>
      <c r="G37" s="167">
        <f>IF(AND(E37&gt;0,E37&lt;=50),$K$3,IF(AND(E37&gt;51,E37&lt;=100),$K$4,IF(AND(E37&gt;101,E37&lt;=150),$K$5,IF(AND(E37&gt;151,E37&lt;=200),$K$6,IF(AND(E37&gt;201,E37&lt;=250),$K$7,IF(AND(E37&gt;251,E37&lt;=300),$K$8,IF(AND(E37&gt;301,E37&lt;=350),$K$9,IF(AND(E37&gt;351,E37&lt;=400),$K$10,IF(AND(E37&gt;401,E37&lt;=450),$K$11,IF(AND(E37&gt;451,E37&lt;=500),$K$12,IF(AND(E37&gt;501,E37&lt;=550),$K$13,IF(AND(E37&gt;551,E37&lt;=600),$K$14,IF(AND(E37&gt;601,E37&lt;=650),$K$15,IF(AND(E37&gt;651,E37&lt;=700),$K$16,IF(AND(E37&gt;701,E37&lt;=750),$K$17,IF(AND(E37&gt;751,E37&lt;=800),$K$18,IF(AND(E37&gt;801,E37&lt;=8500),$K$19,"")))))))))))))))))</f>
        <v>3</v>
      </c>
      <c r="H37" s="123">
        <f>SUM(H32:H36)</f>
        <v>6</v>
      </c>
      <c r="I37" s="119"/>
      <c r="J37" s="119" t="s">
        <v>279</v>
      </c>
      <c r="K37" s="119"/>
      <c r="L37" s="119"/>
    </row>
    <row r="38" spans="1:12" ht="29" x14ac:dyDescent="0.35">
      <c r="A38" s="118" t="str">
        <f>'initial ICR data summary'!B30</f>
        <v>Table 1. Personal Monitoring (Badges) for EtO</v>
      </c>
      <c r="B38" s="119">
        <f>'initial ICR data summary'!C30</f>
        <v>11</v>
      </c>
      <c r="C38" s="120">
        <f>'initial ICR data summary'!AZ30</f>
        <v>44.43181818181818</v>
      </c>
      <c r="D38" s="119" t="s">
        <v>172</v>
      </c>
      <c r="E38" s="119">
        <f t="shared" si="1"/>
        <v>484</v>
      </c>
      <c r="F38" s="118" t="s">
        <v>145</v>
      </c>
      <c r="G38" s="144"/>
      <c r="H38" s="121">
        <f>IF(AND(E38&gt;0,E38&lt;=50),$K$3,IF(AND(E38&gt;51,E38&lt;=100),$K$4,IF(AND(E38&gt;101,E38&lt;=150),$K$5,IF(AND(E38&gt;151,E38&lt;=200),$K$6,IF(AND(E38&gt;201,E38&lt;=250),$K$7,IF(AND(E38&gt;251,E38&lt;=300),$K$8,IF(AND(E38&gt;301,E38&lt;=350),$K$9,IF(AND(E38&gt;351,E38&lt;=400),$K$10,IF(AND(E38&gt;401,E38&lt;=450),$K$11,IF(AND(E38&gt;451,E38&lt;=500),$K$12,IF(AND(E38&gt;501,E38&lt;=550),$K$13,IF(AND(E38&gt;551,E38&lt;=600),$K$14,IF(AND(E38&gt;601,E38&lt;=650),$K$15,IF(AND(E38&gt;651,E38&lt;=700),$K$16,IF(AND(E38&gt;701,E38&lt;=750),$K$17,IF(AND(E38&gt;751,E38&lt;=800),$K$18,IF(AND(E38&gt;801,E38&lt;=8500),$K$19,"")))))))))))))))))</f>
        <v>15</v>
      </c>
      <c r="I38" s="119"/>
      <c r="J38" s="119"/>
      <c r="K38" s="119"/>
      <c r="L38" s="119"/>
    </row>
    <row r="39" spans="1:12" ht="29" x14ac:dyDescent="0.35">
      <c r="A39" s="118" t="str">
        <f>'initial ICR data summary'!B31</f>
        <v>Table 2. Room Area Monitoring for EtO</v>
      </c>
      <c r="B39" s="119">
        <f>'initial ICR data summary'!C31</f>
        <v>9</v>
      </c>
      <c r="C39" s="120">
        <f>'initial ICR data summary'!AZ31</f>
        <v>4.0454545454545459</v>
      </c>
      <c r="D39" s="119" t="s">
        <v>173</v>
      </c>
      <c r="E39" s="119">
        <f t="shared" si="1"/>
        <v>36</v>
      </c>
      <c r="F39" s="118" t="s">
        <v>145</v>
      </c>
      <c r="G39" s="144"/>
      <c r="H39" s="121">
        <f>IF(AND(E39&gt;0,E39&lt;=50),$K$3,IF(AND(E39&gt;51,E39&lt;=100),$K$4,IF(AND(E39&gt;101,E39&lt;=150),$K$5,IF(AND(E39&gt;151,E39&lt;=200),$K$6,IF(AND(E39&gt;201,E39&lt;=250),$K$7,IF(AND(E39&gt;251,E39&lt;=300),$K$8,IF(AND(E39&gt;301,E39&lt;=350),$K$9,IF(AND(E39&gt;351,E39&lt;=400),$K$10,IF(AND(E39&gt;401,E39&lt;=450),$K$11,IF(AND(E39&gt;451,E39&lt;=500),$K$12,IF(AND(E39&gt;501,E39&lt;=550),$K$13,IF(AND(E39&gt;551,E39&lt;=600),$K$14,IF(AND(E39&gt;601,E39&lt;=650),$K$15,IF(AND(E39&gt;651,E39&lt;=700),$K$16,IF(AND(E39&gt;701,E39&lt;=750),$K$17,IF(AND(E39&gt;751,E39&lt;=800),$K$18,IF(AND(E39&gt;801,E39&lt;=8500),$K$19,"")))))))))))))))))</f>
        <v>1.5</v>
      </c>
      <c r="I39" s="119" t="s">
        <v>219</v>
      </c>
      <c r="J39" s="119"/>
      <c r="K39" s="119"/>
      <c r="L39" s="119"/>
    </row>
    <row r="40" spans="1:12" ht="29" x14ac:dyDescent="0.35">
      <c r="A40" s="118" t="str">
        <f>'initial ICR data summary'!B32</f>
        <v>Table 3. Other Monitoring for EtO</v>
      </c>
      <c r="B40" s="119">
        <f>'initial ICR data summary'!C32</f>
        <v>3</v>
      </c>
      <c r="C40" s="120">
        <f>'initial ICR data summary'!AZ32</f>
        <v>1.2727272727272727</v>
      </c>
      <c r="D40" s="119" t="s">
        <v>174</v>
      </c>
      <c r="E40" s="119">
        <f t="shared" si="1"/>
        <v>3</v>
      </c>
      <c r="F40" s="118" t="s">
        <v>145</v>
      </c>
      <c r="G40" s="144"/>
      <c r="H40" s="121">
        <f>IF(AND(E40&gt;0,E40&lt;=50),$K$3,IF(AND(E40&gt;51,E40&lt;=100),$K$4,IF(AND(E40&gt;101,E40&lt;=150),$K$5,IF(AND(E40&gt;151,E40&lt;=200),$K$6,IF(AND(E40&gt;201,E40&lt;=250),$K$7,IF(AND(E40&gt;251,E40&lt;=300),$K$8,IF(AND(E40&gt;301,E40&lt;=350),$K$9,IF(AND(E40&gt;351,E40&lt;=400),$K$10,IF(AND(E40&gt;401,E40&lt;=450),$K$11,IF(AND(E40&gt;451,E40&lt;=500),$K$12,IF(AND(E40&gt;501,E40&lt;=550),$K$13,IF(AND(E40&gt;551,E40&lt;=600),$K$14,IF(AND(E40&gt;601,E40&lt;=650),$K$15,IF(AND(E40&gt;651,E40&lt;=700),$K$16,IF(AND(E40&gt;701,E40&lt;=750),$K$17,IF(AND(E40&gt;751,E40&lt;=800),$K$18,IF(AND(E40&gt;801,E40&lt;=8500),$K$19,"")))))))))))))))))</f>
        <v>1.5</v>
      </c>
      <c r="I40" s="119"/>
      <c r="J40" s="119" t="s">
        <v>279</v>
      </c>
      <c r="K40" s="119"/>
      <c r="L40" s="119"/>
    </row>
    <row r="41" spans="1:12" x14ac:dyDescent="0.35">
      <c r="A41" s="122" t="s">
        <v>32</v>
      </c>
      <c r="B41" s="123"/>
      <c r="C41" s="124"/>
      <c r="D41" s="123"/>
      <c r="E41" s="123">
        <f>SUM(E38:E40)</f>
        <v>523</v>
      </c>
      <c r="F41" s="125"/>
      <c r="G41" s="167">
        <f>IF(AND(E41&gt;0,E41&lt;=50),$K$3,IF(AND(E41&gt;51,E41&lt;=100),$K$4,IF(AND(E41&gt;101,E41&lt;=150),$K$5,IF(AND(E41&gt;151,E41&lt;=200),$K$6,IF(AND(E41&gt;201,E41&lt;=250),$K$7,IF(AND(E41&gt;251,E41&lt;=300),$K$8,IF(AND(E41&gt;301,E41&lt;=350),$K$9,IF(AND(E41&gt;351,E41&lt;=400),$K$10,IF(AND(E41&gt;401,E41&lt;=450),$K$11,IF(AND(E41&gt;451,E41&lt;=500),$K$12,IF(AND(E41&gt;501,E41&lt;=550),$K$13,IF(AND(E41&gt;551,E41&lt;=600),$K$14,IF(AND(E41&gt;601,E41&lt;=650),$K$15,IF(AND(E41&gt;651,E41&lt;=700),$K$16,IF(AND(E41&gt;701,E41&lt;=750),$K$17,IF(AND(E41&gt;751,E41&lt;=800),$K$18,IF(AND(E41&gt;801,E41&lt;=8500),$K$19,"")))))))))))))))))</f>
        <v>16.5</v>
      </c>
      <c r="H41" s="123">
        <f>SUM(H38:H40)</f>
        <v>18</v>
      </c>
      <c r="I41" s="119"/>
      <c r="J41" s="119" t="s">
        <v>279</v>
      </c>
      <c r="K41" s="119"/>
      <c r="L41" s="119"/>
    </row>
    <row r="42" spans="1:12" ht="29" x14ac:dyDescent="0.35">
      <c r="A42" s="118" t="str">
        <f>'initial ICR data summary'!B33</f>
        <v>J. Wastewater</v>
      </c>
      <c r="B42" s="121">
        <f>'initial ICR data summary'!C33</f>
        <v>12</v>
      </c>
      <c r="C42" s="171">
        <v>1</v>
      </c>
      <c r="D42" s="121" t="s">
        <v>175</v>
      </c>
      <c r="E42" s="170">
        <f t="shared" si="1"/>
        <v>12</v>
      </c>
      <c r="F42" s="118" t="s">
        <v>145</v>
      </c>
      <c r="G42" s="144"/>
      <c r="H42" s="121">
        <f>IF(AND(E42&gt;0,E42&lt;=50),$K$3,IF(AND(E42&gt;51,E42&lt;=100),$K$4,IF(AND(E42&gt;101,E42&lt;=150),$K$5,IF(AND(E42&gt;151,E42&lt;=200),$K$6,IF(AND(E42&gt;201,E42&lt;=250),$K$7,IF(AND(E42&gt;251,E42&lt;=300),$K$8,IF(AND(E42&gt;301,E42&lt;=350),$K$9,IF(AND(E42&gt;351,E42&lt;=400),$K$10,IF(AND(E42&gt;401,E42&lt;=450),$K$11,IF(AND(E42&gt;451,E42&lt;=500),$K$12,IF(AND(E42&gt;501,E42&lt;=550),$K$13,IF(AND(E42&gt;551,E42&lt;=600),$K$14,IF(AND(E42&gt;601,E42&lt;=650),$K$15,IF(AND(E42&gt;651,E42&lt;=700),$K$16,IF(AND(E42&gt;701,E42&lt;=750),$K$17,IF(AND(E42&gt;751,E42&lt;=800),$K$18,IF(AND(E42&gt;801,E42&lt;=8500),$K$19,"")))))))))))))))))</f>
        <v>1.5</v>
      </c>
      <c r="I42" s="119"/>
      <c r="J42" s="119"/>
      <c r="K42" s="119"/>
      <c r="L42" s="119"/>
    </row>
    <row r="43" spans="1:12" ht="29" x14ac:dyDescent="0.35">
      <c r="A43" s="118" t="str">
        <f>'initial ICR data summary'!B34</f>
        <v>K. Unique Cycles and EtO Reduction</v>
      </c>
      <c r="B43" s="119">
        <f>'initial ICR data summary'!C34</f>
        <v>13</v>
      </c>
      <c r="C43" s="120">
        <f>'initial ICR data summary'!AZ34</f>
        <v>0.88636363636363635</v>
      </c>
      <c r="D43" s="119" t="s">
        <v>176</v>
      </c>
      <c r="E43" s="119">
        <f t="shared" si="1"/>
        <v>13</v>
      </c>
      <c r="F43" s="118" t="s">
        <v>145</v>
      </c>
      <c r="G43" s="144"/>
      <c r="H43" s="121">
        <f>IF(AND(E43&gt;0,E43&lt;=50),$K$3,IF(AND(E43&gt;51,E43&lt;=100),$K$4,IF(AND(E43&gt;101,E43&lt;=150),$K$5,IF(AND(E43&gt;151,E43&lt;=200),$K$6,IF(AND(E43&gt;201,E43&lt;=250),$K$7,IF(AND(E43&gt;251,E43&lt;=300),$K$8,IF(AND(E43&gt;301,E43&lt;=350),$K$9,IF(AND(E43&gt;351,E43&lt;=400),$K$10,IF(AND(E43&gt;401,E43&lt;=450),$K$11,IF(AND(E43&gt;451,E43&lt;=500),$K$12,IF(AND(E43&gt;501,E43&lt;=550),$K$13,IF(AND(E43&gt;551,E43&lt;=600),$K$14,IF(AND(E43&gt;601,E43&lt;=650),$K$15,IF(AND(E43&gt;651,E43&lt;=700),$K$16,IF(AND(E43&gt;701,E43&lt;=750),$K$17,IF(AND(E43&gt;751,E43&lt;=800),$K$18,IF(AND(E43&gt;801,E43&lt;=8500),$K$19,"")))))))))))))))))</f>
        <v>1.5</v>
      </c>
      <c r="I43" s="119" t="s">
        <v>219</v>
      </c>
      <c r="J43" s="119"/>
      <c r="K43" s="119"/>
      <c r="L43" s="119"/>
    </row>
    <row r="44" spans="1:12" x14ac:dyDescent="0.35">
      <c r="A44" s="118" t="str">
        <f>'initial ICR data summary'!B35</f>
        <v>Table 1. EtO and Facility Operation</v>
      </c>
      <c r="B44" s="119">
        <f>'initial ICR data summary'!C35</f>
        <v>7</v>
      </c>
      <c r="C44" s="120" t="s">
        <v>41</v>
      </c>
      <c r="D44" s="119"/>
      <c r="E44" s="119">
        <v>7</v>
      </c>
      <c r="F44" s="118" t="s">
        <v>156</v>
      </c>
      <c r="G44" s="144"/>
      <c r="H44" s="121">
        <f>IF(AND(E44&gt;0,E44&lt;=50),$K$3,IF(AND(E44&gt;51,E44&lt;=100),$K$4,IF(AND(E44&gt;101,E44&lt;=150),$K$5,IF(AND(E44&gt;151,E44&lt;=200),$K$6,IF(AND(E44&gt;201,E44&lt;=250),$K$7,IF(AND(E44&gt;251,E44&lt;=300),$K$8,IF(AND(E44&gt;301,E44&lt;=350),$K$9,IF(AND(E44&gt;351,E44&lt;=400),$K$10,IF(AND(E44&gt;401,E44&lt;=450),$K$11,IF(AND(E44&gt;451,E44&lt;=500),$K$12,IF(AND(E44&gt;501,E44&lt;=550),$K$13,IF(AND(E44&gt;551,E44&lt;=600),$K$14,IF(AND(E44&gt;601,E44&lt;=650),$K$15,IF(AND(E44&gt;651,E44&lt;=700),$K$16,IF(AND(E44&gt;701,E44&lt;=750),$K$17,IF(AND(E44&gt;751,E44&lt;=800),$K$18,IF(AND(E44&gt;801,E44&lt;=8500),$K$19,"")))))))))))))))))</f>
        <v>1.5</v>
      </c>
      <c r="I44" s="119" t="s">
        <v>219</v>
      </c>
      <c r="J44" s="119" t="s">
        <v>279</v>
      </c>
      <c r="K44" s="119"/>
      <c r="L44" s="119"/>
    </row>
    <row r="45" spans="1:12" s="73" customFormat="1" ht="43.5" x14ac:dyDescent="0.35">
      <c r="A45" s="157" t="str">
        <f>'initial ICR data summary'!B36</f>
        <v>Table 2. Standalone Non-Colocated Warehouse, Distribution Center, or Enclosed Building for Sterilized Products</v>
      </c>
      <c r="B45" s="152">
        <f>'initial ICR data summary'!C36</f>
        <v>4</v>
      </c>
      <c r="C45" s="159">
        <v>2</v>
      </c>
      <c r="D45" s="152" t="s">
        <v>307</v>
      </c>
      <c r="E45" s="152">
        <v>8</v>
      </c>
      <c r="F45" s="157" t="s">
        <v>305</v>
      </c>
      <c r="G45" s="154"/>
      <c r="H45" s="154">
        <f t="shared" ref="H45:H46" si="2">IF(AND(E45&gt;0,E45&lt;=50),$K$3,IF(AND(E45&gt;51,E45&lt;=100),$K$4,IF(AND(E45&gt;101,E45&lt;=150),$K$5,IF(AND(E45&gt;151,E45&lt;=200),$K$6,IF(AND(E45&gt;201,E45&lt;=250),$K$7,IF(AND(E45&gt;251,E45&lt;=300),$K$8,IF(AND(E45&gt;301,E45&lt;=350),$K$9,IF(AND(E45&gt;351,E45&lt;=400),$K$10,IF(AND(E45&gt;401,E45&lt;=450),$K$11,IF(AND(E45&gt;451,E45&lt;=500),$K$12,IF(AND(E45&gt;501,E45&lt;=550),$K$13,IF(AND(E45&gt;551,E45&lt;=600),$K$14,IF(AND(E45&gt;601,E45&lt;=650),$K$15,IF(AND(E45&gt;651,E45&lt;=700),$K$16,IF(AND(E45&gt;701,E45&lt;=750),$K$17,IF(AND(E45&gt;751,E45&lt;=800),$K$18,IF(AND(E45&gt;801,E45&lt;=8500),$K$19,"")))))))))))))))))</f>
        <v>1.5</v>
      </c>
      <c r="I45" s="152"/>
      <c r="J45" s="152"/>
      <c r="K45" s="152"/>
      <c r="L45" s="152"/>
    </row>
    <row r="46" spans="1:12" s="73" customFormat="1" x14ac:dyDescent="0.35">
      <c r="A46" s="157" t="str">
        <f>'initial ICR data summary'!B37</f>
        <v>Table 3. Alternative Sterilization</v>
      </c>
      <c r="B46" s="152">
        <f>'initial ICR data summary'!C37</f>
        <v>2</v>
      </c>
      <c r="C46" s="159">
        <v>2</v>
      </c>
      <c r="D46" s="152" t="s">
        <v>308</v>
      </c>
      <c r="E46" s="152">
        <v>4</v>
      </c>
      <c r="F46" s="157" t="s">
        <v>305</v>
      </c>
      <c r="G46" s="154"/>
      <c r="H46" s="154">
        <f t="shared" si="2"/>
        <v>1.5</v>
      </c>
      <c r="I46" s="152"/>
      <c r="J46" s="152"/>
      <c r="K46" s="152"/>
      <c r="L46" s="152"/>
    </row>
    <row r="47" spans="1:12" x14ac:dyDescent="0.35">
      <c r="A47" s="122" t="s">
        <v>36</v>
      </c>
      <c r="B47" s="123"/>
      <c r="C47" s="124"/>
      <c r="D47" s="123"/>
      <c r="E47" s="123">
        <f>SUM(E42:E46)</f>
        <v>44</v>
      </c>
      <c r="F47" s="125"/>
      <c r="G47" s="167">
        <f>IF(AND(E47&gt;0,E47&lt;=50),$K$3,IF(AND(E47&gt;51,E47&lt;=100),$K$4,IF(AND(E47&gt;101,E47&lt;=150),$K$5,IF(AND(E47&gt;151,E47&lt;=200),$K$6,IF(AND(E47&gt;201,E47&lt;=250),$K$7,IF(AND(E47&gt;251,E47&lt;=300),$K$8,IF(AND(E47&gt;301,E47&lt;=350),$K$9,IF(AND(E47&gt;351,E47&lt;=400),$K$10,IF(AND(E47&gt;401,E47&lt;=450),$K$11,IF(AND(E47&gt;451,E47&lt;=500),$K$12,IF(AND(E47&gt;501,E47&lt;=550),$K$13,IF(AND(E47&gt;551,E47&lt;=600),$K$14,IF(AND(E47&gt;601,E47&lt;=650),$K$15,IF(AND(E47&gt;651,E47&lt;=700),$K$16,IF(AND(E47&gt;701,E47&lt;=750),$K$17,IF(AND(E47&gt;751,E47&lt;=800),$K$18,IF(AND(E47&gt;801,E47&lt;=8500),$K$19,"")))))))))))))))))</f>
        <v>1.5</v>
      </c>
      <c r="H47" s="123">
        <f>SUM(H43:H46)</f>
        <v>6</v>
      </c>
      <c r="I47" s="119" t="s">
        <v>229</v>
      </c>
      <c r="J47" s="119" t="s">
        <v>279</v>
      </c>
      <c r="K47" s="119"/>
      <c r="L47" s="119"/>
    </row>
    <row r="48" spans="1:12" ht="29" x14ac:dyDescent="0.35">
      <c r="A48" s="122" t="str">
        <f>'initial ICR data summary'!A38</f>
        <v>Additional Info</v>
      </c>
      <c r="B48" s="123">
        <f>'initial ICR data summary'!C38</f>
        <v>3</v>
      </c>
      <c r="C48" s="124">
        <f>'initial ICR data summary'!AZ38</f>
        <v>9.1363636363636367</v>
      </c>
      <c r="D48" s="123" t="s">
        <v>177</v>
      </c>
      <c r="E48" s="123">
        <f t="shared" si="1"/>
        <v>27</v>
      </c>
      <c r="F48" s="125" t="s">
        <v>145</v>
      </c>
      <c r="G48" s="167">
        <f>IF(AND(E48&gt;0,E48&lt;=50),$K$3,IF(AND(E48&gt;51,E48&lt;=100),$K$4,IF(AND(E48&gt;101,E48&lt;=150),$K$5,IF(AND(E48&gt;151,E48&lt;=200),$K$6,IF(AND(E48&gt;201,E48&lt;=250),$K$7,IF(AND(E48&gt;251,E48&lt;=300),$K$8,IF(AND(E48&gt;301,E48&lt;=350),$K$9,IF(AND(E48&gt;351,E48&lt;=400),$K$10,IF(AND(E48&gt;401,E48&lt;=450),$K$11,IF(AND(E48&gt;451,E48&lt;=500),$K$12,IF(AND(E48&gt;501,E48&lt;=550),$K$13,IF(AND(E48&gt;551,E48&lt;=600),$K$14,IF(AND(E48&gt;601,E48&lt;=650),$K$15,IF(AND(E48&gt;651,E48&lt;=700),$K$16,IF(AND(E48&gt;701,E48&lt;=750),$K$17,IF(AND(E48&gt;751,E48&lt;=800),$K$18,IF(AND(E48&gt;801,E48&lt;=8500),$K$19,"")))))))))))))))))</f>
        <v>1.5</v>
      </c>
      <c r="H48" s="123">
        <f>IF(AND(E48&gt;0,E48&lt;=50),$K$3,IF(AND(E48&gt;51,E48&lt;=100),$K$4,IF(AND(E48&gt;101,E48&lt;=150),$K$5,IF(AND(E48&gt;151,E48&lt;=200),$K$6,IF(AND(E48&gt;201,E48&lt;=250),$K$7,IF(AND(E48&gt;251,E48&lt;=300),$K$8,IF(AND(E48&gt;301,E48&lt;=350),$K$9,IF(AND(E48&gt;351,E48&lt;=400),$K$10,IF(AND(E48&gt;401,E48&lt;=450),$K$11,IF(AND(E48&gt;451,E48&lt;=500),$K$12,IF(AND(E48&gt;501,E48&lt;=550),$K$13,IF(AND(E48&gt;551,E48&lt;=600),$K$14,IF(AND(E48&gt;601,E48&lt;=650),$K$15,IF(AND(E48&gt;651,E48&lt;=700),$K$16,IF(AND(E48&gt;701,E48&lt;=750),$K$17,IF(AND(E48&gt;751,E48&lt;=800),$K$18,IF(AND(E48&gt;801,E48&lt;=8500),$K$19,"")))))))))))))))))</f>
        <v>1.5</v>
      </c>
      <c r="I48" s="119"/>
      <c r="J48" s="119"/>
      <c r="K48" s="119"/>
      <c r="L48" s="119"/>
    </row>
    <row r="49" spans="1:12" x14ac:dyDescent="0.35">
      <c r="A49" s="122" t="str">
        <f>'initial ICR data summary'!A39</f>
        <v>Attachments</v>
      </c>
      <c r="B49" s="123"/>
      <c r="C49" s="124">
        <f>'initial ICR data summary'!AZ39</f>
        <v>10.409090909090908</v>
      </c>
      <c r="D49" s="123" t="s">
        <v>40</v>
      </c>
      <c r="E49" s="123">
        <v>10</v>
      </c>
      <c r="F49" s="125" t="s">
        <v>181</v>
      </c>
      <c r="G49" s="167">
        <v>10</v>
      </c>
      <c r="H49" s="123">
        <v>10</v>
      </c>
      <c r="I49" s="119"/>
      <c r="J49" s="119"/>
      <c r="K49" s="119"/>
      <c r="L49" s="119"/>
    </row>
    <row r="50" spans="1:12" x14ac:dyDescent="0.35">
      <c r="A50" s="118"/>
      <c r="B50" s="119"/>
      <c r="C50" s="120"/>
      <c r="D50" s="119"/>
      <c r="E50" s="119"/>
      <c r="F50" s="118"/>
      <c r="G50" s="132"/>
      <c r="H50" s="119"/>
      <c r="I50" s="119"/>
      <c r="J50" s="119"/>
      <c r="K50" s="119"/>
      <c r="L50" s="119"/>
    </row>
    <row r="51" spans="1:12" x14ac:dyDescent="0.35">
      <c r="A51" s="118"/>
      <c r="B51" s="119"/>
      <c r="C51" s="120"/>
      <c r="D51" s="119"/>
      <c r="E51" s="119"/>
      <c r="F51" s="118"/>
      <c r="G51" s="132"/>
      <c r="H51" s="119"/>
      <c r="I51" s="119"/>
      <c r="J51" s="119"/>
      <c r="K51" s="119"/>
      <c r="L51" s="119"/>
    </row>
    <row r="52" spans="1:12" x14ac:dyDescent="0.35">
      <c r="A52" s="118"/>
      <c r="B52" s="119"/>
      <c r="C52" s="120"/>
      <c r="D52" s="119"/>
      <c r="E52" s="119"/>
      <c r="F52" s="118"/>
      <c r="G52" s="132"/>
      <c r="H52" s="119"/>
      <c r="I52" s="119"/>
      <c r="J52" s="119"/>
      <c r="K52" s="119"/>
      <c r="L52" s="119"/>
    </row>
    <row r="53" spans="1:12" x14ac:dyDescent="0.35">
      <c r="A53" s="118"/>
      <c r="B53" s="119"/>
      <c r="C53" s="120"/>
      <c r="D53" s="119"/>
      <c r="E53" s="119"/>
      <c r="F53" s="118"/>
      <c r="G53" s="132"/>
      <c r="H53" s="119"/>
    </row>
    <row r="54" spans="1:12" x14ac:dyDescent="0.35">
      <c r="A54" s="118"/>
      <c r="B54" s="119"/>
      <c r="C54" s="120"/>
      <c r="D54" s="119"/>
      <c r="E54" s="119"/>
      <c r="F54" s="118"/>
      <c r="G54" s="132"/>
      <c r="H54" s="119"/>
    </row>
  </sheetData>
  <autoFilter ref="A2:L47" xr:uid="{5E7B6D34-187E-4806-B836-A84B162E60CC}"/>
  <mergeCells count="7">
    <mergeCell ref="H1:H2"/>
    <mergeCell ref="A1:A2"/>
    <mergeCell ref="B1:B2"/>
    <mergeCell ref="E1:E2"/>
    <mergeCell ref="F1:F2"/>
    <mergeCell ref="C1:D1"/>
    <mergeCell ref="G1:G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734AD-FC3E-4287-832E-FB4AD9001E60}">
  <dimension ref="A1:BL69"/>
  <sheetViews>
    <sheetView zoomScale="75" zoomScaleNormal="75" workbookViewId="0">
      <pane xSplit="4" ySplit="1" topLeftCell="BD17" activePane="bottomRight" state="frozen"/>
      <selection pane="topRight" activeCell="E1" sqref="E1"/>
      <selection pane="bottomLeft" activeCell="A2" sqref="A2"/>
      <selection pane="bottomRight" activeCell="BC44" sqref="BC44"/>
    </sheetView>
  </sheetViews>
  <sheetFormatPr defaultColWidth="8.90625" defaultRowHeight="14.5" x14ac:dyDescent="0.35"/>
  <cols>
    <col min="1" max="1" width="18.54296875" style="155" bestFit="1" customWidth="1"/>
    <col min="2" max="2" width="39.6328125" style="158" customWidth="1"/>
    <col min="3" max="3" width="15.90625" style="155" customWidth="1"/>
    <col min="4" max="4" width="41.90625" style="155" customWidth="1"/>
    <col min="5" max="7" width="16" style="155" customWidth="1"/>
    <col min="8" max="9" width="13.08984375" style="155" bestFit="1" customWidth="1"/>
    <col min="10" max="10" width="13.453125" style="155" bestFit="1" customWidth="1"/>
    <col min="11" max="11" width="9.54296875" style="155" bestFit="1" customWidth="1"/>
    <col min="12" max="12" width="15.54296875" style="155" customWidth="1"/>
    <col min="13" max="13" width="13.6328125" style="155" customWidth="1"/>
    <col min="14" max="14" width="8.90625" style="155"/>
    <col min="15" max="15" width="17.54296875" style="155" bestFit="1" customWidth="1"/>
    <col min="16" max="16" width="15.90625" style="155" bestFit="1" customWidth="1"/>
    <col min="17" max="17" width="10.453125" style="155" bestFit="1" customWidth="1"/>
    <col min="18" max="18" width="12.54296875" style="155" bestFit="1" customWidth="1"/>
    <col min="19" max="19" width="10.54296875" style="155" bestFit="1" customWidth="1"/>
    <col min="20" max="20" width="12.6328125" style="155" bestFit="1" customWidth="1"/>
    <col min="21" max="21" width="9.08984375" style="155" bestFit="1" customWidth="1"/>
    <col min="22" max="22" width="15.453125" style="155" bestFit="1" customWidth="1"/>
    <col min="23" max="23" width="11" style="155" bestFit="1" customWidth="1"/>
    <col min="24" max="24" width="14.90625" style="156" bestFit="1" customWidth="1"/>
    <col min="25" max="25" width="14.54296875" style="155" bestFit="1" customWidth="1"/>
    <col min="26" max="26" width="10.08984375" style="155" bestFit="1" customWidth="1"/>
    <col min="27" max="27" width="11.36328125" style="155" bestFit="1" customWidth="1"/>
    <col min="28" max="28" width="16.08984375" style="155" bestFit="1" customWidth="1"/>
    <col min="29" max="29" width="15.08984375" style="156" bestFit="1" customWidth="1"/>
    <col min="30" max="30" width="16.90625" style="155" bestFit="1" customWidth="1"/>
    <col min="31" max="31" width="15.453125" style="155" bestFit="1" customWidth="1"/>
    <col min="32" max="32" width="12.90625" style="155" bestFit="1" customWidth="1"/>
    <col min="33" max="33" width="11" style="155" bestFit="1" customWidth="1"/>
    <col min="34" max="34" width="15.90625" style="155" bestFit="1" customWidth="1"/>
    <col min="35" max="35" width="16.453125" style="155" bestFit="1" customWidth="1"/>
    <col min="36" max="36" width="10.6328125" style="155" bestFit="1" customWidth="1"/>
    <col min="37" max="37" width="12.90625" style="155" bestFit="1" customWidth="1"/>
    <col min="38" max="38" width="11.08984375" style="155" bestFit="1" customWidth="1"/>
    <col min="39" max="39" width="10.6328125" style="155" bestFit="1" customWidth="1"/>
    <col min="40" max="40" width="17.90625" style="155" bestFit="1" customWidth="1"/>
    <col min="41" max="41" width="18.54296875" style="155" bestFit="1" customWidth="1"/>
    <col min="42" max="42" width="15" style="155" bestFit="1" customWidth="1"/>
    <col min="43" max="43" width="16.36328125" style="155" bestFit="1" customWidth="1"/>
    <col min="44" max="44" width="15.90625" style="155" bestFit="1" customWidth="1"/>
    <col min="45" max="45" width="13.36328125" style="155" customWidth="1"/>
    <col min="46" max="46" width="12.6328125" style="155" bestFit="1" customWidth="1"/>
    <col min="47" max="47" width="13.36328125" style="155" bestFit="1" customWidth="1"/>
    <col min="48" max="48" width="13.08984375" style="155" bestFit="1" customWidth="1"/>
    <col min="49" max="55" width="8.90625" style="155"/>
    <col min="56" max="56" width="10.453125" style="155" bestFit="1" customWidth="1"/>
    <col min="57" max="57" width="37.36328125" style="155" customWidth="1"/>
    <col min="58" max="58" width="10.36328125" style="155" customWidth="1"/>
    <col min="59" max="16384" width="8.90625" style="155"/>
  </cols>
  <sheetData>
    <row r="1" spans="1:64" s="149" customFormat="1" x14ac:dyDescent="0.35">
      <c r="A1" s="149" t="s">
        <v>42</v>
      </c>
      <c r="B1" s="150" t="s">
        <v>43</v>
      </c>
      <c r="C1" s="149" t="s">
        <v>44</v>
      </c>
      <c r="D1" s="149" t="s">
        <v>91</v>
      </c>
      <c r="E1" s="149" t="s">
        <v>47</v>
      </c>
      <c r="F1" s="149" t="s">
        <v>48</v>
      </c>
      <c r="G1" s="149" t="s">
        <v>49</v>
      </c>
      <c r="H1" s="149" t="s">
        <v>45</v>
      </c>
      <c r="I1" s="149" t="s">
        <v>46</v>
      </c>
      <c r="J1" s="149" t="s">
        <v>53</v>
      </c>
      <c r="K1" s="149" t="s">
        <v>54</v>
      </c>
      <c r="L1" s="149" t="s">
        <v>50</v>
      </c>
      <c r="M1" s="149" t="s">
        <v>51</v>
      </c>
      <c r="N1" s="149" t="s">
        <v>52</v>
      </c>
      <c r="O1" s="149" t="s">
        <v>75</v>
      </c>
      <c r="P1" s="149" t="s">
        <v>76</v>
      </c>
      <c r="Q1" s="149" t="s">
        <v>55</v>
      </c>
      <c r="R1" s="149" t="s">
        <v>56</v>
      </c>
      <c r="S1" s="149" t="s">
        <v>57</v>
      </c>
      <c r="T1" s="149" t="s">
        <v>58</v>
      </c>
      <c r="U1" s="149" t="s">
        <v>59</v>
      </c>
      <c r="V1" s="149" t="s">
        <v>60</v>
      </c>
      <c r="W1" s="149" t="s">
        <v>77</v>
      </c>
      <c r="X1" s="151" t="s">
        <v>61</v>
      </c>
      <c r="Y1" s="149" t="s">
        <v>62</v>
      </c>
      <c r="Z1" s="149" t="s">
        <v>63</v>
      </c>
      <c r="AA1" s="149" t="s">
        <v>64</v>
      </c>
      <c r="AB1" s="149" t="s">
        <v>65</v>
      </c>
      <c r="AC1" s="151" t="s">
        <v>78</v>
      </c>
      <c r="AD1" s="149" t="s">
        <v>79</v>
      </c>
      <c r="AE1" s="149" t="s">
        <v>66</v>
      </c>
      <c r="AF1" s="149" t="s">
        <v>67</v>
      </c>
      <c r="AG1" s="149" t="s">
        <v>68</v>
      </c>
      <c r="AH1" s="149" t="s">
        <v>69</v>
      </c>
      <c r="AI1" s="149" t="s">
        <v>70</v>
      </c>
      <c r="AJ1" s="149" t="s">
        <v>71</v>
      </c>
      <c r="AK1" s="149" t="s">
        <v>72</v>
      </c>
      <c r="AL1" s="149" t="s">
        <v>73</v>
      </c>
      <c r="AM1" s="149" t="s">
        <v>74</v>
      </c>
      <c r="AN1" s="149" t="s">
        <v>80</v>
      </c>
      <c r="AO1" s="149" t="s">
        <v>81</v>
      </c>
      <c r="AP1" s="149" t="s">
        <v>82</v>
      </c>
      <c r="AQ1" s="149" t="s">
        <v>83</v>
      </c>
      <c r="AR1" s="149" t="s">
        <v>84</v>
      </c>
      <c r="AS1" s="149" t="s">
        <v>87</v>
      </c>
      <c r="AT1" s="149" t="s">
        <v>88</v>
      </c>
      <c r="AU1" s="149" t="s">
        <v>85</v>
      </c>
      <c r="AV1" s="149" t="s">
        <v>86</v>
      </c>
      <c r="AX1" s="149" t="s">
        <v>101</v>
      </c>
      <c r="AY1" s="149" t="s">
        <v>102</v>
      </c>
      <c r="AZ1" s="149" t="s">
        <v>103</v>
      </c>
      <c r="BA1" s="149" t="s">
        <v>104</v>
      </c>
      <c r="BB1" s="149" t="s">
        <v>105</v>
      </c>
      <c r="BD1" s="149" t="s">
        <v>116</v>
      </c>
    </row>
    <row r="2" spans="1:64" x14ac:dyDescent="0.35">
      <c r="A2" s="152" t="s">
        <v>8</v>
      </c>
      <c r="B2" s="153" t="s">
        <v>0</v>
      </c>
      <c r="C2" s="152">
        <v>12</v>
      </c>
      <c r="D2" s="152" t="s">
        <v>94</v>
      </c>
      <c r="E2" s="152">
        <v>11</v>
      </c>
      <c r="F2" s="152">
        <v>11</v>
      </c>
      <c r="G2" s="152">
        <v>11</v>
      </c>
      <c r="H2" s="152">
        <v>11</v>
      </c>
      <c r="I2" s="152">
        <v>11</v>
      </c>
      <c r="J2" s="152">
        <v>11</v>
      </c>
      <c r="K2" s="152">
        <v>12</v>
      </c>
      <c r="L2" s="152">
        <v>12</v>
      </c>
      <c r="M2" s="152">
        <v>11</v>
      </c>
      <c r="N2" s="152">
        <v>11</v>
      </c>
      <c r="O2" s="152">
        <v>12</v>
      </c>
      <c r="P2" s="152">
        <v>12</v>
      </c>
      <c r="Q2" s="152">
        <v>12</v>
      </c>
      <c r="R2" s="152">
        <v>12</v>
      </c>
      <c r="S2" s="152">
        <v>12</v>
      </c>
      <c r="T2" s="152">
        <v>11</v>
      </c>
      <c r="U2" s="152">
        <v>11</v>
      </c>
      <c r="V2" s="152">
        <v>12</v>
      </c>
      <c r="W2" s="152">
        <v>12</v>
      </c>
      <c r="X2" s="154">
        <v>11</v>
      </c>
      <c r="Y2" s="154">
        <v>12</v>
      </c>
      <c r="Z2" s="154">
        <v>12</v>
      </c>
      <c r="AA2" s="154">
        <v>12</v>
      </c>
      <c r="AB2" s="154">
        <v>11</v>
      </c>
      <c r="AC2" s="154">
        <v>11</v>
      </c>
      <c r="AD2" s="154">
        <v>11</v>
      </c>
      <c r="AE2" s="154">
        <v>12</v>
      </c>
      <c r="AF2" s="154">
        <v>12</v>
      </c>
      <c r="AG2" s="154">
        <v>12</v>
      </c>
      <c r="AH2" s="154">
        <v>12</v>
      </c>
      <c r="AI2" s="154">
        <v>12</v>
      </c>
      <c r="AJ2" s="154">
        <v>11</v>
      </c>
      <c r="AK2" s="154">
        <v>12</v>
      </c>
      <c r="AL2" s="154">
        <v>12</v>
      </c>
      <c r="AM2" s="154">
        <v>11</v>
      </c>
      <c r="AN2" s="154">
        <v>12</v>
      </c>
      <c r="AO2" s="154">
        <v>11</v>
      </c>
      <c r="AP2" s="154">
        <v>11</v>
      </c>
      <c r="AQ2" s="154">
        <v>12</v>
      </c>
      <c r="AR2" s="154">
        <v>11</v>
      </c>
      <c r="AS2" s="154">
        <v>11</v>
      </c>
      <c r="AT2" s="154">
        <v>11</v>
      </c>
      <c r="AU2" s="154">
        <v>11</v>
      </c>
      <c r="AV2" s="154">
        <v>11</v>
      </c>
      <c r="AW2" s="152"/>
      <c r="AX2" s="152">
        <f>MIN(E2:AV2)</f>
        <v>11</v>
      </c>
      <c r="AY2" s="152">
        <f>MAX(E2:AV2)</f>
        <v>12</v>
      </c>
      <c r="AZ2" s="152">
        <f>AVERAGE(E2:AV2)</f>
        <v>11.477272727272727</v>
      </c>
      <c r="BA2" s="152">
        <f>MODE(E2:AV2)</f>
        <v>11</v>
      </c>
      <c r="BB2" s="152">
        <f>MEDIAN(E2:AV2)</f>
        <v>11</v>
      </c>
      <c r="BC2" s="152"/>
      <c r="BD2" s="152">
        <v>12</v>
      </c>
      <c r="BE2" s="152" t="s">
        <v>118</v>
      </c>
      <c r="BF2" s="152"/>
      <c r="BG2" s="152"/>
      <c r="BH2" s="152"/>
      <c r="BI2" s="152"/>
      <c r="BJ2" s="152"/>
      <c r="BK2" s="152"/>
      <c r="BL2" s="152"/>
    </row>
    <row r="3" spans="1:64" x14ac:dyDescent="0.35">
      <c r="A3" s="152" t="s">
        <v>8</v>
      </c>
      <c r="B3" s="153" t="s">
        <v>1</v>
      </c>
      <c r="C3" s="152">
        <v>8</v>
      </c>
      <c r="D3" s="152" t="s">
        <v>94</v>
      </c>
      <c r="E3" s="152">
        <v>8</v>
      </c>
      <c r="F3" s="152">
        <v>8</v>
      </c>
      <c r="G3" s="152">
        <v>8</v>
      </c>
      <c r="H3" s="152">
        <v>8</v>
      </c>
      <c r="I3" s="152">
        <v>8</v>
      </c>
      <c r="J3" s="152">
        <v>8</v>
      </c>
      <c r="K3" s="152">
        <v>8</v>
      </c>
      <c r="L3" s="152">
        <v>8</v>
      </c>
      <c r="M3" s="152">
        <v>8</v>
      </c>
      <c r="N3" s="152">
        <v>8</v>
      </c>
      <c r="O3" s="152">
        <v>8</v>
      </c>
      <c r="P3" s="152">
        <v>8</v>
      </c>
      <c r="Q3" s="152">
        <v>8</v>
      </c>
      <c r="R3" s="152">
        <v>8</v>
      </c>
      <c r="S3" s="152">
        <v>8</v>
      </c>
      <c r="T3" s="152">
        <v>8</v>
      </c>
      <c r="U3" s="152">
        <v>8</v>
      </c>
      <c r="V3" s="152">
        <v>8</v>
      </c>
      <c r="W3" s="152">
        <v>8</v>
      </c>
      <c r="X3" s="154">
        <v>8</v>
      </c>
      <c r="Y3" s="154">
        <v>8</v>
      </c>
      <c r="Z3" s="154">
        <v>8</v>
      </c>
      <c r="AA3" s="154">
        <v>8</v>
      </c>
      <c r="AB3" s="154">
        <v>8</v>
      </c>
      <c r="AC3" s="154">
        <v>8</v>
      </c>
      <c r="AD3" s="154">
        <v>0</v>
      </c>
      <c r="AE3" s="154">
        <v>8</v>
      </c>
      <c r="AF3" s="154">
        <v>8</v>
      </c>
      <c r="AG3" s="154">
        <v>8</v>
      </c>
      <c r="AH3" s="154">
        <v>8</v>
      </c>
      <c r="AI3" s="154">
        <v>8</v>
      </c>
      <c r="AJ3" s="154">
        <v>8</v>
      </c>
      <c r="AK3" s="154">
        <v>8</v>
      </c>
      <c r="AL3" s="154">
        <v>8</v>
      </c>
      <c r="AM3" s="154">
        <v>8</v>
      </c>
      <c r="AN3" s="154">
        <v>8</v>
      </c>
      <c r="AO3" s="154">
        <v>8</v>
      </c>
      <c r="AP3" s="154">
        <v>8</v>
      </c>
      <c r="AQ3" s="154">
        <v>8</v>
      </c>
      <c r="AR3" s="154">
        <v>8</v>
      </c>
      <c r="AS3" s="154">
        <v>8</v>
      </c>
      <c r="AT3" s="154">
        <v>8</v>
      </c>
      <c r="AU3" s="154">
        <v>8</v>
      </c>
      <c r="AV3" s="154">
        <v>8</v>
      </c>
      <c r="AW3" s="152"/>
      <c r="AX3" s="152">
        <f t="shared" ref="AX3:AX39" si="0">MIN(E3:AV3)</f>
        <v>0</v>
      </c>
      <c r="AY3" s="152">
        <f t="shared" ref="AY3:AY39" si="1">MAX(E3:AV3)</f>
        <v>8</v>
      </c>
      <c r="AZ3" s="152">
        <f t="shared" ref="AZ3:AZ39" si="2">AVERAGE(E3:AV3)</f>
        <v>7.8181818181818183</v>
      </c>
      <c r="BA3" s="152">
        <f t="shared" ref="BA3:BA39" si="3">MODE(E3:AV3)</f>
        <v>8</v>
      </c>
      <c r="BB3" s="152">
        <f t="shared" ref="BB3:BB39" si="4">MEDIAN(E3:AV3)</f>
        <v>8</v>
      </c>
      <c r="BC3" s="152"/>
      <c r="BD3" s="152">
        <v>8</v>
      </c>
      <c r="BE3" s="152" t="s">
        <v>118</v>
      </c>
      <c r="BF3" s="152"/>
      <c r="BG3" s="152"/>
      <c r="BH3" s="152"/>
      <c r="BI3" s="152"/>
      <c r="BJ3" s="152"/>
      <c r="BK3" s="152"/>
      <c r="BL3" s="152"/>
    </row>
    <row r="4" spans="1:64" x14ac:dyDescent="0.35">
      <c r="A4" s="152" t="s">
        <v>8</v>
      </c>
      <c r="B4" s="153" t="s">
        <v>2</v>
      </c>
      <c r="C4" s="152">
        <v>5</v>
      </c>
      <c r="D4" s="152" t="s">
        <v>89</v>
      </c>
      <c r="E4" s="152" t="s">
        <v>99</v>
      </c>
      <c r="F4" s="152" t="s">
        <v>99</v>
      </c>
      <c r="G4" s="152" t="s">
        <v>99</v>
      </c>
      <c r="H4" s="152" t="s">
        <v>99</v>
      </c>
      <c r="I4" s="152" t="s">
        <v>99</v>
      </c>
      <c r="J4" s="152" t="s">
        <v>99</v>
      </c>
      <c r="K4" s="152" t="s">
        <v>99</v>
      </c>
      <c r="L4" s="152" t="s">
        <v>99</v>
      </c>
      <c r="M4" s="152" t="s">
        <v>99</v>
      </c>
      <c r="N4" s="152" t="s">
        <v>99</v>
      </c>
      <c r="O4" s="152" t="s">
        <v>99</v>
      </c>
      <c r="P4" s="152" t="s">
        <v>99</v>
      </c>
      <c r="Q4" s="152" t="s">
        <v>99</v>
      </c>
      <c r="R4" s="152" t="s">
        <v>99</v>
      </c>
      <c r="S4" s="152" t="s">
        <v>99</v>
      </c>
      <c r="T4" s="152" t="s">
        <v>99</v>
      </c>
      <c r="U4" s="152" t="s">
        <v>99</v>
      </c>
      <c r="V4" s="152" t="s">
        <v>99</v>
      </c>
      <c r="W4" s="152" t="s">
        <v>99</v>
      </c>
      <c r="X4" s="154" t="s">
        <v>99</v>
      </c>
      <c r="Y4" s="152" t="s">
        <v>99</v>
      </c>
      <c r="Z4" s="152" t="s">
        <v>99</v>
      </c>
      <c r="AA4" s="152" t="s">
        <v>99</v>
      </c>
      <c r="AB4" s="152" t="s">
        <v>99</v>
      </c>
      <c r="AC4" s="154" t="s">
        <v>99</v>
      </c>
      <c r="AD4" s="152" t="s">
        <v>99</v>
      </c>
      <c r="AE4" s="152" t="s">
        <v>99</v>
      </c>
      <c r="AF4" s="152" t="s">
        <v>99</v>
      </c>
      <c r="AG4" s="152" t="s">
        <v>99</v>
      </c>
      <c r="AH4" s="152" t="s">
        <v>99</v>
      </c>
      <c r="AI4" s="152" t="s">
        <v>99</v>
      </c>
      <c r="AJ4" s="152" t="s">
        <v>99</v>
      </c>
      <c r="AK4" s="152" t="s">
        <v>99</v>
      </c>
      <c r="AL4" s="152" t="s">
        <v>99</v>
      </c>
      <c r="AM4" s="152" t="s">
        <v>99</v>
      </c>
      <c r="AN4" s="152" t="s">
        <v>99</v>
      </c>
      <c r="AO4" s="152" t="s">
        <v>99</v>
      </c>
      <c r="AP4" s="152" t="s">
        <v>99</v>
      </c>
      <c r="AQ4" s="152" t="s">
        <v>99</v>
      </c>
      <c r="AR4" s="152" t="s">
        <v>99</v>
      </c>
      <c r="AS4" s="152" t="s">
        <v>99</v>
      </c>
      <c r="AT4" s="152" t="s">
        <v>99</v>
      </c>
      <c r="AU4" s="152" t="s">
        <v>99</v>
      </c>
      <c r="AV4" s="152" t="s">
        <v>99</v>
      </c>
      <c r="AW4" s="152"/>
      <c r="AX4" s="152"/>
      <c r="AY4" s="152"/>
      <c r="AZ4" s="152"/>
      <c r="BA4" s="152"/>
      <c r="BB4" s="152"/>
      <c r="BC4" s="152"/>
      <c r="BD4" s="152" t="s">
        <v>41</v>
      </c>
      <c r="BE4" s="152"/>
      <c r="BF4" s="152"/>
      <c r="BG4" s="152"/>
      <c r="BH4" s="152"/>
      <c r="BI4" s="152"/>
      <c r="BJ4" s="152"/>
      <c r="BK4" s="152"/>
      <c r="BL4" s="152"/>
    </row>
    <row r="5" spans="1:64" s="131" customFormat="1" x14ac:dyDescent="0.35">
      <c r="A5" s="145" t="s">
        <v>8</v>
      </c>
      <c r="B5" s="146" t="s">
        <v>3</v>
      </c>
      <c r="C5" s="145">
        <v>10</v>
      </c>
      <c r="D5" s="145" t="s">
        <v>92</v>
      </c>
      <c r="E5" s="145">
        <v>4</v>
      </c>
      <c r="F5" s="145">
        <v>4</v>
      </c>
      <c r="G5" s="145">
        <v>4</v>
      </c>
      <c r="H5" s="145">
        <v>1</v>
      </c>
      <c r="I5" s="145">
        <v>1</v>
      </c>
      <c r="J5" s="145">
        <v>3</v>
      </c>
      <c r="K5" s="145">
        <v>1</v>
      </c>
      <c r="L5" s="145">
        <v>1</v>
      </c>
      <c r="M5" s="145">
        <v>1</v>
      </c>
      <c r="N5" s="145">
        <v>1</v>
      </c>
      <c r="O5" s="145">
        <v>1</v>
      </c>
      <c r="P5" s="145">
        <v>1</v>
      </c>
      <c r="Q5" s="145">
        <v>1</v>
      </c>
      <c r="R5" s="145">
        <v>1</v>
      </c>
      <c r="S5" s="145">
        <v>1</v>
      </c>
      <c r="T5" s="145">
        <v>1</v>
      </c>
      <c r="U5" s="145">
        <v>1</v>
      </c>
      <c r="V5" s="145">
        <v>1</v>
      </c>
      <c r="W5" s="145">
        <v>2</v>
      </c>
      <c r="X5" s="145">
        <v>1</v>
      </c>
      <c r="Y5" s="145">
        <v>1</v>
      </c>
      <c r="Z5" s="145">
        <v>1</v>
      </c>
      <c r="AA5" s="145">
        <v>2</v>
      </c>
      <c r="AB5" s="145">
        <v>1</v>
      </c>
      <c r="AC5" s="145">
        <v>2</v>
      </c>
      <c r="AD5" s="145">
        <v>3</v>
      </c>
      <c r="AE5" s="145">
        <v>1</v>
      </c>
      <c r="AF5" s="145">
        <v>4</v>
      </c>
      <c r="AG5" s="145">
        <v>3</v>
      </c>
      <c r="AH5" s="145">
        <v>2</v>
      </c>
      <c r="AI5" s="145">
        <v>2</v>
      </c>
      <c r="AJ5" s="145">
        <v>1</v>
      </c>
      <c r="AK5" s="145">
        <v>1</v>
      </c>
      <c r="AL5" s="145">
        <v>1</v>
      </c>
      <c r="AM5" s="145">
        <v>1</v>
      </c>
      <c r="AN5" s="145">
        <v>1</v>
      </c>
      <c r="AO5" s="145">
        <v>1</v>
      </c>
      <c r="AP5" s="145">
        <v>1</v>
      </c>
      <c r="AQ5" s="145">
        <v>1</v>
      </c>
      <c r="AR5" s="145">
        <v>1</v>
      </c>
      <c r="AS5" s="145">
        <v>1</v>
      </c>
      <c r="AT5" s="145">
        <v>1</v>
      </c>
      <c r="AU5" s="145">
        <v>1</v>
      </c>
      <c r="AV5" s="145">
        <v>1</v>
      </c>
      <c r="AW5" s="145"/>
      <c r="AX5" s="145">
        <f t="shared" si="0"/>
        <v>1</v>
      </c>
      <c r="AY5" s="145">
        <f t="shared" si="1"/>
        <v>4</v>
      </c>
      <c r="AZ5" s="145">
        <f t="shared" si="2"/>
        <v>1.5227272727272727</v>
      </c>
      <c r="BA5" s="145">
        <f t="shared" si="3"/>
        <v>1</v>
      </c>
      <c r="BB5" s="145">
        <f t="shared" si="4"/>
        <v>1</v>
      </c>
      <c r="BC5" s="145"/>
      <c r="BD5" s="145">
        <f>2*10</f>
        <v>20</v>
      </c>
      <c r="BE5" s="145" t="s">
        <v>117</v>
      </c>
      <c r="BF5" s="145"/>
      <c r="BG5" s="145"/>
      <c r="BH5" s="145"/>
      <c r="BI5" s="145"/>
      <c r="BJ5" s="145"/>
      <c r="BK5" s="145"/>
      <c r="BL5" s="145"/>
    </row>
    <row r="6" spans="1:64" x14ac:dyDescent="0.35">
      <c r="A6" s="152" t="s">
        <v>8</v>
      </c>
      <c r="B6" s="153" t="s">
        <v>90</v>
      </c>
      <c r="C6" s="152">
        <v>9</v>
      </c>
      <c r="D6" s="152" t="s">
        <v>293</v>
      </c>
      <c r="E6" s="152">
        <v>41</v>
      </c>
      <c r="F6" s="152">
        <v>41</v>
      </c>
      <c r="G6" s="152">
        <v>41</v>
      </c>
      <c r="H6" s="152">
        <v>41</v>
      </c>
      <c r="I6" s="152">
        <v>41</v>
      </c>
      <c r="J6" s="152">
        <v>41</v>
      </c>
      <c r="K6" s="152">
        <v>39</v>
      </c>
      <c r="L6" s="152">
        <v>21</v>
      </c>
      <c r="M6" s="152">
        <v>38</v>
      </c>
      <c r="N6" s="152">
        <v>34</v>
      </c>
      <c r="O6" s="152">
        <v>38</v>
      </c>
      <c r="P6" s="152">
        <v>39</v>
      </c>
      <c r="Q6" s="152">
        <v>39</v>
      </c>
      <c r="R6" s="152">
        <v>33</v>
      </c>
      <c r="S6" s="152">
        <v>32</v>
      </c>
      <c r="T6" s="152">
        <v>38</v>
      </c>
      <c r="U6" s="152">
        <v>28</v>
      </c>
      <c r="V6" s="152">
        <v>42</v>
      </c>
      <c r="W6" s="152">
        <v>42</v>
      </c>
      <c r="X6" s="154">
        <v>42</v>
      </c>
      <c r="Y6" s="154">
        <v>42</v>
      </c>
      <c r="Z6" s="154">
        <v>42</v>
      </c>
      <c r="AA6" s="154">
        <v>30</v>
      </c>
      <c r="AB6" s="154">
        <v>42</v>
      </c>
      <c r="AC6" s="154">
        <v>42</v>
      </c>
      <c r="AD6" s="154">
        <v>42</v>
      </c>
      <c r="AE6" s="154">
        <v>38</v>
      </c>
      <c r="AF6" s="154">
        <v>38</v>
      </c>
      <c r="AG6" s="154">
        <v>37</v>
      </c>
      <c r="AH6" s="154">
        <v>38</v>
      </c>
      <c r="AI6" s="154">
        <v>37</v>
      </c>
      <c r="AJ6" s="154">
        <v>37</v>
      </c>
      <c r="AK6" s="154">
        <v>37</v>
      </c>
      <c r="AL6" s="154">
        <v>38</v>
      </c>
      <c r="AM6" s="154">
        <v>38</v>
      </c>
      <c r="AN6" s="154">
        <v>42</v>
      </c>
      <c r="AO6" s="154">
        <v>42</v>
      </c>
      <c r="AP6" s="154">
        <v>42</v>
      </c>
      <c r="AQ6" s="154">
        <v>42</v>
      </c>
      <c r="AR6" s="154">
        <v>42</v>
      </c>
      <c r="AS6" s="154">
        <v>42</v>
      </c>
      <c r="AT6" s="154">
        <v>42</v>
      </c>
      <c r="AU6" s="154">
        <v>42</v>
      </c>
      <c r="AV6" s="154">
        <v>42</v>
      </c>
      <c r="AW6" s="152"/>
      <c r="AX6" s="152">
        <f t="shared" si="0"/>
        <v>21</v>
      </c>
      <c r="AY6" s="152">
        <f t="shared" si="1"/>
        <v>42</v>
      </c>
      <c r="AZ6" s="152">
        <f t="shared" si="2"/>
        <v>38.795454545454547</v>
      </c>
      <c r="BA6" s="152">
        <f t="shared" si="3"/>
        <v>42</v>
      </c>
      <c r="BB6" s="152">
        <f t="shared" si="4"/>
        <v>41</v>
      </c>
      <c r="BC6" s="152"/>
      <c r="BD6" s="152">
        <v>42</v>
      </c>
      <c r="BE6" s="152" t="s">
        <v>118</v>
      </c>
      <c r="BF6" s="152"/>
      <c r="BG6" s="152"/>
      <c r="BH6" s="152"/>
      <c r="BI6" s="152"/>
      <c r="BJ6" s="152"/>
      <c r="BK6" s="152"/>
      <c r="BL6" s="152"/>
    </row>
    <row r="7" spans="1:64" s="156" customFormat="1" x14ac:dyDescent="0.35">
      <c r="A7" s="154" t="s">
        <v>8</v>
      </c>
      <c r="B7" s="153" t="s">
        <v>288</v>
      </c>
      <c r="C7" s="154">
        <v>5</v>
      </c>
      <c r="D7" s="154" t="s">
        <v>296</v>
      </c>
      <c r="E7" s="154" t="s">
        <v>297</v>
      </c>
      <c r="F7" s="154" t="s">
        <v>297</v>
      </c>
      <c r="G7" s="154" t="s">
        <v>297</v>
      </c>
      <c r="H7" s="154" t="s">
        <v>297</v>
      </c>
      <c r="I7" s="154" t="s">
        <v>297</v>
      </c>
      <c r="J7" s="154" t="s">
        <v>297</v>
      </c>
      <c r="K7" s="154" t="s">
        <v>297</v>
      </c>
      <c r="L7" s="154" t="s">
        <v>297</v>
      </c>
      <c r="M7" s="154" t="s">
        <v>297</v>
      </c>
      <c r="N7" s="154" t="s">
        <v>297</v>
      </c>
      <c r="O7" s="154" t="s">
        <v>297</v>
      </c>
      <c r="P7" s="154" t="s">
        <v>297</v>
      </c>
      <c r="Q7" s="154" t="s">
        <v>297</v>
      </c>
      <c r="R7" s="154" t="s">
        <v>297</v>
      </c>
      <c r="S7" s="154" t="s">
        <v>297</v>
      </c>
      <c r="T7" s="154" t="s">
        <v>297</v>
      </c>
      <c r="U7" s="154" t="s">
        <v>297</v>
      </c>
      <c r="V7" s="154" t="s">
        <v>297</v>
      </c>
      <c r="W7" s="154" t="s">
        <v>297</v>
      </c>
      <c r="X7" s="154" t="s">
        <v>297</v>
      </c>
      <c r="Y7" s="154" t="s">
        <v>297</v>
      </c>
      <c r="Z7" s="154" t="s">
        <v>297</v>
      </c>
      <c r="AA7" s="154" t="s">
        <v>297</v>
      </c>
      <c r="AB7" s="154" t="s">
        <v>297</v>
      </c>
      <c r="AC7" s="154" t="s">
        <v>297</v>
      </c>
      <c r="AD7" s="154" t="s">
        <v>297</v>
      </c>
      <c r="AE7" s="154" t="s">
        <v>297</v>
      </c>
      <c r="AF7" s="154" t="s">
        <v>297</v>
      </c>
      <c r="AG7" s="154" t="s">
        <v>297</v>
      </c>
      <c r="AH7" s="154" t="s">
        <v>297</v>
      </c>
      <c r="AI7" s="154" t="s">
        <v>297</v>
      </c>
      <c r="AJ7" s="154" t="s">
        <v>297</v>
      </c>
      <c r="AK7" s="154" t="s">
        <v>297</v>
      </c>
      <c r="AL7" s="154" t="s">
        <v>297</v>
      </c>
      <c r="AM7" s="154" t="s">
        <v>297</v>
      </c>
      <c r="AN7" s="154" t="s">
        <v>297</v>
      </c>
      <c r="AO7" s="154" t="s">
        <v>297</v>
      </c>
      <c r="AP7" s="154" t="s">
        <v>297</v>
      </c>
      <c r="AQ7" s="154" t="s">
        <v>297</v>
      </c>
      <c r="AR7" s="154" t="s">
        <v>297</v>
      </c>
      <c r="AS7" s="154" t="s">
        <v>297</v>
      </c>
      <c r="AT7" s="154" t="s">
        <v>297</v>
      </c>
      <c r="AU7" s="154" t="s">
        <v>297</v>
      </c>
      <c r="AV7" s="154" t="s">
        <v>297</v>
      </c>
      <c r="AW7" s="154"/>
      <c r="AX7" s="154"/>
      <c r="AY7" s="154"/>
      <c r="AZ7" s="154"/>
      <c r="BA7" s="154"/>
      <c r="BB7" s="154"/>
      <c r="BC7" s="154"/>
      <c r="BD7" s="154">
        <v>20</v>
      </c>
      <c r="BE7" s="154" t="s">
        <v>298</v>
      </c>
      <c r="BF7" s="154"/>
      <c r="BG7" s="154"/>
      <c r="BH7" s="154"/>
      <c r="BI7" s="154"/>
      <c r="BJ7" s="154"/>
      <c r="BK7" s="154"/>
      <c r="BL7" s="154"/>
    </row>
    <row r="8" spans="1:64" s="156" customFormat="1" ht="29" x14ac:dyDescent="0.35">
      <c r="A8" s="144" t="s">
        <v>8</v>
      </c>
      <c r="B8" s="165" t="s">
        <v>289</v>
      </c>
      <c r="C8" s="144">
        <v>4</v>
      </c>
      <c r="D8" s="144" t="s">
        <v>295</v>
      </c>
      <c r="E8" s="144" t="s">
        <v>297</v>
      </c>
      <c r="F8" s="144" t="s">
        <v>297</v>
      </c>
      <c r="G8" s="144" t="s">
        <v>297</v>
      </c>
      <c r="H8" s="144" t="s">
        <v>297</v>
      </c>
      <c r="I8" s="144" t="s">
        <v>297</v>
      </c>
      <c r="J8" s="144" t="s">
        <v>297</v>
      </c>
      <c r="K8" s="144" t="s">
        <v>297</v>
      </c>
      <c r="L8" s="144" t="s">
        <v>297</v>
      </c>
      <c r="M8" s="144" t="s">
        <v>297</v>
      </c>
      <c r="N8" s="144" t="s">
        <v>297</v>
      </c>
      <c r="O8" s="144" t="s">
        <v>297</v>
      </c>
      <c r="P8" s="144" t="s">
        <v>297</v>
      </c>
      <c r="Q8" s="144" t="s">
        <v>297</v>
      </c>
      <c r="R8" s="144" t="s">
        <v>297</v>
      </c>
      <c r="S8" s="144" t="s">
        <v>297</v>
      </c>
      <c r="T8" s="144" t="s">
        <v>297</v>
      </c>
      <c r="U8" s="144" t="s">
        <v>297</v>
      </c>
      <c r="V8" s="144" t="s">
        <v>297</v>
      </c>
      <c r="W8" s="144" t="s">
        <v>297</v>
      </c>
      <c r="X8" s="144" t="s">
        <v>297</v>
      </c>
      <c r="Y8" s="144" t="s">
        <v>297</v>
      </c>
      <c r="Z8" s="144" t="s">
        <v>297</v>
      </c>
      <c r="AA8" s="144" t="s">
        <v>297</v>
      </c>
      <c r="AB8" s="144" t="s">
        <v>297</v>
      </c>
      <c r="AC8" s="144" t="s">
        <v>297</v>
      </c>
      <c r="AD8" s="144" t="s">
        <v>297</v>
      </c>
      <c r="AE8" s="144" t="s">
        <v>297</v>
      </c>
      <c r="AF8" s="144" t="s">
        <v>297</v>
      </c>
      <c r="AG8" s="144" t="s">
        <v>297</v>
      </c>
      <c r="AH8" s="144" t="s">
        <v>297</v>
      </c>
      <c r="AI8" s="144" t="s">
        <v>297</v>
      </c>
      <c r="AJ8" s="144" t="s">
        <v>297</v>
      </c>
      <c r="AK8" s="144" t="s">
        <v>297</v>
      </c>
      <c r="AL8" s="144" t="s">
        <v>297</v>
      </c>
      <c r="AM8" s="144" t="s">
        <v>297</v>
      </c>
      <c r="AN8" s="144" t="s">
        <v>297</v>
      </c>
      <c r="AO8" s="144" t="s">
        <v>297</v>
      </c>
      <c r="AP8" s="144" t="s">
        <v>297</v>
      </c>
      <c r="AQ8" s="144" t="s">
        <v>297</v>
      </c>
      <c r="AR8" s="144" t="s">
        <v>297</v>
      </c>
      <c r="AS8" s="144" t="s">
        <v>297</v>
      </c>
      <c r="AT8" s="144" t="s">
        <v>297</v>
      </c>
      <c r="AU8" s="144" t="s">
        <v>297</v>
      </c>
      <c r="AV8" s="144" t="s">
        <v>297</v>
      </c>
      <c r="AW8" s="144"/>
      <c r="AX8" s="144"/>
      <c r="AY8" s="144"/>
      <c r="AZ8" s="144"/>
      <c r="BA8" s="144"/>
      <c r="BB8" s="144"/>
      <c r="BC8" s="144"/>
      <c r="BD8" s="144">
        <v>8</v>
      </c>
      <c r="BE8" s="144" t="s">
        <v>299</v>
      </c>
      <c r="BF8" s="144"/>
      <c r="BG8" s="154"/>
      <c r="BH8" s="154"/>
      <c r="BI8" s="154"/>
      <c r="BJ8" s="154"/>
      <c r="BK8" s="154"/>
      <c r="BL8" s="154"/>
    </row>
    <row r="9" spans="1:64" s="131" customFormat="1" x14ac:dyDescent="0.35">
      <c r="A9" s="145" t="s">
        <v>9</v>
      </c>
      <c r="B9" s="146" t="s">
        <v>4</v>
      </c>
      <c r="C9" s="145">
        <v>11</v>
      </c>
      <c r="D9" s="145" t="s">
        <v>93</v>
      </c>
      <c r="E9" s="145">
        <v>7</v>
      </c>
      <c r="F9" s="145">
        <v>6</v>
      </c>
      <c r="G9" s="145">
        <v>7</v>
      </c>
      <c r="H9" s="145">
        <v>9</v>
      </c>
      <c r="I9" s="145">
        <v>12</v>
      </c>
      <c r="J9" s="145">
        <v>9</v>
      </c>
      <c r="K9" s="145">
        <v>8</v>
      </c>
      <c r="L9" s="145">
        <v>3</v>
      </c>
      <c r="M9" s="145">
        <v>3</v>
      </c>
      <c r="N9" s="145">
        <v>4</v>
      </c>
      <c r="O9" s="145">
        <v>1</v>
      </c>
      <c r="P9" s="145">
        <v>1</v>
      </c>
      <c r="Q9" s="145">
        <v>1</v>
      </c>
      <c r="R9" s="145">
        <v>2</v>
      </c>
      <c r="S9" s="145">
        <v>2</v>
      </c>
      <c r="T9" s="145">
        <v>6</v>
      </c>
      <c r="U9" s="145">
        <v>3</v>
      </c>
      <c r="V9" s="145">
        <v>15</v>
      </c>
      <c r="W9" s="145">
        <v>3</v>
      </c>
      <c r="X9" s="145">
        <v>1</v>
      </c>
      <c r="Y9" s="145">
        <v>5</v>
      </c>
      <c r="Z9" s="145">
        <v>2</v>
      </c>
      <c r="AA9" s="145">
        <v>3</v>
      </c>
      <c r="AB9" s="145">
        <v>1</v>
      </c>
      <c r="AC9" s="145">
        <v>15</v>
      </c>
      <c r="AD9" s="145">
        <v>19</v>
      </c>
      <c r="AE9" s="145">
        <v>12</v>
      </c>
      <c r="AF9" s="145">
        <v>6</v>
      </c>
      <c r="AG9" s="145">
        <v>5</v>
      </c>
      <c r="AH9" s="145">
        <v>6</v>
      </c>
      <c r="AI9" s="145">
        <v>8</v>
      </c>
      <c r="AJ9" s="145">
        <v>12</v>
      </c>
      <c r="AK9" s="145">
        <v>3</v>
      </c>
      <c r="AL9" s="145">
        <v>5</v>
      </c>
      <c r="AM9" s="145">
        <v>6</v>
      </c>
      <c r="AN9" s="145">
        <v>8</v>
      </c>
      <c r="AO9" s="145">
        <v>5</v>
      </c>
      <c r="AP9" s="145">
        <v>7</v>
      </c>
      <c r="AQ9" s="145">
        <v>8</v>
      </c>
      <c r="AR9" s="145">
        <v>4</v>
      </c>
      <c r="AS9" s="145">
        <v>6</v>
      </c>
      <c r="AT9" s="145">
        <v>4</v>
      </c>
      <c r="AU9" s="145">
        <v>3</v>
      </c>
      <c r="AV9" s="145">
        <v>5</v>
      </c>
      <c r="AW9" s="145"/>
      <c r="AX9" s="145">
        <f t="shared" si="0"/>
        <v>1</v>
      </c>
      <c r="AY9" s="145">
        <f t="shared" si="1"/>
        <v>19</v>
      </c>
      <c r="AZ9" s="145">
        <f t="shared" si="2"/>
        <v>5.9318181818181817</v>
      </c>
      <c r="BA9" s="145">
        <f t="shared" si="3"/>
        <v>3</v>
      </c>
      <c r="BB9" s="145">
        <f t="shared" si="4"/>
        <v>5</v>
      </c>
      <c r="BC9" s="145"/>
      <c r="BD9" s="145">
        <f>11*6</f>
        <v>66</v>
      </c>
      <c r="BE9" s="145" t="s">
        <v>119</v>
      </c>
      <c r="BF9" s="145"/>
      <c r="BG9" s="145"/>
      <c r="BH9" s="145"/>
      <c r="BI9" s="145"/>
      <c r="BJ9" s="145"/>
      <c r="BK9" s="145"/>
      <c r="BL9" s="145"/>
    </row>
    <row r="10" spans="1:64" s="131" customFormat="1" x14ac:dyDescent="0.35">
      <c r="A10" s="145" t="s">
        <v>9</v>
      </c>
      <c r="B10" s="146" t="s">
        <v>5</v>
      </c>
      <c r="C10" s="145">
        <v>10</v>
      </c>
      <c r="D10" s="145" t="s">
        <v>93</v>
      </c>
      <c r="E10" s="145">
        <v>1</v>
      </c>
      <c r="F10" s="145">
        <v>1</v>
      </c>
      <c r="G10" s="145">
        <v>0</v>
      </c>
      <c r="H10" s="145">
        <v>6</v>
      </c>
      <c r="I10" s="145">
        <v>9</v>
      </c>
      <c r="J10" s="145">
        <v>0</v>
      </c>
      <c r="K10" s="145">
        <v>1</v>
      </c>
      <c r="L10" s="145">
        <v>2</v>
      </c>
      <c r="M10" s="145">
        <v>3</v>
      </c>
      <c r="N10" s="145">
        <v>1</v>
      </c>
      <c r="O10" s="145">
        <v>1</v>
      </c>
      <c r="P10" s="145">
        <v>1</v>
      </c>
      <c r="Q10" s="145">
        <v>1</v>
      </c>
      <c r="R10" s="145">
        <v>0</v>
      </c>
      <c r="S10" s="145">
        <v>1</v>
      </c>
      <c r="T10" s="145">
        <v>2</v>
      </c>
      <c r="U10" s="145">
        <v>0</v>
      </c>
      <c r="V10" s="145">
        <v>0</v>
      </c>
      <c r="W10" s="145">
        <v>0</v>
      </c>
      <c r="X10" s="145">
        <v>1</v>
      </c>
      <c r="Y10" s="145">
        <v>0</v>
      </c>
      <c r="Z10" s="145">
        <v>0</v>
      </c>
      <c r="AA10" s="145">
        <v>0</v>
      </c>
      <c r="AB10" s="145">
        <v>0</v>
      </c>
      <c r="AC10" s="145">
        <v>15</v>
      </c>
      <c r="AD10" s="145">
        <v>19</v>
      </c>
      <c r="AE10" s="145">
        <v>0</v>
      </c>
      <c r="AF10" s="145">
        <v>1</v>
      </c>
      <c r="AG10" s="145">
        <v>5</v>
      </c>
      <c r="AH10" s="145">
        <v>0</v>
      </c>
      <c r="AI10" s="145">
        <v>0</v>
      </c>
      <c r="AJ10" s="145">
        <v>0</v>
      </c>
      <c r="AK10" s="145">
        <v>0</v>
      </c>
      <c r="AL10" s="145">
        <v>0</v>
      </c>
      <c r="AM10" s="145">
        <v>0</v>
      </c>
      <c r="AN10" s="145">
        <v>2</v>
      </c>
      <c r="AO10" s="145">
        <v>2</v>
      </c>
      <c r="AP10" s="145">
        <v>4</v>
      </c>
      <c r="AQ10" s="145">
        <v>6</v>
      </c>
      <c r="AR10" s="145">
        <v>4</v>
      </c>
      <c r="AS10" s="145">
        <v>4</v>
      </c>
      <c r="AT10" s="145">
        <v>3</v>
      </c>
      <c r="AU10" s="145">
        <v>3</v>
      </c>
      <c r="AV10" s="145">
        <v>5</v>
      </c>
      <c r="AW10" s="145"/>
      <c r="AX10" s="145">
        <f t="shared" si="0"/>
        <v>0</v>
      </c>
      <c r="AY10" s="145">
        <f t="shared" si="1"/>
        <v>19</v>
      </c>
      <c r="AZ10" s="145">
        <f t="shared" si="2"/>
        <v>2.3636363636363638</v>
      </c>
      <c r="BA10" s="145">
        <f t="shared" si="3"/>
        <v>0</v>
      </c>
      <c r="BB10" s="145">
        <f t="shared" si="4"/>
        <v>1</v>
      </c>
      <c r="BC10" s="145"/>
      <c r="BD10" s="145">
        <f>10*2</f>
        <v>20</v>
      </c>
      <c r="BE10" s="145" t="s">
        <v>121</v>
      </c>
      <c r="BF10" s="145"/>
      <c r="BG10" s="145"/>
      <c r="BH10" s="145"/>
      <c r="BI10" s="145"/>
      <c r="BJ10" s="145"/>
      <c r="BK10" s="145"/>
      <c r="BL10" s="145"/>
    </row>
    <row r="11" spans="1:64" s="131" customFormat="1" ht="29" x14ac:dyDescent="0.35">
      <c r="A11" s="145" t="s">
        <v>9</v>
      </c>
      <c r="B11" s="146" t="s">
        <v>6</v>
      </c>
      <c r="C11" s="145">
        <v>17</v>
      </c>
      <c r="D11" s="145" t="s">
        <v>93</v>
      </c>
      <c r="E11" s="145">
        <v>5</v>
      </c>
      <c r="F11" s="145">
        <v>5</v>
      </c>
      <c r="G11" s="145">
        <v>5</v>
      </c>
      <c r="H11" s="145">
        <v>20</v>
      </c>
      <c r="I11" s="145">
        <v>31</v>
      </c>
      <c r="J11" s="145">
        <v>0</v>
      </c>
      <c r="K11" s="145">
        <v>13</v>
      </c>
      <c r="L11" s="145">
        <v>10</v>
      </c>
      <c r="M11" s="145">
        <v>2</v>
      </c>
      <c r="N11" s="145">
        <v>8</v>
      </c>
      <c r="O11" s="145">
        <v>0</v>
      </c>
      <c r="P11" s="145">
        <v>0</v>
      </c>
      <c r="Q11" s="145">
        <v>0</v>
      </c>
      <c r="R11" s="145">
        <v>0</v>
      </c>
      <c r="S11" s="145">
        <v>0</v>
      </c>
      <c r="T11" s="145">
        <v>2</v>
      </c>
      <c r="U11" s="145">
        <v>1</v>
      </c>
      <c r="V11" s="145">
        <v>11</v>
      </c>
      <c r="W11" s="145">
        <v>3</v>
      </c>
      <c r="X11" s="145">
        <v>0</v>
      </c>
      <c r="Y11" s="145">
        <v>5</v>
      </c>
      <c r="Z11" s="145">
        <v>2</v>
      </c>
      <c r="AA11" s="145">
        <v>3</v>
      </c>
      <c r="AB11" s="145">
        <v>1</v>
      </c>
      <c r="AC11" s="145">
        <v>0</v>
      </c>
      <c r="AD11" s="145">
        <v>0</v>
      </c>
      <c r="AE11" s="145">
        <v>10</v>
      </c>
      <c r="AF11" s="145">
        <v>6</v>
      </c>
      <c r="AG11" s="145">
        <v>5</v>
      </c>
      <c r="AH11" s="145">
        <v>6</v>
      </c>
      <c r="AI11" s="145">
        <v>6</v>
      </c>
      <c r="AJ11" s="145">
        <v>12</v>
      </c>
      <c r="AK11" s="145">
        <v>3</v>
      </c>
      <c r="AL11" s="145">
        <v>5</v>
      </c>
      <c r="AM11" s="145">
        <v>6</v>
      </c>
      <c r="AN11" s="145">
        <v>5</v>
      </c>
      <c r="AO11" s="145">
        <v>7</v>
      </c>
      <c r="AP11" s="145">
        <v>7</v>
      </c>
      <c r="AQ11" s="145">
        <v>12</v>
      </c>
      <c r="AR11" s="145">
        <v>7</v>
      </c>
      <c r="AS11" s="145">
        <v>8</v>
      </c>
      <c r="AT11" s="145">
        <v>7</v>
      </c>
      <c r="AU11" s="145">
        <v>2</v>
      </c>
      <c r="AV11" s="145">
        <v>7</v>
      </c>
      <c r="AW11" s="145"/>
      <c r="AX11" s="145">
        <f t="shared" si="0"/>
        <v>0</v>
      </c>
      <c r="AY11" s="145">
        <f t="shared" si="1"/>
        <v>31</v>
      </c>
      <c r="AZ11" s="145">
        <f t="shared" si="2"/>
        <v>5.6363636363636367</v>
      </c>
      <c r="BA11" s="145">
        <f t="shared" si="3"/>
        <v>0</v>
      </c>
      <c r="BB11" s="145">
        <f t="shared" si="4"/>
        <v>5</v>
      </c>
      <c r="BC11" s="145"/>
      <c r="BD11" s="145">
        <f>17*6</f>
        <v>102</v>
      </c>
      <c r="BE11" s="145" t="s">
        <v>120</v>
      </c>
      <c r="BF11" s="145"/>
      <c r="BG11" s="145"/>
      <c r="BH11" s="145"/>
      <c r="BI11" s="145"/>
      <c r="BJ11" s="145"/>
      <c r="BK11" s="145"/>
      <c r="BL11" s="145"/>
    </row>
    <row r="12" spans="1:64" s="131" customFormat="1" x14ac:dyDescent="0.35">
      <c r="A12" s="145" t="s">
        <v>9</v>
      </c>
      <c r="B12" s="146" t="s">
        <v>7</v>
      </c>
      <c r="C12" s="145">
        <v>27</v>
      </c>
      <c r="D12" s="145" t="s">
        <v>93</v>
      </c>
      <c r="E12" s="145">
        <v>7</v>
      </c>
      <c r="F12" s="145">
        <v>5</v>
      </c>
      <c r="G12" s="145">
        <v>7</v>
      </c>
      <c r="H12" s="145">
        <v>9</v>
      </c>
      <c r="I12" s="145">
        <v>12</v>
      </c>
      <c r="J12" s="145">
        <v>9</v>
      </c>
      <c r="K12" s="145">
        <v>8</v>
      </c>
      <c r="L12" s="145">
        <v>3</v>
      </c>
      <c r="M12" s="145">
        <v>3</v>
      </c>
      <c r="N12" s="145">
        <v>4</v>
      </c>
      <c r="O12" s="145">
        <v>1</v>
      </c>
      <c r="P12" s="145">
        <v>1</v>
      </c>
      <c r="Q12" s="145">
        <v>1</v>
      </c>
      <c r="R12" s="145">
        <v>2</v>
      </c>
      <c r="S12" s="145">
        <v>2</v>
      </c>
      <c r="T12" s="145">
        <v>6</v>
      </c>
      <c r="U12" s="145">
        <v>0</v>
      </c>
      <c r="V12" s="145">
        <v>15</v>
      </c>
      <c r="W12" s="145">
        <v>3</v>
      </c>
      <c r="X12" s="145">
        <v>1</v>
      </c>
      <c r="Y12" s="145">
        <v>5</v>
      </c>
      <c r="Z12" s="145">
        <v>1</v>
      </c>
      <c r="AA12" s="145">
        <v>3</v>
      </c>
      <c r="AB12" s="145">
        <v>1</v>
      </c>
      <c r="AC12" s="145">
        <v>27</v>
      </c>
      <c r="AD12" s="145">
        <v>40</v>
      </c>
      <c r="AE12" s="145">
        <v>12</v>
      </c>
      <c r="AF12" s="145">
        <v>6</v>
      </c>
      <c r="AG12" s="145">
        <v>5</v>
      </c>
      <c r="AH12" s="145">
        <v>6</v>
      </c>
      <c r="AI12" s="145">
        <v>8</v>
      </c>
      <c r="AJ12" s="145">
        <v>12</v>
      </c>
      <c r="AK12" s="145">
        <v>3</v>
      </c>
      <c r="AL12" s="145">
        <v>5</v>
      </c>
      <c r="AM12" s="145">
        <v>6</v>
      </c>
      <c r="AN12" s="145">
        <v>10</v>
      </c>
      <c r="AO12" s="145">
        <v>7</v>
      </c>
      <c r="AP12" s="145">
        <v>11</v>
      </c>
      <c r="AQ12" s="145">
        <v>25</v>
      </c>
      <c r="AR12" s="145">
        <v>13</v>
      </c>
      <c r="AS12" s="145">
        <v>15</v>
      </c>
      <c r="AT12" s="145">
        <v>9</v>
      </c>
      <c r="AU12" s="145">
        <v>6</v>
      </c>
      <c r="AV12" s="145">
        <v>5</v>
      </c>
      <c r="AW12" s="145"/>
      <c r="AX12" s="145">
        <f t="shared" si="0"/>
        <v>0</v>
      </c>
      <c r="AY12" s="145">
        <f t="shared" si="1"/>
        <v>40</v>
      </c>
      <c r="AZ12" s="145">
        <f t="shared" si="2"/>
        <v>7.7272727272727275</v>
      </c>
      <c r="BA12" s="145">
        <f t="shared" si="3"/>
        <v>1</v>
      </c>
      <c r="BB12" s="145">
        <f t="shared" si="4"/>
        <v>6</v>
      </c>
      <c r="BC12" s="145"/>
      <c r="BD12" s="145">
        <f>27*8</f>
        <v>216</v>
      </c>
      <c r="BE12" s="145" t="s">
        <v>122</v>
      </c>
      <c r="BF12" s="145"/>
      <c r="BG12" s="145"/>
      <c r="BH12" s="145"/>
      <c r="BI12" s="145"/>
      <c r="BJ12" s="145"/>
      <c r="BK12" s="145"/>
      <c r="BL12" s="145"/>
    </row>
    <row r="13" spans="1:64" x14ac:dyDescent="0.35">
      <c r="A13" s="152" t="s">
        <v>10</v>
      </c>
      <c r="B13" s="157" t="s">
        <v>11</v>
      </c>
      <c r="C13" s="152">
        <v>13</v>
      </c>
      <c r="D13" s="152" t="s">
        <v>94</v>
      </c>
      <c r="E13" s="152">
        <v>12</v>
      </c>
      <c r="F13" s="152">
        <v>12</v>
      </c>
      <c r="G13" s="152">
        <v>12</v>
      </c>
      <c r="H13" s="152">
        <v>12</v>
      </c>
      <c r="I13" s="152">
        <v>12</v>
      </c>
      <c r="J13" s="152">
        <v>12</v>
      </c>
      <c r="K13" s="152">
        <v>12</v>
      </c>
      <c r="L13" s="152">
        <v>12</v>
      </c>
      <c r="M13" s="152">
        <v>12</v>
      </c>
      <c r="N13" s="152">
        <v>12</v>
      </c>
      <c r="O13" s="152">
        <v>11</v>
      </c>
      <c r="P13" s="152">
        <v>11</v>
      </c>
      <c r="Q13" s="152">
        <v>11</v>
      </c>
      <c r="R13" s="152">
        <v>12</v>
      </c>
      <c r="S13" s="152">
        <v>12</v>
      </c>
      <c r="T13" s="152">
        <v>11</v>
      </c>
      <c r="U13" s="152">
        <v>12</v>
      </c>
      <c r="V13" s="152">
        <v>12</v>
      </c>
      <c r="W13" s="152">
        <v>12</v>
      </c>
      <c r="X13" s="154">
        <v>5</v>
      </c>
      <c r="Y13" s="154">
        <v>12</v>
      </c>
      <c r="Z13" s="154">
        <v>12</v>
      </c>
      <c r="AA13" s="154">
        <v>11</v>
      </c>
      <c r="AB13" s="154">
        <v>11</v>
      </c>
      <c r="AC13" s="154">
        <v>12</v>
      </c>
      <c r="AD13" s="154">
        <v>12</v>
      </c>
      <c r="AE13" s="154">
        <v>12</v>
      </c>
      <c r="AF13" s="154">
        <v>12</v>
      </c>
      <c r="AG13" s="154">
        <v>12</v>
      </c>
      <c r="AH13" s="154">
        <v>12</v>
      </c>
      <c r="AI13" s="154">
        <v>12</v>
      </c>
      <c r="AJ13" s="154">
        <v>12</v>
      </c>
      <c r="AK13" s="154">
        <v>12</v>
      </c>
      <c r="AL13" s="154">
        <v>12</v>
      </c>
      <c r="AM13" s="154">
        <v>12</v>
      </c>
      <c r="AN13" s="154">
        <v>12</v>
      </c>
      <c r="AO13" s="154">
        <v>12</v>
      </c>
      <c r="AP13" s="154">
        <v>12</v>
      </c>
      <c r="AQ13" s="154">
        <v>12</v>
      </c>
      <c r="AR13" s="154">
        <v>12</v>
      </c>
      <c r="AS13" s="154">
        <v>12</v>
      </c>
      <c r="AT13" s="154">
        <v>12</v>
      </c>
      <c r="AU13" s="154">
        <v>12</v>
      </c>
      <c r="AV13" s="154">
        <v>12</v>
      </c>
      <c r="AW13" s="152"/>
      <c r="AX13" s="152">
        <f t="shared" si="0"/>
        <v>5</v>
      </c>
      <c r="AY13" s="152">
        <f t="shared" si="1"/>
        <v>12</v>
      </c>
      <c r="AZ13" s="152">
        <f t="shared" si="2"/>
        <v>11.704545454545455</v>
      </c>
      <c r="BA13" s="152">
        <f t="shared" si="3"/>
        <v>12</v>
      </c>
      <c r="BB13" s="152">
        <f t="shared" si="4"/>
        <v>12</v>
      </c>
      <c r="BC13" s="152"/>
      <c r="BD13" s="154">
        <f>13*1</f>
        <v>13</v>
      </c>
      <c r="BE13" s="154" t="s">
        <v>118</v>
      </c>
      <c r="BF13" s="152"/>
      <c r="BG13" s="152"/>
      <c r="BH13" s="152"/>
      <c r="BI13" s="152"/>
      <c r="BJ13" s="152"/>
      <c r="BK13" s="152"/>
      <c r="BL13" s="152"/>
    </row>
    <row r="14" spans="1:64" s="131" customFormat="1" x14ac:dyDescent="0.35">
      <c r="A14" s="145" t="s">
        <v>10</v>
      </c>
      <c r="B14" s="147" t="s">
        <v>12</v>
      </c>
      <c r="C14" s="145">
        <v>31</v>
      </c>
      <c r="D14" s="145" t="s">
        <v>106</v>
      </c>
      <c r="E14" s="145">
        <v>5</v>
      </c>
      <c r="F14" s="145">
        <v>1</v>
      </c>
      <c r="G14" s="145">
        <v>4</v>
      </c>
      <c r="H14" s="145">
        <v>0</v>
      </c>
      <c r="I14" s="145">
        <v>0</v>
      </c>
      <c r="J14" s="145">
        <v>0</v>
      </c>
      <c r="K14" s="145">
        <v>0</v>
      </c>
      <c r="L14" s="145">
        <v>0</v>
      </c>
      <c r="M14" s="145">
        <v>1</v>
      </c>
      <c r="N14" s="145">
        <v>1</v>
      </c>
      <c r="O14" s="145">
        <v>0</v>
      </c>
      <c r="P14" s="145">
        <v>0</v>
      </c>
      <c r="Q14" s="145">
        <v>0</v>
      </c>
      <c r="R14" s="145">
        <v>0</v>
      </c>
      <c r="S14" s="145">
        <v>0</v>
      </c>
      <c r="T14" s="145">
        <v>2</v>
      </c>
      <c r="U14" s="145">
        <v>0</v>
      </c>
      <c r="V14" s="145">
        <v>0</v>
      </c>
      <c r="W14" s="145">
        <v>0</v>
      </c>
      <c r="X14" s="145">
        <v>0</v>
      </c>
      <c r="Y14" s="145">
        <v>0</v>
      </c>
      <c r="Z14" s="145">
        <v>0</v>
      </c>
      <c r="AA14" s="145">
        <v>0</v>
      </c>
      <c r="AB14" s="145">
        <v>0</v>
      </c>
      <c r="AC14" s="145">
        <v>1</v>
      </c>
      <c r="AD14" s="145">
        <v>2</v>
      </c>
      <c r="AE14" s="145">
        <v>2</v>
      </c>
      <c r="AF14" s="145">
        <v>2</v>
      </c>
      <c r="AG14" s="145">
        <v>4</v>
      </c>
      <c r="AH14" s="145">
        <v>2</v>
      </c>
      <c r="AI14" s="145">
        <v>1</v>
      </c>
      <c r="AJ14" s="145">
        <v>1</v>
      </c>
      <c r="AK14" s="145">
        <v>1</v>
      </c>
      <c r="AL14" s="145">
        <v>1</v>
      </c>
      <c r="AM14" s="145">
        <v>1</v>
      </c>
      <c r="AN14" s="145">
        <v>0</v>
      </c>
      <c r="AO14" s="145">
        <v>1</v>
      </c>
      <c r="AP14" s="145">
        <v>2</v>
      </c>
      <c r="AQ14" s="145">
        <v>0</v>
      </c>
      <c r="AR14" s="145">
        <v>1</v>
      </c>
      <c r="AS14" s="145">
        <v>2</v>
      </c>
      <c r="AT14" s="145">
        <v>3</v>
      </c>
      <c r="AU14" s="145">
        <v>1</v>
      </c>
      <c r="AV14" s="145">
        <v>0</v>
      </c>
      <c r="AW14" s="145"/>
      <c r="AX14" s="145">
        <f t="shared" si="0"/>
        <v>0</v>
      </c>
      <c r="AY14" s="145">
        <f t="shared" si="1"/>
        <v>5</v>
      </c>
      <c r="AZ14" s="145">
        <f t="shared" si="2"/>
        <v>0.95454545454545459</v>
      </c>
      <c r="BA14" s="145">
        <f t="shared" si="3"/>
        <v>0</v>
      </c>
      <c r="BB14" s="145">
        <f t="shared" si="4"/>
        <v>1</v>
      </c>
      <c r="BC14" s="145"/>
      <c r="BD14" s="145">
        <f>31*1</f>
        <v>31</v>
      </c>
      <c r="BE14" s="145" t="s">
        <v>123</v>
      </c>
      <c r="BF14" s="145"/>
      <c r="BG14" s="145"/>
      <c r="BH14" s="145"/>
      <c r="BI14" s="145"/>
      <c r="BJ14" s="145"/>
      <c r="BK14" s="145"/>
      <c r="BL14" s="145"/>
    </row>
    <row r="15" spans="1:64" x14ac:dyDescent="0.35">
      <c r="A15" s="152" t="s">
        <v>13</v>
      </c>
      <c r="B15" s="153" t="s">
        <v>14</v>
      </c>
      <c r="C15" s="152">
        <v>1</v>
      </c>
      <c r="D15" s="152" t="s">
        <v>96</v>
      </c>
      <c r="E15" s="152">
        <v>1</v>
      </c>
      <c r="F15" s="152">
        <v>1</v>
      </c>
      <c r="G15" s="152">
        <v>1</v>
      </c>
      <c r="H15" s="152">
        <v>1</v>
      </c>
      <c r="I15" s="152">
        <v>1</v>
      </c>
      <c r="J15" s="152">
        <v>1</v>
      </c>
      <c r="K15" s="152">
        <v>1</v>
      </c>
      <c r="L15" s="152">
        <v>1</v>
      </c>
      <c r="M15" s="152">
        <v>1</v>
      </c>
      <c r="N15" s="152">
        <v>1</v>
      </c>
      <c r="O15" s="152">
        <v>1</v>
      </c>
      <c r="P15" s="152">
        <v>1</v>
      </c>
      <c r="Q15" s="152">
        <v>1</v>
      </c>
      <c r="R15" s="152">
        <v>1</v>
      </c>
      <c r="S15" s="152">
        <v>1</v>
      </c>
      <c r="T15" s="152">
        <v>1</v>
      </c>
      <c r="U15" s="152">
        <v>1</v>
      </c>
      <c r="V15" s="152">
        <v>1</v>
      </c>
      <c r="W15" s="152">
        <v>1</v>
      </c>
      <c r="X15" s="154">
        <v>1</v>
      </c>
      <c r="Y15" s="152">
        <v>1</v>
      </c>
      <c r="Z15" s="152">
        <v>1</v>
      </c>
      <c r="AA15" s="152">
        <v>1</v>
      </c>
      <c r="AB15" s="152">
        <v>1</v>
      </c>
      <c r="AC15" s="154">
        <v>1</v>
      </c>
      <c r="AD15" s="152">
        <v>1</v>
      </c>
      <c r="AE15" s="152">
        <v>1</v>
      </c>
      <c r="AF15" s="152">
        <v>1</v>
      </c>
      <c r="AG15" s="152">
        <v>1</v>
      </c>
      <c r="AH15" s="152">
        <v>1</v>
      </c>
      <c r="AI15" s="152">
        <v>1</v>
      </c>
      <c r="AJ15" s="152">
        <v>1</v>
      </c>
      <c r="AK15" s="152">
        <v>1</v>
      </c>
      <c r="AL15" s="152">
        <v>1</v>
      </c>
      <c r="AM15" s="152">
        <v>1</v>
      </c>
      <c r="AN15" s="152">
        <v>1</v>
      </c>
      <c r="AO15" s="152">
        <v>1</v>
      </c>
      <c r="AP15" s="152">
        <v>1</v>
      </c>
      <c r="AQ15" s="152">
        <v>1</v>
      </c>
      <c r="AR15" s="152">
        <v>1</v>
      </c>
      <c r="AS15" s="152">
        <v>1</v>
      </c>
      <c r="AT15" s="152">
        <v>1</v>
      </c>
      <c r="AU15" s="152">
        <v>1</v>
      </c>
      <c r="AV15" s="152">
        <v>1</v>
      </c>
      <c r="AW15" s="152"/>
      <c r="AX15" s="152">
        <f t="shared" si="0"/>
        <v>1</v>
      </c>
      <c r="AY15" s="152">
        <f t="shared" si="1"/>
        <v>1</v>
      </c>
      <c r="AZ15" s="152">
        <f t="shared" si="2"/>
        <v>1</v>
      </c>
      <c r="BA15" s="152">
        <f t="shared" si="3"/>
        <v>1</v>
      </c>
      <c r="BB15" s="152">
        <f t="shared" si="4"/>
        <v>1</v>
      </c>
      <c r="BC15" s="152"/>
      <c r="BD15" s="154">
        <v>1</v>
      </c>
      <c r="BE15" s="154" t="s">
        <v>118</v>
      </c>
      <c r="BF15" s="152"/>
      <c r="BG15" s="152"/>
      <c r="BH15" s="152"/>
      <c r="BI15" s="152"/>
      <c r="BJ15" s="152"/>
      <c r="BK15" s="152"/>
      <c r="BL15" s="152"/>
    </row>
    <row r="16" spans="1:64" s="131" customFormat="1" ht="29" x14ac:dyDescent="0.35">
      <c r="A16" s="145" t="s">
        <v>13</v>
      </c>
      <c r="B16" s="146" t="s">
        <v>15</v>
      </c>
      <c r="C16" s="145">
        <v>51</v>
      </c>
      <c r="D16" s="145" t="s">
        <v>95</v>
      </c>
      <c r="E16" s="145">
        <v>4</v>
      </c>
      <c r="F16" s="145">
        <v>2</v>
      </c>
      <c r="G16" s="145">
        <v>3</v>
      </c>
      <c r="H16" s="145">
        <v>5</v>
      </c>
      <c r="I16" s="145">
        <v>7</v>
      </c>
      <c r="J16" s="145">
        <v>3</v>
      </c>
      <c r="K16" s="145">
        <v>6</v>
      </c>
      <c r="L16" s="145">
        <v>3</v>
      </c>
      <c r="M16" s="145">
        <v>4</v>
      </c>
      <c r="N16" s="145">
        <v>4</v>
      </c>
      <c r="O16" s="145">
        <v>2</v>
      </c>
      <c r="P16" s="145">
        <v>2</v>
      </c>
      <c r="Q16" s="145">
        <v>1</v>
      </c>
      <c r="R16" s="145">
        <v>3</v>
      </c>
      <c r="S16" s="145">
        <v>1</v>
      </c>
      <c r="T16" s="145">
        <v>10</v>
      </c>
      <c r="U16" s="145">
        <v>3</v>
      </c>
      <c r="V16" s="145">
        <v>4</v>
      </c>
      <c r="W16" s="145">
        <v>23</v>
      </c>
      <c r="X16" s="145">
        <v>0</v>
      </c>
      <c r="Y16" s="145">
        <v>2</v>
      </c>
      <c r="Z16" s="145">
        <v>13</v>
      </c>
      <c r="AA16" s="145">
        <v>10</v>
      </c>
      <c r="AB16" s="145">
        <v>2</v>
      </c>
      <c r="AC16" s="145">
        <v>10</v>
      </c>
      <c r="AD16" s="145">
        <v>13</v>
      </c>
      <c r="AE16" s="145">
        <v>11</v>
      </c>
      <c r="AF16" s="145">
        <v>9</v>
      </c>
      <c r="AG16" s="145">
        <v>10</v>
      </c>
      <c r="AH16" s="145">
        <v>5</v>
      </c>
      <c r="AI16" s="145">
        <v>14</v>
      </c>
      <c r="AJ16" s="145">
        <v>10</v>
      </c>
      <c r="AK16" s="145">
        <v>8</v>
      </c>
      <c r="AL16" s="145">
        <v>9</v>
      </c>
      <c r="AM16" s="145">
        <v>6</v>
      </c>
      <c r="AN16" s="145">
        <v>4</v>
      </c>
      <c r="AO16" s="145">
        <v>7</v>
      </c>
      <c r="AP16" s="145">
        <v>6</v>
      </c>
      <c r="AQ16" s="145">
        <v>12</v>
      </c>
      <c r="AR16" s="145">
        <v>10</v>
      </c>
      <c r="AS16" s="145">
        <v>4</v>
      </c>
      <c r="AT16" s="145">
        <v>6</v>
      </c>
      <c r="AU16" s="145">
        <v>9</v>
      </c>
      <c r="AV16" s="145">
        <v>6</v>
      </c>
      <c r="AW16" s="145"/>
      <c r="AX16" s="145">
        <f t="shared" si="0"/>
        <v>0</v>
      </c>
      <c r="AY16" s="145">
        <f t="shared" si="1"/>
        <v>23</v>
      </c>
      <c r="AZ16" s="145">
        <f t="shared" si="2"/>
        <v>6.5</v>
      </c>
      <c r="BA16" s="145">
        <f t="shared" si="3"/>
        <v>4</v>
      </c>
      <c r="BB16" s="145">
        <f t="shared" si="4"/>
        <v>6</v>
      </c>
      <c r="BC16" s="145"/>
      <c r="BD16" s="145">
        <f>51*7</f>
        <v>357</v>
      </c>
      <c r="BE16" s="145" t="s">
        <v>124</v>
      </c>
      <c r="BF16" s="145"/>
      <c r="BG16" s="145"/>
      <c r="BH16" s="145"/>
      <c r="BI16" s="145"/>
      <c r="BJ16" s="145"/>
      <c r="BK16" s="145"/>
      <c r="BL16" s="145"/>
    </row>
    <row r="17" spans="1:64" s="131" customFormat="1" ht="29" x14ac:dyDescent="0.35">
      <c r="A17" s="145" t="s">
        <v>13</v>
      </c>
      <c r="B17" s="146" t="s">
        <v>16</v>
      </c>
      <c r="C17" s="145">
        <v>64</v>
      </c>
      <c r="D17" s="145" t="s">
        <v>95</v>
      </c>
      <c r="E17" s="145">
        <v>4</v>
      </c>
      <c r="F17" s="145">
        <v>2</v>
      </c>
      <c r="G17" s="145">
        <v>3</v>
      </c>
      <c r="H17" s="145">
        <v>0</v>
      </c>
      <c r="I17" s="145">
        <v>7</v>
      </c>
      <c r="J17" s="145">
        <v>3</v>
      </c>
      <c r="K17" s="145">
        <v>6</v>
      </c>
      <c r="L17" s="145">
        <v>3</v>
      </c>
      <c r="M17" s="145">
        <v>4</v>
      </c>
      <c r="N17" s="145">
        <v>4</v>
      </c>
      <c r="O17" s="145">
        <v>2</v>
      </c>
      <c r="P17" s="145">
        <v>2</v>
      </c>
      <c r="Q17" s="145">
        <v>1</v>
      </c>
      <c r="R17" s="145">
        <v>3</v>
      </c>
      <c r="S17" s="145">
        <v>1</v>
      </c>
      <c r="T17" s="145">
        <v>10</v>
      </c>
      <c r="U17" s="145">
        <v>0</v>
      </c>
      <c r="V17" s="145">
        <v>4</v>
      </c>
      <c r="W17" s="145">
        <v>24</v>
      </c>
      <c r="X17" s="145">
        <v>0</v>
      </c>
      <c r="Y17" s="145">
        <v>0</v>
      </c>
      <c r="Z17" s="145">
        <v>13</v>
      </c>
      <c r="AA17" s="145">
        <v>10</v>
      </c>
      <c r="AB17" s="145">
        <v>2</v>
      </c>
      <c r="AC17" s="145">
        <v>10</v>
      </c>
      <c r="AD17" s="145">
        <v>13</v>
      </c>
      <c r="AE17" s="145">
        <v>11</v>
      </c>
      <c r="AF17" s="145">
        <v>9</v>
      </c>
      <c r="AG17" s="145">
        <v>10</v>
      </c>
      <c r="AH17" s="145">
        <v>5</v>
      </c>
      <c r="AI17" s="145">
        <v>14</v>
      </c>
      <c r="AJ17" s="145">
        <v>10</v>
      </c>
      <c r="AK17" s="145">
        <v>8</v>
      </c>
      <c r="AL17" s="145">
        <v>9</v>
      </c>
      <c r="AM17" s="145">
        <v>6</v>
      </c>
      <c r="AN17" s="145">
        <v>4</v>
      </c>
      <c r="AO17" s="145">
        <v>7</v>
      </c>
      <c r="AP17" s="145">
        <v>6</v>
      </c>
      <c r="AQ17" s="145">
        <v>12</v>
      </c>
      <c r="AR17" s="145">
        <v>10</v>
      </c>
      <c r="AS17" s="145">
        <v>4</v>
      </c>
      <c r="AT17" s="145">
        <v>6</v>
      </c>
      <c r="AU17" s="145">
        <v>9</v>
      </c>
      <c r="AV17" s="145">
        <v>6</v>
      </c>
      <c r="AW17" s="145"/>
      <c r="AX17" s="145">
        <f t="shared" si="0"/>
        <v>0</v>
      </c>
      <c r="AY17" s="145">
        <f t="shared" si="1"/>
        <v>24</v>
      </c>
      <c r="AZ17" s="145">
        <f t="shared" si="2"/>
        <v>6.2954545454545459</v>
      </c>
      <c r="BA17" s="145">
        <f t="shared" si="3"/>
        <v>4</v>
      </c>
      <c r="BB17" s="145">
        <f t="shared" si="4"/>
        <v>6</v>
      </c>
      <c r="BC17" s="145"/>
      <c r="BD17" s="145">
        <f>64*6</f>
        <v>384</v>
      </c>
      <c r="BE17" s="145" t="s">
        <v>125</v>
      </c>
      <c r="BF17" s="145"/>
      <c r="BG17" s="145"/>
      <c r="BH17" s="145"/>
      <c r="BI17" s="145"/>
      <c r="BJ17" s="145"/>
      <c r="BK17" s="145"/>
      <c r="BL17" s="145"/>
    </row>
    <row r="18" spans="1:64" s="156" customFormat="1" ht="29" x14ac:dyDescent="0.35">
      <c r="A18" s="154" t="s">
        <v>13</v>
      </c>
      <c r="B18" s="153" t="s">
        <v>17</v>
      </c>
      <c r="C18" s="154">
        <v>24</v>
      </c>
      <c r="D18" s="154" t="s">
        <v>95</v>
      </c>
      <c r="E18" s="154">
        <v>4</v>
      </c>
      <c r="F18" s="154">
        <v>2</v>
      </c>
      <c r="G18" s="154">
        <v>3</v>
      </c>
      <c r="H18" s="154">
        <v>0</v>
      </c>
      <c r="I18" s="154">
        <v>7</v>
      </c>
      <c r="J18" s="154">
        <v>3</v>
      </c>
      <c r="K18" s="154">
        <v>6</v>
      </c>
      <c r="L18" s="154">
        <v>0</v>
      </c>
      <c r="M18" s="154">
        <v>0</v>
      </c>
      <c r="N18" s="154">
        <v>0</v>
      </c>
      <c r="O18" s="154">
        <v>0</v>
      </c>
      <c r="P18" s="154">
        <v>0</v>
      </c>
      <c r="Q18" s="154">
        <v>0</v>
      </c>
      <c r="R18" s="154">
        <v>0</v>
      </c>
      <c r="S18" s="154">
        <v>0</v>
      </c>
      <c r="T18" s="154">
        <v>10</v>
      </c>
      <c r="U18" s="154">
        <v>0</v>
      </c>
      <c r="V18" s="154">
        <v>2</v>
      </c>
      <c r="W18" s="154">
        <v>24</v>
      </c>
      <c r="X18" s="154">
        <v>0</v>
      </c>
      <c r="Y18" s="154">
        <v>2</v>
      </c>
      <c r="Z18" s="154">
        <v>0</v>
      </c>
      <c r="AA18" s="154">
        <v>0</v>
      </c>
      <c r="AB18" s="154">
        <v>2</v>
      </c>
      <c r="AC18" s="154">
        <v>0</v>
      </c>
      <c r="AD18" s="154">
        <v>0</v>
      </c>
      <c r="AE18" s="154">
        <v>0</v>
      </c>
      <c r="AF18" s="154">
        <v>9</v>
      </c>
      <c r="AG18" s="154">
        <v>0</v>
      </c>
      <c r="AH18" s="154">
        <v>5</v>
      </c>
      <c r="AI18" s="154">
        <v>7</v>
      </c>
      <c r="AJ18" s="154">
        <v>0</v>
      </c>
      <c r="AK18" s="154">
        <v>0</v>
      </c>
      <c r="AL18" s="154">
        <v>3</v>
      </c>
      <c r="AM18" s="154">
        <v>0</v>
      </c>
      <c r="AN18" s="154">
        <v>4</v>
      </c>
      <c r="AO18" s="154">
        <v>7</v>
      </c>
      <c r="AP18" s="154">
        <v>6</v>
      </c>
      <c r="AQ18" s="154">
        <v>12</v>
      </c>
      <c r="AR18" s="154">
        <v>0</v>
      </c>
      <c r="AS18" s="154">
        <v>4</v>
      </c>
      <c r="AT18" s="154">
        <v>6</v>
      </c>
      <c r="AU18" s="154">
        <v>9</v>
      </c>
      <c r="AV18" s="154">
        <v>6</v>
      </c>
      <c r="AW18" s="154"/>
      <c r="AX18" s="154">
        <f t="shared" si="0"/>
        <v>0</v>
      </c>
      <c r="AY18" s="154">
        <f t="shared" si="1"/>
        <v>24</v>
      </c>
      <c r="AZ18" s="154">
        <f t="shared" si="2"/>
        <v>3.25</v>
      </c>
      <c r="BA18" s="154">
        <f t="shared" si="3"/>
        <v>0</v>
      </c>
      <c r="BB18" s="154">
        <f t="shared" si="4"/>
        <v>2</v>
      </c>
      <c r="BC18" s="154"/>
      <c r="BD18" s="154">
        <f>24*3</f>
        <v>72</v>
      </c>
      <c r="BE18" s="154" t="s">
        <v>126</v>
      </c>
      <c r="BF18" s="154"/>
      <c r="BG18" s="154"/>
      <c r="BH18" s="154"/>
      <c r="BI18" s="154"/>
      <c r="BJ18" s="154"/>
      <c r="BK18" s="154"/>
      <c r="BL18" s="154"/>
    </row>
    <row r="19" spans="1:64" s="131" customFormat="1" x14ac:dyDescent="0.35">
      <c r="A19" s="145" t="s">
        <v>13</v>
      </c>
      <c r="B19" s="146" t="s">
        <v>18</v>
      </c>
      <c r="C19" s="145">
        <v>10</v>
      </c>
      <c r="D19" s="145" t="s">
        <v>95</v>
      </c>
      <c r="E19" s="145">
        <v>4</v>
      </c>
      <c r="F19" s="145">
        <v>2</v>
      </c>
      <c r="G19" s="145">
        <v>3</v>
      </c>
      <c r="H19" s="145">
        <v>0</v>
      </c>
      <c r="I19" s="145">
        <v>7</v>
      </c>
      <c r="J19" s="145">
        <v>3</v>
      </c>
      <c r="K19" s="145">
        <v>12</v>
      </c>
      <c r="L19" s="145">
        <v>3</v>
      </c>
      <c r="M19" s="145">
        <v>4</v>
      </c>
      <c r="N19" s="145">
        <v>4</v>
      </c>
      <c r="O19" s="145">
        <v>1</v>
      </c>
      <c r="P19" s="145">
        <v>1</v>
      </c>
      <c r="Q19" s="145">
        <v>1</v>
      </c>
      <c r="R19" s="145">
        <v>3</v>
      </c>
      <c r="S19" s="145">
        <v>1</v>
      </c>
      <c r="T19" s="145">
        <v>10</v>
      </c>
      <c r="U19" s="145">
        <v>3</v>
      </c>
      <c r="V19" s="145">
        <v>2</v>
      </c>
      <c r="W19" s="145">
        <v>0</v>
      </c>
      <c r="X19" s="145">
        <v>0</v>
      </c>
      <c r="Y19" s="145">
        <v>2</v>
      </c>
      <c r="Z19" s="145">
        <v>0</v>
      </c>
      <c r="AA19" s="145">
        <v>0</v>
      </c>
      <c r="AB19" s="145">
        <v>0</v>
      </c>
      <c r="AC19" s="145">
        <v>10</v>
      </c>
      <c r="AD19" s="145">
        <v>25</v>
      </c>
      <c r="AE19" s="145">
        <v>11</v>
      </c>
      <c r="AF19" s="145">
        <v>9</v>
      </c>
      <c r="AG19" s="145">
        <v>10</v>
      </c>
      <c r="AH19" s="145">
        <v>5</v>
      </c>
      <c r="AI19" s="145">
        <v>14</v>
      </c>
      <c r="AJ19" s="145">
        <v>10</v>
      </c>
      <c r="AK19" s="145">
        <v>8</v>
      </c>
      <c r="AL19" s="145">
        <v>10</v>
      </c>
      <c r="AM19" s="145">
        <v>6</v>
      </c>
      <c r="AN19" s="145">
        <v>4</v>
      </c>
      <c r="AO19" s="145">
        <v>7</v>
      </c>
      <c r="AP19" s="145">
        <v>6</v>
      </c>
      <c r="AQ19" s="145">
        <v>15</v>
      </c>
      <c r="AR19" s="145">
        <v>10</v>
      </c>
      <c r="AS19" s="145">
        <v>8</v>
      </c>
      <c r="AT19" s="145">
        <v>18</v>
      </c>
      <c r="AU19" s="145">
        <v>9</v>
      </c>
      <c r="AV19" s="145">
        <v>6</v>
      </c>
      <c r="AW19" s="145"/>
      <c r="AX19" s="145">
        <f t="shared" si="0"/>
        <v>0</v>
      </c>
      <c r="AY19" s="145">
        <f t="shared" si="1"/>
        <v>25</v>
      </c>
      <c r="AZ19" s="145">
        <f t="shared" si="2"/>
        <v>6.0681818181818183</v>
      </c>
      <c r="BA19" s="145">
        <f t="shared" si="3"/>
        <v>0</v>
      </c>
      <c r="BB19" s="145">
        <f t="shared" si="4"/>
        <v>4.5</v>
      </c>
      <c r="BC19" s="145"/>
      <c r="BD19" s="145">
        <f>10*6</f>
        <v>60</v>
      </c>
      <c r="BE19" s="145" t="s">
        <v>127</v>
      </c>
      <c r="BF19" s="145"/>
      <c r="BG19" s="145"/>
      <c r="BH19" s="145"/>
      <c r="BI19" s="145"/>
      <c r="BJ19" s="145"/>
      <c r="BK19" s="145"/>
      <c r="BL19" s="145"/>
    </row>
    <row r="20" spans="1:64" s="131" customFormat="1" ht="29" x14ac:dyDescent="0.35">
      <c r="A20" s="145" t="s">
        <v>19</v>
      </c>
      <c r="B20" s="146" t="s">
        <v>20</v>
      </c>
      <c r="C20" s="145">
        <v>45</v>
      </c>
      <c r="D20" s="145" t="s">
        <v>107</v>
      </c>
      <c r="E20" s="145">
        <v>7</v>
      </c>
      <c r="F20" s="145">
        <v>2</v>
      </c>
      <c r="G20" s="145">
        <v>3</v>
      </c>
      <c r="H20" s="145">
        <v>9</v>
      </c>
      <c r="I20" s="145">
        <v>13</v>
      </c>
      <c r="J20" s="145">
        <v>3</v>
      </c>
      <c r="K20" s="145">
        <v>6</v>
      </c>
      <c r="L20" s="145">
        <v>3</v>
      </c>
      <c r="M20" s="145">
        <v>0</v>
      </c>
      <c r="N20" s="145">
        <v>2</v>
      </c>
      <c r="O20" s="145">
        <v>0</v>
      </c>
      <c r="P20" s="145">
        <v>0</v>
      </c>
      <c r="Q20" s="145">
        <v>0</v>
      </c>
      <c r="R20" s="145">
        <v>1</v>
      </c>
      <c r="S20" s="145">
        <v>1</v>
      </c>
      <c r="T20" s="145">
        <v>2</v>
      </c>
      <c r="U20" s="145">
        <v>1</v>
      </c>
      <c r="V20" s="145">
        <v>4</v>
      </c>
      <c r="W20" s="145">
        <v>20</v>
      </c>
      <c r="X20" s="145">
        <v>0</v>
      </c>
      <c r="Y20" s="145">
        <v>1</v>
      </c>
      <c r="Z20" s="145">
        <v>13</v>
      </c>
      <c r="AA20" s="145">
        <v>11</v>
      </c>
      <c r="AB20" s="145">
        <v>2</v>
      </c>
      <c r="AC20" s="145">
        <v>39</v>
      </c>
      <c r="AD20" s="145">
        <v>20</v>
      </c>
      <c r="AE20" s="145">
        <v>5</v>
      </c>
      <c r="AF20" s="145">
        <v>3</v>
      </c>
      <c r="AG20" s="145">
        <v>1</v>
      </c>
      <c r="AH20" s="145">
        <v>1</v>
      </c>
      <c r="AI20" s="145">
        <v>2</v>
      </c>
      <c r="AJ20" s="145">
        <v>14</v>
      </c>
      <c r="AK20" s="145">
        <v>1</v>
      </c>
      <c r="AL20" s="145">
        <v>2</v>
      </c>
      <c r="AM20" s="145">
        <v>2</v>
      </c>
      <c r="AN20" s="145">
        <v>2</v>
      </c>
      <c r="AO20" s="145">
        <v>1</v>
      </c>
      <c r="AP20" s="145">
        <v>9</v>
      </c>
      <c r="AQ20" s="145">
        <v>3</v>
      </c>
      <c r="AR20" s="145">
        <v>0</v>
      </c>
      <c r="AS20" s="145">
        <v>13</v>
      </c>
      <c r="AT20" s="145">
        <v>1</v>
      </c>
      <c r="AU20" s="145">
        <v>0</v>
      </c>
      <c r="AV20" s="145">
        <v>2</v>
      </c>
      <c r="AW20" s="145"/>
      <c r="AX20" s="145">
        <f t="shared" si="0"/>
        <v>0</v>
      </c>
      <c r="AY20" s="145">
        <f t="shared" si="1"/>
        <v>39</v>
      </c>
      <c r="AZ20" s="145">
        <f t="shared" si="2"/>
        <v>5.1136363636363633</v>
      </c>
      <c r="BA20" s="145">
        <f t="shared" si="3"/>
        <v>2</v>
      </c>
      <c r="BB20" s="145">
        <f t="shared" si="4"/>
        <v>2</v>
      </c>
      <c r="BC20" s="145"/>
      <c r="BD20" s="145">
        <f>45*5</f>
        <v>225</v>
      </c>
      <c r="BE20" s="145" t="s">
        <v>129</v>
      </c>
      <c r="BF20" s="145"/>
      <c r="BG20" s="145"/>
      <c r="BH20" s="145"/>
      <c r="BI20" s="145"/>
      <c r="BJ20" s="145"/>
      <c r="BK20" s="145"/>
      <c r="BL20" s="145"/>
    </row>
    <row r="21" spans="1:64" s="131" customFormat="1" ht="29" x14ac:dyDescent="0.35">
      <c r="A21" s="145" t="s">
        <v>19</v>
      </c>
      <c r="B21" s="146" t="s">
        <v>21</v>
      </c>
      <c r="C21" s="145">
        <v>4</v>
      </c>
      <c r="D21" s="145" t="s">
        <v>108</v>
      </c>
      <c r="E21" s="145">
        <v>0</v>
      </c>
      <c r="F21" s="145">
        <v>1</v>
      </c>
      <c r="G21" s="145">
        <v>0</v>
      </c>
      <c r="H21" s="145">
        <v>0</v>
      </c>
      <c r="I21" s="145">
        <v>0</v>
      </c>
      <c r="J21" s="145">
        <v>3</v>
      </c>
      <c r="K21" s="145">
        <v>6</v>
      </c>
      <c r="L21" s="145">
        <v>0</v>
      </c>
      <c r="M21" s="145">
        <v>4</v>
      </c>
      <c r="N21" s="145">
        <v>0</v>
      </c>
      <c r="O21" s="145">
        <v>2</v>
      </c>
      <c r="P21" s="145">
        <v>2</v>
      </c>
      <c r="Q21" s="145">
        <v>1</v>
      </c>
      <c r="R21" s="145">
        <v>0</v>
      </c>
      <c r="S21" s="145">
        <v>0</v>
      </c>
      <c r="T21" s="145">
        <v>0</v>
      </c>
      <c r="U21" s="145">
        <v>0</v>
      </c>
      <c r="V21" s="145">
        <v>0</v>
      </c>
      <c r="W21" s="145">
        <v>20</v>
      </c>
      <c r="X21" s="145">
        <v>0</v>
      </c>
      <c r="Y21" s="145">
        <v>2</v>
      </c>
      <c r="Z21" s="145">
        <v>13</v>
      </c>
      <c r="AA21" s="145">
        <v>0</v>
      </c>
      <c r="AB21" s="145">
        <v>0</v>
      </c>
      <c r="AC21" s="145">
        <v>0</v>
      </c>
      <c r="AD21" s="145">
        <v>0</v>
      </c>
      <c r="AE21" s="145">
        <v>0</v>
      </c>
      <c r="AF21" s="145">
        <v>0</v>
      </c>
      <c r="AG21" s="145">
        <v>0</v>
      </c>
      <c r="AH21" s="145">
        <v>2</v>
      </c>
      <c r="AI21" s="145">
        <v>0</v>
      </c>
      <c r="AJ21" s="145">
        <v>0</v>
      </c>
      <c r="AK21" s="145">
        <v>0</v>
      </c>
      <c r="AL21" s="145">
        <v>4</v>
      </c>
      <c r="AM21" s="145">
        <v>0</v>
      </c>
      <c r="AN21" s="145">
        <v>0</v>
      </c>
      <c r="AO21" s="145">
        <v>7</v>
      </c>
      <c r="AP21" s="145">
        <v>0</v>
      </c>
      <c r="AQ21" s="145">
        <v>0</v>
      </c>
      <c r="AR21" s="145">
        <v>10</v>
      </c>
      <c r="AS21" s="145">
        <v>0</v>
      </c>
      <c r="AT21" s="145">
        <v>0</v>
      </c>
      <c r="AU21" s="145">
        <v>9</v>
      </c>
      <c r="AV21" s="145">
        <v>0</v>
      </c>
      <c r="AW21" s="145"/>
      <c r="AX21" s="145">
        <f t="shared" si="0"/>
        <v>0</v>
      </c>
      <c r="AY21" s="145">
        <f t="shared" si="1"/>
        <v>20</v>
      </c>
      <c r="AZ21" s="145">
        <f t="shared" si="2"/>
        <v>1.9545454545454546</v>
      </c>
      <c r="BA21" s="145">
        <f t="shared" si="3"/>
        <v>0</v>
      </c>
      <c r="BB21" s="145">
        <f t="shared" si="4"/>
        <v>0</v>
      </c>
      <c r="BC21" s="145"/>
      <c r="BD21" s="145">
        <f>4*2</f>
        <v>8</v>
      </c>
      <c r="BE21" s="145" t="s">
        <v>130</v>
      </c>
      <c r="BF21" s="145"/>
      <c r="BG21" s="145"/>
      <c r="BH21" s="145"/>
      <c r="BI21" s="145"/>
      <c r="BJ21" s="145"/>
      <c r="BK21" s="145"/>
      <c r="BL21" s="145"/>
    </row>
    <row r="22" spans="1:64" ht="29" x14ac:dyDescent="0.35">
      <c r="A22" s="152" t="s">
        <v>19</v>
      </c>
      <c r="B22" s="153" t="s">
        <v>22</v>
      </c>
      <c r="C22" s="152">
        <v>3</v>
      </c>
      <c r="D22" s="152" t="s">
        <v>94</v>
      </c>
      <c r="E22" s="152">
        <v>3</v>
      </c>
      <c r="F22" s="152">
        <v>3</v>
      </c>
      <c r="G22" s="152">
        <v>3</v>
      </c>
      <c r="H22" s="152">
        <v>3</v>
      </c>
      <c r="I22" s="152">
        <v>3</v>
      </c>
      <c r="J22" s="152">
        <v>3</v>
      </c>
      <c r="K22" s="152">
        <v>3</v>
      </c>
      <c r="L22" s="152">
        <v>3</v>
      </c>
      <c r="M22" s="152">
        <v>3</v>
      </c>
      <c r="N22" s="152">
        <v>3</v>
      </c>
      <c r="O22" s="152">
        <v>0</v>
      </c>
      <c r="P22" s="152">
        <v>0</v>
      </c>
      <c r="Q22" s="152">
        <v>0</v>
      </c>
      <c r="R22" s="152">
        <v>3</v>
      </c>
      <c r="S22" s="152">
        <v>3</v>
      </c>
      <c r="T22" s="152">
        <v>1</v>
      </c>
      <c r="U22" s="152">
        <v>3</v>
      </c>
      <c r="V22" s="152">
        <v>3</v>
      </c>
      <c r="W22" s="152">
        <v>3</v>
      </c>
      <c r="X22" s="154">
        <v>3</v>
      </c>
      <c r="Y22" s="154">
        <v>3</v>
      </c>
      <c r="Z22" s="154">
        <v>3</v>
      </c>
      <c r="AA22" s="154">
        <v>3</v>
      </c>
      <c r="AB22" s="154">
        <v>3</v>
      </c>
      <c r="AC22" s="154">
        <v>3</v>
      </c>
      <c r="AD22" s="154">
        <v>3</v>
      </c>
      <c r="AE22" s="154">
        <v>3</v>
      </c>
      <c r="AF22" s="154">
        <v>3</v>
      </c>
      <c r="AG22" s="154">
        <v>3</v>
      </c>
      <c r="AH22" s="154">
        <v>3</v>
      </c>
      <c r="AI22" s="154">
        <v>3</v>
      </c>
      <c r="AJ22" s="154">
        <v>3</v>
      </c>
      <c r="AK22" s="154">
        <v>3</v>
      </c>
      <c r="AL22" s="154">
        <v>3</v>
      </c>
      <c r="AM22" s="154">
        <v>3</v>
      </c>
      <c r="AN22" s="154">
        <v>3</v>
      </c>
      <c r="AO22" s="154">
        <v>3</v>
      </c>
      <c r="AP22" s="154">
        <v>3</v>
      </c>
      <c r="AQ22" s="154">
        <v>3</v>
      </c>
      <c r="AR22" s="154">
        <v>0</v>
      </c>
      <c r="AS22" s="154">
        <v>3</v>
      </c>
      <c r="AT22" s="154">
        <v>3</v>
      </c>
      <c r="AU22" s="154">
        <v>3</v>
      </c>
      <c r="AV22" s="154">
        <v>3</v>
      </c>
      <c r="AW22" s="152"/>
      <c r="AX22" s="152">
        <f t="shared" si="0"/>
        <v>0</v>
      </c>
      <c r="AY22" s="152">
        <f t="shared" si="1"/>
        <v>3</v>
      </c>
      <c r="AZ22" s="152">
        <f t="shared" si="2"/>
        <v>2.6818181818181817</v>
      </c>
      <c r="BA22" s="152">
        <f t="shared" si="3"/>
        <v>3</v>
      </c>
      <c r="BB22" s="152">
        <f t="shared" si="4"/>
        <v>3</v>
      </c>
      <c r="BC22" s="152"/>
      <c r="BD22" s="152">
        <v>3</v>
      </c>
      <c r="BE22" s="154" t="s">
        <v>128</v>
      </c>
      <c r="BF22" s="152"/>
      <c r="BG22" s="152"/>
      <c r="BH22" s="152"/>
      <c r="BI22" s="152"/>
      <c r="BJ22" s="152"/>
      <c r="BK22" s="152"/>
      <c r="BL22" s="152"/>
    </row>
    <row r="23" spans="1:64" s="131" customFormat="1" x14ac:dyDescent="0.35">
      <c r="A23" s="145" t="s">
        <v>23</v>
      </c>
      <c r="B23" s="146" t="s">
        <v>24</v>
      </c>
      <c r="C23" s="145">
        <v>16</v>
      </c>
      <c r="D23" s="145" t="s">
        <v>109</v>
      </c>
      <c r="E23" s="145">
        <v>3</v>
      </c>
      <c r="F23" s="145">
        <v>2</v>
      </c>
      <c r="G23" s="145">
        <v>3</v>
      </c>
      <c r="H23" s="145">
        <v>1</v>
      </c>
      <c r="I23" s="145">
        <v>1</v>
      </c>
      <c r="J23" s="145">
        <v>1</v>
      </c>
      <c r="K23" s="145">
        <v>3</v>
      </c>
      <c r="L23" s="145">
        <v>1</v>
      </c>
      <c r="M23" s="145">
        <v>1</v>
      </c>
      <c r="N23" s="145">
        <v>2</v>
      </c>
      <c r="O23" s="145">
        <v>1</v>
      </c>
      <c r="P23" s="145">
        <v>1</v>
      </c>
      <c r="Q23" s="145">
        <v>1</v>
      </c>
      <c r="R23" s="145">
        <v>2</v>
      </c>
      <c r="S23" s="145">
        <v>2</v>
      </c>
      <c r="T23" s="145">
        <v>5</v>
      </c>
      <c r="U23" s="145">
        <v>2</v>
      </c>
      <c r="V23" s="145">
        <v>4</v>
      </c>
      <c r="W23" s="145">
        <v>26</v>
      </c>
      <c r="X23" s="145">
        <v>0</v>
      </c>
      <c r="Y23" s="145">
        <v>1</v>
      </c>
      <c r="Z23" s="145">
        <v>14</v>
      </c>
      <c r="AA23" s="145">
        <v>10</v>
      </c>
      <c r="AB23" s="145">
        <v>4</v>
      </c>
      <c r="AC23" s="145">
        <v>4</v>
      </c>
      <c r="AD23" s="145">
        <v>4</v>
      </c>
      <c r="AE23" s="145">
        <v>2</v>
      </c>
      <c r="AF23" s="145">
        <v>5</v>
      </c>
      <c r="AG23" s="145">
        <v>4</v>
      </c>
      <c r="AH23" s="145">
        <v>2</v>
      </c>
      <c r="AI23" s="145">
        <v>2</v>
      </c>
      <c r="AJ23" s="145">
        <v>3</v>
      </c>
      <c r="AK23" s="145">
        <v>2</v>
      </c>
      <c r="AL23" s="145">
        <v>3</v>
      </c>
      <c r="AM23" s="145">
        <v>2</v>
      </c>
      <c r="AN23" s="145">
        <v>2</v>
      </c>
      <c r="AO23" s="145">
        <v>3</v>
      </c>
      <c r="AP23" s="145">
        <v>2</v>
      </c>
      <c r="AQ23" s="145">
        <v>1</v>
      </c>
      <c r="AR23" s="145">
        <v>12</v>
      </c>
      <c r="AS23" s="145">
        <v>4</v>
      </c>
      <c r="AT23" s="145">
        <v>8</v>
      </c>
      <c r="AU23" s="145">
        <v>11</v>
      </c>
      <c r="AV23" s="145">
        <v>1</v>
      </c>
      <c r="AW23" s="145"/>
      <c r="AX23" s="145">
        <f t="shared" si="0"/>
        <v>0</v>
      </c>
      <c r="AY23" s="145">
        <f t="shared" si="1"/>
        <v>26</v>
      </c>
      <c r="AZ23" s="145">
        <f t="shared" si="2"/>
        <v>3.8181818181818183</v>
      </c>
      <c r="BA23" s="145">
        <f t="shared" si="3"/>
        <v>2</v>
      </c>
      <c r="BB23" s="145">
        <f t="shared" si="4"/>
        <v>2</v>
      </c>
      <c r="BC23" s="145"/>
      <c r="BD23" s="145">
        <f>16*4</f>
        <v>64</v>
      </c>
      <c r="BE23" s="145" t="s">
        <v>131</v>
      </c>
      <c r="BF23" s="145"/>
      <c r="BG23" s="145"/>
      <c r="BH23" s="145"/>
      <c r="BI23" s="145"/>
      <c r="BJ23" s="145"/>
      <c r="BK23" s="145"/>
      <c r="BL23" s="145"/>
    </row>
    <row r="24" spans="1:64" x14ac:dyDescent="0.35">
      <c r="A24" s="152" t="s">
        <v>23</v>
      </c>
      <c r="B24" s="153" t="s">
        <v>25</v>
      </c>
      <c r="C24" s="152">
        <v>10</v>
      </c>
      <c r="D24" s="152" t="s">
        <v>109</v>
      </c>
      <c r="E24" s="152">
        <v>3</v>
      </c>
      <c r="F24" s="152">
        <v>2</v>
      </c>
      <c r="G24" s="152">
        <v>3</v>
      </c>
      <c r="H24" s="152">
        <v>1</v>
      </c>
      <c r="I24" s="152">
        <v>1</v>
      </c>
      <c r="J24" s="152">
        <v>1</v>
      </c>
      <c r="K24" s="152">
        <v>3</v>
      </c>
      <c r="L24" s="152">
        <v>1</v>
      </c>
      <c r="M24" s="152">
        <v>4</v>
      </c>
      <c r="N24" s="152">
        <v>2</v>
      </c>
      <c r="O24" s="152">
        <v>1</v>
      </c>
      <c r="P24" s="152">
        <v>1</v>
      </c>
      <c r="Q24" s="152">
        <v>1</v>
      </c>
      <c r="R24" s="152">
        <v>2</v>
      </c>
      <c r="S24" s="152">
        <v>2</v>
      </c>
      <c r="T24" s="152">
        <v>1</v>
      </c>
      <c r="U24" s="152">
        <v>2</v>
      </c>
      <c r="V24" s="152">
        <v>4</v>
      </c>
      <c r="W24" s="152">
        <v>26</v>
      </c>
      <c r="X24" s="154">
        <v>0</v>
      </c>
      <c r="Y24" s="154">
        <v>1</v>
      </c>
      <c r="Z24" s="154">
        <v>14</v>
      </c>
      <c r="AA24" s="154">
        <v>10</v>
      </c>
      <c r="AB24" s="154">
        <v>4</v>
      </c>
      <c r="AC24" s="154">
        <v>4</v>
      </c>
      <c r="AD24" s="154">
        <v>4</v>
      </c>
      <c r="AE24" s="154">
        <v>2</v>
      </c>
      <c r="AF24" s="154">
        <v>5</v>
      </c>
      <c r="AG24" s="154">
        <v>4</v>
      </c>
      <c r="AH24" s="154">
        <v>2</v>
      </c>
      <c r="AI24" s="154">
        <v>2</v>
      </c>
      <c r="AJ24" s="154">
        <v>3</v>
      </c>
      <c r="AK24" s="154">
        <v>2</v>
      </c>
      <c r="AL24" s="154">
        <v>3</v>
      </c>
      <c r="AM24" s="152">
        <v>2</v>
      </c>
      <c r="AN24" s="154">
        <v>2</v>
      </c>
      <c r="AO24" s="154">
        <v>3</v>
      </c>
      <c r="AP24" s="154">
        <v>2</v>
      </c>
      <c r="AQ24" s="154">
        <v>1</v>
      </c>
      <c r="AR24" s="154">
        <v>12</v>
      </c>
      <c r="AS24" s="154">
        <v>4</v>
      </c>
      <c r="AT24" s="154">
        <v>8</v>
      </c>
      <c r="AU24" s="154">
        <v>11</v>
      </c>
      <c r="AV24" s="154">
        <v>1</v>
      </c>
      <c r="AW24" s="152"/>
      <c r="AX24" s="152">
        <f t="shared" si="0"/>
        <v>0</v>
      </c>
      <c r="AY24" s="152">
        <f t="shared" si="1"/>
        <v>26</v>
      </c>
      <c r="AZ24" s="152">
        <f t="shared" si="2"/>
        <v>3.7954545454545454</v>
      </c>
      <c r="BA24" s="152">
        <f t="shared" si="3"/>
        <v>2</v>
      </c>
      <c r="BB24" s="152">
        <f t="shared" si="4"/>
        <v>2</v>
      </c>
      <c r="BC24" s="152"/>
      <c r="BD24" s="152">
        <f>4*10</f>
        <v>40</v>
      </c>
      <c r="BE24" s="154" t="s">
        <v>131</v>
      </c>
      <c r="BF24" s="152"/>
      <c r="BG24" s="152"/>
      <c r="BH24" s="152"/>
      <c r="BI24" s="152"/>
      <c r="BJ24" s="152"/>
      <c r="BK24" s="152"/>
      <c r="BL24" s="152"/>
    </row>
    <row r="25" spans="1:64" s="131" customFormat="1" x14ac:dyDescent="0.35">
      <c r="A25" s="145" t="s">
        <v>26</v>
      </c>
      <c r="B25" s="146" t="s">
        <v>27</v>
      </c>
      <c r="C25" s="145">
        <v>11</v>
      </c>
      <c r="D25" s="145" t="s">
        <v>110</v>
      </c>
      <c r="E25" s="145">
        <v>2</v>
      </c>
      <c r="F25" s="145">
        <v>1</v>
      </c>
      <c r="G25" s="145">
        <v>1</v>
      </c>
      <c r="H25" s="145">
        <v>0</v>
      </c>
      <c r="I25" s="145">
        <v>0</v>
      </c>
      <c r="J25" s="145">
        <v>0</v>
      </c>
      <c r="K25" s="145">
        <v>0</v>
      </c>
      <c r="L25" s="145">
        <v>0</v>
      </c>
      <c r="M25" s="145">
        <v>3</v>
      </c>
      <c r="N25" s="145">
        <v>1</v>
      </c>
      <c r="O25" s="145">
        <v>1</v>
      </c>
      <c r="P25" s="145">
        <v>1</v>
      </c>
      <c r="Q25" s="145">
        <v>1</v>
      </c>
      <c r="R25" s="145">
        <v>0</v>
      </c>
      <c r="S25" s="145">
        <v>0</v>
      </c>
      <c r="T25" s="145">
        <v>2</v>
      </c>
      <c r="U25" s="145">
        <v>0</v>
      </c>
      <c r="V25" s="145">
        <v>0</v>
      </c>
      <c r="W25" s="145">
        <v>0</v>
      </c>
      <c r="X25" s="145">
        <v>0</v>
      </c>
      <c r="Y25" s="145">
        <v>0</v>
      </c>
      <c r="Z25" s="145">
        <v>0</v>
      </c>
      <c r="AA25" s="145">
        <v>0</v>
      </c>
      <c r="AB25" s="145">
        <v>0</v>
      </c>
      <c r="AC25" s="145">
        <v>1</v>
      </c>
      <c r="AD25" s="145">
        <v>3</v>
      </c>
      <c r="AE25" s="145">
        <v>1</v>
      </c>
      <c r="AF25" s="145">
        <v>1</v>
      </c>
      <c r="AG25" s="145">
        <v>2</v>
      </c>
      <c r="AH25" s="145">
        <v>1</v>
      </c>
      <c r="AI25" s="145">
        <v>1</v>
      </c>
      <c r="AJ25" s="145">
        <v>2</v>
      </c>
      <c r="AK25" s="145">
        <v>1</v>
      </c>
      <c r="AL25" s="145">
        <v>1</v>
      </c>
      <c r="AM25" s="145">
        <v>1</v>
      </c>
      <c r="AN25" s="145">
        <v>0</v>
      </c>
      <c r="AO25" s="145">
        <v>3</v>
      </c>
      <c r="AP25" s="145">
        <v>1</v>
      </c>
      <c r="AQ25" s="145">
        <v>0</v>
      </c>
      <c r="AR25" s="145">
        <v>12</v>
      </c>
      <c r="AS25" s="145">
        <v>2</v>
      </c>
      <c r="AT25" s="145">
        <v>8</v>
      </c>
      <c r="AU25" s="145">
        <v>11</v>
      </c>
      <c r="AV25" s="145">
        <v>0</v>
      </c>
      <c r="AW25" s="145"/>
      <c r="AX25" s="145">
        <f t="shared" si="0"/>
        <v>0</v>
      </c>
      <c r="AY25" s="145">
        <f t="shared" si="1"/>
        <v>12</v>
      </c>
      <c r="AZ25" s="145">
        <f t="shared" si="2"/>
        <v>1.4772727272727273</v>
      </c>
      <c r="BA25" s="145">
        <f t="shared" si="3"/>
        <v>0</v>
      </c>
      <c r="BB25" s="145">
        <f t="shared" si="4"/>
        <v>1</v>
      </c>
      <c r="BC25" s="145"/>
      <c r="BD25" s="145">
        <f>11*1</f>
        <v>11</v>
      </c>
      <c r="BE25" s="145" t="s">
        <v>132</v>
      </c>
      <c r="BF25" s="145"/>
      <c r="BG25" s="145"/>
      <c r="BH25" s="145"/>
      <c r="BI25" s="145"/>
      <c r="BJ25" s="145"/>
      <c r="BK25" s="145"/>
      <c r="BL25" s="145"/>
    </row>
    <row r="26" spans="1:64" s="131" customFormat="1" x14ac:dyDescent="0.35">
      <c r="A26" s="145" t="s">
        <v>26</v>
      </c>
      <c r="B26" s="146" t="s">
        <v>28</v>
      </c>
      <c r="C26" s="145">
        <v>21</v>
      </c>
      <c r="D26" s="145" t="s">
        <v>112</v>
      </c>
      <c r="E26" s="145">
        <v>0</v>
      </c>
      <c r="F26" s="145">
        <v>0</v>
      </c>
      <c r="G26" s="145">
        <v>1</v>
      </c>
      <c r="H26" s="145">
        <v>0</v>
      </c>
      <c r="I26" s="145">
        <v>0</v>
      </c>
      <c r="J26" s="145">
        <v>0</v>
      </c>
      <c r="K26" s="145">
        <v>0</v>
      </c>
      <c r="L26" s="145">
        <v>0</v>
      </c>
      <c r="M26" s="145">
        <v>0</v>
      </c>
      <c r="N26" s="145">
        <v>1</v>
      </c>
      <c r="O26" s="145">
        <v>0</v>
      </c>
      <c r="P26" s="145">
        <v>0</v>
      </c>
      <c r="Q26" s="145">
        <v>0</v>
      </c>
      <c r="R26" s="145">
        <v>1</v>
      </c>
      <c r="S26" s="145">
        <v>1</v>
      </c>
      <c r="T26" s="145">
        <v>1</v>
      </c>
      <c r="U26" s="145">
        <v>1</v>
      </c>
      <c r="V26" s="145">
        <v>0</v>
      </c>
      <c r="W26" s="145">
        <v>0</v>
      </c>
      <c r="X26" s="145">
        <v>0</v>
      </c>
      <c r="Y26" s="145">
        <v>0</v>
      </c>
      <c r="Z26" s="145">
        <v>0</v>
      </c>
      <c r="AA26" s="145">
        <v>0</v>
      </c>
      <c r="AB26" s="145">
        <v>0</v>
      </c>
      <c r="AC26" s="145">
        <v>3</v>
      </c>
      <c r="AD26" s="145">
        <v>1</v>
      </c>
      <c r="AE26" s="145">
        <v>0</v>
      </c>
      <c r="AF26" s="145">
        <v>2</v>
      </c>
      <c r="AG26" s="145">
        <v>2</v>
      </c>
      <c r="AH26" s="145">
        <v>0</v>
      </c>
      <c r="AI26" s="145">
        <v>0</v>
      </c>
      <c r="AJ26" s="145">
        <v>1</v>
      </c>
      <c r="AK26" s="145">
        <v>0</v>
      </c>
      <c r="AL26" s="145">
        <v>0</v>
      </c>
      <c r="AM26" s="145">
        <v>0</v>
      </c>
      <c r="AN26" s="145">
        <v>0</v>
      </c>
      <c r="AO26" s="145">
        <v>0</v>
      </c>
      <c r="AP26" s="145">
        <v>0</v>
      </c>
      <c r="AQ26" s="145">
        <v>0</v>
      </c>
      <c r="AR26" s="145">
        <v>0</v>
      </c>
      <c r="AS26" s="145">
        <v>0</v>
      </c>
      <c r="AT26" s="145">
        <v>0</v>
      </c>
      <c r="AU26" s="145">
        <v>0</v>
      </c>
      <c r="AV26" s="145">
        <v>0</v>
      </c>
      <c r="AW26" s="145"/>
      <c r="AX26" s="145">
        <f t="shared" si="0"/>
        <v>0</v>
      </c>
      <c r="AY26" s="145">
        <f t="shared" si="1"/>
        <v>3</v>
      </c>
      <c r="AZ26" s="145">
        <f t="shared" si="2"/>
        <v>0.34090909090909088</v>
      </c>
      <c r="BA26" s="145">
        <f t="shared" si="3"/>
        <v>0</v>
      </c>
      <c r="BB26" s="145">
        <f t="shared" si="4"/>
        <v>0</v>
      </c>
      <c r="BC26" s="145"/>
      <c r="BD26" s="145">
        <f>21*1</f>
        <v>21</v>
      </c>
      <c r="BE26" s="145" t="s">
        <v>135</v>
      </c>
      <c r="BF26" s="145"/>
      <c r="BG26" s="145"/>
      <c r="BH26" s="145"/>
      <c r="BI26" s="145"/>
      <c r="BJ26" s="145"/>
      <c r="BK26" s="145"/>
      <c r="BL26" s="145"/>
    </row>
    <row r="27" spans="1:64" s="131" customFormat="1" ht="29" x14ac:dyDescent="0.35">
      <c r="A27" s="145" t="s">
        <v>26</v>
      </c>
      <c r="B27" s="146" t="s">
        <v>294</v>
      </c>
      <c r="C27" s="145">
        <v>26</v>
      </c>
      <c r="D27" s="145" t="s">
        <v>111</v>
      </c>
      <c r="E27" s="145">
        <v>1</v>
      </c>
      <c r="F27" s="145">
        <v>1</v>
      </c>
      <c r="G27" s="145">
        <v>1</v>
      </c>
      <c r="H27" s="145">
        <v>0</v>
      </c>
      <c r="I27" s="145">
        <v>0</v>
      </c>
      <c r="J27" s="145">
        <v>1</v>
      </c>
      <c r="K27" s="145">
        <v>3</v>
      </c>
      <c r="L27" s="145">
        <v>1</v>
      </c>
      <c r="M27" s="145">
        <v>0</v>
      </c>
      <c r="N27" s="145">
        <v>0</v>
      </c>
      <c r="O27" s="145">
        <v>0</v>
      </c>
      <c r="P27" s="145">
        <v>0</v>
      </c>
      <c r="Q27" s="145">
        <v>0</v>
      </c>
      <c r="R27" s="145">
        <v>0</v>
      </c>
      <c r="S27" s="145">
        <v>0</v>
      </c>
      <c r="T27" s="145">
        <v>1</v>
      </c>
      <c r="U27" s="145">
        <v>0</v>
      </c>
      <c r="V27" s="145">
        <v>2</v>
      </c>
      <c r="W27" s="145">
        <v>15</v>
      </c>
      <c r="X27" s="145">
        <v>0</v>
      </c>
      <c r="Y27" s="145">
        <v>1</v>
      </c>
      <c r="Z27" s="145">
        <v>0</v>
      </c>
      <c r="AA27" s="145">
        <v>10</v>
      </c>
      <c r="AB27" s="145">
        <v>2</v>
      </c>
      <c r="AC27" s="145">
        <v>0</v>
      </c>
      <c r="AD27" s="145">
        <v>0</v>
      </c>
      <c r="AE27" s="145">
        <v>1</v>
      </c>
      <c r="AF27" s="145">
        <v>2</v>
      </c>
      <c r="AG27" s="145">
        <v>1</v>
      </c>
      <c r="AH27" s="145">
        <v>1</v>
      </c>
      <c r="AI27" s="145">
        <v>1</v>
      </c>
      <c r="AJ27" s="145">
        <v>0</v>
      </c>
      <c r="AK27" s="145">
        <v>1</v>
      </c>
      <c r="AL27" s="145">
        <v>2</v>
      </c>
      <c r="AM27" s="145">
        <v>1</v>
      </c>
      <c r="AN27" s="145">
        <v>2</v>
      </c>
      <c r="AO27" s="145">
        <v>0</v>
      </c>
      <c r="AP27" s="145">
        <v>1</v>
      </c>
      <c r="AQ27" s="145">
        <v>1</v>
      </c>
      <c r="AR27" s="145">
        <v>0</v>
      </c>
      <c r="AS27" s="145">
        <v>2</v>
      </c>
      <c r="AT27" s="145">
        <v>0</v>
      </c>
      <c r="AU27" s="145">
        <v>0</v>
      </c>
      <c r="AV27" s="145">
        <v>1</v>
      </c>
      <c r="AW27" s="145"/>
      <c r="AX27" s="145">
        <f t="shared" si="0"/>
        <v>0</v>
      </c>
      <c r="AY27" s="145">
        <f t="shared" si="1"/>
        <v>15</v>
      </c>
      <c r="AZ27" s="145">
        <f t="shared" si="2"/>
        <v>1.2727272727272727</v>
      </c>
      <c r="BA27" s="145">
        <f t="shared" si="3"/>
        <v>0</v>
      </c>
      <c r="BB27" s="145">
        <f t="shared" si="4"/>
        <v>1</v>
      </c>
      <c r="BC27" s="145"/>
      <c r="BD27" s="145">
        <f>26*1</f>
        <v>26</v>
      </c>
      <c r="BE27" s="145" t="s">
        <v>133</v>
      </c>
      <c r="BF27" s="145"/>
      <c r="BG27" s="145"/>
      <c r="BH27" s="145"/>
      <c r="BI27" s="145"/>
      <c r="BJ27" s="145"/>
      <c r="BK27" s="145"/>
      <c r="BL27" s="145"/>
    </row>
    <row r="28" spans="1:64" s="131" customFormat="1" x14ac:dyDescent="0.35">
      <c r="A28" s="145" t="s">
        <v>26</v>
      </c>
      <c r="B28" s="146" t="s">
        <v>30</v>
      </c>
      <c r="C28" s="145">
        <v>11</v>
      </c>
      <c r="D28" s="145" t="s">
        <v>113</v>
      </c>
      <c r="E28" s="145">
        <v>0</v>
      </c>
      <c r="F28" s="145">
        <v>0</v>
      </c>
      <c r="G28" s="145">
        <v>0</v>
      </c>
      <c r="H28" s="145">
        <v>1</v>
      </c>
      <c r="I28" s="145">
        <v>1</v>
      </c>
      <c r="J28" s="145">
        <v>0</v>
      </c>
      <c r="K28" s="145">
        <v>0</v>
      </c>
      <c r="L28" s="145">
        <v>0</v>
      </c>
      <c r="M28" s="145">
        <v>0</v>
      </c>
      <c r="N28" s="145">
        <v>0</v>
      </c>
      <c r="O28" s="145">
        <v>0</v>
      </c>
      <c r="P28" s="145">
        <v>0</v>
      </c>
      <c r="Q28" s="145">
        <v>0</v>
      </c>
      <c r="R28" s="145">
        <v>1</v>
      </c>
      <c r="S28" s="145">
        <v>1</v>
      </c>
      <c r="T28" s="145">
        <v>0</v>
      </c>
      <c r="U28" s="145">
        <v>1</v>
      </c>
      <c r="V28" s="145">
        <v>0</v>
      </c>
      <c r="W28" s="145">
        <v>0</v>
      </c>
      <c r="X28" s="145">
        <v>0</v>
      </c>
      <c r="Y28" s="145">
        <v>0</v>
      </c>
      <c r="Z28" s="145">
        <v>12</v>
      </c>
      <c r="AA28" s="145">
        <v>0</v>
      </c>
      <c r="AB28" s="145">
        <v>0</v>
      </c>
      <c r="AC28" s="145">
        <v>0</v>
      </c>
      <c r="AD28" s="145">
        <v>0</v>
      </c>
      <c r="AE28" s="145">
        <v>0</v>
      </c>
      <c r="AF28" s="145">
        <v>0</v>
      </c>
      <c r="AG28" s="145">
        <v>0</v>
      </c>
      <c r="AH28" s="145">
        <v>0</v>
      </c>
      <c r="AI28" s="145">
        <v>0</v>
      </c>
      <c r="AJ28" s="145">
        <v>0</v>
      </c>
      <c r="AK28" s="145">
        <v>0</v>
      </c>
      <c r="AL28" s="145">
        <v>0</v>
      </c>
      <c r="AM28" s="145">
        <v>0</v>
      </c>
      <c r="AN28" s="145">
        <v>0</v>
      </c>
      <c r="AO28" s="145">
        <v>0</v>
      </c>
      <c r="AP28" s="145">
        <v>0</v>
      </c>
      <c r="AQ28" s="145">
        <v>0</v>
      </c>
      <c r="AR28" s="145">
        <v>0</v>
      </c>
      <c r="AS28" s="145">
        <v>0</v>
      </c>
      <c r="AT28" s="145">
        <v>0</v>
      </c>
      <c r="AU28" s="145">
        <v>0</v>
      </c>
      <c r="AV28" s="145">
        <v>0</v>
      </c>
      <c r="AW28" s="145"/>
      <c r="AX28" s="145">
        <f t="shared" si="0"/>
        <v>0</v>
      </c>
      <c r="AY28" s="145">
        <f t="shared" si="1"/>
        <v>12</v>
      </c>
      <c r="AZ28" s="145">
        <f t="shared" si="2"/>
        <v>0.38636363636363635</v>
      </c>
      <c r="BA28" s="145">
        <f t="shared" si="3"/>
        <v>0</v>
      </c>
      <c r="BB28" s="145">
        <f t="shared" si="4"/>
        <v>0</v>
      </c>
      <c r="BC28" s="145"/>
      <c r="BD28" s="145">
        <f>11*1</f>
        <v>11</v>
      </c>
      <c r="BE28" s="145" t="s">
        <v>136</v>
      </c>
      <c r="BF28" s="145"/>
      <c r="BG28" s="145"/>
      <c r="BH28" s="145"/>
      <c r="BI28" s="145"/>
      <c r="BJ28" s="145"/>
      <c r="BK28" s="145"/>
      <c r="BL28" s="145"/>
    </row>
    <row r="29" spans="1:64" s="131" customFormat="1" x14ac:dyDescent="0.35">
      <c r="A29" s="145" t="s">
        <v>26</v>
      </c>
      <c r="B29" s="146" t="s">
        <v>31</v>
      </c>
      <c r="C29" s="145">
        <v>7</v>
      </c>
      <c r="D29" s="145" t="s">
        <v>114</v>
      </c>
      <c r="E29" s="145">
        <v>0</v>
      </c>
      <c r="F29" s="145">
        <v>0</v>
      </c>
      <c r="G29" s="145">
        <v>0</v>
      </c>
      <c r="H29" s="145">
        <v>0</v>
      </c>
      <c r="I29" s="145">
        <v>0</v>
      </c>
      <c r="J29" s="145">
        <v>0</v>
      </c>
      <c r="K29" s="145">
        <v>0</v>
      </c>
      <c r="L29" s="145">
        <v>0</v>
      </c>
      <c r="M29" s="145">
        <v>0</v>
      </c>
      <c r="N29" s="145">
        <v>0</v>
      </c>
      <c r="O29" s="145">
        <v>0</v>
      </c>
      <c r="P29" s="145">
        <v>0</v>
      </c>
      <c r="Q29" s="145">
        <v>0</v>
      </c>
      <c r="R29" s="145">
        <v>0</v>
      </c>
      <c r="S29" s="145">
        <v>0</v>
      </c>
      <c r="T29" s="145">
        <v>0</v>
      </c>
      <c r="U29" s="145">
        <v>0</v>
      </c>
      <c r="V29" s="145">
        <v>0</v>
      </c>
      <c r="W29" s="145">
        <v>0</v>
      </c>
      <c r="X29" s="145">
        <v>0</v>
      </c>
      <c r="Y29" s="145">
        <v>0</v>
      </c>
      <c r="Z29" s="145">
        <v>2</v>
      </c>
      <c r="AA29" s="145">
        <v>0</v>
      </c>
      <c r="AB29" s="145">
        <v>0</v>
      </c>
      <c r="AC29" s="145">
        <v>0</v>
      </c>
      <c r="AD29" s="145">
        <v>0</v>
      </c>
      <c r="AE29" s="145">
        <v>0</v>
      </c>
      <c r="AF29" s="145">
        <v>0</v>
      </c>
      <c r="AG29" s="145">
        <v>0</v>
      </c>
      <c r="AH29" s="145">
        <v>0</v>
      </c>
      <c r="AI29" s="145">
        <v>0</v>
      </c>
      <c r="AJ29" s="145">
        <v>0</v>
      </c>
      <c r="AK29" s="145">
        <v>0</v>
      </c>
      <c r="AL29" s="145">
        <v>0</v>
      </c>
      <c r="AM29" s="145">
        <v>0</v>
      </c>
      <c r="AN29" s="145">
        <v>0</v>
      </c>
      <c r="AO29" s="145">
        <v>0</v>
      </c>
      <c r="AP29" s="145">
        <v>0</v>
      </c>
      <c r="AQ29" s="145">
        <v>0</v>
      </c>
      <c r="AR29" s="145">
        <v>0</v>
      </c>
      <c r="AS29" s="145">
        <v>0</v>
      </c>
      <c r="AT29" s="145">
        <v>0</v>
      </c>
      <c r="AU29" s="145">
        <v>0</v>
      </c>
      <c r="AV29" s="145">
        <v>0</v>
      </c>
      <c r="AW29" s="145"/>
      <c r="AX29" s="145">
        <f t="shared" si="0"/>
        <v>0</v>
      </c>
      <c r="AY29" s="145">
        <f t="shared" si="1"/>
        <v>2</v>
      </c>
      <c r="AZ29" s="145">
        <f t="shared" si="2"/>
        <v>4.5454545454545456E-2</v>
      </c>
      <c r="BA29" s="145">
        <f t="shared" si="3"/>
        <v>0</v>
      </c>
      <c r="BB29" s="145">
        <f t="shared" si="4"/>
        <v>0</v>
      </c>
      <c r="BC29" s="145"/>
      <c r="BD29" s="145">
        <v>0</v>
      </c>
      <c r="BE29" s="145" t="s">
        <v>134</v>
      </c>
      <c r="BF29" s="145"/>
      <c r="BG29" s="145"/>
      <c r="BH29" s="145"/>
      <c r="BI29" s="145"/>
      <c r="BJ29" s="145"/>
      <c r="BK29" s="145"/>
      <c r="BL29" s="145"/>
    </row>
    <row r="30" spans="1:64" s="131" customFormat="1" x14ac:dyDescent="0.35">
      <c r="A30" s="145" t="s">
        <v>32</v>
      </c>
      <c r="B30" s="146" t="s">
        <v>33</v>
      </c>
      <c r="C30" s="145">
        <v>11</v>
      </c>
      <c r="D30" s="145" t="s">
        <v>100</v>
      </c>
      <c r="E30" s="145">
        <v>8</v>
      </c>
      <c r="F30" s="145">
        <v>8</v>
      </c>
      <c r="G30" s="145">
        <v>14</v>
      </c>
      <c r="H30" s="145">
        <v>18</v>
      </c>
      <c r="I30" s="145">
        <v>18</v>
      </c>
      <c r="J30" s="145">
        <v>20</v>
      </c>
      <c r="K30" s="145">
        <v>20</v>
      </c>
      <c r="L30" s="145">
        <v>10</v>
      </c>
      <c r="M30" s="145">
        <v>14</v>
      </c>
      <c r="N30" s="145">
        <v>17</v>
      </c>
      <c r="O30" s="145">
        <v>44</v>
      </c>
      <c r="P30" s="145">
        <v>31</v>
      </c>
      <c r="Q30" s="145">
        <v>8</v>
      </c>
      <c r="R30" s="145">
        <v>13</v>
      </c>
      <c r="S30" s="145">
        <v>15</v>
      </c>
      <c r="T30" s="145">
        <v>20</v>
      </c>
      <c r="U30" s="145">
        <v>5</v>
      </c>
      <c r="V30" s="145">
        <v>6</v>
      </c>
      <c r="W30" s="145">
        <v>4</v>
      </c>
      <c r="X30" s="145">
        <v>0</v>
      </c>
      <c r="Y30" s="145">
        <v>1</v>
      </c>
      <c r="Z30" s="145">
        <v>12</v>
      </c>
      <c r="AA30" s="145">
        <v>18</v>
      </c>
      <c r="AB30" s="145">
        <v>6</v>
      </c>
      <c r="AC30" s="145">
        <v>10</v>
      </c>
      <c r="AD30" s="145">
        <v>20</v>
      </c>
      <c r="AE30" s="145">
        <v>20</v>
      </c>
      <c r="AF30" s="145">
        <v>20</v>
      </c>
      <c r="AG30" s="145">
        <v>20</v>
      </c>
      <c r="AH30" s="145">
        <v>20</v>
      </c>
      <c r="AI30" s="145">
        <v>20</v>
      </c>
      <c r="AJ30" s="145">
        <v>20</v>
      </c>
      <c r="AK30" s="145">
        <v>20</v>
      </c>
      <c r="AL30" s="145">
        <v>20</v>
      </c>
      <c r="AM30" s="145">
        <v>20</v>
      </c>
      <c r="AN30" s="145">
        <v>90</v>
      </c>
      <c r="AO30" s="145">
        <v>101</v>
      </c>
      <c r="AP30" s="145">
        <v>121</v>
      </c>
      <c r="AQ30" s="145">
        <v>185</v>
      </c>
      <c r="AR30" s="145">
        <v>136</v>
      </c>
      <c r="AS30" s="145">
        <v>187</v>
      </c>
      <c r="AT30" s="145">
        <v>262</v>
      </c>
      <c r="AU30" s="145">
        <v>236</v>
      </c>
      <c r="AV30" s="145">
        <v>97</v>
      </c>
      <c r="AW30" s="145"/>
      <c r="AX30" s="145">
        <f t="shared" si="0"/>
        <v>0</v>
      </c>
      <c r="AY30" s="145">
        <f t="shared" si="1"/>
        <v>262</v>
      </c>
      <c r="AZ30" s="145">
        <f t="shared" si="2"/>
        <v>44.43181818181818</v>
      </c>
      <c r="BA30" s="145">
        <f t="shared" si="3"/>
        <v>20</v>
      </c>
      <c r="BB30" s="145">
        <f t="shared" si="4"/>
        <v>20</v>
      </c>
      <c r="BC30" s="145"/>
      <c r="BD30" s="145">
        <f>44*11</f>
        <v>484</v>
      </c>
      <c r="BE30" s="145" t="s">
        <v>137</v>
      </c>
      <c r="BF30" s="145"/>
      <c r="BG30" s="145"/>
      <c r="BH30" s="145"/>
      <c r="BI30" s="145"/>
      <c r="BJ30" s="145"/>
      <c r="BK30" s="145"/>
      <c r="BL30" s="145"/>
    </row>
    <row r="31" spans="1:64" s="131" customFormat="1" x14ac:dyDescent="0.35">
      <c r="A31" s="145" t="s">
        <v>32</v>
      </c>
      <c r="B31" s="146" t="s">
        <v>34</v>
      </c>
      <c r="C31" s="145">
        <v>9</v>
      </c>
      <c r="D31" s="145" t="s">
        <v>115</v>
      </c>
      <c r="E31" s="145">
        <v>0</v>
      </c>
      <c r="F31" s="145">
        <v>0</v>
      </c>
      <c r="G31" s="145">
        <v>0</v>
      </c>
      <c r="H31" s="145">
        <v>9</v>
      </c>
      <c r="I31" s="145">
        <v>9</v>
      </c>
      <c r="J31" s="145">
        <v>9</v>
      </c>
      <c r="K31" s="145">
        <v>8</v>
      </c>
      <c r="L31" s="145">
        <v>3</v>
      </c>
      <c r="M31" s="145">
        <v>8</v>
      </c>
      <c r="N31" s="145">
        <v>4</v>
      </c>
      <c r="O31" s="145">
        <v>4</v>
      </c>
      <c r="P31" s="145">
        <v>5</v>
      </c>
      <c r="Q31" s="145">
        <v>2</v>
      </c>
      <c r="R31" s="145">
        <v>2</v>
      </c>
      <c r="S31" s="145">
        <v>2</v>
      </c>
      <c r="T31" s="145">
        <v>6</v>
      </c>
      <c r="U31" s="145">
        <v>3</v>
      </c>
      <c r="V31" s="145">
        <v>10</v>
      </c>
      <c r="W31" s="145">
        <v>0</v>
      </c>
      <c r="X31" s="145">
        <v>1</v>
      </c>
      <c r="Y31" s="145">
        <v>5</v>
      </c>
      <c r="Z31" s="145">
        <v>1</v>
      </c>
      <c r="AA31" s="145">
        <v>3</v>
      </c>
      <c r="AB31" s="145">
        <v>1</v>
      </c>
      <c r="AC31" s="145">
        <v>15</v>
      </c>
      <c r="AD31" s="145">
        <v>19</v>
      </c>
      <c r="AE31" s="145">
        <v>0</v>
      </c>
      <c r="AF31" s="145">
        <v>0</v>
      </c>
      <c r="AG31" s="145">
        <v>0</v>
      </c>
      <c r="AH31" s="145">
        <v>0</v>
      </c>
      <c r="AI31" s="145">
        <v>0</v>
      </c>
      <c r="AJ31" s="145">
        <v>0</v>
      </c>
      <c r="AK31" s="145">
        <v>0</v>
      </c>
      <c r="AL31" s="145">
        <v>0</v>
      </c>
      <c r="AM31" s="145">
        <v>0</v>
      </c>
      <c r="AN31" s="145">
        <v>8</v>
      </c>
      <c r="AO31" s="145">
        <v>5</v>
      </c>
      <c r="AP31" s="145">
        <v>7</v>
      </c>
      <c r="AQ31" s="145">
        <v>8</v>
      </c>
      <c r="AR31" s="145">
        <v>3</v>
      </c>
      <c r="AS31" s="145">
        <v>6</v>
      </c>
      <c r="AT31" s="145">
        <v>4</v>
      </c>
      <c r="AU31" s="145">
        <v>3</v>
      </c>
      <c r="AV31" s="145">
        <v>5</v>
      </c>
      <c r="AW31" s="145"/>
      <c r="AX31" s="145">
        <f t="shared" si="0"/>
        <v>0</v>
      </c>
      <c r="AY31" s="145">
        <f t="shared" si="1"/>
        <v>19</v>
      </c>
      <c r="AZ31" s="145">
        <f t="shared" si="2"/>
        <v>4.0454545454545459</v>
      </c>
      <c r="BA31" s="145">
        <f t="shared" si="3"/>
        <v>0</v>
      </c>
      <c r="BB31" s="145">
        <f t="shared" si="4"/>
        <v>3</v>
      </c>
      <c r="BC31" s="145"/>
      <c r="BD31" s="145">
        <f>9*4</f>
        <v>36</v>
      </c>
      <c r="BE31" s="145" t="s">
        <v>138</v>
      </c>
      <c r="BF31" s="145"/>
      <c r="BG31" s="145"/>
      <c r="BH31" s="145"/>
      <c r="BI31" s="145"/>
      <c r="BJ31" s="145"/>
      <c r="BK31" s="145"/>
      <c r="BL31" s="145"/>
    </row>
    <row r="32" spans="1:64" s="131" customFormat="1" x14ac:dyDescent="0.35">
      <c r="A32" s="145" t="s">
        <v>32</v>
      </c>
      <c r="B32" s="146" t="s">
        <v>35</v>
      </c>
      <c r="C32" s="145">
        <v>3</v>
      </c>
      <c r="D32" s="145" t="s">
        <v>97</v>
      </c>
      <c r="E32" s="145">
        <v>0</v>
      </c>
      <c r="F32" s="145">
        <v>0</v>
      </c>
      <c r="G32" s="145">
        <v>0</v>
      </c>
      <c r="H32" s="145">
        <v>3</v>
      </c>
      <c r="I32" s="145">
        <v>0</v>
      </c>
      <c r="J32" s="145">
        <v>3</v>
      </c>
      <c r="K32" s="145">
        <v>3</v>
      </c>
      <c r="L32" s="145">
        <v>0</v>
      </c>
      <c r="M32" s="145">
        <v>3</v>
      </c>
      <c r="N32" s="145">
        <v>0</v>
      </c>
      <c r="O32" s="145">
        <v>0</v>
      </c>
      <c r="P32" s="145">
        <v>0</v>
      </c>
      <c r="Q32" s="145">
        <v>0</v>
      </c>
      <c r="R32" s="145">
        <v>0</v>
      </c>
      <c r="S32" s="145">
        <v>0</v>
      </c>
      <c r="T32" s="145">
        <v>3</v>
      </c>
      <c r="U32" s="145">
        <v>0</v>
      </c>
      <c r="V32" s="145">
        <v>0</v>
      </c>
      <c r="W32" s="145">
        <v>0</v>
      </c>
      <c r="X32" s="145">
        <v>0</v>
      </c>
      <c r="Y32" s="145">
        <v>0</v>
      </c>
      <c r="Z32" s="145">
        <v>0</v>
      </c>
      <c r="AA32" s="145">
        <v>0</v>
      </c>
      <c r="AB32" s="145">
        <v>0</v>
      </c>
      <c r="AC32" s="145">
        <v>0</v>
      </c>
      <c r="AD32" s="145">
        <v>2</v>
      </c>
      <c r="AE32" s="145">
        <v>3</v>
      </c>
      <c r="AF32" s="145">
        <v>3</v>
      </c>
      <c r="AG32" s="145">
        <v>3</v>
      </c>
      <c r="AH32" s="145">
        <v>3</v>
      </c>
      <c r="AI32" s="145">
        <v>3</v>
      </c>
      <c r="AJ32" s="145">
        <v>3</v>
      </c>
      <c r="AK32" s="145">
        <v>3</v>
      </c>
      <c r="AL32" s="145">
        <v>3</v>
      </c>
      <c r="AM32" s="145">
        <v>3</v>
      </c>
      <c r="AN32" s="145">
        <v>3</v>
      </c>
      <c r="AO32" s="145">
        <v>0</v>
      </c>
      <c r="AP32" s="145">
        <v>0</v>
      </c>
      <c r="AQ32" s="145">
        <v>0</v>
      </c>
      <c r="AR32" s="145">
        <v>0</v>
      </c>
      <c r="AS32" s="145">
        <v>0</v>
      </c>
      <c r="AT32" s="145">
        <v>3</v>
      </c>
      <c r="AU32" s="145">
        <v>3</v>
      </c>
      <c r="AV32" s="145">
        <v>3</v>
      </c>
      <c r="AW32" s="145"/>
      <c r="AX32" s="145">
        <f t="shared" si="0"/>
        <v>0</v>
      </c>
      <c r="AY32" s="145">
        <f t="shared" si="1"/>
        <v>3</v>
      </c>
      <c r="AZ32" s="145">
        <f t="shared" si="2"/>
        <v>1.2727272727272727</v>
      </c>
      <c r="BA32" s="145">
        <f t="shared" si="3"/>
        <v>0</v>
      </c>
      <c r="BB32" s="145">
        <f t="shared" si="4"/>
        <v>0</v>
      </c>
      <c r="BC32" s="145"/>
      <c r="BD32" s="145">
        <v>1</v>
      </c>
      <c r="BE32" s="145" t="s">
        <v>139</v>
      </c>
      <c r="BF32" s="145"/>
      <c r="BG32" s="145"/>
      <c r="BH32" s="145"/>
      <c r="BI32" s="145"/>
      <c r="BJ32" s="145"/>
      <c r="BK32" s="145"/>
      <c r="BL32" s="145"/>
    </row>
    <row r="33" spans="1:64" x14ac:dyDescent="0.35">
      <c r="A33" s="152" t="s">
        <v>36</v>
      </c>
      <c r="B33" s="157" t="s">
        <v>37</v>
      </c>
      <c r="C33" s="152">
        <v>12</v>
      </c>
      <c r="D33" s="152" t="s">
        <v>97</v>
      </c>
      <c r="E33" s="152">
        <v>0</v>
      </c>
      <c r="F33" s="152">
        <v>0</v>
      </c>
      <c r="G33" s="152">
        <v>0</v>
      </c>
      <c r="H33" s="152">
        <v>1</v>
      </c>
      <c r="I33" s="152">
        <v>0</v>
      </c>
      <c r="J33" s="152">
        <v>0</v>
      </c>
      <c r="K33" s="152">
        <v>0</v>
      </c>
      <c r="L33" s="152">
        <v>1</v>
      </c>
      <c r="M33" s="152">
        <v>1</v>
      </c>
      <c r="N33" s="152">
        <v>1</v>
      </c>
      <c r="O33" s="152">
        <v>1</v>
      </c>
      <c r="P33" s="152">
        <v>1</v>
      </c>
      <c r="Q33" s="152">
        <v>1</v>
      </c>
      <c r="R33" s="152">
        <v>0</v>
      </c>
      <c r="S33" s="152">
        <v>0</v>
      </c>
      <c r="T33" s="152">
        <v>0</v>
      </c>
      <c r="U33" s="152">
        <v>1</v>
      </c>
      <c r="V33" s="152">
        <v>1</v>
      </c>
      <c r="W33" s="152">
        <v>1</v>
      </c>
      <c r="X33" s="154">
        <v>0</v>
      </c>
      <c r="Y33" s="154">
        <v>1</v>
      </c>
      <c r="Z33" s="154">
        <v>1</v>
      </c>
      <c r="AA33" s="154">
        <v>1</v>
      </c>
      <c r="AB33" s="154">
        <v>1</v>
      </c>
      <c r="AC33" s="154">
        <v>1</v>
      </c>
      <c r="AD33" s="154">
        <v>1</v>
      </c>
      <c r="AE33" s="154">
        <v>0</v>
      </c>
      <c r="AF33" s="154">
        <v>0</v>
      </c>
      <c r="AG33" s="154">
        <v>0</v>
      </c>
      <c r="AH33" s="154">
        <v>0</v>
      </c>
      <c r="AI33" s="154">
        <v>0</v>
      </c>
      <c r="AJ33" s="152">
        <v>0</v>
      </c>
      <c r="AK33" s="154">
        <v>1</v>
      </c>
      <c r="AL33" s="152">
        <v>0</v>
      </c>
      <c r="AM33" s="152">
        <v>1</v>
      </c>
      <c r="AN33" s="154">
        <v>0</v>
      </c>
      <c r="AO33" s="154">
        <v>0</v>
      </c>
      <c r="AP33" s="154">
        <v>0</v>
      </c>
      <c r="AQ33" s="154">
        <v>0</v>
      </c>
      <c r="AR33" s="154">
        <v>0</v>
      </c>
      <c r="AS33" s="154">
        <v>0</v>
      </c>
      <c r="AT33" s="154">
        <v>0</v>
      </c>
      <c r="AU33" s="154">
        <v>0</v>
      </c>
      <c r="AV33" s="154">
        <v>0</v>
      </c>
      <c r="AW33" s="152"/>
      <c r="AX33" s="152">
        <f t="shared" si="0"/>
        <v>0</v>
      </c>
      <c r="AY33" s="152">
        <f t="shared" si="1"/>
        <v>1</v>
      </c>
      <c r="AZ33" s="152">
        <f t="shared" si="2"/>
        <v>0.40909090909090912</v>
      </c>
      <c r="BA33" s="152">
        <f t="shared" si="3"/>
        <v>0</v>
      </c>
      <c r="BB33" s="152">
        <f t="shared" si="4"/>
        <v>0</v>
      </c>
      <c r="BC33" s="152"/>
      <c r="BD33" s="170">
        <v>12</v>
      </c>
      <c r="BE33" s="170" t="s">
        <v>312</v>
      </c>
      <c r="BF33" s="152"/>
      <c r="BG33" s="152"/>
      <c r="BH33" s="152"/>
      <c r="BI33" s="152"/>
      <c r="BJ33" s="152"/>
      <c r="BK33" s="152"/>
      <c r="BL33" s="152"/>
    </row>
    <row r="34" spans="1:64" x14ac:dyDescent="0.35">
      <c r="A34" s="152" t="s">
        <v>36</v>
      </c>
      <c r="B34" s="157" t="s">
        <v>38</v>
      </c>
      <c r="C34" s="152">
        <v>13</v>
      </c>
      <c r="D34" s="152" t="s">
        <v>97</v>
      </c>
      <c r="E34" s="152">
        <v>1</v>
      </c>
      <c r="F34" s="152">
        <v>1</v>
      </c>
      <c r="G34" s="152">
        <v>1</v>
      </c>
      <c r="H34" s="152">
        <v>0</v>
      </c>
      <c r="I34" s="152">
        <v>3</v>
      </c>
      <c r="J34" s="152">
        <v>0</v>
      </c>
      <c r="K34" s="152">
        <v>3</v>
      </c>
      <c r="L34" s="152">
        <v>1</v>
      </c>
      <c r="M34" s="152">
        <v>2</v>
      </c>
      <c r="N34" s="152">
        <v>1</v>
      </c>
      <c r="O34" s="152">
        <v>1</v>
      </c>
      <c r="P34" s="152">
        <v>1</v>
      </c>
      <c r="Q34" s="152">
        <v>1</v>
      </c>
      <c r="R34" s="152">
        <v>0</v>
      </c>
      <c r="S34" s="152">
        <v>0</v>
      </c>
      <c r="T34" s="152">
        <v>0</v>
      </c>
      <c r="U34" s="152">
        <v>0</v>
      </c>
      <c r="V34" s="152">
        <v>3</v>
      </c>
      <c r="W34" s="152">
        <v>1</v>
      </c>
      <c r="X34" s="154">
        <v>0</v>
      </c>
      <c r="Y34" s="154">
        <v>2</v>
      </c>
      <c r="Z34" s="154">
        <v>1</v>
      </c>
      <c r="AA34" s="154">
        <v>2</v>
      </c>
      <c r="AB34" s="154">
        <v>1</v>
      </c>
      <c r="AC34" s="154">
        <v>1</v>
      </c>
      <c r="AD34" s="154">
        <v>1</v>
      </c>
      <c r="AE34" s="154">
        <v>0</v>
      </c>
      <c r="AF34" s="154">
        <v>0</v>
      </c>
      <c r="AG34" s="154">
        <v>0</v>
      </c>
      <c r="AH34" s="154">
        <v>0</v>
      </c>
      <c r="AI34" s="154">
        <v>0</v>
      </c>
      <c r="AJ34" s="152">
        <v>0</v>
      </c>
      <c r="AK34" s="154">
        <v>0</v>
      </c>
      <c r="AL34" s="152">
        <v>0</v>
      </c>
      <c r="AM34" s="152">
        <v>0</v>
      </c>
      <c r="AN34" s="154">
        <v>1</v>
      </c>
      <c r="AO34" s="154">
        <v>3</v>
      </c>
      <c r="AP34" s="154">
        <v>1</v>
      </c>
      <c r="AQ34" s="154">
        <v>1</v>
      </c>
      <c r="AR34" s="154">
        <v>1</v>
      </c>
      <c r="AS34" s="154">
        <v>1</v>
      </c>
      <c r="AT34" s="154">
        <v>1</v>
      </c>
      <c r="AU34" s="154">
        <v>1</v>
      </c>
      <c r="AV34" s="154">
        <v>1</v>
      </c>
      <c r="AW34" s="152"/>
      <c r="AX34" s="152">
        <f t="shared" si="0"/>
        <v>0</v>
      </c>
      <c r="AY34" s="152">
        <f t="shared" si="1"/>
        <v>3</v>
      </c>
      <c r="AZ34" s="152">
        <f t="shared" si="2"/>
        <v>0.88636363636363635</v>
      </c>
      <c r="BA34" s="152">
        <f t="shared" si="3"/>
        <v>1</v>
      </c>
      <c r="BB34" s="152">
        <f t="shared" si="4"/>
        <v>1</v>
      </c>
      <c r="BC34" s="152"/>
      <c r="BD34" s="170">
        <v>13</v>
      </c>
      <c r="BE34" s="170" t="s">
        <v>313</v>
      </c>
      <c r="BF34" s="152"/>
      <c r="BG34" s="152"/>
      <c r="BH34" s="152"/>
      <c r="BI34" s="152"/>
      <c r="BJ34" s="152"/>
      <c r="BK34" s="152"/>
      <c r="BL34" s="152"/>
    </row>
    <row r="35" spans="1:64" s="131" customFormat="1" x14ac:dyDescent="0.35">
      <c r="A35" s="145" t="s">
        <v>36</v>
      </c>
      <c r="B35" s="146" t="s">
        <v>290</v>
      </c>
      <c r="C35" s="145">
        <v>7</v>
      </c>
      <c r="D35" s="145" t="s">
        <v>97</v>
      </c>
      <c r="E35" s="145">
        <v>6</v>
      </c>
      <c r="F35" s="145">
        <v>6</v>
      </c>
      <c r="G35" s="145">
        <v>6</v>
      </c>
      <c r="H35" s="145">
        <v>6</v>
      </c>
      <c r="I35" s="145">
        <v>6</v>
      </c>
      <c r="J35" s="145">
        <v>5</v>
      </c>
      <c r="K35" s="145">
        <v>6</v>
      </c>
      <c r="L35" s="145">
        <v>6</v>
      </c>
      <c r="M35" s="145">
        <v>5</v>
      </c>
      <c r="N35" s="145">
        <v>6</v>
      </c>
      <c r="O35" s="145">
        <v>5</v>
      </c>
      <c r="P35" s="145">
        <v>5</v>
      </c>
      <c r="Q35" s="145">
        <v>5</v>
      </c>
      <c r="R35" s="145">
        <v>5</v>
      </c>
      <c r="S35" s="145">
        <v>5</v>
      </c>
      <c r="T35" s="145">
        <v>0</v>
      </c>
      <c r="U35" s="145">
        <v>6</v>
      </c>
      <c r="V35" s="145">
        <v>5</v>
      </c>
      <c r="W35" s="145">
        <v>6</v>
      </c>
      <c r="X35" s="145">
        <v>5</v>
      </c>
      <c r="Y35" s="145">
        <v>6</v>
      </c>
      <c r="Z35" s="145">
        <v>6</v>
      </c>
      <c r="AA35" s="145">
        <v>6</v>
      </c>
      <c r="AB35" s="145">
        <v>6</v>
      </c>
      <c r="AC35" s="145">
        <v>6</v>
      </c>
      <c r="AD35" s="145">
        <v>6</v>
      </c>
      <c r="AE35" s="145">
        <v>4</v>
      </c>
      <c r="AF35" s="145">
        <v>4</v>
      </c>
      <c r="AG35" s="145">
        <v>4</v>
      </c>
      <c r="AH35" s="145">
        <v>4</v>
      </c>
      <c r="AI35" s="145">
        <v>4</v>
      </c>
      <c r="AJ35" s="145">
        <v>4</v>
      </c>
      <c r="AK35" s="145">
        <v>4</v>
      </c>
      <c r="AL35" s="145">
        <v>4</v>
      </c>
      <c r="AM35" s="145">
        <v>4</v>
      </c>
      <c r="AN35" s="145">
        <v>6</v>
      </c>
      <c r="AO35" s="145">
        <v>6</v>
      </c>
      <c r="AP35" s="145">
        <v>6</v>
      </c>
      <c r="AQ35" s="145">
        <v>6</v>
      </c>
      <c r="AR35" s="145">
        <v>6</v>
      </c>
      <c r="AS35" s="145">
        <v>6</v>
      </c>
      <c r="AT35" s="145">
        <v>6</v>
      </c>
      <c r="AU35" s="145">
        <v>6</v>
      </c>
      <c r="AV35" s="145">
        <v>6</v>
      </c>
      <c r="AW35" s="145"/>
      <c r="AX35" s="145">
        <f t="shared" si="0"/>
        <v>0</v>
      </c>
      <c r="AY35" s="145">
        <f t="shared" si="1"/>
        <v>6</v>
      </c>
      <c r="AZ35" s="145">
        <f t="shared" si="2"/>
        <v>5.25</v>
      </c>
      <c r="BA35" s="145">
        <f t="shared" si="3"/>
        <v>6</v>
      </c>
      <c r="BB35" s="145">
        <f t="shared" si="4"/>
        <v>6</v>
      </c>
      <c r="BC35" s="145"/>
      <c r="BD35" s="145">
        <f>7*1</f>
        <v>7</v>
      </c>
      <c r="BE35" s="145" t="s">
        <v>128</v>
      </c>
      <c r="BF35" s="145"/>
      <c r="BG35" s="145"/>
      <c r="BH35" s="145"/>
      <c r="BI35" s="145"/>
      <c r="BJ35" s="145"/>
      <c r="BK35" s="145"/>
      <c r="BL35" s="145"/>
    </row>
    <row r="36" spans="1:64" s="156" customFormat="1" ht="43.5" x14ac:dyDescent="0.35">
      <c r="A36" s="144" t="s">
        <v>36</v>
      </c>
      <c r="B36" s="165" t="s">
        <v>291</v>
      </c>
      <c r="C36" s="144">
        <v>4</v>
      </c>
      <c r="D36" s="144" t="s">
        <v>300</v>
      </c>
      <c r="E36" s="166" t="s">
        <v>297</v>
      </c>
      <c r="F36" s="166" t="s">
        <v>297</v>
      </c>
      <c r="G36" s="166" t="s">
        <v>297</v>
      </c>
      <c r="H36" s="166" t="s">
        <v>297</v>
      </c>
      <c r="I36" s="166" t="s">
        <v>297</v>
      </c>
      <c r="J36" s="166" t="s">
        <v>297</v>
      </c>
      <c r="K36" s="166" t="s">
        <v>297</v>
      </c>
      <c r="L36" s="166" t="s">
        <v>297</v>
      </c>
      <c r="M36" s="166" t="s">
        <v>297</v>
      </c>
      <c r="N36" s="166" t="s">
        <v>297</v>
      </c>
      <c r="O36" s="166" t="s">
        <v>297</v>
      </c>
      <c r="P36" s="166" t="s">
        <v>297</v>
      </c>
      <c r="Q36" s="166" t="s">
        <v>297</v>
      </c>
      <c r="R36" s="166" t="s">
        <v>297</v>
      </c>
      <c r="S36" s="166" t="s">
        <v>297</v>
      </c>
      <c r="T36" s="166" t="s">
        <v>297</v>
      </c>
      <c r="U36" s="166" t="s">
        <v>297</v>
      </c>
      <c r="V36" s="166" t="s">
        <v>297</v>
      </c>
      <c r="W36" s="166" t="s">
        <v>297</v>
      </c>
      <c r="X36" s="166" t="s">
        <v>297</v>
      </c>
      <c r="Y36" s="166" t="s">
        <v>297</v>
      </c>
      <c r="Z36" s="166" t="s">
        <v>297</v>
      </c>
      <c r="AA36" s="166" t="s">
        <v>297</v>
      </c>
      <c r="AB36" s="166" t="s">
        <v>297</v>
      </c>
      <c r="AC36" s="166" t="s">
        <v>297</v>
      </c>
      <c r="AD36" s="166" t="s">
        <v>297</v>
      </c>
      <c r="AE36" s="166" t="s">
        <v>297</v>
      </c>
      <c r="AF36" s="166" t="s">
        <v>297</v>
      </c>
      <c r="AG36" s="166" t="s">
        <v>297</v>
      </c>
      <c r="AH36" s="166" t="s">
        <v>297</v>
      </c>
      <c r="AI36" s="166" t="s">
        <v>297</v>
      </c>
      <c r="AJ36" s="166" t="s">
        <v>297</v>
      </c>
      <c r="AK36" s="166" t="s">
        <v>297</v>
      </c>
      <c r="AL36" s="166" t="s">
        <v>297</v>
      </c>
      <c r="AM36" s="166" t="s">
        <v>297</v>
      </c>
      <c r="AN36" s="166" t="s">
        <v>297</v>
      </c>
      <c r="AO36" s="166" t="s">
        <v>297</v>
      </c>
      <c r="AP36" s="166" t="s">
        <v>297</v>
      </c>
      <c r="AQ36" s="166" t="s">
        <v>297</v>
      </c>
      <c r="AR36" s="166" t="s">
        <v>297</v>
      </c>
      <c r="AS36" s="166" t="s">
        <v>297</v>
      </c>
      <c r="AT36" s="166" t="s">
        <v>297</v>
      </c>
      <c r="AU36" s="166" t="s">
        <v>297</v>
      </c>
      <c r="AV36" s="166" t="s">
        <v>297</v>
      </c>
      <c r="AW36" s="144"/>
      <c r="AX36" s="144"/>
      <c r="AY36" s="144"/>
      <c r="AZ36" s="144"/>
      <c r="BA36" s="144"/>
      <c r="BB36" s="144"/>
      <c r="BC36" s="144"/>
      <c r="BD36" s="144">
        <v>8</v>
      </c>
      <c r="BE36" s="144" t="s">
        <v>301</v>
      </c>
      <c r="BF36" s="144"/>
      <c r="BG36" s="144"/>
      <c r="BH36" s="144"/>
      <c r="BI36" s="144"/>
      <c r="BJ36" s="154"/>
      <c r="BK36" s="154"/>
      <c r="BL36" s="154"/>
    </row>
    <row r="37" spans="1:64" s="156" customFormat="1" ht="29" x14ac:dyDescent="0.35">
      <c r="A37" s="144" t="s">
        <v>36</v>
      </c>
      <c r="B37" s="165" t="s">
        <v>292</v>
      </c>
      <c r="C37" s="144">
        <v>2</v>
      </c>
      <c r="D37" s="144" t="s">
        <v>309</v>
      </c>
      <c r="E37" s="166" t="s">
        <v>297</v>
      </c>
      <c r="F37" s="166" t="s">
        <v>297</v>
      </c>
      <c r="G37" s="166" t="s">
        <v>297</v>
      </c>
      <c r="H37" s="166" t="s">
        <v>297</v>
      </c>
      <c r="I37" s="166" t="s">
        <v>297</v>
      </c>
      <c r="J37" s="166" t="s">
        <v>297</v>
      </c>
      <c r="K37" s="166" t="s">
        <v>297</v>
      </c>
      <c r="L37" s="166" t="s">
        <v>297</v>
      </c>
      <c r="M37" s="166" t="s">
        <v>297</v>
      </c>
      <c r="N37" s="166" t="s">
        <v>297</v>
      </c>
      <c r="O37" s="166" t="s">
        <v>297</v>
      </c>
      <c r="P37" s="166" t="s">
        <v>297</v>
      </c>
      <c r="Q37" s="166" t="s">
        <v>297</v>
      </c>
      <c r="R37" s="166" t="s">
        <v>297</v>
      </c>
      <c r="S37" s="166" t="s">
        <v>297</v>
      </c>
      <c r="T37" s="166" t="s">
        <v>297</v>
      </c>
      <c r="U37" s="166" t="s">
        <v>297</v>
      </c>
      <c r="V37" s="166" t="s">
        <v>297</v>
      </c>
      <c r="W37" s="166" t="s">
        <v>297</v>
      </c>
      <c r="X37" s="166" t="s">
        <v>297</v>
      </c>
      <c r="Y37" s="166" t="s">
        <v>297</v>
      </c>
      <c r="Z37" s="166" t="s">
        <v>297</v>
      </c>
      <c r="AA37" s="166" t="s">
        <v>297</v>
      </c>
      <c r="AB37" s="166" t="s">
        <v>297</v>
      </c>
      <c r="AC37" s="166" t="s">
        <v>297</v>
      </c>
      <c r="AD37" s="166" t="s">
        <v>297</v>
      </c>
      <c r="AE37" s="166" t="s">
        <v>297</v>
      </c>
      <c r="AF37" s="166" t="s">
        <v>297</v>
      </c>
      <c r="AG37" s="166" t="s">
        <v>297</v>
      </c>
      <c r="AH37" s="166" t="s">
        <v>297</v>
      </c>
      <c r="AI37" s="166" t="s">
        <v>297</v>
      </c>
      <c r="AJ37" s="166" t="s">
        <v>297</v>
      </c>
      <c r="AK37" s="166" t="s">
        <v>297</v>
      </c>
      <c r="AL37" s="166" t="s">
        <v>297</v>
      </c>
      <c r="AM37" s="166" t="s">
        <v>297</v>
      </c>
      <c r="AN37" s="166" t="s">
        <v>297</v>
      </c>
      <c r="AO37" s="166" t="s">
        <v>297</v>
      </c>
      <c r="AP37" s="166" t="s">
        <v>297</v>
      </c>
      <c r="AQ37" s="166" t="s">
        <v>297</v>
      </c>
      <c r="AR37" s="166" t="s">
        <v>297</v>
      </c>
      <c r="AS37" s="166" t="s">
        <v>297</v>
      </c>
      <c r="AT37" s="166" t="s">
        <v>297</v>
      </c>
      <c r="AU37" s="166" t="s">
        <v>297</v>
      </c>
      <c r="AV37" s="166" t="s">
        <v>297</v>
      </c>
      <c r="AW37" s="144"/>
      <c r="AX37" s="144"/>
      <c r="AY37" s="144"/>
      <c r="AZ37" s="144"/>
      <c r="BA37" s="144"/>
      <c r="BB37" s="144"/>
      <c r="BC37" s="144"/>
      <c r="BD37" s="144">
        <v>4</v>
      </c>
      <c r="BE37" s="144" t="s">
        <v>302</v>
      </c>
      <c r="BF37" s="144"/>
      <c r="BG37" s="144"/>
      <c r="BH37" s="144"/>
      <c r="BI37" s="144"/>
      <c r="BJ37" s="154"/>
      <c r="BK37" s="154"/>
      <c r="BL37" s="154"/>
    </row>
    <row r="38" spans="1:64" s="131" customFormat="1" x14ac:dyDescent="0.35">
      <c r="A38" s="145" t="s">
        <v>39</v>
      </c>
      <c r="B38" s="147" t="s">
        <v>41</v>
      </c>
      <c r="C38" s="145">
        <v>3</v>
      </c>
      <c r="D38" s="145" t="s">
        <v>97</v>
      </c>
      <c r="E38" s="145">
        <v>0</v>
      </c>
      <c r="F38" s="145">
        <v>0</v>
      </c>
      <c r="G38" s="145">
        <v>0</v>
      </c>
      <c r="H38" s="145">
        <v>0</v>
      </c>
      <c r="I38" s="145">
        <v>1</v>
      </c>
      <c r="J38" s="145">
        <v>3</v>
      </c>
      <c r="K38" s="145">
        <v>0</v>
      </c>
      <c r="L38" s="145">
        <v>57</v>
      </c>
      <c r="M38" s="145">
        <v>25</v>
      </c>
      <c r="N38" s="145">
        <v>58</v>
      </c>
      <c r="O38" s="145">
        <v>8</v>
      </c>
      <c r="P38" s="145">
        <v>8</v>
      </c>
      <c r="Q38" s="145">
        <v>10</v>
      </c>
      <c r="R38" s="145">
        <v>0</v>
      </c>
      <c r="S38" s="145">
        <v>0</v>
      </c>
      <c r="T38" s="145">
        <v>0</v>
      </c>
      <c r="U38" s="145">
        <v>0</v>
      </c>
      <c r="V38" s="145">
        <v>18</v>
      </c>
      <c r="W38" s="145">
        <v>3</v>
      </c>
      <c r="X38" s="145">
        <v>5</v>
      </c>
      <c r="Y38" s="145">
        <v>23</v>
      </c>
      <c r="Z38" s="145">
        <v>5</v>
      </c>
      <c r="AA38" s="145">
        <v>19</v>
      </c>
      <c r="AB38" s="145">
        <v>23</v>
      </c>
      <c r="AC38" s="145">
        <v>40</v>
      </c>
      <c r="AD38" s="145">
        <v>43</v>
      </c>
      <c r="AE38" s="145">
        <v>3</v>
      </c>
      <c r="AF38" s="145">
        <v>6</v>
      </c>
      <c r="AG38" s="145">
        <v>9</v>
      </c>
      <c r="AH38" s="145">
        <v>3</v>
      </c>
      <c r="AI38" s="145">
        <v>3</v>
      </c>
      <c r="AJ38" s="145">
        <v>15</v>
      </c>
      <c r="AK38" s="145">
        <v>3</v>
      </c>
      <c r="AL38" s="145">
        <v>8</v>
      </c>
      <c r="AM38" s="145">
        <v>3</v>
      </c>
      <c r="AN38" s="145">
        <v>0</v>
      </c>
      <c r="AO38" s="145">
        <v>0</v>
      </c>
      <c r="AP38" s="145">
        <v>0</v>
      </c>
      <c r="AQ38" s="145">
        <v>0</v>
      </c>
      <c r="AR38" s="145">
        <v>0</v>
      </c>
      <c r="AS38" s="145">
        <v>0</v>
      </c>
      <c r="AT38" s="145">
        <v>0</v>
      </c>
      <c r="AU38" s="145">
        <v>0</v>
      </c>
      <c r="AV38" s="145">
        <v>0</v>
      </c>
      <c r="AW38" s="145"/>
      <c r="AX38" s="145">
        <f t="shared" si="0"/>
        <v>0</v>
      </c>
      <c r="AY38" s="145">
        <f t="shared" si="1"/>
        <v>58</v>
      </c>
      <c r="AZ38" s="145">
        <f t="shared" si="2"/>
        <v>9.1363636363636367</v>
      </c>
      <c r="BA38" s="145">
        <f t="shared" si="3"/>
        <v>0</v>
      </c>
      <c r="BB38" s="145">
        <f t="shared" si="4"/>
        <v>3</v>
      </c>
      <c r="BC38" s="145"/>
      <c r="BD38" s="145">
        <f>3*9</f>
        <v>27</v>
      </c>
      <c r="BE38" s="145" t="s">
        <v>140</v>
      </c>
      <c r="BF38" s="145"/>
      <c r="BG38" s="145"/>
      <c r="BH38" s="145"/>
      <c r="BI38" s="145"/>
      <c r="BJ38" s="145"/>
      <c r="BK38" s="145"/>
      <c r="BL38" s="145"/>
    </row>
    <row r="39" spans="1:64" s="131" customFormat="1" x14ac:dyDescent="0.35">
      <c r="A39" s="145" t="s">
        <v>40</v>
      </c>
      <c r="B39" s="147" t="s">
        <v>41</v>
      </c>
      <c r="C39" s="145">
        <v>18</v>
      </c>
      <c r="D39" s="145" t="s">
        <v>98</v>
      </c>
      <c r="E39" s="145">
        <v>12</v>
      </c>
      <c r="F39" s="145">
        <v>13</v>
      </c>
      <c r="G39" s="145">
        <v>20</v>
      </c>
      <c r="H39" s="145">
        <v>19</v>
      </c>
      <c r="I39" s="145">
        <v>14</v>
      </c>
      <c r="J39" s="145">
        <v>34</v>
      </c>
      <c r="K39" s="145">
        <v>16</v>
      </c>
      <c r="L39" s="145">
        <v>9</v>
      </c>
      <c r="M39" s="145">
        <v>9</v>
      </c>
      <c r="N39" s="145">
        <v>0</v>
      </c>
      <c r="O39" s="145">
        <v>15</v>
      </c>
      <c r="P39" s="145">
        <v>16</v>
      </c>
      <c r="Q39" s="145">
        <v>11</v>
      </c>
      <c r="R39" s="145">
        <v>17</v>
      </c>
      <c r="S39" s="145">
        <v>19</v>
      </c>
      <c r="T39" s="145">
        <v>22</v>
      </c>
      <c r="U39" s="145">
        <v>13</v>
      </c>
      <c r="V39" s="145">
        <v>29</v>
      </c>
      <c r="W39" s="145">
        <v>5</v>
      </c>
      <c r="X39" s="145">
        <v>2</v>
      </c>
      <c r="Y39" s="145">
        <v>11</v>
      </c>
      <c r="Z39" s="145">
        <v>10</v>
      </c>
      <c r="AA39" s="145">
        <v>6</v>
      </c>
      <c r="AB39" s="145">
        <v>9</v>
      </c>
      <c r="AC39" s="145">
        <v>9</v>
      </c>
      <c r="AD39" s="145">
        <v>10</v>
      </c>
      <c r="AE39" s="145">
        <v>2</v>
      </c>
      <c r="AF39" s="145">
        <v>2</v>
      </c>
      <c r="AG39" s="145">
        <v>2</v>
      </c>
      <c r="AH39" s="145">
        <v>2</v>
      </c>
      <c r="AI39" s="145">
        <v>2</v>
      </c>
      <c r="AJ39" s="145">
        <v>2</v>
      </c>
      <c r="AK39" s="145">
        <v>2</v>
      </c>
      <c r="AL39" s="145">
        <v>2</v>
      </c>
      <c r="AM39" s="145">
        <v>2</v>
      </c>
      <c r="AN39" s="145">
        <v>10</v>
      </c>
      <c r="AO39" s="145">
        <v>9</v>
      </c>
      <c r="AP39" s="145">
        <v>11</v>
      </c>
      <c r="AQ39" s="145">
        <v>10</v>
      </c>
      <c r="AR39" s="145">
        <v>9</v>
      </c>
      <c r="AS39" s="145">
        <v>10</v>
      </c>
      <c r="AT39" s="145">
        <v>9</v>
      </c>
      <c r="AU39" s="145">
        <v>11</v>
      </c>
      <c r="AV39" s="145">
        <v>11</v>
      </c>
      <c r="AW39" s="145"/>
      <c r="AX39" s="145">
        <f t="shared" si="0"/>
        <v>0</v>
      </c>
      <c r="AY39" s="145">
        <f t="shared" si="1"/>
        <v>34</v>
      </c>
      <c r="AZ39" s="145">
        <f t="shared" si="2"/>
        <v>10.409090909090908</v>
      </c>
      <c r="BA39" s="145">
        <f t="shared" si="3"/>
        <v>2</v>
      </c>
      <c r="BB39" s="145">
        <f t="shared" si="4"/>
        <v>10</v>
      </c>
      <c r="BC39" s="145"/>
      <c r="BD39" s="145">
        <v>10</v>
      </c>
      <c r="BE39" s="145" t="s">
        <v>141</v>
      </c>
      <c r="BF39" s="145"/>
      <c r="BG39" s="145"/>
      <c r="BH39" s="145"/>
      <c r="BI39" s="145"/>
      <c r="BJ39" s="145"/>
      <c r="BK39" s="145"/>
      <c r="BL39" s="145"/>
    </row>
    <row r="40" spans="1:64" x14ac:dyDescent="0.35">
      <c r="A40" s="152"/>
      <c r="B40" s="157"/>
      <c r="C40" s="152"/>
      <c r="D40" s="152"/>
      <c r="E40" s="152"/>
      <c r="F40" s="152"/>
      <c r="G40" s="152"/>
      <c r="H40" s="152"/>
      <c r="I40" s="152"/>
      <c r="J40" s="152"/>
      <c r="K40" s="152"/>
      <c r="L40" s="152"/>
      <c r="M40" s="152"/>
      <c r="N40" s="152"/>
      <c r="O40" s="152"/>
      <c r="P40" s="152"/>
      <c r="Q40" s="152"/>
      <c r="R40" s="152"/>
      <c r="S40" s="152"/>
      <c r="T40" s="152"/>
      <c r="U40" s="152"/>
      <c r="V40" s="152"/>
      <c r="W40" s="152"/>
      <c r="X40" s="154"/>
      <c r="Y40" s="152"/>
      <c r="Z40" s="152"/>
      <c r="AA40" s="152"/>
      <c r="AB40" s="152"/>
      <c r="AC40" s="154"/>
      <c r="AD40" s="152"/>
      <c r="AE40" s="152"/>
      <c r="AF40" s="152"/>
      <c r="AG40" s="152"/>
      <c r="AH40" s="152"/>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c r="BF40" s="152"/>
      <c r="BG40" s="152"/>
      <c r="BH40" s="152"/>
      <c r="BI40" s="152"/>
      <c r="BJ40" s="152"/>
      <c r="BK40" s="152"/>
      <c r="BL40" s="152"/>
    </row>
    <row r="41" spans="1:64" x14ac:dyDescent="0.35">
      <c r="A41" s="152"/>
      <c r="B41" s="157"/>
      <c r="C41" s="152"/>
      <c r="D41" s="152"/>
      <c r="E41" s="152"/>
      <c r="F41" s="152"/>
      <c r="G41" s="152"/>
      <c r="H41" s="152"/>
      <c r="I41" s="152"/>
      <c r="J41" s="152"/>
      <c r="K41" s="152"/>
      <c r="L41" s="152"/>
      <c r="M41" s="152"/>
      <c r="N41" s="152"/>
      <c r="O41" s="152"/>
      <c r="P41" s="152"/>
      <c r="Q41" s="152"/>
      <c r="R41" s="152"/>
      <c r="S41" s="152"/>
      <c r="T41" s="152"/>
      <c r="U41" s="152"/>
      <c r="V41" s="152"/>
      <c r="W41" s="152"/>
      <c r="X41" s="154"/>
      <c r="Y41" s="152"/>
      <c r="Z41" s="152"/>
      <c r="AA41" s="152"/>
      <c r="AB41" s="152"/>
      <c r="AC41" s="154"/>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52"/>
      <c r="BI41" s="152"/>
      <c r="BJ41" s="152"/>
      <c r="BK41" s="152"/>
      <c r="BL41" s="152"/>
    </row>
    <row r="42" spans="1:64" x14ac:dyDescent="0.35">
      <c r="A42" s="152"/>
      <c r="B42" s="157"/>
      <c r="C42" s="152"/>
      <c r="D42" s="152"/>
      <c r="E42" s="152"/>
      <c r="F42" s="152"/>
      <c r="G42" s="152"/>
      <c r="H42" s="152"/>
      <c r="I42" s="152"/>
      <c r="J42" s="152"/>
      <c r="K42" s="152"/>
      <c r="L42" s="152"/>
      <c r="M42" s="152"/>
      <c r="N42" s="152"/>
      <c r="O42" s="152"/>
      <c r="P42" s="152"/>
      <c r="Q42" s="152"/>
      <c r="R42" s="152"/>
      <c r="S42" s="152"/>
      <c r="T42" s="152"/>
      <c r="U42" s="152"/>
      <c r="V42" s="152"/>
      <c r="W42" s="152"/>
      <c r="X42" s="154"/>
      <c r="Y42" s="152"/>
      <c r="Z42" s="152"/>
      <c r="AA42" s="152"/>
      <c r="AB42" s="152"/>
      <c r="AC42" s="154"/>
      <c r="AD42" s="152"/>
      <c r="AE42" s="152"/>
      <c r="AF42" s="152"/>
      <c r="AG42" s="152"/>
      <c r="AH42" s="152"/>
      <c r="AI42" s="152"/>
      <c r="AJ42" s="152"/>
      <c r="AK42" s="152"/>
      <c r="AL42" s="152"/>
      <c r="AM42" s="152"/>
      <c r="AN42" s="152"/>
      <c r="AO42" s="152"/>
      <c r="AP42" s="152"/>
      <c r="AQ42" s="152"/>
      <c r="AR42" s="152"/>
      <c r="AS42" s="152"/>
      <c r="AT42" s="152"/>
      <c r="AU42" s="152"/>
      <c r="AV42" s="152"/>
      <c r="AW42" s="152"/>
      <c r="AX42" s="152"/>
      <c r="AY42" s="152"/>
      <c r="AZ42" s="152"/>
      <c r="BA42" s="152"/>
      <c r="BB42" s="152"/>
      <c r="BC42" s="152"/>
      <c r="BD42" s="152"/>
      <c r="BE42" s="152"/>
      <c r="BF42" s="152"/>
      <c r="BG42" s="152"/>
      <c r="BH42" s="152"/>
      <c r="BI42" s="152"/>
      <c r="BJ42" s="152"/>
      <c r="BK42" s="152"/>
      <c r="BL42" s="152"/>
    </row>
    <row r="43" spans="1:64" x14ac:dyDescent="0.35">
      <c r="A43" s="152"/>
      <c r="B43" s="157"/>
      <c r="C43" s="152"/>
      <c r="D43" s="152"/>
      <c r="E43" s="152"/>
      <c r="F43" s="152"/>
      <c r="G43" s="152"/>
      <c r="H43" s="152"/>
      <c r="I43" s="152"/>
      <c r="J43" s="152"/>
      <c r="K43" s="152"/>
      <c r="L43" s="152"/>
      <c r="M43" s="152"/>
      <c r="N43" s="152"/>
      <c r="O43" s="152"/>
      <c r="P43" s="152"/>
      <c r="Q43" s="152"/>
      <c r="R43" s="152"/>
      <c r="S43" s="152"/>
      <c r="T43" s="152"/>
      <c r="U43" s="152"/>
      <c r="V43" s="152"/>
      <c r="W43" s="152"/>
      <c r="X43" s="154"/>
      <c r="Y43" s="152"/>
      <c r="Z43" s="152"/>
      <c r="AA43" s="152"/>
      <c r="AB43" s="152"/>
      <c r="AC43" s="154"/>
      <c r="AD43" s="152"/>
      <c r="AE43" s="152"/>
      <c r="AF43" s="152"/>
      <c r="AG43" s="152"/>
      <c r="AH43" s="152"/>
      <c r="AI43" s="152"/>
      <c r="AJ43" s="152"/>
      <c r="AK43" s="152"/>
      <c r="AL43" s="152"/>
      <c r="AM43" s="152"/>
      <c r="AN43" s="152"/>
      <c r="AO43" s="152"/>
      <c r="AP43" s="152"/>
      <c r="AQ43" s="152"/>
      <c r="AR43" s="152"/>
      <c r="AS43" s="152"/>
      <c r="AT43" s="152"/>
      <c r="AU43" s="152"/>
      <c r="AV43" s="152"/>
      <c r="AW43" s="152"/>
      <c r="AX43" s="152"/>
      <c r="AY43" s="152"/>
      <c r="AZ43" s="152"/>
      <c r="BA43" s="152"/>
      <c r="BB43" s="152"/>
      <c r="BC43" s="152"/>
      <c r="BD43" s="152"/>
      <c r="BE43" s="152"/>
      <c r="BF43" s="152"/>
      <c r="BG43" s="152"/>
      <c r="BH43" s="152"/>
      <c r="BI43" s="152"/>
      <c r="BJ43" s="152"/>
      <c r="BK43" s="152"/>
      <c r="BL43" s="152"/>
    </row>
    <row r="44" spans="1:64" x14ac:dyDescent="0.35">
      <c r="A44" s="152"/>
      <c r="B44" s="157"/>
      <c r="C44" s="152"/>
      <c r="D44" s="152"/>
      <c r="E44" s="152"/>
      <c r="F44" s="152"/>
      <c r="G44" s="152"/>
      <c r="H44" s="152"/>
      <c r="I44" s="152"/>
      <c r="J44" s="152"/>
      <c r="K44" s="152"/>
      <c r="L44" s="152"/>
      <c r="M44" s="152"/>
      <c r="N44" s="152"/>
      <c r="O44" s="152"/>
      <c r="P44" s="152"/>
      <c r="Q44" s="152"/>
      <c r="R44" s="152"/>
      <c r="S44" s="152"/>
      <c r="T44" s="152"/>
      <c r="U44" s="152"/>
      <c r="V44" s="152"/>
      <c r="W44" s="152"/>
      <c r="X44" s="154"/>
      <c r="Y44" s="152"/>
      <c r="Z44" s="152"/>
      <c r="AA44" s="152"/>
      <c r="AB44" s="152"/>
      <c r="AC44" s="154"/>
      <c r="AD44" s="152"/>
      <c r="AE44" s="152"/>
      <c r="AF44" s="152"/>
      <c r="AG44" s="152"/>
      <c r="AH44" s="152"/>
      <c r="AI44" s="152"/>
      <c r="AJ44" s="152"/>
      <c r="AK44" s="152"/>
      <c r="AL44" s="152"/>
      <c r="AM44" s="152"/>
      <c r="AN44" s="152"/>
      <c r="AO44" s="152"/>
      <c r="AP44" s="152"/>
      <c r="AQ44" s="152"/>
      <c r="AR44" s="152"/>
      <c r="AS44" s="152"/>
      <c r="AT44" s="152"/>
      <c r="AU44" s="152"/>
      <c r="AV44" s="152"/>
      <c r="AW44" s="152"/>
      <c r="AX44" s="152"/>
      <c r="AY44" s="152"/>
      <c r="AZ44" s="152"/>
      <c r="BA44" s="152"/>
      <c r="BB44" s="152"/>
      <c r="BC44" s="152"/>
      <c r="BD44" s="152"/>
      <c r="BE44" s="152"/>
      <c r="BF44" s="152"/>
      <c r="BG44" s="152"/>
      <c r="BH44" s="152"/>
      <c r="BI44" s="152"/>
      <c r="BJ44" s="152"/>
      <c r="BK44" s="152"/>
      <c r="BL44" s="152"/>
    </row>
    <row r="45" spans="1:64" x14ac:dyDescent="0.35">
      <c r="A45" s="152"/>
      <c r="B45" s="157"/>
      <c r="C45" s="152"/>
      <c r="D45" s="152"/>
      <c r="E45" s="152"/>
      <c r="F45" s="152"/>
      <c r="G45" s="152"/>
      <c r="H45" s="152"/>
      <c r="I45" s="152"/>
      <c r="J45" s="152"/>
      <c r="K45" s="152"/>
      <c r="L45" s="152"/>
      <c r="M45" s="152"/>
      <c r="N45" s="152"/>
      <c r="O45" s="152"/>
      <c r="P45" s="152"/>
      <c r="Q45" s="152"/>
      <c r="R45" s="152"/>
      <c r="S45" s="152"/>
      <c r="T45" s="152"/>
      <c r="U45" s="152"/>
      <c r="V45" s="152"/>
      <c r="W45" s="152"/>
      <c r="X45" s="154"/>
      <c r="Y45" s="152"/>
      <c r="Z45" s="152"/>
      <c r="AA45" s="152"/>
      <c r="AB45" s="152"/>
      <c r="AC45" s="154"/>
      <c r="AD45" s="152"/>
      <c r="AE45" s="152"/>
      <c r="AF45" s="152"/>
      <c r="AG45" s="152"/>
      <c r="AH45" s="152"/>
      <c r="AI45" s="152"/>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c r="BG45" s="152"/>
      <c r="BH45" s="152"/>
      <c r="BI45" s="152"/>
      <c r="BJ45" s="152"/>
      <c r="BK45" s="152"/>
      <c r="BL45" s="152"/>
    </row>
    <row r="46" spans="1:64" x14ac:dyDescent="0.35">
      <c r="A46" s="152"/>
      <c r="B46" s="157"/>
      <c r="C46" s="152"/>
      <c r="D46" s="152"/>
      <c r="E46" s="152"/>
      <c r="F46" s="152"/>
      <c r="G46" s="152"/>
      <c r="H46" s="152"/>
      <c r="I46" s="152"/>
      <c r="J46" s="152"/>
      <c r="K46" s="152"/>
      <c r="L46" s="152"/>
      <c r="M46" s="152"/>
      <c r="N46" s="152"/>
      <c r="O46" s="152"/>
      <c r="P46" s="152"/>
      <c r="Q46" s="152"/>
      <c r="R46" s="152"/>
      <c r="S46" s="152"/>
      <c r="T46" s="152"/>
      <c r="U46" s="152"/>
      <c r="V46" s="152"/>
      <c r="W46" s="152"/>
      <c r="X46" s="154"/>
      <c r="Y46" s="152"/>
      <c r="Z46" s="152"/>
      <c r="AA46" s="152"/>
      <c r="AB46" s="152"/>
      <c r="AC46" s="154"/>
      <c r="AD46" s="152"/>
      <c r="AE46" s="152"/>
      <c r="AF46" s="152"/>
      <c r="AG46" s="152"/>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152"/>
      <c r="BK46" s="152"/>
      <c r="BL46" s="152"/>
    </row>
    <row r="47" spans="1:64" x14ac:dyDescent="0.35">
      <c r="A47" s="152"/>
      <c r="B47" s="157"/>
      <c r="C47" s="152"/>
      <c r="D47" s="152"/>
      <c r="E47" s="152"/>
      <c r="F47" s="152"/>
      <c r="G47" s="152"/>
      <c r="H47" s="152"/>
      <c r="I47" s="152"/>
      <c r="J47" s="152"/>
      <c r="K47" s="152"/>
      <c r="L47" s="152"/>
      <c r="M47" s="152"/>
      <c r="N47" s="152"/>
      <c r="O47" s="152"/>
      <c r="P47" s="152"/>
      <c r="Q47" s="152"/>
      <c r="R47" s="152"/>
      <c r="S47" s="152"/>
      <c r="T47" s="152"/>
      <c r="U47" s="152"/>
      <c r="V47" s="152"/>
      <c r="W47" s="152"/>
      <c r="X47" s="154"/>
      <c r="Y47" s="152"/>
      <c r="Z47" s="152"/>
      <c r="AA47" s="152"/>
      <c r="AB47" s="152"/>
      <c r="AC47" s="154"/>
      <c r="AD47" s="152"/>
      <c r="AE47" s="152"/>
      <c r="AF47" s="152"/>
      <c r="AG47" s="152"/>
      <c r="AH47" s="152"/>
      <c r="AI47" s="152"/>
      <c r="AJ47" s="152"/>
      <c r="AK47" s="152"/>
      <c r="AL47" s="152"/>
      <c r="AM47" s="152"/>
      <c r="AN47" s="152"/>
      <c r="AO47" s="152"/>
      <c r="AP47" s="152"/>
      <c r="AQ47" s="152"/>
      <c r="AR47" s="152"/>
      <c r="AS47" s="152"/>
      <c r="AT47" s="152"/>
      <c r="AU47" s="152"/>
      <c r="AV47" s="152"/>
      <c r="AW47" s="152"/>
      <c r="AX47" s="152"/>
      <c r="AY47" s="152"/>
      <c r="AZ47" s="152"/>
      <c r="BA47" s="152"/>
      <c r="BB47" s="152"/>
      <c r="BC47" s="152"/>
      <c r="BD47" s="152"/>
      <c r="BE47" s="152"/>
      <c r="BF47" s="152"/>
      <c r="BG47" s="152"/>
      <c r="BH47" s="152"/>
      <c r="BI47" s="152"/>
      <c r="BJ47" s="152"/>
      <c r="BK47" s="152"/>
      <c r="BL47" s="152"/>
    </row>
    <row r="48" spans="1:64" x14ac:dyDescent="0.35">
      <c r="A48" s="152"/>
      <c r="B48" s="157"/>
      <c r="C48" s="152"/>
      <c r="D48" s="152"/>
      <c r="E48" s="152"/>
      <c r="F48" s="152"/>
      <c r="G48" s="152"/>
      <c r="H48" s="152"/>
      <c r="I48" s="152"/>
      <c r="J48" s="152"/>
      <c r="K48" s="152"/>
      <c r="L48" s="152"/>
      <c r="M48" s="152"/>
      <c r="N48" s="152"/>
      <c r="O48" s="152"/>
      <c r="P48" s="152"/>
      <c r="Q48" s="152"/>
      <c r="R48" s="152"/>
      <c r="S48" s="152"/>
      <c r="T48" s="152"/>
      <c r="U48" s="152"/>
      <c r="V48" s="152"/>
      <c r="W48" s="152"/>
      <c r="X48" s="154"/>
      <c r="Y48" s="152"/>
      <c r="Z48" s="152"/>
      <c r="AA48" s="152"/>
      <c r="AB48" s="152"/>
      <c r="AC48" s="154"/>
      <c r="AD48" s="152"/>
      <c r="AE48" s="152"/>
      <c r="AF48" s="152"/>
      <c r="AG48" s="152"/>
      <c r="AH48" s="152"/>
      <c r="AI48" s="152"/>
      <c r="AJ48" s="152"/>
      <c r="AK48" s="152"/>
      <c r="AL48" s="152"/>
      <c r="AM48" s="152"/>
      <c r="AN48" s="152"/>
      <c r="AO48" s="152"/>
      <c r="AP48" s="152"/>
      <c r="AQ48" s="152"/>
      <c r="AR48" s="152"/>
      <c r="AS48" s="152"/>
      <c r="AT48" s="152"/>
      <c r="AU48" s="152"/>
      <c r="AV48" s="152"/>
      <c r="AW48" s="152"/>
      <c r="AX48" s="152"/>
      <c r="AY48" s="152"/>
      <c r="AZ48" s="152"/>
      <c r="BA48" s="152"/>
      <c r="BB48" s="152"/>
      <c r="BC48" s="152"/>
      <c r="BD48" s="152"/>
      <c r="BE48" s="152"/>
      <c r="BF48" s="152"/>
      <c r="BG48" s="152"/>
      <c r="BH48" s="152"/>
      <c r="BI48" s="152"/>
      <c r="BJ48" s="152"/>
      <c r="BK48" s="152"/>
      <c r="BL48" s="152"/>
    </row>
    <row r="49" spans="1:64" x14ac:dyDescent="0.35">
      <c r="A49" s="152"/>
      <c r="B49" s="157"/>
      <c r="C49" s="152"/>
      <c r="D49" s="152"/>
      <c r="E49" s="152"/>
      <c r="F49" s="152"/>
      <c r="G49" s="152"/>
      <c r="H49" s="152"/>
      <c r="I49" s="152"/>
      <c r="J49" s="152"/>
      <c r="K49" s="152"/>
      <c r="L49" s="152"/>
      <c r="M49" s="152"/>
      <c r="N49" s="152"/>
      <c r="O49" s="152"/>
      <c r="P49" s="152"/>
      <c r="Q49" s="152"/>
      <c r="R49" s="152"/>
      <c r="S49" s="152"/>
      <c r="T49" s="152"/>
      <c r="U49" s="152"/>
      <c r="V49" s="152"/>
      <c r="W49" s="152"/>
      <c r="X49" s="154"/>
      <c r="Y49" s="152"/>
      <c r="Z49" s="152"/>
      <c r="AA49" s="152"/>
      <c r="AB49" s="152"/>
      <c r="AC49" s="154"/>
      <c r="AD49" s="152"/>
      <c r="AE49" s="152"/>
      <c r="AF49" s="152"/>
      <c r="AG49" s="152"/>
      <c r="AH49" s="152"/>
      <c r="AI49" s="152"/>
      <c r="AJ49" s="152"/>
      <c r="AK49" s="152"/>
      <c r="AL49" s="152"/>
      <c r="AM49" s="152"/>
      <c r="AN49" s="152"/>
      <c r="AO49" s="152"/>
      <c r="AP49" s="152"/>
      <c r="AQ49" s="152"/>
      <c r="AR49" s="152"/>
      <c r="AS49" s="152"/>
      <c r="AT49" s="152"/>
      <c r="AU49" s="152"/>
      <c r="AV49" s="152"/>
      <c r="AW49" s="152"/>
      <c r="AX49" s="152"/>
      <c r="AY49" s="152"/>
      <c r="AZ49" s="152"/>
      <c r="BA49" s="152"/>
      <c r="BB49" s="152"/>
      <c r="BC49" s="152"/>
      <c r="BD49" s="152"/>
      <c r="BE49" s="152"/>
      <c r="BF49" s="152"/>
      <c r="BG49" s="152"/>
      <c r="BH49" s="152"/>
      <c r="BI49" s="152"/>
      <c r="BJ49" s="152"/>
      <c r="BK49" s="152"/>
      <c r="BL49" s="152"/>
    </row>
    <row r="50" spans="1:64" x14ac:dyDescent="0.35">
      <c r="A50" s="152"/>
      <c r="B50" s="157"/>
      <c r="C50" s="152"/>
      <c r="D50" s="152"/>
      <c r="E50" s="152"/>
      <c r="F50" s="152"/>
      <c r="G50" s="152"/>
      <c r="H50" s="152"/>
      <c r="I50" s="152"/>
      <c r="J50" s="152"/>
      <c r="K50" s="152"/>
      <c r="L50" s="152"/>
      <c r="M50" s="152"/>
      <c r="N50" s="152"/>
      <c r="O50" s="152"/>
      <c r="P50" s="152"/>
      <c r="Q50" s="152"/>
      <c r="R50" s="152"/>
      <c r="S50" s="152"/>
      <c r="T50" s="152"/>
      <c r="U50" s="152"/>
      <c r="V50" s="152"/>
      <c r="W50" s="152"/>
      <c r="X50" s="154"/>
      <c r="Y50" s="152"/>
      <c r="Z50" s="152"/>
      <c r="AA50" s="152"/>
      <c r="AB50" s="152"/>
      <c r="AC50" s="154"/>
      <c r="AD50" s="152"/>
      <c r="AE50" s="152"/>
      <c r="AF50" s="152"/>
      <c r="AG50" s="152"/>
      <c r="AH50" s="152"/>
      <c r="AI50" s="152"/>
      <c r="AJ50" s="152"/>
      <c r="AK50" s="152"/>
      <c r="AL50" s="152"/>
      <c r="AM50" s="152"/>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2"/>
      <c r="BK50" s="152"/>
      <c r="BL50" s="152"/>
    </row>
    <row r="51" spans="1:64" x14ac:dyDescent="0.35">
      <c r="A51" s="152"/>
      <c r="B51" s="157"/>
      <c r="C51" s="152"/>
      <c r="D51" s="152"/>
      <c r="E51" s="152"/>
      <c r="F51" s="152"/>
      <c r="G51" s="152"/>
      <c r="H51" s="152"/>
      <c r="I51" s="152"/>
      <c r="J51" s="152"/>
      <c r="K51" s="152"/>
      <c r="L51" s="152"/>
      <c r="M51" s="152"/>
      <c r="N51" s="152"/>
      <c r="O51" s="152"/>
      <c r="P51" s="152"/>
      <c r="Q51" s="152"/>
      <c r="R51" s="152"/>
      <c r="S51" s="152"/>
      <c r="T51" s="152"/>
      <c r="U51" s="152"/>
      <c r="V51" s="152"/>
      <c r="W51" s="152"/>
      <c r="X51" s="154"/>
      <c r="Y51" s="152"/>
      <c r="Z51" s="152"/>
      <c r="AA51" s="152"/>
      <c r="AB51" s="152"/>
      <c r="AC51" s="154"/>
      <c r="AD51" s="152"/>
      <c r="AE51" s="152"/>
      <c r="AF51" s="152"/>
      <c r="AG51" s="152"/>
      <c r="AH51" s="152"/>
      <c r="AI51" s="152"/>
      <c r="AJ51" s="152"/>
      <c r="AK51" s="152"/>
      <c r="AL51" s="152"/>
      <c r="AM51" s="152"/>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2"/>
      <c r="BL51" s="152"/>
    </row>
    <row r="52" spans="1:64" x14ac:dyDescent="0.35">
      <c r="A52" s="152"/>
      <c r="B52" s="157"/>
      <c r="C52" s="152"/>
      <c r="D52" s="152"/>
      <c r="E52" s="152"/>
      <c r="F52" s="152"/>
      <c r="G52" s="152"/>
      <c r="H52" s="152"/>
      <c r="I52" s="152"/>
      <c r="J52" s="152"/>
      <c r="K52" s="152"/>
      <c r="L52" s="152"/>
      <c r="M52" s="152"/>
      <c r="N52" s="152"/>
      <c r="O52" s="152"/>
      <c r="P52" s="152"/>
      <c r="Q52" s="152"/>
      <c r="R52" s="152"/>
      <c r="S52" s="152"/>
      <c r="T52" s="152"/>
      <c r="U52" s="152"/>
      <c r="V52" s="152"/>
      <c r="W52" s="152"/>
      <c r="X52" s="154"/>
      <c r="Y52" s="152"/>
      <c r="Z52" s="152"/>
      <c r="AA52" s="152"/>
      <c r="AB52" s="152"/>
      <c r="AC52" s="154"/>
      <c r="AD52" s="152"/>
      <c r="AE52" s="152"/>
      <c r="AF52" s="152"/>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row>
    <row r="53" spans="1:64" x14ac:dyDescent="0.35">
      <c r="A53" s="152"/>
      <c r="B53" s="157"/>
      <c r="C53" s="152"/>
      <c r="D53" s="152"/>
      <c r="E53" s="152"/>
      <c r="F53" s="152"/>
      <c r="G53" s="152"/>
      <c r="H53" s="152"/>
      <c r="I53" s="152"/>
      <c r="J53" s="152"/>
      <c r="K53" s="152"/>
      <c r="L53" s="152"/>
      <c r="M53" s="152"/>
      <c r="N53" s="152"/>
      <c r="O53" s="152"/>
      <c r="P53" s="152"/>
      <c r="Q53" s="152"/>
      <c r="R53" s="152"/>
      <c r="S53" s="152"/>
      <c r="T53" s="152"/>
      <c r="U53" s="152"/>
      <c r="V53" s="152"/>
      <c r="W53" s="152"/>
      <c r="X53" s="154"/>
      <c r="Y53" s="152"/>
      <c r="Z53" s="152"/>
      <c r="AA53" s="152"/>
      <c r="AB53" s="152"/>
      <c r="AC53" s="154"/>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row>
    <row r="54" spans="1:64" x14ac:dyDescent="0.35">
      <c r="A54" s="152"/>
      <c r="B54" s="157"/>
      <c r="C54" s="152"/>
      <c r="D54" s="152"/>
      <c r="E54" s="152"/>
      <c r="F54" s="152"/>
      <c r="G54" s="152"/>
      <c r="H54" s="152"/>
      <c r="I54" s="152"/>
      <c r="J54" s="152"/>
      <c r="K54" s="152"/>
      <c r="L54" s="152"/>
      <c r="M54" s="152"/>
      <c r="N54" s="152"/>
      <c r="O54" s="152"/>
      <c r="P54" s="152"/>
      <c r="Q54" s="152"/>
      <c r="R54" s="152"/>
      <c r="S54" s="152"/>
      <c r="T54" s="152"/>
      <c r="U54" s="152"/>
      <c r="V54" s="152"/>
      <c r="W54" s="152"/>
      <c r="X54" s="154"/>
      <c r="Y54" s="152"/>
      <c r="Z54" s="152"/>
      <c r="AA54" s="152"/>
      <c r="AB54" s="152"/>
      <c r="AC54" s="154"/>
      <c r="AD54" s="152"/>
      <c r="AE54" s="152"/>
      <c r="AF54" s="152"/>
      <c r="AG54" s="152"/>
      <c r="AH54" s="152"/>
      <c r="AI54" s="152"/>
      <c r="AJ54" s="152"/>
      <c r="AK54" s="152"/>
      <c r="AL54" s="152"/>
      <c r="AM54" s="152"/>
      <c r="AN54" s="152"/>
      <c r="AO54" s="152"/>
      <c r="AP54" s="152"/>
      <c r="AQ54" s="152"/>
      <c r="AR54" s="152"/>
      <c r="AS54" s="152"/>
      <c r="AT54" s="152"/>
      <c r="AU54" s="152"/>
      <c r="AV54" s="152"/>
      <c r="AW54" s="152"/>
      <c r="AX54" s="152"/>
      <c r="AY54" s="152"/>
      <c r="AZ54" s="152"/>
      <c r="BA54" s="152"/>
      <c r="BB54" s="152"/>
      <c r="BC54" s="152"/>
      <c r="BD54" s="152"/>
      <c r="BE54" s="152"/>
      <c r="BF54" s="152"/>
      <c r="BG54" s="152"/>
      <c r="BH54" s="152"/>
      <c r="BI54" s="152"/>
      <c r="BJ54" s="152"/>
      <c r="BK54" s="152"/>
      <c r="BL54" s="152"/>
    </row>
    <row r="55" spans="1:64" x14ac:dyDescent="0.35">
      <c r="A55" s="152"/>
      <c r="B55" s="157"/>
      <c r="C55" s="152"/>
      <c r="D55" s="152"/>
      <c r="E55" s="152"/>
      <c r="F55" s="152"/>
      <c r="G55" s="152"/>
      <c r="H55" s="152"/>
      <c r="I55" s="152"/>
      <c r="J55" s="152"/>
      <c r="K55" s="152"/>
      <c r="L55" s="152"/>
      <c r="M55" s="152"/>
      <c r="N55" s="152"/>
      <c r="O55" s="152"/>
      <c r="P55" s="152"/>
      <c r="Q55" s="152"/>
      <c r="R55" s="152"/>
      <c r="S55" s="152"/>
      <c r="T55" s="152"/>
      <c r="U55" s="152"/>
      <c r="V55" s="152"/>
      <c r="W55" s="152"/>
      <c r="X55" s="154"/>
      <c r="Y55" s="152"/>
      <c r="Z55" s="152"/>
      <c r="AA55" s="152"/>
      <c r="AB55" s="152"/>
      <c r="AC55" s="154"/>
      <c r="AD55" s="152"/>
      <c r="AE55" s="152"/>
      <c r="AF55" s="152"/>
      <c r="AG55" s="152"/>
      <c r="AH55" s="152"/>
      <c r="AI55" s="152"/>
      <c r="AJ55" s="152"/>
      <c r="AK55" s="152"/>
      <c r="AL55" s="152"/>
      <c r="AM55" s="152"/>
      <c r="AN55" s="152"/>
      <c r="AO55" s="152"/>
      <c r="AP55" s="152"/>
      <c r="AQ55" s="152"/>
      <c r="AR55" s="152"/>
      <c r="AS55" s="152"/>
      <c r="AT55" s="152"/>
      <c r="AU55" s="152"/>
      <c r="AV55" s="152"/>
      <c r="AW55" s="152"/>
      <c r="AX55" s="152"/>
      <c r="AY55" s="152"/>
      <c r="AZ55" s="152"/>
      <c r="BA55" s="152"/>
      <c r="BB55" s="152"/>
      <c r="BC55" s="152"/>
      <c r="BD55" s="152"/>
      <c r="BE55" s="152"/>
      <c r="BF55" s="152"/>
      <c r="BG55" s="152"/>
      <c r="BH55" s="152"/>
      <c r="BI55" s="152"/>
      <c r="BJ55" s="152"/>
      <c r="BK55" s="152"/>
      <c r="BL55" s="152"/>
    </row>
    <row r="56" spans="1:64" x14ac:dyDescent="0.35">
      <c r="A56" s="152"/>
      <c r="B56" s="157"/>
      <c r="C56" s="152"/>
      <c r="D56" s="152"/>
      <c r="E56" s="152"/>
      <c r="F56" s="152"/>
      <c r="G56" s="152"/>
      <c r="H56" s="152"/>
      <c r="I56" s="152"/>
      <c r="J56" s="152"/>
      <c r="K56" s="152"/>
      <c r="L56" s="152"/>
      <c r="M56" s="152"/>
      <c r="N56" s="152"/>
      <c r="O56" s="152"/>
      <c r="P56" s="152"/>
      <c r="Q56" s="152"/>
      <c r="R56" s="152"/>
      <c r="S56" s="152"/>
      <c r="T56" s="152"/>
      <c r="U56" s="152"/>
      <c r="V56" s="152"/>
      <c r="W56" s="152"/>
      <c r="X56" s="154"/>
      <c r="Y56" s="152"/>
      <c r="Z56" s="152"/>
      <c r="AA56" s="152"/>
      <c r="AB56" s="152"/>
      <c r="AC56" s="154"/>
      <c r="AD56" s="152"/>
      <c r="AE56" s="152"/>
      <c r="AF56" s="152"/>
      <c r="AG56" s="152"/>
      <c r="AH56" s="152"/>
      <c r="AI56" s="152"/>
      <c r="AJ56" s="152"/>
      <c r="AK56" s="152"/>
      <c r="AL56" s="152"/>
      <c r="AM56" s="152"/>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row>
    <row r="57" spans="1:64" x14ac:dyDescent="0.35">
      <c r="A57" s="152"/>
      <c r="B57" s="157"/>
      <c r="C57" s="152"/>
      <c r="D57" s="152"/>
      <c r="E57" s="152"/>
      <c r="F57" s="152"/>
      <c r="G57" s="152"/>
      <c r="H57" s="152"/>
      <c r="I57" s="152"/>
      <c r="J57" s="152"/>
      <c r="K57" s="152"/>
      <c r="L57" s="152"/>
      <c r="M57" s="152"/>
      <c r="N57" s="152"/>
      <c r="O57" s="152"/>
      <c r="P57" s="152"/>
      <c r="Q57" s="152"/>
      <c r="R57" s="152"/>
      <c r="S57" s="152"/>
      <c r="T57" s="152"/>
      <c r="U57" s="152"/>
      <c r="V57" s="152"/>
      <c r="W57" s="152"/>
      <c r="X57" s="154"/>
      <c r="Y57" s="152"/>
      <c r="Z57" s="152"/>
      <c r="AA57" s="152"/>
      <c r="AB57" s="152"/>
      <c r="AC57" s="154"/>
      <c r="AD57" s="152"/>
      <c r="AE57" s="152"/>
      <c r="AF57" s="152"/>
      <c r="AG57" s="152"/>
      <c r="AH57" s="152"/>
      <c r="AI57" s="152"/>
      <c r="AJ57" s="152"/>
      <c r="AK57" s="152"/>
      <c r="AL57" s="152"/>
      <c r="AM57" s="152"/>
      <c r="AN57" s="152"/>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2"/>
      <c r="BL57" s="152"/>
    </row>
    <row r="58" spans="1:64" x14ac:dyDescent="0.35">
      <c r="A58" s="152"/>
      <c r="B58" s="157"/>
      <c r="C58" s="152"/>
      <c r="D58" s="152"/>
      <c r="E58" s="152"/>
      <c r="F58" s="152"/>
      <c r="G58" s="152"/>
      <c r="H58" s="152"/>
      <c r="I58" s="152"/>
      <c r="J58" s="152"/>
      <c r="K58" s="152"/>
      <c r="L58" s="152"/>
      <c r="M58" s="152"/>
      <c r="N58" s="152"/>
      <c r="O58" s="152"/>
      <c r="P58" s="152"/>
      <c r="Q58" s="152"/>
      <c r="R58" s="152"/>
      <c r="S58" s="152"/>
      <c r="T58" s="152"/>
      <c r="U58" s="152"/>
      <c r="V58" s="152"/>
      <c r="W58" s="152"/>
      <c r="X58" s="154"/>
      <c r="Y58" s="152"/>
      <c r="Z58" s="152"/>
      <c r="AA58" s="152"/>
      <c r="AB58" s="152"/>
      <c r="AC58" s="154"/>
      <c r="AD58" s="152"/>
      <c r="AE58" s="152"/>
      <c r="AF58" s="152"/>
      <c r="AG58" s="152"/>
      <c r="AH58" s="152"/>
      <c r="AI58" s="152"/>
      <c r="AJ58" s="152"/>
      <c r="AK58" s="152"/>
      <c r="AL58" s="152"/>
      <c r="AM58" s="152"/>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row>
    <row r="59" spans="1:64" x14ac:dyDescent="0.35">
      <c r="A59" s="152"/>
      <c r="B59" s="157"/>
      <c r="C59" s="152"/>
      <c r="D59" s="152"/>
      <c r="E59" s="152"/>
      <c r="F59" s="152"/>
      <c r="G59" s="152"/>
      <c r="H59" s="152"/>
      <c r="I59" s="152"/>
      <c r="J59" s="152"/>
      <c r="K59" s="152"/>
      <c r="L59" s="152"/>
      <c r="M59" s="152"/>
      <c r="N59" s="152"/>
      <c r="O59" s="152"/>
      <c r="P59" s="152"/>
      <c r="Q59" s="152"/>
      <c r="R59" s="152"/>
      <c r="S59" s="152"/>
      <c r="T59" s="152"/>
      <c r="U59" s="152"/>
      <c r="V59" s="152"/>
      <c r="W59" s="152"/>
      <c r="X59" s="154"/>
      <c r="Y59" s="152"/>
      <c r="Z59" s="152"/>
      <c r="AA59" s="152"/>
      <c r="AB59" s="152"/>
      <c r="AC59" s="154"/>
      <c r="AD59" s="152"/>
      <c r="AE59" s="152"/>
      <c r="AF59" s="152"/>
      <c r="AG59" s="152"/>
      <c r="AH59" s="152"/>
      <c r="AI59" s="152"/>
      <c r="AJ59" s="152"/>
      <c r="AK59" s="152"/>
      <c r="AL59" s="152"/>
      <c r="AM59" s="152"/>
      <c r="AN59" s="152"/>
      <c r="AO59" s="152"/>
      <c r="AP59" s="152"/>
      <c r="AQ59" s="152"/>
      <c r="AR59" s="152"/>
      <c r="AS59" s="152"/>
      <c r="AT59" s="152"/>
      <c r="AU59" s="152"/>
      <c r="AV59" s="152"/>
      <c r="AW59" s="152"/>
      <c r="AX59" s="152"/>
      <c r="AY59" s="152"/>
      <c r="AZ59" s="152"/>
      <c r="BA59" s="152"/>
      <c r="BB59" s="152"/>
      <c r="BC59" s="152"/>
      <c r="BD59" s="152"/>
      <c r="BE59" s="152"/>
      <c r="BF59" s="152"/>
      <c r="BG59" s="152"/>
      <c r="BH59" s="152"/>
      <c r="BI59" s="152"/>
      <c r="BJ59" s="152"/>
      <c r="BK59" s="152"/>
      <c r="BL59" s="152"/>
    </row>
    <row r="60" spans="1:64" x14ac:dyDescent="0.35">
      <c r="A60" s="152"/>
      <c r="B60" s="157"/>
      <c r="C60" s="152"/>
      <c r="D60" s="152"/>
      <c r="E60" s="152"/>
      <c r="F60" s="152"/>
      <c r="G60" s="152"/>
      <c r="H60" s="152"/>
      <c r="I60" s="152"/>
      <c r="J60" s="152"/>
      <c r="K60" s="152"/>
      <c r="L60" s="152"/>
      <c r="M60" s="152"/>
      <c r="N60" s="152"/>
      <c r="O60" s="152"/>
      <c r="P60" s="152"/>
      <c r="Q60" s="152"/>
      <c r="R60" s="152"/>
      <c r="S60" s="152"/>
      <c r="T60" s="152"/>
      <c r="U60" s="152"/>
      <c r="V60" s="152"/>
      <c r="W60" s="152"/>
      <c r="X60" s="154"/>
      <c r="Y60" s="152"/>
      <c r="Z60" s="152"/>
      <c r="AA60" s="152"/>
      <c r="AB60" s="152"/>
      <c r="AC60" s="154"/>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152"/>
      <c r="BL60" s="152"/>
    </row>
    <row r="61" spans="1:64" x14ac:dyDescent="0.35">
      <c r="A61" s="152"/>
      <c r="B61" s="157"/>
      <c r="C61" s="152"/>
      <c r="D61" s="152"/>
      <c r="E61" s="152"/>
      <c r="F61" s="152"/>
      <c r="G61" s="152"/>
      <c r="H61" s="152"/>
      <c r="I61" s="152"/>
      <c r="J61" s="152"/>
      <c r="K61" s="152"/>
      <c r="L61" s="152"/>
      <c r="M61" s="152"/>
      <c r="N61" s="152"/>
      <c r="O61" s="152"/>
      <c r="P61" s="152"/>
      <c r="Q61" s="152"/>
      <c r="R61" s="152"/>
      <c r="S61" s="152"/>
      <c r="T61" s="152"/>
      <c r="U61" s="152"/>
      <c r="V61" s="152"/>
      <c r="W61" s="152"/>
      <c r="X61" s="154"/>
      <c r="Y61" s="152"/>
      <c r="Z61" s="152"/>
      <c r="AA61" s="152"/>
      <c r="AB61" s="152"/>
      <c r="AC61" s="154"/>
      <c r="AD61" s="152"/>
      <c r="AE61" s="152"/>
      <c r="AF61" s="152"/>
      <c r="AG61" s="152"/>
      <c r="AH61" s="152"/>
      <c r="AI61" s="152"/>
      <c r="AJ61" s="152"/>
      <c r="AK61" s="152"/>
      <c r="AL61" s="152"/>
      <c r="AM61" s="152"/>
      <c r="AN61" s="152"/>
      <c r="AO61" s="152"/>
      <c r="AP61" s="152"/>
      <c r="AQ61" s="152"/>
      <c r="AR61" s="152"/>
      <c r="AS61" s="152"/>
      <c r="AT61" s="152"/>
      <c r="AU61" s="152"/>
      <c r="AV61" s="152"/>
      <c r="AW61" s="152"/>
      <c r="AX61" s="152"/>
      <c r="AY61" s="152"/>
      <c r="AZ61" s="152"/>
      <c r="BA61" s="152"/>
      <c r="BB61" s="152"/>
      <c r="BC61" s="152"/>
      <c r="BD61" s="152"/>
      <c r="BE61" s="152"/>
      <c r="BF61" s="152"/>
      <c r="BG61" s="152"/>
      <c r="BH61" s="152"/>
      <c r="BI61" s="152"/>
      <c r="BJ61" s="152"/>
      <c r="BK61" s="152"/>
      <c r="BL61" s="152"/>
    </row>
    <row r="62" spans="1:64" x14ac:dyDescent="0.35">
      <c r="A62" s="152"/>
      <c r="B62" s="157"/>
      <c r="C62" s="152"/>
      <c r="D62" s="152"/>
      <c r="E62" s="152"/>
      <c r="F62" s="152"/>
      <c r="G62" s="152"/>
      <c r="H62" s="152"/>
      <c r="I62" s="152"/>
      <c r="J62" s="152"/>
      <c r="K62" s="152"/>
      <c r="L62" s="152"/>
      <c r="M62" s="152"/>
      <c r="N62" s="152"/>
      <c r="O62" s="152"/>
      <c r="P62" s="152"/>
      <c r="Q62" s="152"/>
      <c r="R62" s="152"/>
      <c r="S62" s="152"/>
      <c r="T62" s="152"/>
      <c r="U62" s="152"/>
      <c r="V62" s="152"/>
      <c r="W62" s="152"/>
      <c r="X62" s="154"/>
      <c r="Y62" s="152"/>
      <c r="Z62" s="152"/>
      <c r="AA62" s="152"/>
      <c r="AB62" s="152"/>
      <c r="AC62" s="154"/>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row>
    <row r="63" spans="1:64" x14ac:dyDescent="0.35">
      <c r="A63" s="152"/>
      <c r="B63" s="157"/>
      <c r="C63" s="152"/>
      <c r="D63" s="152"/>
      <c r="E63" s="152"/>
      <c r="F63" s="152"/>
      <c r="G63" s="152"/>
      <c r="H63" s="152"/>
      <c r="I63" s="152"/>
      <c r="J63" s="152"/>
      <c r="K63" s="152"/>
      <c r="L63" s="152"/>
      <c r="M63" s="152"/>
      <c r="N63" s="152"/>
      <c r="O63" s="152"/>
      <c r="P63" s="152"/>
      <c r="Q63" s="152"/>
      <c r="R63" s="152"/>
      <c r="S63" s="152"/>
      <c r="T63" s="152"/>
      <c r="U63" s="152"/>
      <c r="V63" s="152"/>
      <c r="W63" s="152"/>
      <c r="X63" s="154"/>
      <c r="Y63" s="152"/>
      <c r="Z63" s="152"/>
      <c r="AA63" s="152"/>
      <c r="AB63" s="152"/>
      <c r="AC63" s="154"/>
      <c r="AD63" s="152"/>
      <c r="AE63" s="152"/>
      <c r="AF63" s="152"/>
      <c r="AG63" s="152"/>
      <c r="AH63" s="152"/>
      <c r="AI63" s="152"/>
      <c r="AJ63" s="152"/>
      <c r="AK63" s="152"/>
      <c r="AL63" s="152"/>
      <c r="AM63" s="152"/>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row>
    <row r="64" spans="1:64" x14ac:dyDescent="0.35">
      <c r="A64" s="152"/>
      <c r="B64" s="157"/>
      <c r="C64" s="152"/>
      <c r="D64" s="152"/>
      <c r="E64" s="152"/>
      <c r="F64" s="152"/>
      <c r="G64" s="152"/>
      <c r="H64" s="152"/>
      <c r="I64" s="152"/>
      <c r="J64" s="152"/>
      <c r="K64" s="152"/>
      <c r="L64" s="152"/>
      <c r="M64" s="152"/>
      <c r="N64" s="152"/>
      <c r="O64" s="152"/>
      <c r="P64" s="152"/>
      <c r="Q64" s="152"/>
      <c r="R64" s="152"/>
      <c r="S64" s="152"/>
      <c r="T64" s="152"/>
      <c r="U64" s="152"/>
      <c r="V64" s="152"/>
      <c r="W64" s="152"/>
      <c r="X64" s="154"/>
      <c r="Y64" s="152"/>
      <c r="Z64" s="152"/>
      <c r="AA64" s="152"/>
      <c r="AB64" s="152"/>
      <c r="AC64" s="154"/>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row>
    <row r="65" spans="1:64" x14ac:dyDescent="0.35">
      <c r="A65" s="152"/>
      <c r="B65" s="157"/>
      <c r="C65" s="152"/>
      <c r="D65" s="152"/>
      <c r="E65" s="152"/>
      <c r="F65" s="152"/>
      <c r="G65" s="152"/>
      <c r="H65" s="152"/>
      <c r="I65" s="152"/>
      <c r="J65" s="152"/>
      <c r="K65" s="152"/>
      <c r="L65" s="152"/>
      <c r="M65" s="152"/>
      <c r="N65" s="152"/>
      <c r="O65" s="152"/>
      <c r="P65" s="152"/>
      <c r="Q65" s="152"/>
      <c r="R65" s="152"/>
      <c r="S65" s="152"/>
      <c r="T65" s="152"/>
      <c r="U65" s="152"/>
      <c r="V65" s="152"/>
      <c r="W65" s="152"/>
      <c r="X65" s="154"/>
      <c r="Y65" s="152"/>
      <c r="Z65" s="152"/>
      <c r="AA65" s="152"/>
      <c r="AB65" s="152"/>
      <c r="AC65" s="154"/>
      <c r="AD65" s="152"/>
      <c r="AE65" s="152"/>
      <c r="AF65" s="152"/>
      <c r="AG65" s="152"/>
      <c r="AH65" s="152"/>
      <c r="AI65" s="152"/>
      <c r="AJ65" s="152"/>
      <c r="AK65" s="152"/>
      <c r="AL65" s="152"/>
      <c r="AM65" s="152"/>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row>
    <row r="66" spans="1:64" x14ac:dyDescent="0.35">
      <c r="A66" s="152"/>
      <c r="B66" s="157"/>
      <c r="C66" s="152"/>
      <c r="D66" s="152"/>
      <c r="E66" s="152"/>
      <c r="F66" s="152"/>
      <c r="G66" s="152"/>
      <c r="H66" s="152"/>
      <c r="I66" s="152"/>
      <c r="J66" s="152"/>
      <c r="K66" s="152"/>
      <c r="L66" s="152"/>
      <c r="M66" s="152"/>
      <c r="N66" s="152"/>
      <c r="O66" s="152"/>
      <c r="P66" s="152"/>
      <c r="Q66" s="152"/>
      <c r="R66" s="152"/>
      <c r="S66" s="152"/>
      <c r="T66" s="152"/>
      <c r="U66" s="152"/>
      <c r="V66" s="152"/>
      <c r="W66" s="152"/>
      <c r="X66" s="154"/>
      <c r="Y66" s="152"/>
      <c r="Z66" s="152"/>
      <c r="AA66" s="152"/>
      <c r="AB66" s="152"/>
      <c r="AC66" s="154"/>
      <c r="AD66" s="152"/>
      <c r="AE66" s="152"/>
      <c r="AF66" s="152"/>
      <c r="AG66" s="152"/>
      <c r="AH66" s="152"/>
      <c r="AI66" s="152"/>
      <c r="AJ66" s="152"/>
      <c r="AK66" s="152"/>
      <c r="AL66" s="152"/>
      <c r="AM66" s="152"/>
      <c r="AN66" s="152"/>
      <c r="AO66" s="152"/>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152"/>
      <c r="BL66" s="152"/>
    </row>
    <row r="67" spans="1:64" x14ac:dyDescent="0.35">
      <c r="A67" s="152"/>
      <c r="B67" s="157"/>
      <c r="C67" s="152"/>
      <c r="D67" s="152"/>
      <c r="E67" s="152"/>
      <c r="F67" s="152"/>
      <c r="G67" s="152"/>
      <c r="H67" s="152"/>
      <c r="I67" s="152"/>
      <c r="J67" s="152"/>
      <c r="K67" s="152"/>
      <c r="L67" s="152"/>
      <c r="M67" s="152"/>
      <c r="N67" s="152"/>
      <c r="O67" s="152"/>
      <c r="P67" s="152"/>
      <c r="Q67" s="152"/>
      <c r="R67" s="152"/>
      <c r="S67" s="152"/>
      <c r="T67" s="152"/>
      <c r="U67" s="152"/>
      <c r="V67" s="152"/>
      <c r="W67" s="152"/>
      <c r="X67" s="154"/>
      <c r="Y67" s="152"/>
      <c r="Z67" s="152"/>
      <c r="AA67" s="152"/>
      <c r="AB67" s="152"/>
      <c r="AC67" s="154"/>
      <c r="AD67" s="152"/>
      <c r="AE67" s="152"/>
      <c r="AF67" s="152"/>
      <c r="AG67" s="152"/>
      <c r="AH67" s="152"/>
      <c r="AI67" s="152"/>
      <c r="AJ67" s="152"/>
      <c r="AK67" s="152"/>
      <c r="AL67" s="152"/>
      <c r="AM67" s="152"/>
      <c r="AN67" s="152"/>
      <c r="AO67" s="152"/>
      <c r="AP67" s="152"/>
      <c r="AQ67" s="152"/>
      <c r="AR67" s="152"/>
      <c r="AS67" s="152"/>
      <c r="AT67" s="152"/>
      <c r="AU67" s="152"/>
      <c r="AV67" s="152"/>
      <c r="AW67" s="152"/>
      <c r="AX67" s="152"/>
      <c r="AY67" s="152"/>
      <c r="AZ67" s="152"/>
      <c r="BA67" s="152"/>
      <c r="BB67" s="152"/>
      <c r="BC67" s="152"/>
      <c r="BD67" s="152"/>
      <c r="BE67" s="152"/>
      <c r="BF67" s="152"/>
      <c r="BG67" s="152"/>
      <c r="BH67" s="152"/>
      <c r="BI67" s="152"/>
      <c r="BJ67" s="152"/>
      <c r="BK67" s="152"/>
      <c r="BL67" s="152"/>
    </row>
    <row r="68" spans="1:64" x14ac:dyDescent="0.35">
      <c r="A68" s="152"/>
      <c r="B68" s="157"/>
      <c r="C68" s="152"/>
      <c r="D68" s="152"/>
      <c r="E68" s="152"/>
      <c r="F68" s="152"/>
      <c r="G68" s="152"/>
      <c r="H68" s="152"/>
      <c r="I68" s="152"/>
      <c r="J68" s="152"/>
      <c r="K68" s="152"/>
      <c r="L68" s="152"/>
      <c r="M68" s="152"/>
      <c r="N68" s="152"/>
      <c r="O68" s="152"/>
      <c r="P68" s="152"/>
      <c r="Q68" s="152"/>
      <c r="R68" s="152"/>
      <c r="S68" s="152"/>
      <c r="T68" s="152"/>
      <c r="U68" s="152"/>
      <c r="V68" s="152"/>
      <c r="W68" s="152"/>
      <c r="X68" s="154"/>
      <c r="Y68" s="152"/>
      <c r="Z68" s="152"/>
      <c r="AA68" s="152"/>
      <c r="AB68" s="152"/>
      <c r="AC68" s="154"/>
      <c r="AD68" s="152"/>
      <c r="AE68" s="152"/>
      <c r="AF68" s="152"/>
      <c r="AG68" s="152"/>
      <c r="AH68" s="152"/>
      <c r="AI68" s="152"/>
      <c r="AJ68" s="152"/>
      <c r="AK68" s="152"/>
      <c r="AL68" s="152"/>
      <c r="AM68" s="152"/>
      <c r="AN68" s="152"/>
      <c r="AO68" s="152"/>
      <c r="AP68" s="152"/>
      <c r="AQ68" s="152"/>
      <c r="AR68" s="152"/>
      <c r="AS68" s="152"/>
      <c r="AT68" s="152"/>
      <c r="AU68" s="152"/>
      <c r="AV68" s="152"/>
      <c r="AW68" s="152"/>
      <c r="AX68" s="152"/>
      <c r="AY68" s="152"/>
      <c r="AZ68" s="152"/>
      <c r="BA68" s="152"/>
      <c r="BB68" s="152"/>
      <c r="BC68" s="152"/>
      <c r="BD68" s="152"/>
      <c r="BE68" s="152"/>
      <c r="BF68" s="152"/>
      <c r="BG68" s="152"/>
      <c r="BH68" s="152"/>
      <c r="BI68" s="152"/>
      <c r="BJ68" s="152"/>
      <c r="BK68" s="152"/>
      <c r="BL68" s="152"/>
    </row>
    <row r="69" spans="1:64" x14ac:dyDescent="0.35">
      <c r="A69" s="152"/>
      <c r="B69" s="157"/>
      <c r="C69" s="152"/>
      <c r="D69" s="152"/>
      <c r="E69" s="152"/>
      <c r="F69" s="152"/>
      <c r="G69" s="152"/>
      <c r="H69" s="152"/>
      <c r="I69" s="152"/>
      <c r="J69" s="152"/>
      <c r="K69" s="152"/>
      <c r="L69" s="152"/>
      <c r="M69" s="152"/>
      <c r="N69" s="152"/>
      <c r="O69" s="152"/>
      <c r="P69" s="152"/>
      <c r="Q69" s="152"/>
      <c r="R69" s="152"/>
      <c r="S69" s="152"/>
      <c r="T69" s="152"/>
      <c r="U69" s="152"/>
      <c r="V69" s="152"/>
      <c r="W69" s="152"/>
      <c r="X69" s="154"/>
      <c r="Y69" s="152"/>
      <c r="Z69" s="152"/>
      <c r="AA69" s="152"/>
      <c r="AB69" s="152"/>
      <c r="AC69" s="154"/>
      <c r="AD69" s="152"/>
      <c r="AE69" s="152"/>
      <c r="AF69" s="152"/>
      <c r="AG69" s="152"/>
      <c r="AH69" s="152"/>
      <c r="AI69" s="152"/>
      <c r="AJ69" s="152"/>
      <c r="AK69" s="152"/>
      <c r="AL69" s="152"/>
      <c r="AM69" s="152"/>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6980529C4681438830A3578E1AF648" ma:contentTypeVersion="21" ma:contentTypeDescription="Create a new document." ma:contentTypeScope="" ma:versionID="74220e585f2f3ef1bc918d6e60719c9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2d004a6-2f8d-4a75-9f1d-859e2ae55add" xmlns:ns6="846cd87d-8317-4481-9f7e-abc1d5f00689" xmlns:ns7="3c914cde-9af0-457a-a7da-575c2d52b74b" xmlns:ns8="http://schemas.microsoft.com/sharepoint/v4" xmlns:ns9="c91f4372-5f77-4685-b559-ab4138bb6957" targetNamespace="http://schemas.microsoft.com/office/2006/metadata/properties" ma:root="true" ma:fieldsID="2d53e36df1a419f2251b6bb63eeb752b" ns1:_="" ns2:_="" ns3:_="" ns4:_="" ns5:_="" ns6:_="" ns7:_="" ns8:_="" ns9:_="">
    <xsd:import namespace="http://schemas.microsoft.com/sharepoint/v3"/>
    <xsd:import namespace="4ffa91fb-a0ff-4ac5-b2db-65c790d184a4"/>
    <xsd:import namespace="http://schemas.microsoft.com/sharepoint.v3"/>
    <xsd:import namespace="http://schemas.microsoft.com/sharepoint/v3/fields"/>
    <xsd:import namespace="22d004a6-2f8d-4a75-9f1d-859e2ae55add"/>
    <xsd:import namespace="846cd87d-8317-4481-9f7e-abc1d5f00689"/>
    <xsd:import namespace="3c914cde-9af0-457a-a7da-575c2d52b74b"/>
    <xsd:import namespace="http://schemas.microsoft.com/sharepoint/v4"/>
    <xsd:import namespace="c91f4372-5f77-4685-b559-ab4138bb6957"/>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e3f09c3df709400db2417a7161762d62" minOccurs="0"/>
                <xsd:element ref="ns6:Topic" minOccurs="0"/>
                <xsd:element ref="ns6:Status" minOccurs="0"/>
                <xsd:element ref="ns7:MediaServiceMetadata" minOccurs="0"/>
                <xsd:element ref="ns7:MediaServiceFastMetadata" minOccurs="0"/>
                <xsd:element ref="ns8:IconOverlay" minOccurs="0"/>
                <xsd:element ref="ns9:MediaServiceEventHashCode" minOccurs="0"/>
                <xsd:element ref="ns9:MediaServiceGenerationTime" minOccurs="0"/>
                <xsd:element ref="ns5:SharedWithUsers" minOccurs="0"/>
                <xsd:element ref="ns5:SharedWithDetails" minOccurs="0"/>
                <xsd:element ref="ns9:MediaServiceDateTaken" minOccurs="0"/>
                <xsd:element ref="ns9:MediaServiceAutoTags" minOccurs="0"/>
                <xsd:element ref="ns9:MediaServiceOCR" minOccurs="0"/>
                <xsd:element ref="ns9:MediaServiceLocation" minOccurs="0"/>
                <xsd:element ref="ns9:MediaServiceAutoKeyPoints" minOccurs="0"/>
                <xsd:element ref="ns9: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44" nillable="true" ma:displayName="Unified Compliance Policy Properties" ma:hidden="true" ma:internalName="_ip_UnifiedCompliancePolicyProperties">
      <xsd:simpleType>
        <xsd:restriction base="dms:Note"/>
      </xsd:simpleType>
    </xsd:element>
    <xsd:element name="_ip_UnifiedCompliancePolicyUIAction" ma:index="4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54f485cd-92c0-4abe-a378-745fe4335b12}" ma:internalName="TaxCatchAllLabel" ma:readOnly="true" ma:showField="CatchAllDataLabel" ma:web="22d004a6-2f8d-4a75-9f1d-859e2ae55ad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54f485cd-92c0-4abe-a378-745fe4335b12}" ma:internalName="TaxCatchAll" ma:showField="CatchAllData" ma:web="22d004a6-2f8d-4a75-9f1d-859e2ae55ad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d004a6-2f8d-4a75-9f1d-859e2ae55add" elementFormDefault="qualified">
    <xsd:import namespace="http://schemas.microsoft.com/office/2006/documentManagement/types"/>
    <xsd:import namespace="http://schemas.microsoft.com/office/infopath/2007/PartnerControls"/>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6cd87d-8317-4481-9f7e-abc1d5f00689" elementFormDefault="qualified">
    <xsd:import namespace="http://schemas.microsoft.com/office/2006/documentManagement/types"/>
    <xsd:import namespace="http://schemas.microsoft.com/office/infopath/2007/PartnerControls"/>
    <xsd:element name="Topic" ma:index="29" nillable="true" ma:displayName="Topic" ma:format="Dropdown" ma:internalName="Topic">
      <xsd:simpleType>
        <xsd:union memberTypes="dms:Text">
          <xsd:simpleType>
            <xsd:restriction base="dms:Choice">
              <xsd:enumeration value="Admin"/>
              <xsd:enumeration value="Analysis"/>
              <xsd:enumeration value="Archive"/>
              <xsd:enumeration value="Assessment"/>
              <xsd:enumeration value="Best Practices"/>
              <xsd:enumeration value="Budget"/>
              <xsd:enumeration value="Checklist"/>
              <xsd:enumeration value="Comments"/>
              <xsd:enumeration value="Contacts"/>
              <xsd:enumeration value="Correspondence"/>
              <xsd:enumeration value="Ideas"/>
              <xsd:enumeration value="Logistics"/>
              <xsd:enumeration value="Marketing"/>
              <xsd:enumeration value="Meeting Notes"/>
              <xsd:enumeration value="Mission &amp; Vision"/>
              <xsd:enumeration value="Modeling"/>
              <xsd:enumeration value="Outreach Materials"/>
              <xsd:enumeration value="Planning"/>
              <xsd:enumeration value="Presentations"/>
              <xsd:enumeration value="Press Release"/>
              <xsd:enumeration value="Project"/>
              <xsd:enumeration value="Program Info"/>
              <xsd:enumeration value="Regulatory"/>
              <xsd:enumeration value="Research"/>
              <xsd:enumeration value="Resource"/>
              <xsd:enumeration value="Schedule"/>
              <xsd:enumeration value="Standards"/>
              <xsd:enumeration value="Team Info"/>
              <xsd:enumeration value="Technical"/>
              <xsd:enumeration value="Tools"/>
              <xsd:enumeration value="Website"/>
            </xsd:restriction>
          </xsd:simpleType>
        </xsd:union>
      </xsd:simpleType>
    </xsd:element>
    <xsd:element name="Status" ma:index="30" nillable="true" ma:displayName="Status" ma:format="Dropdown" ma:internalName="Status">
      <xsd:simpleType>
        <xsd:union memberTypes="dms:Text">
          <xsd:simpleType>
            <xsd:restriction base="dms:Choice">
              <xsd:enumeration value="Draft"/>
              <xsd:enumeration value="Final"/>
              <xsd:enumeration value="Not Started"/>
              <xsd:enumeration value="In Progress"/>
              <xsd:enumeration value="Under Review"/>
              <xsd:enumeration value="Completed"/>
              <xsd:enumeration value="Deferred"/>
              <xsd:enumeration value="Archive"/>
              <xsd:enumeration value="Link"/>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3c914cde-9af0-457a-a7da-575c2d52b74b"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3"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1f4372-5f77-4685-b559-ab4138bb6957" elementFormDefault="qualified">
    <xsd:import namespace="http://schemas.microsoft.com/office/2006/documentManagement/types"/>
    <xsd:import namespace="http://schemas.microsoft.com/office/infopath/2007/PartnerControls"/>
    <xsd:element name="MediaServiceEventHashCode" ma:index="34" nillable="true" ma:displayName="MediaServiceEventHashCode" ma:hidden="true" ma:internalName="MediaServiceEventHashCode" ma:readOnly="true">
      <xsd:simpleType>
        <xsd:restriction base="dms:Text"/>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DateTaken" ma:index="38" nillable="true" ma:displayName="MediaServiceDateTaken" ma:hidden="true" ma:internalName="MediaServiceDateTaken" ma:readOnly="true">
      <xsd:simpleType>
        <xsd:restriction base="dms:Text"/>
      </xsd:simpleType>
    </xsd:element>
    <xsd:element name="MediaServiceAutoTags" ma:index="39" nillable="true" ma:displayName="Tags" ma:internalName="MediaServiceAutoTags"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Location" ma:index="41" nillable="true" ma:displayName="Location" ma:internalName="MediaServiceLocation" ma:readOnly="true">
      <xsd:simpleType>
        <xsd:restriction base="dms:Text"/>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IconOverlay xmlns="http://schemas.microsoft.com/sharepoint/v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e3f09c3df709400db2417a7161762d62 xmlns="22d004a6-2f8d-4a75-9f1d-859e2ae55add">
      <Terms xmlns="http://schemas.microsoft.com/office/infopath/2007/PartnerControls"/>
    </e3f09c3df709400db2417a7161762d62>
    <Topic xmlns="846cd87d-8317-4481-9f7e-abc1d5f00689" xsi:nil="true"/>
    <Status xmlns="846cd87d-8317-4481-9f7e-abc1d5f00689" xsi:nil="true"/>
    <Document_x0020_Creation_x0020_Date xmlns="4ffa91fb-a0ff-4ac5-b2db-65c790d184a4">2020-10-19T20:14:39+00:00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E180FA8-F09C-476F-B451-77E43776C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2d004a6-2f8d-4a75-9f1d-859e2ae55add"/>
    <ds:schemaRef ds:uri="846cd87d-8317-4481-9f7e-abc1d5f00689"/>
    <ds:schemaRef ds:uri="3c914cde-9af0-457a-a7da-575c2d52b74b"/>
    <ds:schemaRef ds:uri="http://schemas.microsoft.com/sharepoint/v4"/>
    <ds:schemaRef ds:uri="c91f4372-5f77-4685-b559-ab4138bb69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CDADC5-1FAD-45E1-B50A-6700C2644849}">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4"/>
    <ds:schemaRef ds:uri="22d004a6-2f8d-4a75-9f1d-859e2ae55add"/>
    <ds:schemaRef ds:uri="846cd87d-8317-4481-9f7e-abc1d5f00689"/>
    <ds:schemaRef ds:uri="http://schemas.microsoft.com/sharepoint.v3"/>
  </ds:schemaRefs>
</ds:datastoreItem>
</file>

<file path=customXml/itemProps3.xml><?xml version="1.0" encoding="utf-8"?>
<ds:datastoreItem xmlns:ds="http://schemas.openxmlformats.org/officeDocument/2006/customXml" ds:itemID="{7472F644-AE9D-4BBD-8B26-74F4A27D898A}">
  <ds:schemaRefs>
    <ds:schemaRef ds:uri="http://schemas.microsoft.com/sharepoint/v3/contenttype/forms"/>
  </ds:schemaRefs>
</ds:datastoreItem>
</file>

<file path=customXml/itemProps4.xml><?xml version="1.0" encoding="utf-8"?>
<ds:datastoreItem xmlns:ds="http://schemas.openxmlformats.org/officeDocument/2006/customXml" ds:itemID="{DF15CC6B-A627-4EA7-9AFF-7ED10140C3D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Industry Burden &amp; Response Cost</vt:lpstr>
      <vt:lpstr>agency burden</vt:lpstr>
      <vt:lpstr>labor rates</vt:lpstr>
      <vt:lpstr>Industry_Burden_From_ICR_Data</vt:lpstr>
      <vt:lpstr>initial ICR data summary</vt:lpstr>
      <vt:lpstr>'Industry Burden &amp; Response Cost'!Print_Area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Pearce</dc:creator>
  <cp:lastModifiedBy>Salahuddin, Diane</cp:lastModifiedBy>
  <dcterms:created xsi:type="dcterms:W3CDTF">2020-04-09T19:39:25Z</dcterms:created>
  <dcterms:modified xsi:type="dcterms:W3CDTF">2021-03-26T14:31:57Z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0x010100E16980529C4681438830A3578E1AF648</vt:lpwstr>
  </property>
</Properties>
</file>