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4350986E-11B9-4FD9-A745-5CB66C6462F9}" xr6:coauthVersionLast="44" xr6:coauthVersionMax="44" xr10:uidLastSave="{00000000-0000-0000-0000-000000000000}"/>
  <bookViews>
    <workbookView xWindow="-120" yWindow="-120" windowWidth="20730" windowHeight="11160" xr2:uid="{00000000-000D-0000-FFFF-FFFF00000000}"/>
  </bookViews>
  <sheets>
    <sheet name="Table 1" sheetId="1" r:id="rId1"/>
    <sheet name="Table 2" sheetId="3" r:id="rId2"/>
    <sheet name="Capital and O&amp;M"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0" i="3" l="1"/>
  <c r="I22" i="1"/>
  <c r="I21" i="1"/>
  <c r="F21" i="1"/>
  <c r="F20" i="1"/>
  <c r="I20" i="1"/>
  <c r="F14" i="1"/>
  <c r="I14" i="1"/>
  <c r="I7" i="1"/>
  <c r="J39" i="4" l="1"/>
  <c r="E7" i="4"/>
  <c r="E9" i="4"/>
  <c r="G8" i="4"/>
  <c r="G7" i="4"/>
  <c r="D8" i="4"/>
  <c r="D10" i="4" s="1"/>
  <c r="C23" i="4"/>
  <c r="E18" i="1"/>
  <c r="J31" i="4"/>
  <c r="J32" i="4" s="1"/>
  <c r="J33" i="4" s="1"/>
  <c r="J34" i="4" s="1"/>
  <c r="J35" i="4" s="1"/>
  <c r="J36" i="4" s="1"/>
  <c r="J37" i="4" s="1"/>
  <c r="J38" i="4" s="1"/>
  <c r="J40" i="4" l="1"/>
  <c r="I32" i="4"/>
  <c r="I33" i="4" s="1"/>
  <c r="I34" i="4" s="1"/>
  <c r="I35" i="4" s="1"/>
  <c r="I36" i="4" s="1"/>
  <c r="I37" i="4" s="1"/>
  <c r="I38" i="4" s="1"/>
  <c r="I39" i="4" s="1"/>
  <c r="I40" i="4" s="1"/>
  <c r="E32" i="4"/>
  <c r="B33" i="4"/>
  <c r="B30" i="4"/>
  <c r="E30" i="4" s="1"/>
  <c r="E33" i="4" l="1"/>
  <c r="E13" i="1"/>
  <c r="E9" i="3" s="1"/>
  <c r="E6" i="3"/>
  <c r="E5" i="3"/>
  <c r="E11" i="1"/>
  <c r="D20" i="4" l="1"/>
  <c r="G20" i="4"/>
  <c r="D21" i="4" l="1"/>
  <c r="G21" i="4"/>
  <c r="D22" i="4" s="1"/>
  <c r="G22" i="4" s="1"/>
  <c r="E6" i="4"/>
  <c r="G6" i="4" s="1"/>
  <c r="E5" i="4"/>
  <c r="G5" i="4" s="1"/>
  <c r="D23" i="4" l="1"/>
  <c r="G23" i="4"/>
  <c r="D9" i="3"/>
  <c r="F9" i="3" s="1"/>
  <c r="D13" i="1"/>
  <c r="F13" i="1" s="1"/>
  <c r="G13" i="1" l="1"/>
  <c r="I13" i="1" s="1"/>
  <c r="G9" i="3"/>
  <c r="I9" i="3" s="1"/>
  <c r="B31" i="4"/>
  <c r="E31" i="4" s="1"/>
  <c r="E34" i="4" s="1"/>
  <c r="K21" i="1" s="1"/>
  <c r="H9" i="3"/>
  <c r="H13" i="1"/>
  <c r="F9" i="4" l="1"/>
  <c r="G9" i="4" s="1"/>
  <c r="G10" i="4" s="1"/>
  <c r="I10" i="4" s="1"/>
  <c r="E8" i="3"/>
  <c r="E12" i="1"/>
  <c r="E16" i="1"/>
  <c r="E7" i="1"/>
  <c r="D6" i="3"/>
  <c r="F6" i="3" s="1"/>
  <c r="D7" i="3"/>
  <c r="F7" i="3" s="1"/>
  <c r="D8" i="3"/>
  <c r="D5" i="3"/>
  <c r="F5" i="3" s="1"/>
  <c r="F8" i="3" l="1"/>
  <c r="H8" i="3" s="1"/>
  <c r="H7" i="3"/>
  <c r="G7" i="3"/>
  <c r="H6" i="3"/>
  <c r="G6" i="3"/>
  <c r="H5" i="3"/>
  <c r="G5" i="3"/>
  <c r="I7" i="3" l="1"/>
  <c r="I6" i="3"/>
  <c r="G8" i="3"/>
  <c r="I8" i="3" s="1"/>
  <c r="F10" i="3"/>
  <c r="I5" i="3"/>
  <c r="D11" i="1"/>
  <c r="F11" i="1" s="1"/>
  <c r="D12" i="1"/>
  <c r="F12" i="1" s="1"/>
  <c r="D16" i="1"/>
  <c r="F16" i="1" s="1"/>
  <c r="D18" i="1"/>
  <c r="F18" i="1" s="1"/>
  <c r="D7" i="1"/>
  <c r="F7" i="1" s="1"/>
  <c r="G7" i="1" l="1"/>
  <c r="H7" i="1"/>
  <c r="H18" i="1"/>
  <c r="G12" i="1"/>
  <c r="G16" i="1"/>
  <c r="I16" i="1" s="1"/>
  <c r="H16" i="1"/>
  <c r="G18" i="1"/>
  <c r="I18" i="1" s="1"/>
  <c r="G11" i="1"/>
  <c r="H11" i="1"/>
  <c r="H12" i="1"/>
  <c r="I12" i="1" s="1"/>
  <c r="I11" i="1" l="1"/>
  <c r="L21" i="1" l="1"/>
  <c r="I23" i="1"/>
</calcChain>
</file>

<file path=xl/sharedStrings.xml><?xml version="1.0" encoding="utf-8"?>
<sst xmlns="http://schemas.openxmlformats.org/spreadsheetml/2006/main" count="145" uniqueCount="115">
  <si>
    <t>Burden Item</t>
  </si>
  <si>
    <t>1.  Applications</t>
  </si>
  <si>
    <t>N/A</t>
  </si>
  <si>
    <t>2.  Surveys and Studies</t>
  </si>
  <si>
    <t>3.  Reporting Requirements</t>
  </si>
  <si>
    <t>B.  Required Activities</t>
  </si>
  <si>
    <t>C.  Gather Existing Information</t>
  </si>
  <si>
    <t>See 3D</t>
  </si>
  <si>
    <t>D.  Write Report</t>
  </si>
  <si>
    <t>Subtotal for Reporting Requirements</t>
  </si>
  <si>
    <t>4.  Recordkeeping Requirements</t>
  </si>
  <si>
    <t>A.  Record Engine Maintenance</t>
  </si>
  <si>
    <t>B.  Train personnel</t>
  </si>
  <si>
    <t>Table 1: Annual Respondent Burden and Cost – NSPS for Stationary Spark Ignition Internal Combustion Engines (40 CFR Part 60, Subpart JJJJ) (Renewal)</t>
  </si>
  <si>
    <t>(A) 
Person-hours per occurrence</t>
  </si>
  <si>
    <t>(B) 
Number of occurrences per year</t>
  </si>
  <si>
    <t>(C) 
Person-hours per respondent 
(C=AxB)</t>
  </si>
  <si>
    <t>(E)
Technical person-hours (E=CxD)</t>
  </si>
  <si>
    <t>(F) 
Management person-hours (F=Ex0.05)</t>
  </si>
  <si>
    <t>(G) 
Clerical person-hours 
(G=Ex0.1)</t>
  </si>
  <si>
    <r>
      <t xml:space="preserve">(H) 
Total Cost </t>
    </r>
    <r>
      <rPr>
        <b/>
        <vertAlign val="superscript"/>
        <sz val="10"/>
        <color rgb="FF000000"/>
        <rFont val="Times New Roman"/>
        <family val="1"/>
      </rPr>
      <t>b</t>
    </r>
    <r>
      <rPr>
        <b/>
        <sz val="10"/>
        <color rgb="FF000000"/>
        <rFont val="Times New Roman"/>
        <family val="1"/>
      </rPr>
      <t xml:space="preserve"> ($)</t>
    </r>
  </si>
  <si>
    <r>
      <t xml:space="preserve">(D) 
Respondents per year </t>
    </r>
    <r>
      <rPr>
        <b/>
        <vertAlign val="superscript"/>
        <sz val="10"/>
        <color rgb="FF000000"/>
        <rFont val="Times New Roman"/>
        <family val="1"/>
      </rPr>
      <t>a</t>
    </r>
  </si>
  <si>
    <t>Assumptions:</t>
  </si>
  <si>
    <t>Number of Respondents</t>
  </si>
  <si>
    <t>Respondents That Submit Reports</t>
  </si>
  <si>
    <t>Respondents That Do Not Submit Any Reports</t>
  </si>
  <si>
    <t>Year</t>
  </si>
  <si>
    <t>(A)</t>
  </si>
  <si>
    <t>(B)</t>
  </si>
  <si>
    <t>Number of Existing Respondents</t>
  </si>
  <si>
    <t>(C)</t>
  </si>
  <si>
    <t>Number of Existing  Respondents that keep records but do not submit reports</t>
  </si>
  <si>
    <t>(D)</t>
  </si>
  <si>
    <t>Number of Existing Respondents That Are Also New Respondents</t>
  </si>
  <si>
    <t>(E)</t>
  </si>
  <si>
    <t>Average</t>
  </si>
  <si>
    <t>Number of Respondents (E=A+B+C-D)</t>
  </si>
  <si>
    <r>
      <t xml:space="preserve">A.  Familiarize with regulatory requirements </t>
    </r>
    <r>
      <rPr>
        <vertAlign val="superscript"/>
        <sz val="10"/>
        <color rgb="FF000000"/>
        <rFont val="Times New Roman"/>
        <family val="1"/>
      </rPr>
      <t>c</t>
    </r>
  </si>
  <si>
    <r>
      <t xml:space="preserve">c  </t>
    </r>
    <r>
      <rPr>
        <sz val="10"/>
        <color theme="1"/>
        <rFont val="Times New Roman"/>
        <family val="1"/>
      </rPr>
      <t xml:space="preserve">We assume all new and existing respondents will have to familiarize themselves with the regulatory requirements each year. </t>
    </r>
  </si>
  <si>
    <r>
      <t xml:space="preserve">d  </t>
    </r>
    <r>
      <rPr>
        <sz val="10"/>
        <color theme="1"/>
        <rFont val="Times New Roman"/>
        <family val="1"/>
      </rPr>
      <t>It is assumed that 253 non-certified new engines will become subject to the rule each year over the 3-year period.  Based on the estimated distribution of existing engines, it is assumed that 12 percent of new engines, will be rated at &gt;500 hp and require initial notification. (253 x 12% = 30.36, rounded to 30)</t>
    </r>
  </si>
  <si>
    <r>
      <t xml:space="preserve">Initial notification (&gt;500 hp non-certified engines) </t>
    </r>
    <r>
      <rPr>
        <vertAlign val="superscript"/>
        <sz val="10"/>
        <color rgb="FF000000"/>
        <rFont val="Times New Roman"/>
        <family val="1"/>
      </rPr>
      <t>d</t>
    </r>
  </si>
  <si>
    <r>
      <t xml:space="preserve">Subsequent Performance Test (&gt;500 hp certified engines) </t>
    </r>
    <r>
      <rPr>
        <vertAlign val="superscript"/>
        <sz val="10"/>
        <color rgb="FF000000"/>
        <rFont val="Times New Roman"/>
        <family val="1"/>
      </rPr>
      <t>e</t>
    </r>
  </si>
  <si>
    <t xml:space="preserve">Table 2: Average Annual EPA Burden – NSPS for Stationary Spark Ignition Internal Combustion Engines 
(40 CFR Part 60, Subpart JJJJ) (Renewal)
</t>
  </si>
  <si>
    <t>Activity</t>
  </si>
  <si>
    <t>(F)</t>
  </si>
  <si>
    <t>Report Review</t>
  </si>
  <si>
    <t xml:space="preserve">3.  Engine Certification from nonroad to stationary </t>
  </si>
  <si>
    <t>(A)
EPA person-hours per occurrence</t>
  </si>
  <si>
    <r>
      <t>c</t>
    </r>
    <r>
      <rPr>
        <sz val="10"/>
        <color theme="1"/>
        <rFont val="Times New Roman"/>
        <family val="1"/>
      </rPr>
      <t xml:space="preserve"> After full implementation, existing sources are no longer subject to these activities.  It is assumed that 253 non-certified new engines will become subject to the rule each year over the 3-year period.  Based on the estimated distribution of existing engines, it is assumed that 12 percent of new engines, will be rated at &gt;500 hp and require initial notification.  Additionally, previously certified engines &gt; 500-hp are required to conduct subsequent performance tests either after 3 years or 8,760 hours of operation after the initial performance test.  It is assumed that 12 percent of existing engines will be rated at &gt; 500 hp and have previously had an initial performance test conducted and are now required to conduct a subsequent test over the next 3-year period.  The agency is expected to experience burden from evaluating these new sources and subsequent testing of existing sources &gt; 500 hp.</t>
    </r>
  </si>
  <si>
    <r>
      <t xml:space="preserve">2.  Engine Certification for Non-certified Engine </t>
    </r>
    <r>
      <rPr>
        <vertAlign val="superscript"/>
        <sz val="10"/>
        <color theme="1"/>
        <rFont val="Times New Roman"/>
        <family val="1"/>
      </rPr>
      <t>c</t>
    </r>
  </si>
  <si>
    <r>
      <t xml:space="preserve">4.  Performance Tests </t>
    </r>
    <r>
      <rPr>
        <vertAlign val="superscript"/>
        <sz val="10"/>
        <color theme="1"/>
        <rFont val="Times New Roman"/>
        <family val="1"/>
      </rPr>
      <t>c</t>
    </r>
  </si>
  <si>
    <t>(C) 
EPA Person-hours per plant 
(C=AxB)</t>
  </si>
  <si>
    <r>
      <t xml:space="preserve">(D) 
Plants per year </t>
    </r>
    <r>
      <rPr>
        <b/>
        <vertAlign val="superscript"/>
        <sz val="10"/>
        <color rgb="FF000000"/>
        <rFont val="Times New Roman"/>
        <family val="1"/>
      </rPr>
      <t>a</t>
    </r>
  </si>
  <si>
    <t>Capital/Startup vs. Operation and Maintenance (O&amp;M) Costs</t>
  </si>
  <si>
    <t>Burden</t>
  </si>
  <si>
    <t>Capital/Startup Cost for One Respondent</t>
  </si>
  <si>
    <t>Number of New Respondents</t>
  </si>
  <si>
    <t>Total Capital/Startup Cost,  (B X C)</t>
  </si>
  <si>
    <r>
      <t xml:space="preserve">Annual O&amp;M Costs for One Respondent </t>
    </r>
    <r>
      <rPr>
        <vertAlign val="superscript"/>
        <sz val="10"/>
        <color rgb="FF000000"/>
        <rFont val="Times New Roman"/>
        <family val="1"/>
      </rPr>
      <t>a</t>
    </r>
  </si>
  <si>
    <t>Number of Respondents  with O&amp;M</t>
  </si>
  <si>
    <t>(G)</t>
  </si>
  <si>
    <r>
      <t xml:space="preserve">Engine Certification for Stationary Use </t>
    </r>
    <r>
      <rPr>
        <vertAlign val="superscript"/>
        <sz val="10"/>
        <color rgb="FF000000"/>
        <rFont val="Times New Roman"/>
        <family val="1"/>
      </rPr>
      <t>b</t>
    </r>
  </si>
  <si>
    <t xml:space="preserve">        - 25-300 hp </t>
  </si>
  <si>
    <t xml:space="preserve">        - 300-600 hp</t>
  </si>
  <si>
    <t xml:space="preserve">        - &gt;600 hp</t>
  </si>
  <si>
    <t>Initial Test for Engines not Certified</t>
  </si>
  <si>
    <r>
      <t xml:space="preserve">Subsequent Performance Test for Engines &gt; 500 hp </t>
    </r>
    <r>
      <rPr>
        <vertAlign val="superscript"/>
        <sz val="10"/>
        <color rgb="FF000000"/>
        <rFont val="Times New Roman"/>
        <family val="1"/>
      </rPr>
      <t>c</t>
    </r>
  </si>
  <si>
    <t>Total O&amp;M, (ExF)</t>
  </si>
  <si>
    <r>
      <t>b</t>
    </r>
    <r>
      <rPr>
        <sz val="10"/>
        <color theme="1"/>
        <rFont val="Times New Roman"/>
        <family val="1"/>
      </rPr>
      <t xml:space="preserve"> The distribution of new engine types is based on the same distribution from the previously approved ICR.</t>
    </r>
  </si>
  <si>
    <t>D.  Records of initial notification, manufacturer's certifications, and performance tests</t>
  </si>
  <si>
    <r>
      <t xml:space="preserve">GRAND TOTAL (rounded) </t>
    </r>
    <r>
      <rPr>
        <b/>
        <vertAlign val="superscript"/>
        <sz val="10"/>
        <color rgb="FF000000"/>
        <rFont val="Times New Roman"/>
        <family val="1"/>
      </rPr>
      <t>g</t>
    </r>
  </si>
  <si>
    <r>
      <t xml:space="preserve">TOTAL LABOR BURDEN AND COST (rounded) </t>
    </r>
    <r>
      <rPr>
        <b/>
        <vertAlign val="superscript"/>
        <sz val="10"/>
        <color rgb="FF000000"/>
        <rFont val="Times New Roman"/>
        <family val="1"/>
      </rPr>
      <t>g</t>
    </r>
  </si>
  <si>
    <r>
      <t xml:space="preserve">TOTAL CAPITAL AND O&amp;M COST (rounded) </t>
    </r>
    <r>
      <rPr>
        <b/>
        <vertAlign val="superscript"/>
        <sz val="10"/>
        <color rgb="FF000000"/>
        <rFont val="Times New Roman"/>
        <family val="1"/>
      </rPr>
      <t>g</t>
    </r>
  </si>
  <si>
    <r>
      <t xml:space="preserve">Annual report for emergency stationary SI ICE </t>
    </r>
    <r>
      <rPr>
        <vertAlign val="superscript"/>
        <sz val="10"/>
        <color rgb="FF000000"/>
        <rFont val="Times New Roman"/>
        <family val="1"/>
      </rPr>
      <t>f</t>
    </r>
  </si>
  <si>
    <r>
      <t xml:space="preserve">5.  Annual reports for emergency stationary SI ICE </t>
    </r>
    <r>
      <rPr>
        <vertAlign val="superscript"/>
        <sz val="10"/>
        <color theme="1"/>
        <rFont val="Times New Roman"/>
        <family val="1"/>
      </rPr>
      <t>d</t>
    </r>
  </si>
  <si>
    <t>responses</t>
  </si>
  <si>
    <t>hr/response</t>
  </si>
  <si>
    <t>Labor Rates</t>
  </si>
  <si>
    <t>Management</t>
  </si>
  <si>
    <t>Technical</t>
  </si>
  <si>
    <t>Clerical</t>
  </si>
  <si>
    <r>
      <rPr>
        <vertAlign val="superscript"/>
        <sz val="10"/>
        <color theme="1"/>
        <rFont val="Times New Roman"/>
        <family val="1"/>
      </rPr>
      <t>b</t>
    </r>
    <r>
      <rPr>
        <sz val="10"/>
        <color theme="1"/>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</si>
  <si>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rPr>
        <vertAlign val="superscript"/>
        <sz val="10"/>
        <color theme="1"/>
        <rFont val="Times New Roman"/>
        <family val="1"/>
      </rPr>
      <t>b</t>
    </r>
    <r>
      <rPr>
        <sz val="10"/>
        <color theme="1"/>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</si>
  <si>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 xml:space="preserve">TOTAL (rounded) </t>
    </r>
    <r>
      <rPr>
        <b/>
        <vertAlign val="superscript"/>
        <sz val="10"/>
        <color rgb="FF000000"/>
        <rFont val="Times New Roman"/>
        <family val="1"/>
      </rPr>
      <t>e</t>
    </r>
  </si>
  <si>
    <r>
      <rPr>
        <vertAlign val="superscript"/>
        <sz val="10"/>
        <color theme="1"/>
        <rFont val="Times New Roman"/>
        <family val="1"/>
      </rPr>
      <t>a</t>
    </r>
    <r>
      <rPr>
        <sz val="10"/>
        <color theme="1"/>
        <rFont val="Times New Roman"/>
        <family val="1"/>
      </rPr>
      <t xml:space="preserve">  We assume there are an average of 19,076 existing respondents per year and an additional 253 respondents will become subject to the rule each year. The overall average number of respondents is 19,329 per year. </t>
    </r>
  </si>
  <si>
    <r>
      <t xml:space="preserve">C.  Recording hours in non-emergency operation </t>
    </r>
    <r>
      <rPr>
        <vertAlign val="superscript"/>
        <sz val="10"/>
        <color rgb="FF000000"/>
        <rFont val="Times New Roman"/>
        <family val="1"/>
      </rPr>
      <t>f</t>
    </r>
  </si>
  <si>
    <r>
      <t xml:space="preserve">1.  Initial notification (&gt;500 hp non-certified engines) </t>
    </r>
    <r>
      <rPr>
        <vertAlign val="superscript"/>
        <sz val="10"/>
        <color theme="1"/>
        <rFont val="Times New Roman"/>
        <family val="1"/>
      </rPr>
      <t xml:space="preserve">c </t>
    </r>
  </si>
  <si>
    <t>Total Annual Responses</t>
  </si>
  <si>
    <t>Information Collection Activity</t>
  </si>
  <si>
    <t>Number of Responses</t>
  </si>
  <si>
    <t>Number of Existing Respondents That Keep Records But Do Not Submit Reports</t>
  </si>
  <si>
    <t>n/a</t>
  </si>
  <si>
    <t>Record Engine Maintenance</t>
  </si>
  <si>
    <t>Total Annual Responses
E=(BxC)+D</t>
  </si>
  <si>
    <r>
      <t xml:space="preserve">Number of New Respondents </t>
    </r>
    <r>
      <rPr>
        <vertAlign val="superscript"/>
        <sz val="10"/>
        <color theme="1"/>
        <rFont val="Times New Roman"/>
        <family val="1"/>
      </rPr>
      <t>a</t>
    </r>
  </si>
  <si>
    <r>
      <rPr>
        <vertAlign val="superscript"/>
        <sz val="10"/>
        <color rgb="FF000000"/>
        <rFont val="Times New Roman"/>
        <family val="1"/>
      </rPr>
      <t>a</t>
    </r>
    <r>
      <rPr>
        <sz val="10"/>
        <color rgb="FF000000"/>
        <rFont val="Times New Roman"/>
        <family val="1"/>
      </rPr>
      <t xml:space="preserve">  We assume 12% of the 253 new respondents, or 30 respondents, will have engines rated at &gt;500 hp. </t>
    </r>
  </si>
  <si>
    <r>
      <t xml:space="preserve">Initial notification (&gt;500 hp non-certified engines) </t>
    </r>
    <r>
      <rPr>
        <vertAlign val="superscript"/>
        <sz val="10"/>
        <color theme="1"/>
        <rFont val="Times New Roman"/>
        <family val="1"/>
      </rPr>
      <t>a</t>
    </r>
  </si>
  <si>
    <r>
      <t xml:space="preserve">Annual Report for emergency stationary SI ICE </t>
    </r>
    <r>
      <rPr>
        <vertAlign val="superscript"/>
        <sz val="10"/>
        <color theme="1"/>
        <rFont val="Times New Roman"/>
        <family val="1"/>
      </rPr>
      <t>b</t>
    </r>
  </si>
  <si>
    <r>
      <t xml:space="preserve">Recording hours in non-emergency operation </t>
    </r>
    <r>
      <rPr>
        <vertAlign val="superscript"/>
        <sz val="10"/>
        <color theme="1"/>
        <rFont val="Times New Roman"/>
        <family val="1"/>
      </rPr>
      <t>b</t>
    </r>
  </si>
  <si>
    <t>Existing Respondents</t>
  </si>
  <si>
    <t>Respondents w/ Emergency Engines</t>
  </si>
  <si>
    <t>ICR#</t>
  </si>
  <si>
    <r>
      <t>c</t>
    </r>
    <r>
      <rPr>
        <sz val="10"/>
        <color theme="1"/>
        <rFont val="Times New Roman"/>
        <family val="1"/>
      </rPr>
      <t xml:space="preserve"> Previously certified engines &gt; 500-hp are required to conduct subsequent performance tests either after 3-years or 8,760 hours of operation after the initial performance test.  It is assumed that 12 percent of existing engines, or 2,289 existing engines, will be rated at &gt; 500 hp, have previously had an initial performance test conducted, and are now required to conduct a subsequent test over the next 3-year period.</t>
    </r>
  </si>
  <si>
    <t>Subtotal for Recordkeeping Requirements</t>
  </si>
  <si>
    <r>
      <t>e</t>
    </r>
    <r>
      <rPr>
        <sz val="10"/>
        <color theme="1"/>
        <rFont val="Times New Roman"/>
        <family val="1"/>
      </rPr>
      <t xml:space="preserve">  Previously certified engines &gt; 500-hp are required to conduct subsequent performance tests either after 3 years or 8,760 hours of operation after the initial performance test.  It is assumed that 12 percent of existing engines will be rated at &gt; 500 hp and have previously had an initial performance test conducted and are now required to conduct a subsequent test over the next 3-year period. (19,076 x 0.12 = 2,289)</t>
    </r>
  </si>
  <si>
    <r>
      <rPr>
        <vertAlign val="superscript"/>
        <sz val="10"/>
        <color rgb="FF000000"/>
        <rFont val="Times New Roman"/>
        <family val="1"/>
      </rPr>
      <t>b</t>
    </r>
    <r>
      <rPr>
        <sz val="10"/>
        <color rgb="FF000000"/>
        <rFont val="Times New Roman"/>
        <family val="1"/>
      </rPr>
      <t xml:space="preserve">  In the 2007 Cost Impacts memo for this rule, EPA estimated that, based on information obtained from the Engine Manufacturers Association, emergency engines make up approximately 5 percent of the total SI population. EPA also assumed that only 50% of engines seek certification. Of the 253 new engines per year, approximately 2.5% (6.3) are non-certified and required to record hours in non-emergency operation. The number of non-certified emergency engines has been incremented since the original ICR (#2227.02) to the number of 490 for year 2 of this ICR. We assume 5% of emergency stationary SI ICE will be required to report to conservatively estimate respondent burden for this activity. (490 x 0.05 = 25 (rounded))</t>
    </r>
  </si>
  <si>
    <r>
      <t xml:space="preserve">Total  (rounded) </t>
    </r>
    <r>
      <rPr>
        <b/>
        <vertAlign val="superscript"/>
        <sz val="10"/>
        <color rgb="FF000000"/>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</si>
  <si>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t>
    </r>
  </si>
  <si>
    <r>
      <t xml:space="preserve">Total (rounded) </t>
    </r>
    <r>
      <rPr>
        <b/>
        <vertAlign val="superscript"/>
        <sz val="10"/>
        <color rgb="FF000000"/>
        <rFont val="Times New Roman"/>
        <family val="1"/>
      </rPr>
      <t>c</t>
    </r>
  </si>
  <si>
    <r>
      <rPr>
        <vertAlign val="superscript"/>
        <sz val="10"/>
        <color rgb="FF000000"/>
        <rFont val="Times New Roman"/>
        <family val="1"/>
      </rPr>
      <t>c</t>
    </r>
    <r>
      <rPr>
        <sz val="10"/>
        <color rgb="FF000000"/>
        <rFont val="Times New Roman"/>
        <family val="1"/>
      </rPr>
      <t xml:space="preserve">  Totals have been rounded to 3 significant figures. Figures may not add exactly due to rounding.</t>
    </r>
  </si>
  <si>
    <r>
      <t xml:space="preserve">e  </t>
    </r>
    <r>
      <rPr>
        <sz val="10"/>
        <color theme="1"/>
        <rFont val="Times New Roman"/>
        <family val="1"/>
      </rPr>
      <t>Totals have been rounded to 3 significant figures. Figures may not add exactly due to rounding.</t>
    </r>
  </si>
  <si>
    <r>
      <t xml:space="preserve">g  </t>
    </r>
    <r>
      <rPr>
        <sz val="10"/>
        <color theme="1"/>
        <rFont val="Times New Roman"/>
        <family val="1"/>
      </rPr>
      <t>Totals have been rounded to 3 significant figures. Figures may not add exactly due to rounding.</t>
    </r>
  </si>
  <si>
    <r>
      <t xml:space="preserve">f  </t>
    </r>
    <r>
      <rPr>
        <sz val="10"/>
        <color theme="1"/>
        <rFont val="Times New Roman"/>
        <family val="1"/>
      </rPr>
      <t>We assume it will take 16 hours per annual report based on ICR 1975.06 (NESHAP For Stationary Reciprocating Internal Combustion Engines 40 CFR Part 63, Subpart ZZZZ). In the 2007 Cost Impacts memo for this rule, EPA estimated that, based on information obtained from the Engine Manufacturers Association, emergency engines make up approximately 5 percent of the total SI population. EPA also assumed that only 50% of engines seek certification. Of the 253 new engines per year, approximately 2.5% (6.3) are non-certified and required to record hours in non-emergency operation. The number of non-certified emergency engines submitting reports has been incremented since the original ICR (421 respondents in year 1 of ICR #2227.02) to the number of 490 for year 2 of this ICR. We assume 5% of emergency stationary SI ICE will be required to report to conservatively estimate respondent burden for this activity. (490 x 0.05 = 25 (rounded))</t>
    </r>
  </si>
  <si>
    <r>
      <t xml:space="preserve">d  </t>
    </r>
    <r>
      <rPr>
        <sz val="10"/>
        <color theme="1"/>
        <rFont val="Times New Roman"/>
        <family val="1"/>
      </rPr>
      <t>We assume it will take 2 hours to review each annual report based on ICR 1975.06 (NESHAP For Stationary Reciprocating Internal Combustion Engines 40 CFR Part 63, Subpart ZZZZ). EPA estimates that emergency engines make up approximately 5 percent of the total SI population and that 50% of these emergency engines are non-certified and required to report hours in non-emergency operation. Of the 253 new engines per year, approximately 2.5% (6.3) are non-certified and required to record hours in non-emergency operation. The number of non-certified emergency engines submitting reports has been incremented since the original ICR (421 respondents in year 1 of ICR #2227.02) to the number of 490 for year 2 of this ICR. We assume 5% of emergency stationary SI ICE will be required to report to conservatively estimate respondent burden for this activity. (490 x 0.05 = 25 (rounded))</t>
    </r>
  </si>
  <si>
    <r>
      <t xml:space="preserve"> a  </t>
    </r>
    <r>
      <rPr>
        <sz val="10"/>
        <color theme="1"/>
        <rFont val="Times New Roman"/>
        <family val="1"/>
      </rPr>
      <t>O&amp;M cost per occurrence for certifications for stationary was increased by 1.33 percent from previous ICR# 2227.04 to account for the increase in the average annual consumer price index (https://www.bls.gov/cpi/#data).  The original certification costs were estimated in Table 5.2.1-4 of the document, “Final Regulatory Support Document: Control of Emissions from Unregulated Non-road Engines.”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</si>
</sst>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00"/>
  </numFmts>
  <fonts count="13" x14ac:knownFonts="1">
    <font>
      <sz val="11"/>
      <color theme="1"/>
      <name val="Calibri"/>
      <family val="2"/>
      <scheme val="minor"/>
    </font>
    <font>
      <sz val="10"/>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b/>
      <vertAlign val="superscript"/>
      <sz val="10"/>
      <color rgb="FF000000"/>
      <name val="Times New Roman"/>
      <family val="1"/>
    </font>
    <font>
      <b/>
      <sz val="10"/>
      <color theme="1"/>
      <name val="Times New Roman"/>
      <family val="1"/>
    </font>
    <font>
      <vertAlign val="superscript"/>
      <sz val="10"/>
      <color theme="1"/>
      <name val="Times New Roman"/>
      <family val="1"/>
    </font>
    <font>
      <sz val="10"/>
      <name val="Times New Roman"/>
      <family val="1"/>
    </font>
    <font>
      <b/>
      <sz val="11"/>
      <color theme="1"/>
      <name val="Times New Roman"/>
      <family val="1"/>
    </font>
    <font>
      <sz val="11"/>
      <color theme="1"/>
      <name val="Times New Roman"/>
      <family val="1"/>
    </font>
    <font>
      <sz val="11"/>
      <color rgb="FFFF0000"/>
      <name val="Times New Roman"/>
      <family val="1"/>
    </font>
    <font>
      <b/>
      <sz val="12"/>
      <color theme="1"/>
      <name val="Times New Roman"/>
      <family val="1"/>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9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8"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2" fillId="0" borderId="1" xfId="0" applyFont="1" applyBorder="1" applyAlignment="1">
      <alignment vertical="center"/>
    </xf>
    <xf numFmtId="0" fontId="2" fillId="0" borderId="1" xfId="0" applyFont="1" applyBorder="1" applyAlignment="1">
      <alignment horizontal="center" vertical="center"/>
    </xf>
    <xf numFmtId="3" fontId="3" fillId="0" borderId="1" xfId="0" applyNumberFormat="1" applyFont="1" applyBorder="1" applyAlignment="1">
      <alignment horizontal="center" vertical="center"/>
    </xf>
    <xf numFmtId="6" fontId="2" fillId="0" borderId="1" xfId="0" applyNumberFormat="1" applyFont="1" applyBorder="1" applyAlignment="1">
      <alignment horizontal="right" vertical="center"/>
    </xf>
    <xf numFmtId="0" fontId="3" fillId="0" borderId="1" xfId="0" applyNumberFormat="1" applyFont="1" applyBorder="1" applyAlignment="1">
      <alignment horizontal="center" vertical="center"/>
    </xf>
    <xf numFmtId="0" fontId="3" fillId="0" borderId="1" xfId="0" applyFont="1" applyBorder="1" applyAlignment="1">
      <alignment horizontal="left" vertical="center" indent="1"/>
    </xf>
    <xf numFmtId="0" fontId="3" fillId="0" borderId="1" xfId="0" applyFont="1" applyBorder="1" applyAlignment="1">
      <alignment horizontal="left" vertical="center" indent="2"/>
    </xf>
    <xf numFmtId="2"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6" fillId="0" borderId="0" xfId="0" applyFont="1" applyAlignment="1">
      <alignment vertical="center"/>
    </xf>
    <xf numFmtId="1" fontId="3"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3" fontId="1"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left" vertical="center" indent="1"/>
    </xf>
    <xf numFmtId="6" fontId="3" fillId="0" borderId="1" xfId="0" applyNumberFormat="1" applyFont="1" applyBorder="1" applyAlignment="1">
      <alignment horizontal="righ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8" fontId="3" fillId="0" borderId="1" xfId="0" applyNumberFormat="1" applyFont="1" applyBorder="1" applyAlignment="1">
      <alignment horizontal="center" vertical="center" wrapText="1"/>
    </xf>
    <xf numFmtId="8" fontId="3" fillId="0" borderId="1" xfId="0" applyNumberFormat="1" applyFont="1" applyBorder="1" applyAlignment="1">
      <alignment horizontal="right" vertical="center" wrapText="1"/>
    </xf>
    <xf numFmtId="6"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6" fontId="2" fillId="0" borderId="1" xfId="0" applyNumberFormat="1" applyFont="1" applyBorder="1" applyAlignment="1">
      <alignment horizontal="right" vertical="center" wrapText="1"/>
    </xf>
    <xf numFmtId="6" fontId="3" fillId="0" borderId="1" xfId="0" applyNumberFormat="1" applyFont="1" applyBorder="1" applyAlignment="1">
      <alignment horizontal="right" vertical="center" wrapText="1"/>
    </xf>
    <xf numFmtId="0" fontId="3" fillId="0" borderId="1" xfId="0" applyFont="1" applyBorder="1" applyAlignment="1">
      <alignment horizontal="left" vertical="center" wrapText="1" indent="1"/>
    </xf>
    <xf numFmtId="0" fontId="3" fillId="0" borderId="1" xfId="0" applyFont="1" applyFill="1" applyBorder="1" applyAlignment="1">
      <alignment horizontal="left" vertical="center" indent="2"/>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center" vertical="center"/>
    </xf>
    <xf numFmtId="0" fontId="1" fillId="0" borderId="1" xfId="0" applyFont="1" applyFill="1" applyBorder="1" applyAlignment="1">
      <alignment horizontal="left" vertical="center" indent="1"/>
    </xf>
    <xf numFmtId="0" fontId="1" fillId="0" borderId="1" xfId="0" applyFont="1" applyFill="1" applyBorder="1" applyAlignment="1">
      <alignment horizontal="center" vertical="center"/>
    </xf>
    <xf numFmtId="3" fontId="1"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0" fontId="8" fillId="0" borderId="1" xfId="0" applyFont="1" applyBorder="1" applyAlignment="1">
      <alignment vertical="center"/>
    </xf>
    <xf numFmtId="165" fontId="3" fillId="0" borderId="1" xfId="0" applyNumberFormat="1" applyFont="1" applyBorder="1"/>
    <xf numFmtId="165" fontId="1" fillId="0" borderId="0" xfId="0" applyNumberFormat="1" applyFont="1"/>
    <xf numFmtId="0" fontId="2" fillId="0" borderId="1" xfId="0" applyFont="1" applyBorder="1" applyAlignment="1">
      <alignment horizontal="center" vertical="center" wrapText="1"/>
    </xf>
    <xf numFmtId="0" fontId="1" fillId="0" borderId="0" xfId="0" applyFont="1"/>
    <xf numFmtId="0" fontId="1" fillId="0" borderId="1" xfId="0" applyFont="1" applyBorder="1" applyAlignment="1">
      <alignment wrapText="1"/>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center" vertical="center" wrapText="1"/>
    </xf>
    <xf numFmtId="0" fontId="3" fillId="0" borderId="0" xfId="0" applyFont="1" applyBorder="1" applyAlignment="1">
      <alignment horizontal="center" vertical="center"/>
    </xf>
    <xf numFmtId="0" fontId="1" fillId="0" borderId="0" xfId="0" applyFont="1" applyBorder="1"/>
    <xf numFmtId="0" fontId="1" fillId="0" borderId="1" xfId="0" applyFont="1" applyBorder="1" applyAlignment="1">
      <alignment vertical="center" wrapText="1"/>
    </xf>
    <xf numFmtId="3" fontId="2" fillId="0" borderId="1" xfId="0" applyNumberFormat="1" applyFont="1" applyBorder="1" applyAlignment="1">
      <alignment horizontal="center" vertical="center" wrapText="1"/>
    </xf>
    <xf numFmtId="3" fontId="1" fillId="0" borderId="0" xfId="0" applyNumberFormat="1" applyFont="1" applyBorder="1"/>
    <xf numFmtId="3" fontId="1" fillId="2" borderId="1" xfId="0" applyNumberFormat="1" applyFont="1" applyFill="1" applyBorder="1" applyAlignment="1">
      <alignment horizontal="center" vertical="center"/>
    </xf>
    <xf numFmtId="1" fontId="1" fillId="0" borderId="1" xfId="0" applyNumberFormat="1" applyFont="1" applyBorder="1" applyAlignment="1">
      <alignment horizontal="center" vertical="center"/>
    </xf>
    <xf numFmtId="3" fontId="1" fillId="3" borderId="1" xfId="0" applyNumberFormat="1" applyFont="1" applyFill="1" applyBorder="1" applyAlignment="1">
      <alignment horizontal="center" vertical="center"/>
    </xf>
    <xf numFmtId="3" fontId="1" fillId="4" borderId="1" xfId="0" applyNumberFormat="1" applyFont="1" applyFill="1" applyBorder="1" applyAlignment="1">
      <alignment horizontal="center" vertical="center"/>
    </xf>
    <xf numFmtId="3" fontId="1" fillId="5"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6" fontId="1" fillId="0" borderId="0" xfId="0" applyNumberFormat="1" applyFont="1"/>
    <xf numFmtId="1" fontId="3" fillId="0" borderId="1" xfId="0" applyNumberFormat="1" applyFont="1" applyFill="1" applyBorder="1" applyAlignment="1">
      <alignment horizontal="center" vertical="center"/>
    </xf>
    <xf numFmtId="0" fontId="10" fillId="0" borderId="0" xfId="0" applyFont="1"/>
    <xf numFmtId="0" fontId="11" fillId="0" borderId="0" xfId="0" applyFont="1" applyAlignment="1">
      <alignment vertical="center"/>
    </xf>
    <xf numFmtId="0" fontId="10" fillId="0" borderId="1" xfId="0" applyFont="1" applyBorder="1"/>
    <xf numFmtId="0" fontId="11" fillId="0" borderId="0" xfId="0" applyFont="1"/>
    <xf numFmtId="3" fontId="10" fillId="0" borderId="0" xfId="0" applyNumberFormat="1" applyFont="1"/>
    <xf numFmtId="164" fontId="10" fillId="0" borderId="0" xfId="0" applyNumberFormat="1" applyFont="1"/>
    <xf numFmtId="0" fontId="8" fillId="0" borderId="1" xfId="0" applyFont="1" applyBorder="1" applyAlignment="1">
      <alignment horizontal="center"/>
    </xf>
    <xf numFmtId="0" fontId="1"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1" fillId="0" borderId="0" xfId="0" applyFont="1" applyFill="1" applyAlignment="1">
      <alignment horizontal="left" vertical="top" wrapText="1"/>
    </xf>
    <xf numFmtId="0" fontId="7" fillId="0" borderId="0" xfId="0" applyFont="1" applyFill="1" applyAlignment="1">
      <alignment horizontal="left" vertical="top" wrapText="1"/>
    </xf>
    <xf numFmtId="3" fontId="2" fillId="0" borderId="1" xfId="0" applyNumberFormat="1" applyFont="1" applyBorder="1" applyAlignment="1">
      <alignment horizontal="center" vertical="center"/>
    </xf>
    <xf numFmtId="0" fontId="9" fillId="0" borderId="0" xfId="0" applyFont="1" applyAlignment="1">
      <alignment horizontal="left" vertical="top" wrapText="1"/>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3" fontId="6" fillId="0" borderId="4" xfId="0" applyNumberFormat="1" applyFont="1" applyBorder="1" applyAlignment="1">
      <alignment horizontal="center" vertical="center"/>
    </xf>
    <xf numFmtId="0" fontId="8" fillId="0" borderId="2" xfId="0" applyFont="1" applyBorder="1" applyAlignment="1">
      <alignment horizontal="center"/>
    </xf>
    <xf numFmtId="0" fontId="8" fillId="0" borderId="4" xfId="0" applyFont="1" applyBorder="1" applyAlignment="1">
      <alignment horizontal="center"/>
    </xf>
    <xf numFmtId="0" fontId="3" fillId="0" borderId="0" xfId="0" applyFont="1" applyBorder="1" applyAlignment="1">
      <alignment horizontal="left" vertical="top" wrapText="1"/>
    </xf>
    <xf numFmtId="0" fontId="2" fillId="0" borderId="1" xfId="0" applyFont="1" applyBorder="1" applyAlignment="1">
      <alignment horizontal="center" vertical="center" wrapText="1"/>
    </xf>
    <xf numFmtId="0" fontId="6" fillId="0" borderId="1" xfId="0" applyFont="1" applyBorder="1" applyAlignment="1">
      <alignment horizontal="center" wrapText="1"/>
    </xf>
    <xf numFmtId="0" fontId="1" fillId="0" borderId="1" xfId="0" applyFont="1" applyBorder="1" applyAlignment="1">
      <alignment horizontal="center" wrapText="1"/>
    </xf>
    <xf numFmtId="0" fontId="3" fillId="0" borderId="5"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xf>
    <xf numFmtId="0" fontId="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tabSelected="1" zoomScale="85" zoomScaleNormal="85" workbookViewId="0">
      <selection activeCell="I21" sqref="I21"/>
    </sheetView>
  </sheetViews>
  <sheetFormatPr defaultColWidth="9.140625" defaultRowHeight="15" x14ac:dyDescent="0.25"/>
  <cols>
    <col min="1" max="1" width="52.42578125" style="68" customWidth="1"/>
    <col min="2" max="2" width="10.42578125" style="68" customWidth="1"/>
    <col min="3" max="3" width="9.140625" style="68"/>
    <col min="4" max="4" width="10.28515625" style="68" customWidth="1"/>
    <col min="5" max="5" width="13.42578125" style="68" customWidth="1"/>
    <col min="6" max="8" width="9.140625" style="68"/>
    <col min="9" max="9" width="13.5703125" style="68" customWidth="1"/>
    <col min="10" max="10" width="9.140625" style="68"/>
    <col min="11" max="11" width="12.28515625" style="68" customWidth="1"/>
    <col min="12" max="12" width="12.85546875" style="68" customWidth="1"/>
    <col min="13" max="13" width="10.28515625" style="68" customWidth="1"/>
    <col min="14" max="14" width="9.140625" style="68"/>
    <col min="15" max="15" width="10" style="68" customWidth="1"/>
    <col min="16" max="16384" width="9.140625" style="68"/>
  </cols>
  <sheetData>
    <row r="1" spans="1:12" ht="31.5" customHeight="1" x14ac:dyDescent="0.25">
      <c r="A1" s="76" t="s">
        <v>13</v>
      </c>
      <c r="B1" s="76"/>
      <c r="C1" s="76"/>
      <c r="D1" s="76"/>
      <c r="E1" s="76"/>
      <c r="F1" s="76"/>
      <c r="G1" s="76"/>
      <c r="H1" s="76"/>
      <c r="I1" s="76"/>
    </row>
    <row r="2" spans="1:12" x14ac:dyDescent="0.25">
      <c r="F2" s="45"/>
      <c r="G2" s="45"/>
      <c r="H2" s="45"/>
    </row>
    <row r="3" spans="1:12" ht="76.5" x14ac:dyDescent="0.25">
      <c r="A3" s="46" t="s">
        <v>0</v>
      </c>
      <c r="B3" s="46" t="s">
        <v>14</v>
      </c>
      <c r="C3" s="46" t="s">
        <v>15</v>
      </c>
      <c r="D3" s="46" t="s">
        <v>16</v>
      </c>
      <c r="E3" s="46" t="s">
        <v>21</v>
      </c>
      <c r="F3" s="46" t="s">
        <v>17</v>
      </c>
      <c r="G3" s="46" t="s">
        <v>18</v>
      </c>
      <c r="H3" s="46" t="s">
        <v>19</v>
      </c>
      <c r="I3" s="46" t="s">
        <v>20</v>
      </c>
    </row>
    <row r="4" spans="1:12" x14ac:dyDescent="0.25">
      <c r="A4" s="2" t="s">
        <v>1</v>
      </c>
      <c r="B4" s="3" t="s">
        <v>2</v>
      </c>
      <c r="C4" s="3"/>
      <c r="D4" s="3"/>
      <c r="E4" s="3"/>
      <c r="F4" s="3"/>
      <c r="G4" s="3"/>
      <c r="H4" s="3"/>
      <c r="I4" s="3"/>
      <c r="K4" s="74" t="s">
        <v>77</v>
      </c>
      <c r="L4" s="74"/>
    </row>
    <row r="5" spans="1:12" x14ac:dyDescent="0.25">
      <c r="A5" s="2" t="s">
        <v>3</v>
      </c>
      <c r="B5" s="3" t="s">
        <v>2</v>
      </c>
      <c r="C5" s="3"/>
      <c r="D5" s="3"/>
      <c r="E5" s="3"/>
      <c r="F5" s="3"/>
      <c r="G5" s="3"/>
      <c r="H5" s="3"/>
      <c r="I5" s="3"/>
      <c r="K5" s="43" t="s">
        <v>78</v>
      </c>
      <c r="L5" s="44">
        <v>141.06</v>
      </c>
    </row>
    <row r="6" spans="1:12" x14ac:dyDescent="0.25">
      <c r="A6" s="2" t="s">
        <v>4</v>
      </c>
      <c r="B6" s="3"/>
      <c r="C6" s="3"/>
      <c r="D6" s="3"/>
      <c r="E6" s="3"/>
      <c r="F6" s="3"/>
      <c r="G6" s="3"/>
      <c r="H6" s="3"/>
      <c r="I6" s="3"/>
      <c r="K6" s="43" t="s">
        <v>79</v>
      </c>
      <c r="L6" s="44">
        <v>120.27</v>
      </c>
    </row>
    <row r="7" spans="1:12" ht="15.75" x14ac:dyDescent="0.25">
      <c r="A7" s="11" t="s">
        <v>37</v>
      </c>
      <c r="B7" s="3">
        <v>0.5</v>
      </c>
      <c r="C7" s="3">
        <v>1</v>
      </c>
      <c r="D7" s="3">
        <f>B7*C7</f>
        <v>0.5</v>
      </c>
      <c r="E7" s="8">
        <f>'Capital and O&amp;M'!G23</f>
        <v>19329</v>
      </c>
      <c r="F7" s="8">
        <f>D7*E7</f>
        <v>9664.5</v>
      </c>
      <c r="G7" s="16">
        <f>F7*0.05</f>
        <v>483.22500000000002</v>
      </c>
      <c r="H7" s="16">
        <f>F7*0.1</f>
        <v>966.45</v>
      </c>
      <c r="I7" s="4">
        <f>$L$6*F7+$L$5*G7+$L$7*H7</f>
        <v>1287214.7549999999</v>
      </c>
      <c r="K7" s="43" t="s">
        <v>80</v>
      </c>
      <c r="L7" s="44">
        <v>58.67</v>
      </c>
    </row>
    <row r="8" spans="1:12" x14ac:dyDescent="0.25">
      <c r="A8" s="11" t="s">
        <v>5</v>
      </c>
      <c r="B8" s="3" t="s">
        <v>2</v>
      </c>
      <c r="C8" s="3"/>
      <c r="D8" s="3"/>
      <c r="E8" s="3"/>
      <c r="F8" s="3"/>
      <c r="G8" s="13"/>
      <c r="H8" s="3"/>
      <c r="I8" s="4"/>
    </row>
    <row r="9" spans="1:12" x14ac:dyDescent="0.25">
      <c r="A9" s="11" t="s">
        <v>6</v>
      </c>
      <c r="B9" s="3" t="s">
        <v>7</v>
      </c>
      <c r="C9" s="3"/>
      <c r="D9" s="3"/>
      <c r="E9" s="3"/>
      <c r="F9" s="3"/>
      <c r="G9" s="13"/>
      <c r="H9" s="3"/>
      <c r="I9" s="4"/>
    </row>
    <row r="10" spans="1:12" x14ac:dyDescent="0.25">
      <c r="A10" s="11" t="s">
        <v>8</v>
      </c>
      <c r="B10" s="3"/>
      <c r="C10" s="3"/>
      <c r="D10" s="3"/>
      <c r="E10" s="3"/>
      <c r="F10" s="3"/>
      <c r="G10" s="16"/>
      <c r="H10" s="3"/>
      <c r="I10" s="4"/>
    </row>
    <row r="11" spans="1:12" ht="15.75" x14ac:dyDescent="0.25">
      <c r="A11" s="12" t="s">
        <v>40</v>
      </c>
      <c r="B11" s="10">
        <v>1</v>
      </c>
      <c r="C11" s="3">
        <v>1</v>
      </c>
      <c r="D11" s="3">
        <f>B11*C11</f>
        <v>1</v>
      </c>
      <c r="E11" s="3">
        <f>ROUND('Capital and O&amp;M'!C23*0.12,0)</f>
        <v>30</v>
      </c>
      <c r="F11" s="3">
        <f>D11*E11</f>
        <v>30</v>
      </c>
      <c r="G11" s="14">
        <f>F11*0.05</f>
        <v>1.5</v>
      </c>
      <c r="H11" s="16">
        <f>F11*0.1</f>
        <v>3</v>
      </c>
      <c r="I11" s="4">
        <f t="shared" ref="I11:I13" si="0">$L$6*F11+$L$5*G11+$L$7*H11</f>
        <v>3995.7</v>
      </c>
    </row>
    <row r="12" spans="1:12" ht="15.75" x14ac:dyDescent="0.25">
      <c r="A12" s="12" t="s">
        <v>41</v>
      </c>
      <c r="B12" s="10">
        <v>1</v>
      </c>
      <c r="C12" s="3">
        <v>1</v>
      </c>
      <c r="D12" s="3">
        <f>B12*C12</f>
        <v>1</v>
      </c>
      <c r="E12" s="8">
        <f>ROUND('Capital and O&amp;M'!D23*0.12,0)</f>
        <v>2289</v>
      </c>
      <c r="F12" s="8">
        <f>D12*E12</f>
        <v>2289</v>
      </c>
      <c r="G12" s="16">
        <f>F12*0.05</f>
        <v>114.45</v>
      </c>
      <c r="H12" s="16">
        <f>F12*0.1</f>
        <v>228.9</v>
      </c>
      <c r="I12" s="4">
        <f t="shared" si="0"/>
        <v>304871.90999999997</v>
      </c>
    </row>
    <row r="13" spans="1:12" ht="15.75" x14ac:dyDescent="0.25">
      <c r="A13" s="35" t="s">
        <v>73</v>
      </c>
      <c r="B13" s="36">
        <v>16</v>
      </c>
      <c r="C13" s="37">
        <v>1</v>
      </c>
      <c r="D13" s="37">
        <f>B13*C13</f>
        <v>16</v>
      </c>
      <c r="E13" s="38">
        <f>'Capital and O&amp;M'!B33</f>
        <v>25</v>
      </c>
      <c r="F13" s="38">
        <f>D13*E13</f>
        <v>400</v>
      </c>
      <c r="G13" s="67">
        <f>F13*0.05</f>
        <v>20</v>
      </c>
      <c r="H13" s="67">
        <f>F13*0.1</f>
        <v>40</v>
      </c>
      <c r="I13" s="4">
        <f t="shared" si="0"/>
        <v>53276</v>
      </c>
    </row>
    <row r="14" spans="1:12" x14ac:dyDescent="0.25">
      <c r="A14" s="6" t="s">
        <v>9</v>
      </c>
      <c r="B14" s="7"/>
      <c r="C14" s="7"/>
      <c r="D14" s="3"/>
      <c r="E14" s="7"/>
      <c r="F14" s="80">
        <f>SUM(F7:H12)</f>
        <v>13781.025000000001</v>
      </c>
      <c r="G14" s="80"/>
      <c r="H14" s="80"/>
      <c r="I14" s="9">
        <f>SUM(I4:I13)</f>
        <v>1649358.3649999998</v>
      </c>
    </row>
    <row r="15" spans="1:12" x14ac:dyDescent="0.25">
      <c r="A15" s="2" t="s">
        <v>10</v>
      </c>
      <c r="B15" s="3"/>
      <c r="C15" s="3"/>
      <c r="D15" s="3"/>
      <c r="E15" s="3"/>
      <c r="F15" s="3"/>
      <c r="G15" s="3"/>
      <c r="H15" s="3"/>
      <c r="I15" s="5"/>
    </row>
    <row r="16" spans="1:12" x14ac:dyDescent="0.25">
      <c r="A16" s="11" t="s">
        <v>11</v>
      </c>
      <c r="B16" s="3">
        <v>1</v>
      </c>
      <c r="C16" s="3">
        <v>1</v>
      </c>
      <c r="D16" s="3">
        <f>B16*C16</f>
        <v>1</v>
      </c>
      <c r="E16" s="8">
        <f>'Capital and O&amp;M'!G23</f>
        <v>19329</v>
      </c>
      <c r="F16" s="8">
        <f>D16*E16</f>
        <v>19329</v>
      </c>
      <c r="G16" s="16">
        <f>F16*0.05</f>
        <v>966.45</v>
      </c>
      <c r="H16" s="8">
        <f>F16*0.1</f>
        <v>1932.9</v>
      </c>
      <c r="I16" s="4">
        <f>$L$6*F16+$L$5*G16+$L$7*H16</f>
        <v>2574429.5099999998</v>
      </c>
    </row>
    <row r="17" spans="1:12" x14ac:dyDescent="0.25">
      <c r="A17" s="11" t="s">
        <v>12</v>
      </c>
      <c r="B17" s="3" t="s">
        <v>2</v>
      </c>
      <c r="C17" s="3"/>
      <c r="D17" s="3"/>
      <c r="E17" s="3"/>
      <c r="F17" s="3"/>
      <c r="G17" s="16"/>
      <c r="H17" s="16"/>
      <c r="I17" s="5"/>
    </row>
    <row r="18" spans="1:12" ht="15.75" x14ac:dyDescent="0.25">
      <c r="A18" s="11" t="s">
        <v>85</v>
      </c>
      <c r="B18" s="3">
        <v>1</v>
      </c>
      <c r="C18" s="3">
        <v>1</v>
      </c>
      <c r="D18" s="3">
        <f>B18*C18</f>
        <v>1</v>
      </c>
      <c r="E18" s="37">
        <f>'Capital and O&amp;M'!B32</f>
        <v>490</v>
      </c>
      <c r="F18" s="8">
        <f>D18*E18</f>
        <v>490</v>
      </c>
      <c r="G18" s="16">
        <f>F18*0.05</f>
        <v>24.5</v>
      </c>
      <c r="H18" s="16">
        <f>F18*0.1</f>
        <v>49</v>
      </c>
      <c r="I18" s="4">
        <f>$L$6*F18+$L$5*G18+$L$7*H18</f>
        <v>65263.1</v>
      </c>
      <c r="J18" s="69"/>
    </row>
    <row r="19" spans="1:12" ht="25.5" x14ac:dyDescent="0.25">
      <c r="A19" s="34" t="s">
        <v>69</v>
      </c>
      <c r="B19" s="3" t="s">
        <v>7</v>
      </c>
      <c r="C19" s="3"/>
      <c r="D19" s="3"/>
      <c r="E19" s="3"/>
      <c r="F19" s="8"/>
      <c r="G19" s="13"/>
      <c r="H19" s="14"/>
      <c r="I19" s="4"/>
    </row>
    <row r="20" spans="1:12" x14ac:dyDescent="0.25">
      <c r="A20" s="6" t="s">
        <v>103</v>
      </c>
      <c r="B20" s="7"/>
      <c r="C20" s="7"/>
      <c r="D20" s="7"/>
      <c r="E20" s="7"/>
      <c r="F20" s="80">
        <f>SUM(F15:H18)</f>
        <v>22791.850000000002</v>
      </c>
      <c r="G20" s="80"/>
      <c r="H20" s="80"/>
      <c r="I20" s="9">
        <f>SUM(I15:I18)</f>
        <v>2639692.61</v>
      </c>
      <c r="K20" s="68" t="s">
        <v>75</v>
      </c>
      <c r="L20" s="68" t="s">
        <v>76</v>
      </c>
    </row>
    <row r="21" spans="1:12" ht="15.75" x14ac:dyDescent="0.25">
      <c r="A21" s="6" t="s">
        <v>71</v>
      </c>
      <c r="B21" s="7"/>
      <c r="C21" s="7"/>
      <c r="D21" s="7"/>
      <c r="E21" s="7"/>
      <c r="F21" s="80">
        <f>ROUND(F14+F20,-2)</f>
        <v>36600</v>
      </c>
      <c r="G21" s="80"/>
      <c r="H21" s="80"/>
      <c r="I21" s="9">
        <f>ROUND(I14+I20,-4)</f>
        <v>4290000</v>
      </c>
      <c r="K21" s="72">
        <f>'Capital and O&amp;M'!E34</f>
        <v>19874</v>
      </c>
      <c r="L21" s="73">
        <f>+F21/K21</f>
        <v>1.8416020931870787</v>
      </c>
    </row>
    <row r="22" spans="1:12" ht="15.75" x14ac:dyDescent="0.25">
      <c r="A22" s="6" t="s">
        <v>72</v>
      </c>
      <c r="B22" s="70"/>
      <c r="C22" s="70"/>
      <c r="D22" s="70"/>
      <c r="E22" s="70"/>
      <c r="F22" s="70"/>
      <c r="G22" s="70"/>
      <c r="H22" s="70"/>
      <c r="I22" s="9">
        <f>ROUND('Capital and O&amp;M'!G10+'Capital and O&amp;M'!D10,-4)</f>
        <v>2570000</v>
      </c>
    </row>
    <row r="23" spans="1:12" ht="15.75" x14ac:dyDescent="0.25">
      <c r="A23" s="6" t="s">
        <v>70</v>
      </c>
      <c r="B23" s="70"/>
      <c r="C23" s="70"/>
      <c r="D23" s="70"/>
      <c r="E23" s="70"/>
      <c r="F23" s="70"/>
      <c r="G23" s="70"/>
      <c r="H23" s="70"/>
      <c r="I23" s="9">
        <f>+ROUND(I21+I22,-4)</f>
        <v>6860000</v>
      </c>
    </row>
    <row r="25" spans="1:12" x14ac:dyDescent="0.25">
      <c r="A25" s="15" t="s">
        <v>22</v>
      </c>
    </row>
    <row r="26" spans="1:12" ht="33" customHeight="1" x14ac:dyDescent="0.25">
      <c r="A26" s="75" t="s">
        <v>84</v>
      </c>
      <c r="B26" s="75"/>
      <c r="C26" s="75"/>
      <c r="D26" s="75"/>
      <c r="E26" s="75"/>
      <c r="F26" s="75"/>
      <c r="G26" s="75"/>
      <c r="H26" s="75"/>
      <c r="I26" s="75"/>
    </row>
    <row r="27" spans="1:12" ht="47.25" customHeight="1" x14ac:dyDescent="0.25">
      <c r="A27" s="78" t="s">
        <v>82</v>
      </c>
      <c r="B27" s="78"/>
      <c r="C27" s="78"/>
      <c r="D27" s="78"/>
      <c r="E27" s="78"/>
      <c r="F27" s="78"/>
      <c r="G27" s="78"/>
      <c r="H27" s="78"/>
      <c r="I27" s="78"/>
    </row>
    <row r="28" spans="1:12" ht="15.75" x14ac:dyDescent="0.25">
      <c r="A28" s="77" t="s">
        <v>38</v>
      </c>
      <c r="B28" s="77"/>
      <c r="C28" s="77"/>
      <c r="D28" s="77"/>
      <c r="E28" s="77"/>
      <c r="F28" s="77"/>
      <c r="G28" s="77"/>
      <c r="H28" s="77"/>
      <c r="I28" s="77"/>
    </row>
    <row r="29" spans="1:12" ht="33" customHeight="1" x14ac:dyDescent="0.25">
      <c r="A29" s="77" t="s">
        <v>39</v>
      </c>
      <c r="B29" s="77"/>
      <c r="C29" s="77"/>
      <c r="D29" s="77"/>
      <c r="E29" s="77"/>
      <c r="F29" s="77"/>
      <c r="G29" s="77"/>
      <c r="H29" s="77"/>
      <c r="I29" s="77"/>
    </row>
    <row r="30" spans="1:12" ht="48" customHeight="1" x14ac:dyDescent="0.25">
      <c r="A30" s="77" t="s">
        <v>104</v>
      </c>
      <c r="B30" s="77"/>
      <c r="C30" s="77"/>
      <c r="D30" s="77"/>
      <c r="E30" s="77"/>
      <c r="F30" s="77"/>
      <c r="G30" s="77"/>
      <c r="H30" s="77"/>
      <c r="I30" s="77"/>
    </row>
    <row r="31" spans="1:12" ht="84" customHeight="1" x14ac:dyDescent="0.25">
      <c r="A31" s="79" t="s">
        <v>112</v>
      </c>
      <c r="B31" s="79"/>
      <c r="C31" s="79"/>
      <c r="D31" s="79"/>
      <c r="E31" s="79"/>
      <c r="F31" s="79"/>
      <c r="G31" s="79"/>
      <c r="H31" s="79"/>
      <c r="I31" s="79"/>
    </row>
    <row r="32" spans="1:12" ht="15.75" x14ac:dyDescent="0.25">
      <c r="A32" s="77" t="s">
        <v>111</v>
      </c>
      <c r="B32" s="77"/>
      <c r="C32" s="77"/>
      <c r="D32" s="77"/>
      <c r="E32" s="77"/>
      <c r="F32" s="77"/>
      <c r="G32" s="77"/>
      <c r="H32" s="77"/>
      <c r="I32" s="77"/>
    </row>
  </sheetData>
  <mergeCells count="12">
    <mergeCell ref="K4:L4"/>
    <mergeCell ref="A26:I26"/>
    <mergeCell ref="A1:I1"/>
    <mergeCell ref="A32:I32"/>
    <mergeCell ref="A27:I27"/>
    <mergeCell ref="A28:I28"/>
    <mergeCell ref="A29:I29"/>
    <mergeCell ref="A30:I30"/>
    <mergeCell ref="A31:I31"/>
    <mergeCell ref="F14:H14"/>
    <mergeCell ref="F20:H20"/>
    <mergeCell ref="F21:H2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zoomScale="85" zoomScaleNormal="85" workbookViewId="0">
      <selection activeCell="I11" sqref="I11"/>
    </sheetView>
  </sheetViews>
  <sheetFormatPr defaultColWidth="9.140625" defaultRowHeight="15" x14ac:dyDescent="0.25"/>
  <cols>
    <col min="1" max="1" width="43.28515625" style="68" customWidth="1"/>
    <col min="2" max="2" width="10.28515625" style="68" customWidth="1"/>
    <col min="3" max="3" width="10.140625" style="68" customWidth="1"/>
    <col min="4" max="4" width="9.85546875" style="68" customWidth="1"/>
    <col min="5" max="5" width="10.7109375" style="68" customWidth="1"/>
    <col min="6" max="8" width="9.140625" style="68"/>
    <col min="9" max="9" width="11.5703125" style="68" customWidth="1"/>
    <col min="10" max="10" width="9.140625" style="68"/>
    <col min="11" max="11" width="12.28515625" style="68" customWidth="1"/>
    <col min="12" max="16384" width="9.140625" style="68"/>
  </cols>
  <sheetData>
    <row r="1" spans="1:12" ht="29.25" customHeight="1" x14ac:dyDescent="0.25">
      <c r="A1" s="81" t="s">
        <v>42</v>
      </c>
      <c r="B1" s="81"/>
      <c r="C1" s="81"/>
      <c r="D1" s="81"/>
      <c r="E1" s="81"/>
      <c r="F1" s="81"/>
      <c r="G1" s="81"/>
      <c r="H1" s="81"/>
      <c r="I1" s="81"/>
    </row>
    <row r="2" spans="1:12" x14ac:dyDescent="0.25">
      <c r="F2" s="45"/>
      <c r="G2" s="45"/>
      <c r="H2" s="45"/>
    </row>
    <row r="3" spans="1:12" ht="76.5" x14ac:dyDescent="0.25">
      <c r="A3" s="20" t="s">
        <v>43</v>
      </c>
      <c r="B3" s="21" t="s">
        <v>47</v>
      </c>
      <c r="C3" s="21" t="s">
        <v>15</v>
      </c>
      <c r="D3" s="46" t="s">
        <v>51</v>
      </c>
      <c r="E3" s="46" t="s">
        <v>52</v>
      </c>
      <c r="F3" s="46" t="s">
        <v>17</v>
      </c>
      <c r="G3" s="46" t="s">
        <v>18</v>
      </c>
      <c r="H3" s="46" t="s">
        <v>19</v>
      </c>
      <c r="I3" s="46" t="s">
        <v>20</v>
      </c>
    </row>
    <row r="4" spans="1:12" x14ac:dyDescent="0.25">
      <c r="A4" s="18" t="s">
        <v>45</v>
      </c>
      <c r="B4" s="18"/>
      <c r="C4" s="18"/>
      <c r="D4" s="18"/>
      <c r="E4" s="49"/>
      <c r="F4" s="49"/>
      <c r="G4" s="18"/>
      <c r="H4" s="18"/>
      <c r="I4" s="18"/>
      <c r="K4" s="85" t="s">
        <v>77</v>
      </c>
      <c r="L4" s="86"/>
    </row>
    <row r="5" spans="1:12" ht="15.75" x14ac:dyDescent="0.25">
      <c r="A5" s="22" t="s">
        <v>86</v>
      </c>
      <c r="B5" s="17">
        <v>2</v>
      </c>
      <c r="C5" s="17">
        <v>1</v>
      </c>
      <c r="D5" s="17">
        <f>B5*C5</f>
        <v>2</v>
      </c>
      <c r="E5" s="17">
        <f>ROUND('Capital and O&amp;M'!C23*0.12,0)</f>
        <v>30</v>
      </c>
      <c r="F5" s="17">
        <f>D5*E5</f>
        <v>60</v>
      </c>
      <c r="G5" s="17">
        <f>F5*0.05</f>
        <v>3</v>
      </c>
      <c r="H5" s="17">
        <f>F5*0.1</f>
        <v>6</v>
      </c>
      <c r="I5" s="4">
        <f>$L$6*F5+$L$5*G5+$L$7*H5</f>
        <v>3326.7599999999998</v>
      </c>
      <c r="K5" s="43" t="s">
        <v>78</v>
      </c>
      <c r="L5" s="44">
        <v>66.62</v>
      </c>
    </row>
    <row r="6" spans="1:12" ht="15.75" x14ac:dyDescent="0.25">
      <c r="A6" s="22" t="s">
        <v>49</v>
      </c>
      <c r="B6" s="17">
        <v>2</v>
      </c>
      <c r="C6" s="17">
        <v>1</v>
      </c>
      <c r="D6" s="17">
        <f t="shared" ref="D6:D9" si="0">B6*C6</f>
        <v>2</v>
      </c>
      <c r="E6" s="17">
        <f>'Capital and O&amp;M'!C23</f>
        <v>253</v>
      </c>
      <c r="F6" s="17">
        <f t="shared" ref="F6:F9" si="1">D6*E6</f>
        <v>506</v>
      </c>
      <c r="G6" s="17">
        <f t="shared" ref="G6:G9" si="2">F6*0.05</f>
        <v>25.3</v>
      </c>
      <c r="H6" s="17">
        <f t="shared" ref="H6:H9" si="3">F6*0.1</f>
        <v>50.6</v>
      </c>
      <c r="I6" s="4">
        <f t="shared" ref="I6:I9" si="4">$L$6*F6+$L$5*G6+$L$7*H6</f>
        <v>28055.675999999999</v>
      </c>
      <c r="K6" s="43" t="s">
        <v>79</v>
      </c>
      <c r="L6" s="44">
        <v>49.44</v>
      </c>
    </row>
    <row r="7" spans="1:12" x14ac:dyDescent="0.25">
      <c r="A7" s="22" t="s">
        <v>46</v>
      </c>
      <c r="B7" s="17">
        <v>1</v>
      </c>
      <c r="C7" s="17">
        <v>1</v>
      </c>
      <c r="D7" s="17">
        <f t="shared" si="0"/>
        <v>1</v>
      </c>
      <c r="E7" s="17">
        <v>0</v>
      </c>
      <c r="F7" s="17">
        <f t="shared" si="1"/>
        <v>0</v>
      </c>
      <c r="G7" s="17">
        <f t="shared" si="2"/>
        <v>0</v>
      </c>
      <c r="H7" s="17">
        <f t="shared" si="3"/>
        <v>0</v>
      </c>
      <c r="I7" s="23">
        <f t="shared" si="4"/>
        <v>0</v>
      </c>
      <c r="K7" s="43" t="s">
        <v>80</v>
      </c>
      <c r="L7" s="44">
        <v>26.75</v>
      </c>
    </row>
    <row r="8" spans="1:12" ht="15.75" x14ac:dyDescent="0.25">
      <c r="A8" s="22" t="s">
        <v>50</v>
      </c>
      <c r="B8" s="17">
        <v>2</v>
      </c>
      <c r="C8" s="19">
        <v>1</v>
      </c>
      <c r="D8" s="19">
        <f t="shared" si="0"/>
        <v>2</v>
      </c>
      <c r="E8" s="19">
        <f>ROUND('Capital and O&amp;M'!D23*0.12,0)</f>
        <v>2289</v>
      </c>
      <c r="F8" s="19">
        <f t="shared" si="1"/>
        <v>4578</v>
      </c>
      <c r="G8" s="17">
        <f t="shared" si="2"/>
        <v>228.9</v>
      </c>
      <c r="H8" s="17">
        <f t="shared" si="3"/>
        <v>457.8</v>
      </c>
      <c r="I8" s="4">
        <f t="shared" si="4"/>
        <v>253831.78799999997</v>
      </c>
    </row>
    <row r="9" spans="1:12" ht="15.75" x14ac:dyDescent="0.25">
      <c r="A9" s="39" t="s">
        <v>74</v>
      </c>
      <c r="B9" s="40">
        <v>2</v>
      </c>
      <c r="C9" s="41">
        <v>1</v>
      </c>
      <c r="D9" s="41">
        <f t="shared" si="0"/>
        <v>2</v>
      </c>
      <c r="E9" s="41">
        <f>'Table 1'!E13</f>
        <v>25</v>
      </c>
      <c r="F9" s="41">
        <f t="shared" si="1"/>
        <v>50</v>
      </c>
      <c r="G9" s="42">
        <f t="shared" si="2"/>
        <v>2.5</v>
      </c>
      <c r="H9" s="40">
        <f t="shared" si="3"/>
        <v>5</v>
      </c>
      <c r="I9" s="4">
        <f t="shared" si="4"/>
        <v>2772.3</v>
      </c>
      <c r="J9" s="69"/>
    </row>
    <row r="10" spans="1:12" ht="15.75" x14ac:dyDescent="0.25">
      <c r="A10" s="6" t="s">
        <v>83</v>
      </c>
      <c r="B10" s="17"/>
      <c r="C10" s="17"/>
      <c r="D10" s="70"/>
      <c r="E10" s="17"/>
      <c r="F10" s="82">
        <f>ROUND(SUM(F5:H8),-1)</f>
        <v>5920</v>
      </c>
      <c r="G10" s="83"/>
      <c r="H10" s="84"/>
      <c r="I10" s="9">
        <f>ROUND(SUM(I5:I9),-3)</f>
        <v>288000</v>
      </c>
    </row>
    <row r="12" spans="1:12" x14ac:dyDescent="0.25">
      <c r="A12" s="15" t="s">
        <v>22</v>
      </c>
    </row>
    <row r="13" spans="1:12" ht="32.25" customHeight="1" x14ac:dyDescent="0.25">
      <c r="A13" s="75" t="s">
        <v>84</v>
      </c>
      <c r="B13" s="75"/>
      <c r="C13" s="75"/>
      <c r="D13" s="75"/>
      <c r="E13" s="75"/>
      <c r="F13" s="75"/>
      <c r="G13" s="75"/>
      <c r="H13" s="75"/>
      <c r="I13" s="75"/>
    </row>
    <row r="14" spans="1:12" ht="45.75" customHeight="1" x14ac:dyDescent="0.25">
      <c r="A14" s="78" t="s">
        <v>81</v>
      </c>
      <c r="B14" s="78"/>
      <c r="C14" s="78"/>
      <c r="D14" s="78"/>
      <c r="E14" s="78"/>
      <c r="F14" s="78"/>
      <c r="G14" s="78"/>
      <c r="H14" s="78"/>
      <c r="I14" s="78"/>
    </row>
    <row r="15" spans="1:12" ht="82.5" customHeight="1" x14ac:dyDescent="0.25">
      <c r="A15" s="77" t="s">
        <v>48</v>
      </c>
      <c r="B15" s="77"/>
      <c r="C15" s="77"/>
      <c r="D15" s="77"/>
      <c r="E15" s="77"/>
      <c r="F15" s="77"/>
      <c r="G15" s="77"/>
      <c r="H15" s="77"/>
      <c r="I15" s="77"/>
    </row>
    <row r="16" spans="1:12" ht="86.25" customHeight="1" x14ac:dyDescent="0.25">
      <c r="A16" s="79" t="s">
        <v>113</v>
      </c>
      <c r="B16" s="79"/>
      <c r="C16" s="79"/>
      <c r="D16" s="79"/>
      <c r="E16" s="79"/>
      <c r="F16" s="79"/>
      <c r="G16" s="79"/>
      <c r="H16" s="79"/>
      <c r="I16" s="79"/>
      <c r="J16" s="71"/>
    </row>
    <row r="17" spans="1:9" ht="15.75" x14ac:dyDescent="0.25">
      <c r="A17" s="77" t="s">
        <v>110</v>
      </c>
      <c r="B17" s="77"/>
      <c r="C17" s="77"/>
      <c r="D17" s="77"/>
      <c r="E17" s="77"/>
      <c r="F17" s="77"/>
      <c r="G17" s="77"/>
      <c r="H17" s="77"/>
      <c r="I17" s="77"/>
    </row>
  </sheetData>
  <mergeCells count="8">
    <mergeCell ref="A1:I1"/>
    <mergeCell ref="A16:I16"/>
    <mergeCell ref="A17:I17"/>
    <mergeCell ref="F10:H10"/>
    <mergeCell ref="K4:L4"/>
    <mergeCell ref="A13:I13"/>
    <mergeCell ref="A14:I14"/>
    <mergeCell ref="A15:I1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0"/>
  <sheetViews>
    <sheetView zoomScale="85" zoomScaleNormal="85" workbookViewId="0">
      <selection sqref="A1:G1"/>
    </sheetView>
  </sheetViews>
  <sheetFormatPr defaultColWidth="9.140625" defaultRowHeight="12.75" x14ac:dyDescent="0.2"/>
  <cols>
    <col min="1" max="1" width="32.85546875" style="47" customWidth="1"/>
    <col min="2" max="4" width="13.5703125" style="47" customWidth="1"/>
    <col min="5" max="5" width="14.140625" style="47" customWidth="1"/>
    <col min="6" max="6" width="9.140625" style="47"/>
    <col min="7" max="7" width="13.42578125" style="47" customWidth="1"/>
    <col min="8" max="8" width="9.140625" style="47"/>
    <col min="9" max="9" width="12" style="47" customWidth="1"/>
    <col min="10" max="10" width="13" style="47" customWidth="1"/>
    <col min="11" max="16384" width="9.140625" style="47"/>
  </cols>
  <sheetData>
    <row r="1" spans="1:9" x14ac:dyDescent="0.2">
      <c r="A1" s="88" t="s">
        <v>53</v>
      </c>
      <c r="B1" s="88"/>
      <c r="C1" s="88"/>
      <c r="D1" s="88"/>
      <c r="E1" s="88"/>
      <c r="F1" s="88"/>
      <c r="G1" s="88"/>
    </row>
    <row r="2" spans="1:9" x14ac:dyDescent="0.2">
      <c r="A2" s="25" t="s">
        <v>27</v>
      </c>
      <c r="B2" s="25" t="s">
        <v>28</v>
      </c>
      <c r="C2" s="25" t="s">
        <v>30</v>
      </c>
      <c r="D2" s="25" t="s">
        <v>32</v>
      </c>
      <c r="E2" s="25" t="s">
        <v>34</v>
      </c>
      <c r="F2" s="25" t="s">
        <v>44</v>
      </c>
      <c r="G2" s="25" t="s">
        <v>60</v>
      </c>
    </row>
    <row r="3" spans="1:9" ht="51" x14ac:dyDescent="0.2">
      <c r="A3" s="25" t="s">
        <v>54</v>
      </c>
      <c r="B3" s="25" t="s">
        <v>55</v>
      </c>
      <c r="C3" s="25" t="s">
        <v>56</v>
      </c>
      <c r="D3" s="25" t="s">
        <v>57</v>
      </c>
      <c r="E3" s="25" t="s">
        <v>58</v>
      </c>
      <c r="F3" s="25" t="s">
        <v>59</v>
      </c>
      <c r="G3" s="25" t="s">
        <v>67</v>
      </c>
    </row>
    <row r="4" spans="1:9" ht="15.75" x14ac:dyDescent="0.2">
      <c r="A4" s="24" t="s">
        <v>61</v>
      </c>
      <c r="B4" s="24"/>
      <c r="C4" s="24"/>
      <c r="D4" s="24"/>
      <c r="E4" s="24"/>
      <c r="F4" s="24"/>
      <c r="G4" s="24"/>
    </row>
    <row r="5" spans="1:9" x14ac:dyDescent="0.2">
      <c r="A5" s="24" t="s">
        <v>62</v>
      </c>
      <c r="B5" s="25"/>
      <c r="C5" s="25"/>
      <c r="D5" s="25"/>
      <c r="E5" s="26">
        <f>14.9*1.0133</f>
        <v>15.098170000000001</v>
      </c>
      <c r="F5" s="25">
        <v>91</v>
      </c>
      <c r="G5" s="27">
        <f>E5*F5</f>
        <v>1373.9334700000002</v>
      </c>
    </row>
    <row r="6" spans="1:9" x14ac:dyDescent="0.2">
      <c r="A6" s="24" t="s">
        <v>63</v>
      </c>
      <c r="B6" s="25"/>
      <c r="C6" s="25"/>
      <c r="D6" s="25"/>
      <c r="E6" s="26">
        <f>36.69*1.0133</f>
        <v>37.177976999999998</v>
      </c>
      <c r="F6" s="25">
        <v>9</v>
      </c>
      <c r="G6" s="27">
        <f>E6*F6</f>
        <v>334.60179299999999</v>
      </c>
    </row>
    <row r="7" spans="1:9" x14ac:dyDescent="0.2">
      <c r="A7" s="24" t="s">
        <v>64</v>
      </c>
      <c r="B7" s="25"/>
      <c r="C7" s="25"/>
      <c r="D7" s="25"/>
      <c r="E7" s="28">
        <f>175*1.0133</f>
        <v>177.32750000000001</v>
      </c>
      <c r="F7" s="25">
        <v>14</v>
      </c>
      <c r="G7" s="27">
        <f>E7*F7</f>
        <v>2482.585</v>
      </c>
    </row>
    <row r="8" spans="1:9" x14ac:dyDescent="0.2">
      <c r="A8" s="24" t="s">
        <v>65</v>
      </c>
      <c r="B8" s="28">
        <v>1000</v>
      </c>
      <c r="C8" s="25">
        <v>253</v>
      </c>
      <c r="D8" s="28">
        <f>B8*C8</f>
        <v>253000</v>
      </c>
      <c r="E8" s="28">
        <v>0</v>
      </c>
      <c r="F8" s="25">
        <v>0</v>
      </c>
      <c r="G8" s="33">
        <f>E8*F8</f>
        <v>0</v>
      </c>
    </row>
    <row r="9" spans="1:9" ht="27" customHeight="1" x14ac:dyDescent="0.2">
      <c r="A9" s="24" t="s">
        <v>66</v>
      </c>
      <c r="B9" s="25"/>
      <c r="C9" s="25"/>
      <c r="D9" s="25"/>
      <c r="E9" s="28">
        <f>1000*1.0133</f>
        <v>1013.3000000000001</v>
      </c>
      <c r="F9" s="29">
        <f>D23*0.12</f>
        <v>2289.12</v>
      </c>
      <c r="G9" s="27">
        <f>E9*F9</f>
        <v>2319565.2960000001</v>
      </c>
    </row>
    <row r="10" spans="1:9" ht="15.75" x14ac:dyDescent="0.2">
      <c r="A10" s="30" t="s">
        <v>106</v>
      </c>
      <c r="B10" s="1"/>
      <c r="C10" s="1"/>
      <c r="D10" s="31">
        <f>SUM(D4:D9)</f>
        <v>253000</v>
      </c>
      <c r="E10" s="1"/>
      <c r="F10" s="1"/>
      <c r="G10" s="32">
        <f>ROUND(SUM(G4:G9),-4)</f>
        <v>2320000</v>
      </c>
      <c r="I10" s="66">
        <f>G10+D10</f>
        <v>2573000</v>
      </c>
    </row>
    <row r="11" spans="1:9" ht="46.5" customHeight="1" x14ac:dyDescent="0.2">
      <c r="A11" s="92" t="s">
        <v>114</v>
      </c>
      <c r="B11" s="92"/>
      <c r="C11" s="92"/>
      <c r="D11" s="92"/>
      <c r="E11" s="92"/>
      <c r="F11" s="92"/>
      <c r="G11" s="92"/>
    </row>
    <row r="12" spans="1:9" ht="15.75" x14ac:dyDescent="0.2">
      <c r="A12" s="93" t="s">
        <v>68</v>
      </c>
      <c r="B12" s="93"/>
      <c r="C12" s="93"/>
      <c r="D12" s="93"/>
      <c r="E12" s="93"/>
      <c r="F12" s="93"/>
      <c r="G12" s="93"/>
    </row>
    <row r="13" spans="1:9" ht="45.75" customHeight="1" x14ac:dyDescent="0.2">
      <c r="A13" s="77" t="s">
        <v>102</v>
      </c>
      <c r="B13" s="77"/>
      <c r="C13" s="77"/>
      <c r="D13" s="77"/>
      <c r="E13" s="77"/>
      <c r="F13" s="77"/>
      <c r="G13" s="77"/>
    </row>
    <row r="14" spans="1:9" ht="15.75" x14ac:dyDescent="0.2">
      <c r="A14" s="94" t="s">
        <v>107</v>
      </c>
      <c r="B14" s="94"/>
      <c r="C14" s="94"/>
      <c r="D14" s="94"/>
      <c r="E14" s="94"/>
      <c r="F14" s="94"/>
      <c r="G14" s="94"/>
    </row>
    <row r="16" spans="1:9" x14ac:dyDescent="0.2">
      <c r="B16" s="89" t="s">
        <v>23</v>
      </c>
      <c r="C16" s="89"/>
      <c r="D16" s="89"/>
      <c r="E16" s="89"/>
      <c r="F16" s="89"/>
      <c r="G16" s="89"/>
    </row>
    <row r="17" spans="1:12" ht="51" x14ac:dyDescent="0.2">
      <c r="B17" s="48"/>
      <c r="C17" s="90" t="s">
        <v>24</v>
      </c>
      <c r="D17" s="90"/>
      <c r="E17" s="48" t="s">
        <v>25</v>
      </c>
      <c r="F17" s="48"/>
      <c r="G17" s="48"/>
    </row>
    <row r="18" spans="1:12" x14ac:dyDescent="0.2">
      <c r="B18" s="49"/>
      <c r="C18" s="50" t="s">
        <v>27</v>
      </c>
      <c r="D18" s="50" t="s">
        <v>28</v>
      </c>
      <c r="E18" s="50" t="s">
        <v>30</v>
      </c>
      <c r="F18" s="50" t="s">
        <v>32</v>
      </c>
      <c r="G18" s="50" t="s">
        <v>34</v>
      </c>
    </row>
    <row r="19" spans="1:12" ht="102" x14ac:dyDescent="0.2">
      <c r="B19" s="17" t="s">
        <v>26</v>
      </c>
      <c r="C19" s="51" t="s">
        <v>94</v>
      </c>
      <c r="D19" s="51" t="s">
        <v>29</v>
      </c>
      <c r="E19" s="51" t="s">
        <v>31</v>
      </c>
      <c r="F19" s="51" t="s">
        <v>33</v>
      </c>
      <c r="G19" s="51" t="s">
        <v>36</v>
      </c>
      <c r="L19" s="53"/>
    </row>
    <row r="20" spans="1:12" x14ac:dyDescent="0.2">
      <c r="B20" s="17">
        <v>1</v>
      </c>
      <c r="C20" s="17">
        <v>253</v>
      </c>
      <c r="D20" s="19">
        <f>18570+253</f>
        <v>18823</v>
      </c>
      <c r="E20" s="17">
        <v>0</v>
      </c>
      <c r="F20" s="17">
        <v>0</v>
      </c>
      <c r="G20" s="19">
        <f>+C20+D20+E20-F20</f>
        <v>19076</v>
      </c>
      <c r="L20" s="53"/>
    </row>
    <row r="21" spans="1:12" x14ac:dyDescent="0.2">
      <c r="B21" s="17">
        <v>2</v>
      </c>
      <c r="C21" s="17">
        <v>253</v>
      </c>
      <c r="D21" s="19">
        <f>G20</f>
        <v>19076</v>
      </c>
      <c r="E21" s="17">
        <v>0</v>
      </c>
      <c r="F21" s="17">
        <v>0</v>
      </c>
      <c r="G21" s="19">
        <f t="shared" ref="G21" si="0">+C21+D21+E21-F21</f>
        <v>19329</v>
      </c>
      <c r="L21" s="53"/>
    </row>
    <row r="22" spans="1:12" x14ac:dyDescent="0.2">
      <c r="B22" s="17">
        <v>3</v>
      </c>
      <c r="C22" s="17">
        <v>253</v>
      </c>
      <c r="D22" s="19">
        <f>G21</f>
        <v>19329</v>
      </c>
      <c r="E22" s="17">
        <v>0</v>
      </c>
      <c r="F22" s="17">
        <v>0</v>
      </c>
      <c r="G22" s="19">
        <f>+C22+D22+E22-F22</f>
        <v>19582</v>
      </c>
      <c r="L22" s="53"/>
    </row>
    <row r="23" spans="1:12" x14ac:dyDescent="0.2">
      <c r="B23" s="17" t="s">
        <v>35</v>
      </c>
      <c r="C23" s="19">
        <f>AVERAGE(C20:C22)</f>
        <v>253</v>
      </c>
      <c r="D23" s="19">
        <f>AVERAGE(D20:D22)</f>
        <v>19076</v>
      </c>
      <c r="E23" s="17">
        <v>0</v>
      </c>
      <c r="F23" s="17">
        <v>0</v>
      </c>
      <c r="G23" s="19">
        <f>AVERAGE(G20:G22)</f>
        <v>19329</v>
      </c>
      <c r="L23" s="53"/>
    </row>
    <row r="24" spans="1:12" x14ac:dyDescent="0.2">
      <c r="L24" s="53"/>
    </row>
    <row r="25" spans="1:12" x14ac:dyDescent="0.2">
      <c r="L25" s="56"/>
    </row>
    <row r="26" spans="1:12" x14ac:dyDescent="0.2">
      <c r="A26" s="52"/>
      <c r="B26" s="53"/>
      <c r="C26" s="53"/>
      <c r="D26" s="53"/>
      <c r="E26" s="53"/>
      <c r="L26" s="56"/>
    </row>
    <row r="27" spans="1:12" ht="38.25" x14ac:dyDescent="0.2">
      <c r="A27" s="88" t="s">
        <v>87</v>
      </c>
      <c r="B27" s="88"/>
      <c r="C27" s="88"/>
      <c r="D27" s="88"/>
      <c r="E27" s="88"/>
      <c r="G27" s="20" t="s">
        <v>101</v>
      </c>
      <c r="H27" s="20" t="s">
        <v>26</v>
      </c>
      <c r="I27" s="21" t="s">
        <v>99</v>
      </c>
      <c r="J27" s="21" t="s">
        <v>100</v>
      </c>
      <c r="K27" s="53"/>
      <c r="L27" s="53"/>
    </row>
    <row r="28" spans="1:12" x14ac:dyDescent="0.2">
      <c r="A28" s="25" t="s">
        <v>27</v>
      </c>
      <c r="B28" s="25" t="s">
        <v>28</v>
      </c>
      <c r="C28" s="25" t="s">
        <v>30</v>
      </c>
      <c r="D28" s="25" t="s">
        <v>32</v>
      </c>
      <c r="E28" s="25" t="s">
        <v>34</v>
      </c>
      <c r="G28" s="17">
        <v>2227.02</v>
      </c>
      <c r="H28" s="17">
        <v>2010</v>
      </c>
      <c r="I28" s="19">
        <v>16285</v>
      </c>
      <c r="J28" s="17">
        <v>421</v>
      </c>
      <c r="K28" s="53"/>
    </row>
    <row r="29" spans="1:12" ht="42" customHeight="1" x14ac:dyDescent="0.2">
      <c r="A29" s="24" t="s">
        <v>88</v>
      </c>
      <c r="B29" s="25" t="s">
        <v>23</v>
      </c>
      <c r="C29" s="25" t="s">
        <v>89</v>
      </c>
      <c r="D29" s="25" t="s">
        <v>90</v>
      </c>
      <c r="E29" s="25" t="s">
        <v>93</v>
      </c>
      <c r="G29" s="62">
        <v>2227.0300000000002</v>
      </c>
      <c r="H29" s="17">
        <v>2011</v>
      </c>
      <c r="I29" s="57">
        <v>16546</v>
      </c>
      <c r="J29" s="17">
        <v>427</v>
      </c>
      <c r="K29" s="53"/>
    </row>
    <row r="30" spans="1:12" ht="34.5" customHeight="1" x14ac:dyDescent="0.2">
      <c r="A30" s="54" t="s">
        <v>96</v>
      </c>
      <c r="B30" s="25">
        <f>ROUND(C23*0.12,0)</f>
        <v>30</v>
      </c>
      <c r="C30" s="25">
        <v>1</v>
      </c>
      <c r="D30" s="25" t="s">
        <v>91</v>
      </c>
      <c r="E30" s="25">
        <f>B30*C30</f>
        <v>30</v>
      </c>
      <c r="G30" s="62">
        <v>2227.0300000000002</v>
      </c>
      <c r="H30" s="17">
        <v>2012</v>
      </c>
      <c r="I30" s="57">
        <v>16799</v>
      </c>
      <c r="J30" s="17">
        <v>433</v>
      </c>
      <c r="K30" s="53"/>
    </row>
    <row r="31" spans="1:12" x14ac:dyDescent="0.2">
      <c r="A31" s="54" t="s">
        <v>92</v>
      </c>
      <c r="B31" s="29">
        <f>G23</f>
        <v>19329</v>
      </c>
      <c r="C31" s="25">
        <v>1</v>
      </c>
      <c r="D31" s="25" t="s">
        <v>91</v>
      </c>
      <c r="E31" s="29">
        <f t="shared" ref="E31:E33" si="1">B31*C31</f>
        <v>19329</v>
      </c>
      <c r="G31" s="62">
        <v>2227.0300000000002</v>
      </c>
      <c r="H31" s="17">
        <v>2013</v>
      </c>
      <c r="I31" s="57">
        <v>17052</v>
      </c>
      <c r="J31" s="58">
        <f>J30+253*0.5*0.05</f>
        <v>439.32499999999999</v>
      </c>
      <c r="K31" s="53"/>
    </row>
    <row r="32" spans="1:12" ht="32.25" customHeight="1" x14ac:dyDescent="0.2">
      <c r="A32" s="54" t="s">
        <v>98</v>
      </c>
      <c r="B32" s="25">
        <v>490</v>
      </c>
      <c r="C32" s="25">
        <v>1</v>
      </c>
      <c r="D32" s="25" t="s">
        <v>91</v>
      </c>
      <c r="E32" s="25">
        <f t="shared" si="1"/>
        <v>490</v>
      </c>
      <c r="G32" s="63">
        <v>2227.04</v>
      </c>
      <c r="H32" s="17">
        <v>2014</v>
      </c>
      <c r="I32" s="59">
        <f>I31+253</f>
        <v>17305</v>
      </c>
      <c r="J32" s="58">
        <f t="shared" ref="J32:J40" si="2">J31+253*0.5*0.05</f>
        <v>445.65</v>
      </c>
      <c r="K32" s="53"/>
    </row>
    <row r="33" spans="1:11" ht="32.25" customHeight="1" x14ac:dyDescent="0.2">
      <c r="A33" s="54" t="s">
        <v>97</v>
      </c>
      <c r="B33" s="25">
        <f>ROUND(B32*0.05,0)</f>
        <v>25</v>
      </c>
      <c r="C33" s="25">
        <v>1</v>
      </c>
      <c r="D33" s="25" t="s">
        <v>91</v>
      </c>
      <c r="E33" s="25">
        <f t="shared" si="1"/>
        <v>25</v>
      </c>
      <c r="G33" s="63">
        <v>2227.04</v>
      </c>
      <c r="H33" s="17">
        <v>2015</v>
      </c>
      <c r="I33" s="59">
        <f t="shared" ref="I33:I39" si="3">I32+253</f>
        <v>17558</v>
      </c>
      <c r="J33" s="58">
        <f t="shared" si="2"/>
        <v>451.97499999999997</v>
      </c>
      <c r="K33" s="53"/>
    </row>
    <row r="34" spans="1:11" ht="15.75" x14ac:dyDescent="0.2">
      <c r="A34" s="30" t="s">
        <v>108</v>
      </c>
      <c r="B34" s="25"/>
      <c r="C34" s="25"/>
      <c r="D34" s="25"/>
      <c r="E34" s="55">
        <f>SUM(E30:E33)</f>
        <v>19874</v>
      </c>
      <c r="G34" s="63">
        <v>2227.04</v>
      </c>
      <c r="H34" s="17">
        <v>2016</v>
      </c>
      <c r="I34" s="59">
        <f t="shared" si="3"/>
        <v>17811</v>
      </c>
      <c r="J34" s="58">
        <f t="shared" si="2"/>
        <v>458.29999999999995</v>
      </c>
      <c r="K34" s="53"/>
    </row>
    <row r="35" spans="1:11" ht="22.5" customHeight="1" x14ac:dyDescent="0.2">
      <c r="A35" s="91" t="s">
        <v>95</v>
      </c>
      <c r="B35" s="91"/>
      <c r="C35" s="91"/>
      <c r="D35" s="91"/>
      <c r="E35" s="91"/>
      <c r="G35" s="64">
        <v>2227.0500000000002</v>
      </c>
      <c r="H35" s="17">
        <v>2017</v>
      </c>
      <c r="I35" s="60">
        <f t="shared" si="3"/>
        <v>18064</v>
      </c>
      <c r="J35" s="58">
        <f t="shared" si="2"/>
        <v>464.62499999999994</v>
      </c>
      <c r="K35" s="53"/>
    </row>
    <row r="36" spans="1:11" ht="96" customHeight="1" x14ac:dyDescent="0.2">
      <c r="A36" s="87" t="s">
        <v>105</v>
      </c>
      <c r="B36" s="87"/>
      <c r="C36" s="87"/>
      <c r="D36" s="87"/>
      <c r="E36" s="87"/>
      <c r="G36" s="64">
        <v>2227.0500000000002</v>
      </c>
      <c r="H36" s="17">
        <v>2018</v>
      </c>
      <c r="I36" s="60">
        <f t="shared" si="3"/>
        <v>18317</v>
      </c>
      <c r="J36" s="58">
        <f t="shared" si="2"/>
        <v>470.94999999999993</v>
      </c>
      <c r="K36" s="53"/>
    </row>
    <row r="37" spans="1:11" ht="18.75" customHeight="1" x14ac:dyDescent="0.2">
      <c r="A37" s="87" t="s">
        <v>109</v>
      </c>
      <c r="B37" s="87"/>
      <c r="C37" s="87"/>
      <c r="D37" s="87"/>
      <c r="E37" s="87"/>
      <c r="G37" s="64">
        <v>2227.0500000000002</v>
      </c>
      <c r="H37" s="17">
        <v>2019</v>
      </c>
      <c r="I37" s="60">
        <f t="shared" si="3"/>
        <v>18570</v>
      </c>
      <c r="J37" s="58">
        <f t="shared" si="2"/>
        <v>477.27499999999992</v>
      </c>
      <c r="K37" s="53"/>
    </row>
    <row r="38" spans="1:11" x14ac:dyDescent="0.2">
      <c r="G38" s="65">
        <v>2227.06</v>
      </c>
      <c r="H38" s="17">
        <v>2020</v>
      </c>
      <c r="I38" s="61">
        <f t="shared" si="3"/>
        <v>18823</v>
      </c>
      <c r="J38" s="58">
        <f t="shared" si="2"/>
        <v>483.59999999999991</v>
      </c>
      <c r="K38" s="53"/>
    </row>
    <row r="39" spans="1:11" x14ac:dyDescent="0.2">
      <c r="G39" s="65">
        <v>2227.06</v>
      </c>
      <c r="H39" s="17">
        <v>2021</v>
      </c>
      <c r="I39" s="61">
        <f t="shared" si="3"/>
        <v>19076</v>
      </c>
      <c r="J39" s="58">
        <f>J38+253*0.5*0.05</f>
        <v>489.9249999999999</v>
      </c>
      <c r="K39" s="53"/>
    </row>
    <row r="40" spans="1:11" x14ac:dyDescent="0.2">
      <c r="G40" s="65">
        <v>2227.06</v>
      </c>
      <c r="H40" s="17">
        <v>2022</v>
      </c>
      <c r="I40" s="61">
        <f>I39+253</f>
        <v>19329</v>
      </c>
      <c r="J40" s="58">
        <f t="shared" si="2"/>
        <v>496.24999999999989</v>
      </c>
      <c r="K40" s="53"/>
    </row>
  </sheetData>
  <mergeCells count="11">
    <mergeCell ref="A37:E37"/>
    <mergeCell ref="A1:G1"/>
    <mergeCell ref="B16:G16"/>
    <mergeCell ref="C17:D17"/>
    <mergeCell ref="A27:E27"/>
    <mergeCell ref="A35:E35"/>
    <mergeCell ref="A36:E36"/>
    <mergeCell ref="A11:G11"/>
    <mergeCell ref="A12:G12"/>
    <mergeCell ref="A13:G13"/>
    <mergeCell ref="A14:G14"/>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6" ma:contentTypeDescription="Create a new document." ma:contentTypeScope="" ma:versionID="e2639bbbb30a5e8a5e9fedbedbfe4134">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88fa74547581242d5b740bb33b8839b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2020-07-09T14:33:35+00:00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12C25C1B-D1C0-4C18-B45E-11EF0034F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221D4D-4CB6-469D-BF7B-82DCAB8F4236}">
  <ds:schemaRefs>
    <ds:schemaRef ds:uri="Microsoft.SharePoint.Taxonomy.ContentTypeSync"/>
  </ds:schemaRefs>
</ds:datastoreItem>
</file>

<file path=customXml/itemProps3.xml><?xml version="1.0" encoding="utf-8"?>
<ds:datastoreItem xmlns:ds="http://schemas.openxmlformats.org/officeDocument/2006/customXml" ds:itemID="{0C51E0A9-835A-4C95-A98F-A379DD056219}">
  <ds:schemaRefs>
    <ds:schemaRef ds:uri="http://schemas.microsoft.com/sharepoint/v3/contenttype/forms"/>
  </ds:schemaRefs>
</ds:datastoreItem>
</file>

<file path=customXml/itemProps4.xml><?xml version="1.0" encoding="utf-8"?>
<ds:datastoreItem xmlns:ds="http://schemas.openxmlformats.org/officeDocument/2006/customXml" ds:itemID="{D79001F4-7AD7-48CD-8CF7-C4BC15D3F1DD}">
  <ds:schemaRefs>
    <ds:schemaRef ds:uri="http://purl.org/dc/elements/1.1/"/>
    <ds:schemaRef ds:uri="4ffa91fb-a0ff-4ac5-b2db-65c790d184a4"/>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http://schemas.microsoft.com/sharepoint/v3/fields"/>
    <ds:schemaRef ds:uri="0a649cfe-4b5c-4768-8616-91f3c5fa8351"/>
    <ds:schemaRef ds:uri="http://schemas.microsoft.com/office/2006/documentManagement/types"/>
    <ds:schemaRef ds:uri="http://purl.org/dc/terms/"/>
    <ds:schemaRef ds:uri="80377dfa-2fcc-4c15-9433-ebfcd06defd6"/>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2016-10-18T13:02:41Z</dcterms:created>
  <dcterms:modified xsi:type="dcterms:W3CDTF">2020-07-09T14:33:44Z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