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iu\Desktop\PRSB Responsibilities\ICR\Container Containment 2019-2020\2020 Renewal\2nd FRN\Final Package\"/>
    </mc:Choice>
  </mc:AlternateContent>
  <xr:revisionPtr revIDLastSave="0" documentId="8_{5F6889E9-BF63-4EB4-A30A-17C03FD3C5E8}" xr6:coauthVersionLast="44" xr6:coauthVersionMax="44" xr10:uidLastSave="{00000000-0000-0000-0000-000000000000}"/>
  <bookViews>
    <workbookView xWindow="8196" yWindow="2112" windowWidth="17280" windowHeight="8964" firstSheet="3" activeTab="10" xr2:uid="{D8798ECE-2EAA-4F14-8D77-7883614A210C}"/>
  </bookViews>
  <sheets>
    <sheet name="Table 6.1" sheetId="3" r:id="rId1"/>
    <sheet name="Table 6.2" sheetId="4" r:id="rId2"/>
    <sheet name="Table 6.3" sheetId="5" r:id="rId3"/>
    <sheet name="Table 6.4" sheetId="6" r:id="rId4"/>
    <sheet name="Table 6.5" sheetId="7" r:id="rId5"/>
    <sheet name="Table 6.6" sheetId="9" r:id="rId6"/>
    <sheet name="Table 6.7" sheetId="10" r:id="rId7"/>
    <sheet name="Table 6.8" sheetId="11" r:id="rId8"/>
    <sheet name="Table 6.9" sheetId="12" r:id="rId9"/>
    <sheet name="Registrants pay table" sheetId="14" r:id="rId10"/>
    <sheet name="EPA pay table" sheetId="13" r:id="rId11"/>
  </sheets>
  <externalReferences>
    <externalReference r:id="rId12"/>
  </externalReferences>
  <definedNames>
    <definedName name="_ftn1" localSheetId="2">'Table 6.3'!$A$20</definedName>
    <definedName name="_ftnref1" localSheetId="2">'Table 6.3'!$A$14</definedName>
    <definedName name="_Hlk22108931" localSheetId="0">'Table 6.1'!$A$3</definedName>
    <definedName name="_Hlk22110086" localSheetId="1">'Table 6.2'!$A$15</definedName>
    <definedName name="_Hlk22110165" localSheetId="2">'Table 6.3'!$A$16</definedName>
    <definedName name="_Hlk22110383" localSheetId="3">'Table 6.4'!$A$18</definedName>
    <definedName name="_Hlk22110499" localSheetId="4">'Table 6.5'!$A$18</definedName>
    <definedName name="_Hlk22110586" localSheetId="6">'Table 6.7'!$A$14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9" l="1"/>
  <c r="C6" i="9"/>
  <c r="A23" i="6"/>
  <c r="B7" i="12"/>
  <c r="C5" i="12"/>
  <c r="B5" i="12"/>
  <c r="G14" i="11"/>
  <c r="F9" i="9"/>
  <c r="F8" i="9"/>
  <c r="F6" i="9"/>
  <c r="F7" i="9"/>
  <c r="E9" i="9"/>
  <c r="B9" i="9"/>
  <c r="A20" i="6"/>
  <c r="E12" i="6"/>
  <c r="D12" i="6"/>
  <c r="D12" i="7"/>
  <c r="F9" i="5"/>
  <c r="E11" i="5"/>
  <c r="D5" i="5"/>
  <c r="D6" i="5"/>
  <c r="E12" i="5"/>
  <c r="D12" i="5"/>
  <c r="D11" i="5"/>
  <c r="D9" i="5"/>
  <c r="A15" i="5"/>
  <c r="A18" i="5"/>
  <c r="B12" i="5"/>
  <c r="D7" i="5"/>
  <c r="A17" i="4"/>
  <c r="B18" i="4"/>
  <c r="B14" i="4"/>
  <c r="D22" i="3" l="1"/>
  <c r="B23" i="3"/>
  <c r="F9" i="11"/>
  <c r="F10" i="11"/>
  <c r="F11" i="11"/>
  <c r="F12" i="11"/>
  <c r="F13" i="11"/>
  <c r="F14" i="11"/>
  <c r="F8" i="11"/>
  <c r="D9" i="10"/>
  <c r="D7" i="10"/>
  <c r="C5" i="14" l="1"/>
  <c r="C6" i="14" s="1"/>
  <c r="C7" i="14" s="1"/>
  <c r="C5" i="13"/>
  <c r="E5" i="13" s="1"/>
  <c r="E6" i="13" s="1"/>
  <c r="E7" i="13" s="1"/>
  <c r="C11" i="12"/>
  <c r="C6" i="12"/>
  <c r="E9" i="11"/>
  <c r="E10" i="11"/>
  <c r="E11" i="11"/>
  <c r="E12" i="11"/>
  <c r="E13" i="11"/>
  <c r="E14" i="11"/>
  <c r="E8" i="11"/>
  <c r="B18" i="11"/>
  <c r="B17" i="11"/>
  <c r="B16" i="11"/>
  <c r="D5" i="14" l="1"/>
  <c r="D6" i="14" s="1"/>
  <c r="D7" i="14" s="1"/>
  <c r="D9" i="14" s="1"/>
  <c r="D10" i="14" s="1"/>
  <c r="E5" i="14"/>
  <c r="E6" i="14" s="1"/>
  <c r="E7" i="14" s="1"/>
  <c r="E9" i="14" s="1"/>
  <c r="E10" i="14" s="1"/>
  <c r="C9" i="14"/>
  <c r="C10" i="14" s="1"/>
  <c r="E9" i="13"/>
  <c r="E10" i="13" s="1"/>
  <c r="C6" i="13"/>
  <c r="C7" i="13" s="1"/>
  <c r="D5" i="13"/>
  <c r="D6" i="13" s="1"/>
  <c r="D7" i="13" s="1"/>
  <c r="B19" i="11"/>
  <c r="A16" i="10"/>
  <c r="D8" i="10"/>
  <c r="A20" i="7"/>
  <c r="D9" i="13" l="1"/>
  <c r="D10" i="13" s="1"/>
  <c r="C9" i="13"/>
  <c r="C10" i="13"/>
  <c r="B22" i="3"/>
  <c r="C9" i="9" s="1"/>
  <c r="C7" i="12" s="1"/>
  <c r="B21" i="3"/>
  <c r="D7" i="7"/>
  <c r="D8" i="7"/>
  <c r="D9" i="7"/>
  <c r="E12" i="7" s="1"/>
  <c r="D11" i="7"/>
  <c r="D6" i="7"/>
  <c r="D7" i="6"/>
  <c r="D8" i="6"/>
  <c r="D9" i="6"/>
  <c r="D11" i="6"/>
  <c r="D6" i="6"/>
  <c r="D10" i="5"/>
  <c r="C6" i="5"/>
  <c r="C7" i="5"/>
  <c r="C8" i="5"/>
  <c r="D8" i="5" s="1"/>
  <c r="C9" i="5"/>
  <c r="C10" i="5"/>
  <c r="C5" i="5"/>
  <c r="C7" i="4"/>
  <c r="D7" i="4" s="1"/>
  <c r="C8" i="4"/>
  <c r="D8" i="4" s="1"/>
  <c r="C9" i="4"/>
  <c r="D9" i="4" s="1"/>
  <c r="C6" i="4"/>
  <c r="D6" i="4" s="1"/>
  <c r="B10" i="4"/>
  <c r="C10" i="4" s="1"/>
  <c r="D10" i="4" s="1"/>
  <c r="B11" i="3"/>
  <c r="D11" i="3"/>
  <c r="E7" i="3"/>
  <c r="E9" i="3"/>
  <c r="E10" i="3"/>
  <c r="E6" i="3"/>
  <c r="C7" i="3"/>
  <c r="C6" i="3"/>
</calcChain>
</file>

<file path=xl/sharedStrings.xml><?xml version="1.0" encoding="utf-8"?>
<sst xmlns="http://schemas.openxmlformats.org/spreadsheetml/2006/main" count="248" uniqueCount="151">
  <si>
    <t>Activity</t>
  </si>
  <si>
    <t>Ensuring that New Formulations and Containers Comply (All Registrants)</t>
  </si>
  <si>
    <t>Preparing and Processing Waiver Requests (1% of Registrants)</t>
  </si>
  <si>
    <t>Burden Hours (per Year)</t>
  </si>
  <si>
    <t>Costs ($ per Year)</t>
  </si>
  <si>
    <t>Administrative</t>
  </si>
  <si>
    <t>Professional</t>
  </si>
  <si>
    <t>1.  Read instructions</t>
  </si>
  <si>
    <t>2.  Plan activities</t>
  </si>
  <si>
    <t>3.  Gather information</t>
  </si>
  <si>
    <t>4.  Record information</t>
  </si>
  <si>
    <t>5.  Store/maintain data</t>
  </si>
  <si>
    <t>Total Burden</t>
  </si>
  <si>
    <t xml:space="preserve"> </t>
  </si>
  <si>
    <t>Total Hours</t>
  </si>
  <si>
    <t>3.  Record information</t>
  </si>
  <si>
    <t>4  Store/maintain data</t>
  </si>
  <si>
    <t>Costs ($ per Year) ($47.78 per hour)</t>
  </si>
  <si>
    <t>2.  Gather Information</t>
  </si>
  <si>
    <t>4.  Enforce &amp; Monitor</t>
  </si>
  <si>
    <t xml:space="preserve">Table 6.3 Average Annual Burden Estimates per Registrant Respondent for </t>
  </si>
  <si>
    <t xml:space="preserve">Registrants that Repackage Directly into Refillable Containers </t>
  </si>
  <si>
    <t>3. Gather Information</t>
  </si>
  <si>
    <t>5. Enforce and Monitor</t>
  </si>
  <si>
    <t>6.  Store/maintain data</t>
  </si>
  <si>
    <t xml:space="preserve">Table 6.4 Average Annual Burden Estimates per Agricultural Pesticide Refiller </t>
  </si>
  <si>
    <t>Respondent for Repackaging Directly into Refillable Containers</t>
  </si>
  <si>
    <t xml:space="preserve">Table 6.5 Average Annual Burden Estimates per Swimming Pool Supply Company </t>
  </si>
  <si>
    <t>for Repackaging Directly into Refillable Containers</t>
  </si>
  <si>
    <t>Collection Activity</t>
  </si>
  <si>
    <t>Annual Burden</t>
  </si>
  <si>
    <t>Hours</t>
  </si>
  <si>
    <t>Cost</t>
  </si>
  <si>
    <t xml:space="preserve">Respondent Burden and Costs </t>
  </si>
  <si>
    <t>Registrants (see 6(a)(i)(1))</t>
  </si>
  <si>
    <t>Ag Refillers (see 6(a)(i)(2)</t>
  </si>
  <si>
    <t>Swimming Pool Suppliers (see 6(a)(i)(3)</t>
  </si>
  <si>
    <t>Total:</t>
  </si>
  <si>
    <t>Annual Agency Burden and Costs</t>
  </si>
  <si>
    <t>Agency Total (See Table 6.8)</t>
  </si>
  <si>
    <t xml:space="preserve">ANNUAL BURDEN: </t>
  </si>
  <si>
    <t xml:space="preserve"> (3 hours per registrant X 1,804 registrants) + (4 hours per registrant X (1,804 registrants X 1% of registrants)) = 5,412 hours + 72 hours = 5,484 hours per year</t>
  </si>
  <si>
    <t>ANNUAL COST:</t>
  </si>
  <si>
    <t xml:space="preserve"> (3 hours per registrant X $47.78/hour X 1,804 registrants) + (4 hours per registrant X $143.29/hour X (1,804 registrant X 1% of registrants)) = $258,585 + $10,340 = $268,925</t>
  </si>
  <si>
    <t>ANNUAL BURDEN:</t>
  </si>
  <si>
    <t xml:space="preserve">ANNUAL COST: </t>
  </si>
  <si>
    <t>7.5 hours per registrant X 1,804 facilities = 13,530 hours per year</t>
  </si>
  <si>
    <t>7.5 hours per registrant X $47.78/hour X 1,804 facilities = $646,463</t>
  </si>
  <si>
    <t>TOTAL ANNUAL BURDEN:</t>
  </si>
  <si>
    <t>TOTAL ANNUAL COSTS:</t>
  </si>
  <si>
    <t>7.5 hours per company X $47.78/hour X 322 companies = $115,389</t>
  </si>
  <si>
    <t>Table 6.6 Annual Bottom Line Burden and Costs for Container Regulations</t>
  </si>
  <si>
    <t>4.  Monitor &amp; enforce</t>
  </si>
  <si>
    <t xml:space="preserve">Table 6.7 Annual Average Burden Estimates per Respondent to Comply with the </t>
  </si>
  <si>
    <t>Containment Regulations</t>
  </si>
  <si>
    <t>4 hours per facility x 4,665 facilities = 18,660 hours per year</t>
  </si>
  <si>
    <t>ANNUAL COSTS:</t>
  </si>
  <si>
    <t>4 hours X $47.78/hour X 4,665 facilities = $891,575</t>
  </si>
  <si>
    <t xml:space="preserve">Table 6.1 Average Annual Burden Estimates per Registrant Respondent to </t>
  </si>
  <si>
    <t>Comply with the Requirements for Nonrefillable Containers</t>
  </si>
  <si>
    <t xml:space="preserve">Table 6.2 Average Annual Burden Estimates per Registrant Respondent to </t>
  </si>
  <si>
    <t xml:space="preserve">Comply with the Requirements for Refillable Containers and Distributing </t>
  </si>
  <si>
    <t>Pesticide to Refillers for Repackaging</t>
  </si>
  <si>
    <t>COLLECTION ACTIVITIES</t>
  </si>
  <si>
    <t>BURDEN HOURS (per year)</t>
  </si>
  <si>
    <t>Total Costs</t>
  </si>
  <si>
    <t>1) Receive notifications, waiver requests and inquiries</t>
  </si>
  <si>
    <t>2) Plan activities</t>
  </si>
  <si>
    <t>3) Record information</t>
  </si>
  <si>
    <t>4) Complete paperwork</t>
  </si>
  <si>
    <t>5) Monitor DOT regulatory actions and publish FRNs</t>
  </si>
  <si>
    <t>6) Store/maintain data</t>
  </si>
  <si>
    <t>TOTAL BURDEN</t>
  </si>
  <si>
    <t>COSTS
($ per year)</t>
  </si>
  <si>
    <t>TOTAL</t>
  </si>
  <si>
    <t>Management
$132/hr.</t>
  </si>
  <si>
    <t>Technical $87/hr.</t>
  </si>
  <si>
    <t>Clerical $49/hr.</t>
  </si>
  <si>
    <t>(a)  Management - 7 hours X $132</t>
  </si>
  <si>
    <t xml:space="preserve">(b)  Technical - 170 hours x $87   </t>
  </si>
  <si>
    <t>(c)  Clerical   - 55 hours x $49</t>
  </si>
  <si>
    <t xml:space="preserve">Table 6.8 Average Annual EPA Burden Estimates for EPA to Implement the </t>
  </si>
  <si>
    <t>Container and Containment Regulations</t>
  </si>
  <si>
    <t>Respondent (Regulated Community) Burden and Costs</t>
  </si>
  <si>
    <t>Container Design and Residue Removal (Table 6.6)</t>
  </si>
  <si>
    <t>Containment Structures (Table 6.7):</t>
  </si>
  <si>
    <t>Total Respondent Burden and Cost for Container and Containment Regulations Combined</t>
  </si>
  <si>
    <t>Annual Agency Burden and Costs – Container Design and Residue Removal</t>
  </si>
  <si>
    <t>Container Design and Residue Removal (See Table 6.8)</t>
  </si>
  <si>
    <t>Containment Structures (See Subsection 6(b))</t>
  </si>
  <si>
    <t>Total Agency Burden and Cost for Container and Containment Regulations Combined</t>
  </si>
  <si>
    <t xml:space="preserve">Table 6.9 Annual Bottom Line Hours and Costs / Master Table </t>
  </si>
  <si>
    <t>NAICS: 999100</t>
  </si>
  <si>
    <t xml:space="preserve"> updated June 28, 2019</t>
  </si>
  <si>
    <t>EPA or Federal Government</t>
  </si>
  <si>
    <t>Labor Category:</t>
  </si>
  <si>
    <t>Formula</t>
  </si>
  <si>
    <t>Managerial</t>
  </si>
  <si>
    <t>Technical</t>
  </si>
  <si>
    <t>Clerical</t>
  </si>
  <si>
    <r>
      <t>Unloaded Hourly Rate</t>
    </r>
    <r>
      <rPr>
        <vertAlign val="superscript"/>
        <sz val="12"/>
        <rFont val="Times New Roman"/>
        <family val="1"/>
      </rPr>
      <t>1</t>
    </r>
  </si>
  <si>
    <t xml:space="preserve"> = W</t>
  </si>
  <si>
    <r>
      <t>Benefits Percentage</t>
    </r>
    <r>
      <rPr>
        <vertAlign val="superscript"/>
        <sz val="12"/>
        <rFont val="Times New Roman"/>
        <family val="1"/>
      </rPr>
      <t>2</t>
    </r>
  </si>
  <si>
    <t>Lb = B/W</t>
  </si>
  <si>
    <t>Benefits per hour</t>
  </si>
  <si>
    <t>B = W*Lb</t>
  </si>
  <si>
    <t>Loaded Hourly Rate</t>
  </si>
  <si>
    <t>Wb = W + B = W(1+Lb)</t>
  </si>
  <si>
    <r>
      <t>Overhead Percentage</t>
    </r>
    <r>
      <rPr>
        <vertAlign val="superscript"/>
        <sz val="12"/>
        <rFont val="Times New Roman"/>
        <family val="1"/>
      </rPr>
      <t>3</t>
    </r>
  </si>
  <si>
    <t>Lo = OH/Wb</t>
  </si>
  <si>
    <t>50%</t>
  </si>
  <si>
    <t>Overhead per hour</t>
  </si>
  <si>
    <t>OH = Wb*Lo</t>
  </si>
  <si>
    <t>Fully Loaded Hourly Rate</t>
  </si>
  <si>
    <t xml:space="preserve">Wf = Wb + OH
 = W + B + OH  </t>
  </si>
  <si>
    <t>1.  Data Source:  BLS</t>
  </si>
  <si>
    <t xml:space="preserve">http://www.bls.gov/oes/current/naics4_999100.htm </t>
  </si>
  <si>
    <t>May 2018 data</t>
  </si>
  <si>
    <t xml:space="preserve">     NAICS 999100 - Federal Executive Branch </t>
  </si>
  <si>
    <t>Last Modified Date: April 2, 2019</t>
  </si>
  <si>
    <t xml:space="preserve">     Standard Occupational Codes:</t>
  </si>
  <si>
    <t xml:space="preserve">       Management:   </t>
  </si>
  <si>
    <t>11-0000, Management Occupations</t>
  </si>
  <si>
    <t xml:space="preserve">       Technical:   </t>
  </si>
  <si>
    <t>19-0000, Life, Physical, and Social Science Occupations</t>
  </si>
  <si>
    <t xml:space="preserve">  updated 4/08/2014</t>
  </si>
  <si>
    <t xml:space="preserve">       Clerical:   </t>
  </si>
  <si>
    <t>43-0000, Office and Administrative Support Occupations</t>
  </si>
  <si>
    <t>2. Fringe benefits/wage per hour.  The average for non farm, non federal civilian workers.</t>
  </si>
  <si>
    <r>
      <t xml:space="preserve">3. U. S. Environmental Protection Agency, </t>
    </r>
    <r>
      <rPr>
        <i/>
        <sz val="12"/>
        <rFont val="Times New Roman"/>
        <family val="1"/>
      </rPr>
      <t>EPA Air Pollution Control Cost Manual, Sixth Edition</t>
    </r>
    <r>
      <rPr>
        <sz val="12"/>
        <rFont val="Times New Roman"/>
        <family val="1"/>
      </rPr>
      <t>, EPA-452-02-001, January 2002, pg. 2-34.  The loading for indirect costs is within the range of 20-70% of the load labor rate (wage + benefits) suggested in EPA guidance.</t>
    </r>
  </si>
  <si>
    <t>NAICS: 3250A1</t>
  </si>
  <si>
    <t xml:space="preserve"> updated June 26, 2019</t>
  </si>
  <si>
    <t>Chemical Manufacturing (3251, 3252, 3253, and 3259 only)</t>
  </si>
  <si>
    <t>NOTE: NAICS code changed from 325300 to 3250A1 from Sept 2017 update to May 2018 update</t>
  </si>
  <si>
    <t>Pesticide Registrants now lies within Chemical Manufacturing (3251, 3252, 3253, and 3259 only)</t>
  </si>
  <si>
    <t>https://www.bls.gov/oes/current/naics4_3250A1.htm</t>
  </si>
  <si>
    <t xml:space="preserve">     NAICS 3250A1 - Chemical Manufacturing (3251, 3252, 3253, and 3259 only)</t>
  </si>
  <si>
    <t>3 hours per registrant X $47.78/hour X 1,804 registrants = $172,390</t>
  </si>
  <si>
    <t>3 hours per registrant X 1,804 registrants =5,412 hours per year</t>
  </si>
  <si>
    <t>144 used in the table</t>
  </si>
  <si>
    <t>Nancy used 8 hours</t>
  </si>
  <si>
    <t>8 hours per registrant X 1,804 facilities = 14,432 hours per year</t>
  </si>
  <si>
    <t>8 hours per registrant X $47.78/hour X 1,804 facilities = $689,561</t>
  </si>
  <si>
    <t>5,484 + 5,412 + 14,432 = 25,328 hours per year</t>
  </si>
  <si>
    <t>$268,925+ $258,585 + $689,561 = $1,217,071</t>
  </si>
  <si>
    <t>rounded up to 384</t>
  </si>
  <si>
    <t>8 hours per company x 322 companies = 2,415 hours per year</t>
  </si>
  <si>
    <t>8 hours per refiller X 16,795 refillers = 134,360 hours per year</t>
  </si>
  <si>
    <t>8 hours per refiller X $47.78/hour X 16,795 refillers = $6,419,721 per year</t>
  </si>
  <si>
    <t>rounded up to 360</t>
  </si>
  <si>
    <t>have to add additional $335,900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</si>
</sst>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sz val="12"/>
      <name val="Times New Roman"/>
      <family val="1"/>
    </font>
    <font>
      <vertAlign val="superscript"/>
      <sz val="12"/>
      <name val="Times New Roman"/>
      <family val="1"/>
    </font>
    <font>
      <b/>
      <sz val="12"/>
      <color indexed="10"/>
      <name val="Times New Roman"/>
      <family val="1"/>
      <charset val="162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2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8" xfId="0" applyNumberFormat="1" applyFont="1" applyBorder="1" applyAlignment="1">
      <alignment horizontal="center" vertical="center" wrapText="1"/>
    </xf>
    <xf numFmtId="0" fontId="0" fillId="0" borderId="15" xfId="0" applyBorder="1"/>
    <xf numFmtId="1" fontId="0" fillId="0" borderId="15" xfId="0" applyNumberFormat="1" applyBorder="1"/>
    <xf numFmtId="0" fontId="0" fillId="0" borderId="15" xfId="0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3" fillId="0" borderId="0" xfId="0" applyFont="1"/>
    <xf numFmtId="0" fontId="6" fillId="0" borderId="4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15" xfId="0" applyBorder="1" applyAlignment="1">
      <alignment wrapText="1"/>
    </xf>
    <xf numFmtId="3" fontId="0" fillId="0" borderId="15" xfId="0" applyNumberFormat="1" applyBorder="1" applyAlignment="1">
      <alignment horizontal="center"/>
    </xf>
    <xf numFmtId="0" fontId="6" fillId="0" borderId="26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9" fillId="0" borderId="0" xfId="0" applyFont="1" applyAlignment="1">
      <alignment horizontal="left"/>
    </xf>
    <xf numFmtId="0" fontId="10" fillId="4" borderId="0" xfId="0" applyFont="1" applyFill="1"/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vertical="top" wrapText="1"/>
    </xf>
    <xf numFmtId="0" fontId="12" fillId="0" borderId="37" xfId="0" applyFont="1" applyBorder="1" applyAlignment="1">
      <alignment vertical="top" wrapText="1"/>
    </xf>
    <xf numFmtId="0" fontId="12" fillId="0" borderId="38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40" xfId="0" quotePrefix="1" applyFont="1" applyBorder="1" applyAlignment="1">
      <alignment vertical="top" wrapText="1"/>
    </xf>
    <xf numFmtId="44" fontId="12" fillId="5" borderId="41" xfId="2" applyFont="1" applyFill="1" applyBorder="1" applyAlignment="1">
      <alignment horizontal="center" vertical="top" wrapText="1"/>
    </xf>
    <xf numFmtId="44" fontId="12" fillId="5" borderId="42" xfId="2" applyFont="1" applyFill="1" applyBorder="1" applyAlignment="1">
      <alignment horizontal="center" vertical="top" wrapText="1"/>
    </xf>
    <xf numFmtId="0" fontId="12" fillId="0" borderId="43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165" fontId="12" fillId="0" borderId="17" xfId="0" applyNumberFormat="1" applyFont="1" applyBorder="1" applyAlignment="1">
      <alignment horizontal="center" vertical="top" wrapText="1"/>
    </xf>
    <xf numFmtId="0" fontId="12" fillId="0" borderId="45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44" fontId="12" fillId="0" borderId="15" xfId="2" applyFont="1" applyBorder="1" applyAlignment="1">
      <alignment horizontal="center" vertical="top" wrapText="1"/>
    </xf>
    <xf numFmtId="44" fontId="12" fillId="0" borderId="46" xfId="2" applyFont="1" applyBorder="1" applyAlignment="1">
      <alignment horizontal="center" vertical="top" wrapText="1"/>
    </xf>
    <xf numFmtId="0" fontId="12" fillId="0" borderId="47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7" fontId="12" fillId="0" borderId="49" xfId="0" applyNumberFormat="1" applyFont="1" applyBorder="1" applyAlignment="1">
      <alignment horizontal="center" vertical="top" wrapText="1"/>
    </xf>
    <xf numFmtId="7" fontId="12" fillId="0" borderId="50" xfId="0" applyNumberFormat="1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51" xfId="0" applyFont="1" applyBorder="1" applyAlignment="1">
      <alignment horizontal="center" vertical="top" wrapText="1"/>
    </xf>
    <xf numFmtId="0" fontId="12" fillId="0" borderId="0" xfId="0" applyFont="1"/>
    <xf numFmtId="0" fontId="2" fillId="0" borderId="0" xfId="4" applyAlignment="1" applyProtection="1"/>
    <xf numFmtId="0" fontId="14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Fill="1"/>
    <xf numFmtId="0" fontId="0" fillId="4" borderId="0" xfId="0" applyFill="1"/>
    <xf numFmtId="0" fontId="10" fillId="0" borderId="0" xfId="0" applyFont="1" applyFill="1" applyBorder="1" applyAlignment="1">
      <alignment horizontal="left" vertical="top" wrapText="1"/>
    </xf>
    <xf numFmtId="0" fontId="12" fillId="0" borderId="6" xfId="0" quotePrefix="1" applyFont="1" applyBorder="1" applyAlignment="1">
      <alignment vertical="top" wrapText="1"/>
    </xf>
    <xf numFmtId="8" fontId="12" fillId="5" borderId="41" xfId="0" applyNumberFormat="1" applyFont="1" applyFill="1" applyBorder="1" applyAlignment="1">
      <alignment horizontal="center" vertical="top" wrapText="1"/>
    </xf>
    <xf numFmtId="8" fontId="12" fillId="5" borderId="42" xfId="0" applyNumberFormat="1" applyFont="1" applyFill="1" applyBorder="1" applyAlignment="1">
      <alignment horizontal="center" vertical="top" wrapText="1"/>
    </xf>
    <xf numFmtId="0" fontId="12" fillId="0" borderId="14" xfId="0" applyFont="1" applyBorder="1" applyAlignment="1">
      <alignment vertical="top" wrapText="1"/>
    </xf>
    <xf numFmtId="165" fontId="12" fillId="0" borderId="52" xfId="0" applyNumberFormat="1" applyFont="1" applyBorder="1" applyAlignment="1">
      <alignment horizontal="center" vertical="top" wrapText="1"/>
    </xf>
    <xf numFmtId="0" fontId="12" fillId="0" borderId="53" xfId="0" applyFont="1" applyBorder="1" applyAlignment="1">
      <alignment vertical="top" wrapText="1"/>
    </xf>
    <xf numFmtId="0" fontId="12" fillId="0" borderId="54" xfId="0" applyFont="1" applyBorder="1" applyAlignment="1">
      <alignment vertical="top" wrapText="1"/>
    </xf>
    <xf numFmtId="8" fontId="12" fillId="0" borderId="0" xfId="0" applyNumberFormat="1" applyFont="1" applyBorder="1" applyAlignment="1">
      <alignment horizontal="center" vertical="top" wrapText="1"/>
    </xf>
    <xf numFmtId="10" fontId="12" fillId="0" borderId="0" xfId="3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1" fontId="4" fillId="0" borderId="9" xfId="0" applyNumberFormat="1" applyFont="1" applyBorder="1" applyAlignment="1">
      <alignment horizontal="center" vertical="center" wrapText="1"/>
    </xf>
    <xf numFmtId="2" fontId="0" fillId="0" borderId="15" xfId="0" applyNumberFormat="1" applyBorder="1"/>
    <xf numFmtId="43" fontId="3" fillId="0" borderId="0" xfId="1" applyFont="1" applyAlignment="1">
      <alignment vertical="center"/>
    </xf>
    <xf numFmtId="164" fontId="0" fillId="0" borderId="0" xfId="1" applyNumberFormat="1" applyFont="1" applyFill="1"/>
    <xf numFmtId="1" fontId="0" fillId="0" borderId="55" xfId="0" applyNumberFormat="1" applyFill="1" applyBorder="1"/>
    <xf numFmtId="1" fontId="0" fillId="0" borderId="0" xfId="0" applyNumberFormat="1"/>
    <xf numFmtId="2" fontId="0" fillId="0" borderId="0" xfId="0" applyNumberFormat="1"/>
    <xf numFmtId="43" fontId="3" fillId="0" borderId="0" xfId="1" applyFont="1" applyFill="1" applyAlignment="1">
      <alignment vertical="center"/>
    </xf>
    <xf numFmtId="3" fontId="0" fillId="0" borderId="0" xfId="0" applyNumberFormat="1"/>
    <xf numFmtId="0" fontId="0" fillId="3" borderId="0" xfId="0" applyFill="1"/>
    <xf numFmtId="3" fontId="0" fillId="3" borderId="0" xfId="0" applyNumberFormat="1" applyFill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left" vertical="top"/>
    </xf>
    <xf numFmtId="6" fontId="4" fillId="3" borderId="22" xfId="0" applyNumberFormat="1" applyFont="1" applyFill="1" applyBorder="1" applyAlignment="1">
      <alignment horizontal="center" vertical="center" wrapText="1"/>
    </xf>
    <xf numFmtId="6" fontId="4" fillId="3" borderId="23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6" fontId="4" fillId="3" borderId="10" xfId="0" applyNumberFormat="1" applyFont="1" applyFill="1" applyBorder="1" applyAlignment="1">
      <alignment horizontal="center" vertical="center" wrapText="1"/>
    </xf>
    <xf numFmtId="6" fontId="4" fillId="3" borderId="7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6" fontId="4" fillId="0" borderId="6" xfId="0" applyNumberFormat="1" applyFont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6" fontId="4" fillId="3" borderId="6" xfId="0" applyNumberFormat="1" applyFont="1" applyFill="1" applyBorder="1" applyAlignment="1">
      <alignment horizontal="center" vertical="center" wrapText="1"/>
    </xf>
    <xf numFmtId="6" fontId="4" fillId="0" borderId="20" xfId="0" applyNumberFormat="1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7" fillId="2" borderId="30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vertical="center" wrapText="1"/>
    </xf>
    <xf numFmtId="6" fontId="4" fillId="0" borderId="33" xfId="0" applyNumberFormat="1" applyFont="1" applyBorder="1" applyAlignment="1">
      <alignment horizontal="center" vertical="center" wrapText="1"/>
    </xf>
    <xf numFmtId="6" fontId="4" fillId="0" borderId="34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6" fontId="4" fillId="0" borderId="22" xfId="0" applyNumberFormat="1" applyFont="1" applyBorder="1" applyAlignment="1">
      <alignment horizontal="center" vertical="center" wrapText="1"/>
    </xf>
    <xf numFmtId="6" fontId="4" fillId="0" borderId="23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6" fontId="4" fillId="0" borderId="35" xfId="0" applyNumberFormat="1" applyFont="1" applyBorder="1" applyAlignment="1">
      <alignment horizontal="center" vertical="center" wrapText="1"/>
    </xf>
    <xf numFmtId="6" fontId="4" fillId="0" borderId="3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~Economic%20Analysis%20Branch\ICRs\Old%20Wage%20Tables\ICRwageTables%20by%20NAICS-Ju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"/>
      <sheetName val="Tabs"/>
      <sheetName val="Rules"/>
      <sheetName val="NAICS"/>
      <sheetName val="Template"/>
      <sheetName val="Fringe"/>
      <sheetName val="Ag"/>
      <sheetName val="Ag Spt"/>
      <sheetName val="Contractors"/>
      <sheetName val="Chem Manuf"/>
      <sheetName val="Registrant"/>
      <sheetName val="Food Manuf"/>
      <sheetName val="Wholesale"/>
      <sheetName val="Retail Supply"/>
      <sheetName val="Retail Stores"/>
      <sheetName val="R&amp;D"/>
      <sheetName val="Bldg Services"/>
      <sheetName val="PCO"/>
      <sheetName val="Colleges"/>
      <sheetName val="IR4  Consulting"/>
      <sheetName val="Gov"/>
      <sheetName val="EPA"/>
      <sheetName val="State Gov"/>
      <sheetName val="Local Gov"/>
      <sheetName val="Summary"/>
      <sheetName val="CAplr data"/>
      <sheetName val="database"/>
    </sheetNames>
    <sheetDataSet>
      <sheetData sheetId="0"/>
      <sheetData sheetId="1"/>
      <sheetData sheetId="2"/>
      <sheetData sheetId="3"/>
      <sheetData sheetId="4"/>
      <sheetData sheetId="5">
        <row r="8">
          <cell r="B8">
            <v>0.45796986518636007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ls.gov/oes/current/naics4_3250A1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s.gov/oes/current/naics4_999100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CC7A3-D44D-4542-8411-CA130CFE78B8}">
  <dimension ref="A1:G23"/>
  <sheetViews>
    <sheetView topLeftCell="A16" zoomScale="93" zoomScaleNormal="93" workbookViewId="0">
      <selection activeCell="K21" sqref="K21"/>
    </sheetView>
  </sheetViews>
  <sheetFormatPr defaultRowHeight="14.4" x14ac:dyDescent="0.3"/>
  <cols>
    <col min="1" max="1" width="25" customWidth="1"/>
    <col min="2" max="2" width="15.6640625" customWidth="1"/>
    <col min="3" max="3" width="18.109375" customWidth="1"/>
    <col min="4" max="4" width="13.44140625" customWidth="1"/>
    <col min="5" max="5" width="24.88671875" customWidth="1"/>
  </cols>
  <sheetData>
    <row r="1" spans="1:7" ht="15.6" x14ac:dyDescent="0.3">
      <c r="A1" s="13" t="s">
        <v>58</v>
      </c>
    </row>
    <row r="2" spans="1:7" ht="16.2" thickBot="1" x14ac:dyDescent="0.35">
      <c r="A2" s="7" t="s">
        <v>59</v>
      </c>
    </row>
    <row r="3" spans="1:7" ht="45.75" customHeight="1" thickBot="1" x14ac:dyDescent="0.35">
      <c r="A3" s="89" t="s">
        <v>0</v>
      </c>
      <c r="B3" s="92" t="s">
        <v>1</v>
      </c>
      <c r="C3" s="93"/>
      <c r="D3" s="94" t="s">
        <v>2</v>
      </c>
      <c r="E3" s="95"/>
    </row>
    <row r="4" spans="1:7" ht="33.75" customHeight="1" thickBot="1" x14ac:dyDescent="0.35">
      <c r="A4" s="90"/>
      <c r="B4" s="4" t="s">
        <v>3</v>
      </c>
      <c r="C4" s="96" t="s">
        <v>4</v>
      </c>
      <c r="D4" s="4" t="s">
        <v>3</v>
      </c>
      <c r="E4" s="98" t="s">
        <v>4</v>
      </c>
      <c r="G4">
        <v>47.78</v>
      </c>
    </row>
    <row r="5" spans="1:7" ht="18.75" customHeight="1" thickBot="1" x14ac:dyDescent="0.35">
      <c r="A5" s="91"/>
      <c r="B5" s="4" t="s">
        <v>5</v>
      </c>
      <c r="C5" s="97"/>
      <c r="D5" s="4" t="s">
        <v>6</v>
      </c>
      <c r="E5" s="99"/>
      <c r="G5">
        <v>143.29</v>
      </c>
    </row>
    <row r="6" spans="1:7" ht="15" thickBot="1" x14ac:dyDescent="0.35">
      <c r="A6" s="5" t="s">
        <v>7</v>
      </c>
      <c r="B6" s="4">
        <v>0</v>
      </c>
      <c r="C6" s="6">
        <f>B6*G4</f>
        <v>0</v>
      </c>
      <c r="D6" s="4">
        <v>0.5</v>
      </c>
      <c r="E6" s="9">
        <f>D6*$G$5</f>
        <v>71.644999999999996</v>
      </c>
    </row>
    <row r="7" spans="1:7" ht="15" thickBot="1" x14ac:dyDescent="0.35">
      <c r="A7" s="5" t="s">
        <v>8</v>
      </c>
      <c r="B7" s="4">
        <v>0</v>
      </c>
      <c r="C7" s="6">
        <f>B7*G4</f>
        <v>0</v>
      </c>
      <c r="D7" s="4">
        <v>0.5</v>
      </c>
      <c r="E7" s="9">
        <f t="shared" ref="E7:E10" si="0">D7*$G$5</f>
        <v>71.644999999999996</v>
      </c>
    </row>
    <row r="8" spans="1:7" ht="15" thickBot="1" x14ac:dyDescent="0.35">
      <c r="A8" s="5" t="s">
        <v>9</v>
      </c>
      <c r="B8" s="4">
        <v>1</v>
      </c>
      <c r="C8" s="6">
        <v>48</v>
      </c>
      <c r="D8" s="4">
        <v>2</v>
      </c>
      <c r="E8" s="9">
        <v>286</v>
      </c>
    </row>
    <row r="9" spans="1:7" ht="15" thickBot="1" x14ac:dyDescent="0.35">
      <c r="A9" s="5" t="s">
        <v>10</v>
      </c>
      <c r="B9" s="4">
        <v>1</v>
      </c>
      <c r="C9" s="6">
        <v>48</v>
      </c>
      <c r="D9" s="4">
        <v>0.5</v>
      </c>
      <c r="E9" s="9">
        <f t="shared" si="0"/>
        <v>71.644999999999996</v>
      </c>
    </row>
    <row r="10" spans="1:7" ht="15" thickBot="1" x14ac:dyDescent="0.35">
      <c r="A10" s="5" t="s">
        <v>11</v>
      </c>
      <c r="B10" s="4">
        <v>1</v>
      </c>
      <c r="C10" s="6">
        <v>48</v>
      </c>
      <c r="D10" s="4">
        <v>0.5</v>
      </c>
      <c r="E10" s="9">
        <f t="shared" si="0"/>
        <v>71.644999999999996</v>
      </c>
    </row>
    <row r="11" spans="1:7" ht="15" thickBot="1" x14ac:dyDescent="0.35">
      <c r="A11" s="5" t="s">
        <v>12</v>
      </c>
      <c r="B11" s="6">
        <f>SUM(B6:B10)</f>
        <v>3</v>
      </c>
      <c r="C11" s="6">
        <v>144</v>
      </c>
      <c r="D11" s="6">
        <f t="shared" ref="D11" si="1">SUM(D6:D10)</f>
        <v>4</v>
      </c>
      <c r="E11" s="78">
        <v>572</v>
      </c>
    </row>
    <row r="12" spans="1:7" x14ac:dyDescent="0.3">
      <c r="A12" s="8"/>
    </row>
    <row r="15" spans="1:7" ht="15.6" x14ac:dyDescent="0.3">
      <c r="B15" s="7" t="s">
        <v>40</v>
      </c>
    </row>
    <row r="16" spans="1:7" ht="15" x14ac:dyDescent="0.3">
      <c r="B16" s="22" t="s">
        <v>41</v>
      </c>
    </row>
    <row r="17" spans="2:4" ht="15" x14ac:dyDescent="0.3">
      <c r="B17" s="22"/>
    </row>
    <row r="18" spans="2:4" ht="15.6" x14ac:dyDescent="0.3">
      <c r="B18" s="7" t="s">
        <v>42</v>
      </c>
    </row>
    <row r="19" spans="2:4" ht="15.6" x14ac:dyDescent="0.3">
      <c r="B19" s="15" t="s">
        <v>43</v>
      </c>
    </row>
    <row r="21" spans="2:4" x14ac:dyDescent="0.3">
      <c r="B21" s="2">
        <f>B11*G4*1804</f>
        <v>258585.36000000002</v>
      </c>
    </row>
    <row r="22" spans="2:4" x14ac:dyDescent="0.3">
      <c r="B22" s="2">
        <f>D11*G5*(1804*0.01)</f>
        <v>10339.806399999999</v>
      </c>
      <c r="D22">
        <f>(3*1804)+(4*(1804*0.01))</f>
        <v>5484.16</v>
      </c>
    </row>
    <row r="23" spans="2:4" x14ac:dyDescent="0.3">
      <c r="B23" s="3">
        <f>SUM(B21:B22)</f>
        <v>268925.16639999999</v>
      </c>
    </row>
  </sheetData>
  <mergeCells count="5">
    <mergeCell ref="A3:A5"/>
    <mergeCell ref="B3:C3"/>
    <mergeCell ref="D3:E3"/>
    <mergeCell ref="C4:C5"/>
    <mergeCell ref="E4:E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FE46-A373-484B-8805-41616B7DB9A8}">
  <dimension ref="A1:G20"/>
  <sheetViews>
    <sheetView workbookViewId="0"/>
  </sheetViews>
  <sheetFormatPr defaultColWidth="28.5546875" defaultRowHeight="14.4" x14ac:dyDescent="0.3"/>
  <sheetData>
    <row r="1" spans="1:7" ht="17.399999999999999" x14ac:dyDescent="0.3">
      <c r="A1" s="37" t="s">
        <v>130</v>
      </c>
      <c r="B1" s="66" t="s">
        <v>131</v>
      </c>
    </row>
    <row r="2" spans="1:7" ht="18" thickBot="1" x14ac:dyDescent="0.35">
      <c r="A2" s="37" t="s">
        <v>132</v>
      </c>
      <c r="C2" s="38"/>
      <c r="G2" s="63" t="s">
        <v>133</v>
      </c>
    </row>
    <row r="3" spans="1:7" ht="53.4" thickBot="1" x14ac:dyDescent="0.35">
      <c r="A3" s="39" t="s">
        <v>95</v>
      </c>
      <c r="B3" s="40" t="s">
        <v>96</v>
      </c>
      <c r="C3" s="41" t="s">
        <v>97</v>
      </c>
      <c r="D3" s="41" t="s">
        <v>98</v>
      </c>
      <c r="E3" s="42" t="s">
        <v>99</v>
      </c>
      <c r="G3" s="67" t="s">
        <v>134</v>
      </c>
    </row>
    <row r="4" spans="1:7" ht="19.2" thickBot="1" x14ac:dyDescent="0.35">
      <c r="A4" s="43" t="s">
        <v>100</v>
      </c>
      <c r="B4" s="68" t="s">
        <v>101</v>
      </c>
      <c r="C4" s="69">
        <v>65.52</v>
      </c>
      <c r="D4" s="69">
        <v>34.270000000000003</v>
      </c>
      <c r="E4" s="70">
        <v>21.85</v>
      </c>
    </row>
    <row r="5" spans="1:7" ht="18.600000000000001" x14ac:dyDescent="0.3">
      <c r="A5" s="47" t="s">
        <v>102</v>
      </c>
      <c r="B5" s="71" t="s">
        <v>103</v>
      </c>
      <c r="C5" s="72">
        <f>[1]Fringe!B8</f>
        <v>0.45796986518636007</v>
      </c>
      <c r="D5" s="72">
        <f>$C$5</f>
        <v>0.45796986518636007</v>
      </c>
      <c r="E5" s="72">
        <f>$C$5</f>
        <v>0.45796986518636007</v>
      </c>
    </row>
    <row r="6" spans="1:7" ht="15.6" x14ac:dyDescent="0.3">
      <c r="A6" s="50" t="s">
        <v>104</v>
      </c>
      <c r="B6" s="73" t="s">
        <v>105</v>
      </c>
      <c r="C6" s="52">
        <f>+C4*C5</f>
        <v>30.006185567010309</v>
      </c>
      <c r="D6" s="52">
        <f>+D4*D5</f>
        <v>15.694627279936562</v>
      </c>
      <c r="E6" s="53">
        <f>+E4*E5</f>
        <v>10.006641554321968</v>
      </c>
    </row>
    <row r="7" spans="1:7" ht="16.2" thickBot="1" x14ac:dyDescent="0.35">
      <c r="A7" s="54" t="s">
        <v>106</v>
      </c>
      <c r="B7" s="74" t="s">
        <v>107</v>
      </c>
      <c r="C7" s="56">
        <f>+C4+C6</f>
        <v>95.526185567010302</v>
      </c>
      <c r="D7" s="56">
        <f>+D4+D6</f>
        <v>49.964627279936565</v>
      </c>
      <c r="E7" s="57">
        <f>+E4+E6</f>
        <v>31.856641554321968</v>
      </c>
    </row>
    <row r="8" spans="1:7" ht="18.600000000000001" x14ac:dyDescent="0.3">
      <c r="A8" s="47" t="s">
        <v>108</v>
      </c>
      <c r="B8" s="71" t="s">
        <v>109</v>
      </c>
      <c r="C8" s="58" t="s">
        <v>110</v>
      </c>
      <c r="D8" s="58" t="s">
        <v>110</v>
      </c>
      <c r="E8" s="59" t="s">
        <v>110</v>
      </c>
    </row>
    <row r="9" spans="1:7" ht="15.6" x14ac:dyDescent="0.3">
      <c r="A9" s="50" t="s">
        <v>111</v>
      </c>
      <c r="B9" s="73" t="s">
        <v>112</v>
      </c>
      <c r="C9" s="52">
        <f>+C7*C8</f>
        <v>47.763092783505151</v>
      </c>
      <c r="D9" s="52">
        <f>+D7*D8</f>
        <v>24.982313639968282</v>
      </c>
      <c r="E9" s="53">
        <f>+E7*E8</f>
        <v>15.928320777160984</v>
      </c>
    </row>
    <row r="10" spans="1:7" ht="31.8" thickBot="1" x14ac:dyDescent="0.35">
      <c r="A10" s="54" t="s">
        <v>113</v>
      </c>
      <c r="B10" s="55" t="s">
        <v>114</v>
      </c>
      <c r="C10" s="56">
        <f>+C7+C9</f>
        <v>143.28927835051545</v>
      </c>
      <c r="D10" s="56">
        <f>+D7+D9</f>
        <v>74.946940919904847</v>
      </c>
      <c r="E10" s="57">
        <f>+E7+E9</f>
        <v>47.784962331482951</v>
      </c>
    </row>
    <row r="11" spans="1:7" ht="15.6" x14ac:dyDescent="0.3">
      <c r="C11" s="75"/>
      <c r="D11" s="75"/>
      <c r="E11" s="75"/>
    </row>
    <row r="12" spans="1:7" ht="15.6" x14ac:dyDescent="0.3">
      <c r="A12" s="60" t="s">
        <v>115</v>
      </c>
      <c r="B12" s="61" t="s">
        <v>135</v>
      </c>
      <c r="E12" s="62" t="s">
        <v>117</v>
      </c>
      <c r="F12" s="63" t="s">
        <v>13</v>
      </c>
    </row>
    <row r="13" spans="1:7" ht="15.6" x14ac:dyDescent="0.3">
      <c r="A13" s="60" t="s">
        <v>136</v>
      </c>
      <c r="B13" s="61"/>
      <c r="E13" t="s">
        <v>119</v>
      </c>
    </row>
    <row r="14" spans="1:7" ht="15.6" x14ac:dyDescent="0.3">
      <c r="A14" s="60" t="s">
        <v>120</v>
      </c>
      <c r="B14" s="61"/>
      <c r="E14" s="64"/>
    </row>
    <row r="15" spans="1:7" ht="15.6" x14ac:dyDescent="0.3">
      <c r="A15" s="60" t="s">
        <v>121</v>
      </c>
      <c r="B15" s="60" t="s">
        <v>122</v>
      </c>
    </row>
    <row r="16" spans="1:7" ht="15.6" x14ac:dyDescent="0.3">
      <c r="A16" s="60" t="s">
        <v>123</v>
      </c>
      <c r="B16" s="60" t="s">
        <v>124</v>
      </c>
    </row>
    <row r="17" spans="1:6" ht="15.6" x14ac:dyDescent="0.3">
      <c r="A17" s="60" t="s">
        <v>126</v>
      </c>
      <c r="B17" s="60" t="s">
        <v>127</v>
      </c>
    </row>
    <row r="18" spans="1:6" ht="15.6" x14ac:dyDescent="0.3">
      <c r="A18" s="60" t="s">
        <v>128</v>
      </c>
    </row>
    <row r="19" spans="1:6" ht="15.6" x14ac:dyDescent="0.3">
      <c r="A19" s="141" t="s">
        <v>129</v>
      </c>
      <c r="B19" s="141"/>
      <c r="C19" s="141"/>
      <c r="D19" s="141"/>
      <c r="E19" s="141"/>
      <c r="F19" s="76"/>
    </row>
    <row r="20" spans="1:6" ht="15.6" x14ac:dyDescent="0.3">
      <c r="C20" s="77"/>
      <c r="D20" s="77"/>
      <c r="E20" s="77"/>
    </row>
  </sheetData>
  <mergeCells count="1">
    <mergeCell ref="A19:E19"/>
  </mergeCells>
  <hyperlinks>
    <hyperlink ref="B12" r:id="rId1" xr:uid="{252C8A66-7F2F-4066-9B5C-BA167977FBC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7D3B-F442-4494-A860-EB47B0F89EE9}">
  <dimension ref="A1:F19"/>
  <sheetViews>
    <sheetView tabSelected="1" workbookViewId="0">
      <selection activeCell="D21" sqref="D21"/>
    </sheetView>
  </sheetViews>
  <sheetFormatPr defaultColWidth="20.44140625" defaultRowHeight="14.4" x14ac:dyDescent="0.3"/>
  <sheetData>
    <row r="1" spans="1:6" ht="17.399999999999999" x14ac:dyDescent="0.3">
      <c r="A1" s="35" t="s">
        <v>92</v>
      </c>
      <c r="B1" s="36" t="s">
        <v>93</v>
      </c>
    </row>
    <row r="2" spans="1:6" ht="18" thickBot="1" x14ac:dyDescent="0.35">
      <c r="A2" s="37" t="s">
        <v>94</v>
      </c>
      <c r="C2" s="38"/>
    </row>
    <row r="3" spans="1:6" ht="16.2" thickBot="1" x14ac:dyDescent="0.35">
      <c r="A3" s="39" t="s">
        <v>95</v>
      </c>
      <c r="B3" s="40" t="s">
        <v>96</v>
      </c>
      <c r="C3" s="41" t="s">
        <v>97</v>
      </c>
      <c r="D3" s="41" t="s">
        <v>98</v>
      </c>
      <c r="E3" s="42" t="s">
        <v>99</v>
      </c>
    </row>
    <row r="4" spans="1:6" ht="34.799999999999997" thickBot="1" x14ac:dyDescent="0.35">
      <c r="A4" s="43" t="s">
        <v>100</v>
      </c>
      <c r="B4" s="44" t="s">
        <v>101</v>
      </c>
      <c r="C4" s="45">
        <v>60.42</v>
      </c>
      <c r="D4" s="45">
        <v>39.89</v>
      </c>
      <c r="E4" s="46">
        <v>22.33</v>
      </c>
    </row>
    <row r="5" spans="1:6" ht="18.600000000000001" x14ac:dyDescent="0.3">
      <c r="A5" s="47" t="s">
        <v>102</v>
      </c>
      <c r="B5" s="48" t="s">
        <v>103</v>
      </c>
      <c r="C5" s="49">
        <f>+[1]Fringe!B8</f>
        <v>0.45796986518636007</v>
      </c>
      <c r="D5" s="49">
        <f>$C$5</f>
        <v>0.45796986518636007</v>
      </c>
      <c r="E5" s="49">
        <f>$C$5</f>
        <v>0.45796986518636007</v>
      </c>
    </row>
    <row r="6" spans="1:6" ht="15.6" x14ac:dyDescent="0.3">
      <c r="A6" s="50" t="s">
        <v>104</v>
      </c>
      <c r="B6" s="51" t="s">
        <v>105</v>
      </c>
      <c r="C6" s="52">
        <f>+C4*C5</f>
        <v>27.670539254559877</v>
      </c>
      <c r="D6" s="52">
        <f>+D4*D5</f>
        <v>18.268417922283902</v>
      </c>
      <c r="E6" s="53">
        <f>+E4*E5</f>
        <v>10.22646708961142</v>
      </c>
    </row>
    <row r="7" spans="1:6" ht="31.8" thickBot="1" x14ac:dyDescent="0.35">
      <c r="A7" s="54" t="s">
        <v>106</v>
      </c>
      <c r="B7" s="55" t="s">
        <v>107</v>
      </c>
      <c r="C7" s="56">
        <f>+C4+C6</f>
        <v>88.090539254559872</v>
      </c>
      <c r="D7" s="56">
        <f>+D4+D6</f>
        <v>58.158417922283903</v>
      </c>
      <c r="E7" s="57">
        <f>+E4+E6</f>
        <v>32.556467089611417</v>
      </c>
    </row>
    <row r="8" spans="1:6" ht="34.200000000000003" x14ac:dyDescent="0.3">
      <c r="A8" s="47" t="s">
        <v>108</v>
      </c>
      <c r="B8" s="48" t="s">
        <v>109</v>
      </c>
      <c r="C8" s="58" t="s">
        <v>110</v>
      </c>
      <c r="D8" s="58" t="s">
        <v>110</v>
      </c>
      <c r="E8" s="59" t="s">
        <v>110</v>
      </c>
    </row>
    <row r="9" spans="1:6" ht="15.6" x14ac:dyDescent="0.3">
      <c r="A9" s="50" t="s">
        <v>111</v>
      </c>
      <c r="B9" s="51" t="s">
        <v>112</v>
      </c>
      <c r="C9" s="52">
        <f>+C7*C8</f>
        <v>44.045269627279936</v>
      </c>
      <c r="D9" s="52">
        <f>+D7*D8</f>
        <v>29.079208961141951</v>
      </c>
      <c r="E9" s="53">
        <f>+E7*E8</f>
        <v>16.278233544805708</v>
      </c>
    </row>
    <row r="10" spans="1:6" ht="31.8" thickBot="1" x14ac:dyDescent="0.35">
      <c r="A10" s="54" t="s">
        <v>113</v>
      </c>
      <c r="B10" s="55" t="s">
        <v>114</v>
      </c>
      <c r="C10" s="56">
        <f>+C7+C9</f>
        <v>132.13580888183981</v>
      </c>
      <c r="D10" s="56">
        <f>+D7+D9</f>
        <v>87.237626883425861</v>
      </c>
      <c r="E10" s="57">
        <f>+E7+E9</f>
        <v>48.834700634417125</v>
      </c>
    </row>
    <row r="12" spans="1:6" ht="15.6" x14ac:dyDescent="0.3">
      <c r="A12" s="60" t="s">
        <v>115</v>
      </c>
      <c r="B12" s="61" t="s">
        <v>116</v>
      </c>
      <c r="E12" s="62" t="s">
        <v>117</v>
      </c>
      <c r="F12" s="63" t="s">
        <v>13</v>
      </c>
    </row>
    <row r="13" spans="1:6" ht="15.6" x14ac:dyDescent="0.3">
      <c r="A13" s="60" t="s">
        <v>118</v>
      </c>
      <c r="B13" s="64"/>
      <c r="E13" s="63" t="s">
        <v>119</v>
      </c>
    </row>
    <row r="14" spans="1:6" ht="15.6" x14ac:dyDescent="0.3">
      <c r="A14" s="60" t="s">
        <v>120</v>
      </c>
      <c r="B14" s="61"/>
    </row>
    <row r="15" spans="1:6" ht="15.6" x14ac:dyDescent="0.3">
      <c r="A15" s="65" t="s">
        <v>121</v>
      </c>
      <c r="B15" s="65" t="s">
        <v>122</v>
      </c>
      <c r="C15" s="33"/>
      <c r="D15" s="33"/>
      <c r="E15" s="33"/>
    </row>
    <row r="16" spans="1:6" ht="15.6" x14ac:dyDescent="0.3">
      <c r="A16" s="65" t="s">
        <v>123</v>
      </c>
      <c r="B16" s="65" t="s">
        <v>124</v>
      </c>
      <c r="C16" s="33"/>
      <c r="D16" s="33"/>
      <c r="E16" s="33" t="s">
        <v>125</v>
      </c>
    </row>
    <row r="17" spans="1:5" ht="15.6" x14ac:dyDescent="0.3">
      <c r="A17" s="65" t="s">
        <v>126</v>
      </c>
      <c r="B17" s="65" t="s">
        <v>127</v>
      </c>
      <c r="C17" s="33"/>
      <c r="D17" s="33"/>
      <c r="E17" s="33"/>
    </row>
    <row r="18" spans="1:5" ht="15.6" x14ac:dyDescent="0.3">
      <c r="A18" s="65" t="s">
        <v>128</v>
      </c>
      <c r="B18" s="33"/>
      <c r="C18" s="33"/>
      <c r="D18" s="33"/>
      <c r="E18" s="33"/>
    </row>
    <row r="19" spans="1:5" ht="15.6" x14ac:dyDescent="0.3">
      <c r="A19" s="141" t="s">
        <v>129</v>
      </c>
      <c r="B19" s="141"/>
      <c r="C19" s="141"/>
      <c r="D19" s="141"/>
      <c r="E19" s="141"/>
    </row>
  </sheetData>
  <mergeCells count="1">
    <mergeCell ref="A19:E19"/>
  </mergeCells>
  <hyperlinks>
    <hyperlink ref="B12" r:id="rId1" xr:uid="{9878CA31-7DBC-4287-A1E9-98288A9A55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E00C-EF85-4A1F-861C-28E1772A5368}">
  <dimension ref="A1:E18"/>
  <sheetViews>
    <sheetView topLeftCell="A7" workbookViewId="0">
      <selection activeCell="D12" sqref="D12"/>
    </sheetView>
  </sheetViews>
  <sheetFormatPr defaultRowHeight="14.4" x14ac:dyDescent="0.3"/>
  <cols>
    <col min="1" max="1" width="21.5546875" bestFit="1" customWidth="1"/>
    <col min="2" max="2" width="22.5546875" bestFit="1" customWidth="1"/>
    <col min="3" max="3" width="11" bestFit="1" customWidth="1"/>
    <col min="4" max="4" width="20.33203125" customWidth="1"/>
  </cols>
  <sheetData>
    <row r="1" spans="1:5" ht="15.6" x14ac:dyDescent="0.3">
      <c r="A1" s="13" t="s">
        <v>60</v>
      </c>
    </row>
    <row r="2" spans="1:5" ht="15.6" x14ac:dyDescent="0.3">
      <c r="A2" s="13" t="s">
        <v>61</v>
      </c>
    </row>
    <row r="3" spans="1:5" ht="15.6" x14ac:dyDescent="0.3">
      <c r="A3" s="13" t="s">
        <v>62</v>
      </c>
    </row>
    <row r="4" spans="1:5" x14ac:dyDescent="0.3">
      <c r="A4" s="101" t="s">
        <v>0</v>
      </c>
      <c r="B4" s="100" t="s">
        <v>3</v>
      </c>
      <c r="C4" s="100"/>
      <c r="D4" s="103" t="s">
        <v>17</v>
      </c>
    </row>
    <row r="5" spans="1:5" x14ac:dyDescent="0.3">
      <c r="A5" s="102"/>
      <c r="B5" s="10" t="s">
        <v>5</v>
      </c>
      <c r="C5" s="10" t="s">
        <v>14</v>
      </c>
      <c r="D5" s="103"/>
    </row>
    <row r="6" spans="1:5" x14ac:dyDescent="0.3">
      <c r="A6" s="10" t="s">
        <v>7</v>
      </c>
      <c r="B6" s="10">
        <v>0</v>
      </c>
      <c r="C6" s="10">
        <f>B6</f>
        <v>0</v>
      </c>
      <c r="D6" s="10">
        <f>C6*47.78</f>
        <v>0</v>
      </c>
    </row>
    <row r="7" spans="1:5" x14ac:dyDescent="0.3">
      <c r="A7" s="10" t="s">
        <v>8</v>
      </c>
      <c r="B7" s="10">
        <v>0</v>
      </c>
      <c r="C7" s="10">
        <f t="shared" ref="C7:C10" si="0">B7</f>
        <v>0</v>
      </c>
      <c r="D7" s="10">
        <f t="shared" ref="D7:D10" si="1">C7*47.78</f>
        <v>0</v>
      </c>
    </row>
    <row r="8" spans="1:5" x14ac:dyDescent="0.3">
      <c r="A8" s="10" t="s">
        <v>15</v>
      </c>
      <c r="B8" s="10">
        <v>1.75</v>
      </c>
      <c r="C8" s="10">
        <f t="shared" si="0"/>
        <v>1.75</v>
      </c>
      <c r="D8" s="11">
        <f t="shared" si="1"/>
        <v>83.615000000000009</v>
      </c>
    </row>
    <row r="9" spans="1:5" x14ac:dyDescent="0.3">
      <c r="A9" s="10" t="s">
        <v>16</v>
      </c>
      <c r="B9" s="10">
        <v>1.25</v>
      </c>
      <c r="C9" s="10">
        <f t="shared" si="0"/>
        <v>1.25</v>
      </c>
      <c r="D9" s="11">
        <f t="shared" si="1"/>
        <v>59.725000000000001</v>
      </c>
    </row>
    <row r="10" spans="1:5" x14ac:dyDescent="0.3">
      <c r="A10" s="10" t="s">
        <v>12</v>
      </c>
      <c r="B10" s="10">
        <f>SUM(B6:B9)</f>
        <v>3</v>
      </c>
      <c r="C10" s="10">
        <f t="shared" si="0"/>
        <v>3</v>
      </c>
      <c r="D10" s="79">
        <f t="shared" si="1"/>
        <v>143.34</v>
      </c>
      <c r="E10" t="s">
        <v>139</v>
      </c>
    </row>
    <row r="12" spans="1:5" ht="15.6" x14ac:dyDescent="0.3">
      <c r="A12" s="7" t="s">
        <v>44</v>
      </c>
    </row>
    <row r="13" spans="1:5" ht="15" x14ac:dyDescent="0.3">
      <c r="A13" s="22" t="s">
        <v>138</v>
      </c>
    </row>
    <row r="14" spans="1:5" ht="15.6" x14ac:dyDescent="0.3">
      <c r="A14" s="7"/>
      <c r="B14" s="2">
        <f>3*1804</f>
        <v>5412</v>
      </c>
    </row>
    <row r="15" spans="1:5" ht="15.6" x14ac:dyDescent="0.3">
      <c r="A15" s="7" t="s">
        <v>42</v>
      </c>
    </row>
    <row r="16" spans="1:5" ht="15" x14ac:dyDescent="0.3">
      <c r="A16" s="22" t="s">
        <v>137</v>
      </c>
    </row>
    <row r="17" spans="1:2" ht="15" x14ac:dyDescent="0.3">
      <c r="A17" s="80">
        <f>3*47.78*1804</f>
        <v>258585.36000000002</v>
      </c>
    </row>
    <row r="18" spans="1:2" x14ac:dyDescent="0.3">
      <c r="B18" s="1">
        <f>3*(47.78*1804)</f>
        <v>258585.36</v>
      </c>
    </row>
  </sheetData>
  <mergeCells count="3">
    <mergeCell ref="B4:C4"/>
    <mergeCell ref="A4:A5"/>
    <mergeCell ref="D4:D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A8E2-F967-4707-BA4D-CBBC353690BE}">
  <dimension ref="A1:H27"/>
  <sheetViews>
    <sheetView topLeftCell="A13" workbookViewId="0">
      <selection activeCell="F13" sqref="F13"/>
    </sheetView>
  </sheetViews>
  <sheetFormatPr defaultRowHeight="14.4" x14ac:dyDescent="0.3"/>
  <cols>
    <col min="1" max="1" width="21.5546875" bestFit="1" customWidth="1"/>
    <col min="2" max="2" width="14.33203125" bestFit="1" customWidth="1"/>
    <col min="3" max="3" width="11" bestFit="1" customWidth="1"/>
    <col min="4" max="4" width="18.44140625" customWidth="1"/>
    <col min="8" max="8" width="10.33203125" bestFit="1" customWidth="1"/>
  </cols>
  <sheetData>
    <row r="1" spans="1:8" ht="15.6" x14ac:dyDescent="0.3">
      <c r="A1" s="13" t="s">
        <v>20</v>
      </c>
    </row>
    <row r="2" spans="1:8" ht="15.6" x14ac:dyDescent="0.3">
      <c r="A2" s="7" t="s">
        <v>21</v>
      </c>
    </row>
    <row r="3" spans="1:8" x14ac:dyDescent="0.3">
      <c r="A3" s="100" t="s">
        <v>0</v>
      </c>
      <c r="B3" s="100" t="s">
        <v>3</v>
      </c>
      <c r="C3" s="100"/>
      <c r="D3" s="103" t="s">
        <v>17</v>
      </c>
    </row>
    <row r="4" spans="1:8" x14ac:dyDescent="0.3">
      <c r="A4" s="100"/>
      <c r="B4" s="10" t="s">
        <v>5</v>
      </c>
      <c r="C4" s="10" t="s">
        <v>14</v>
      </c>
      <c r="D4" s="103"/>
    </row>
    <row r="5" spans="1:8" x14ac:dyDescent="0.3">
      <c r="A5" s="10" t="s">
        <v>7</v>
      </c>
      <c r="B5" s="10">
        <v>0.5</v>
      </c>
      <c r="C5" s="10">
        <f>B5</f>
        <v>0.5</v>
      </c>
      <c r="D5" s="11">
        <f>C5*47.78</f>
        <v>23.89</v>
      </c>
      <c r="E5">
        <v>24</v>
      </c>
    </row>
    <row r="6" spans="1:8" x14ac:dyDescent="0.3">
      <c r="A6" s="10" t="s">
        <v>8</v>
      </c>
      <c r="B6" s="10">
        <v>0.5</v>
      </c>
      <c r="C6" s="10">
        <f t="shared" ref="C6:C10" si="0">B6</f>
        <v>0.5</v>
      </c>
      <c r="D6" s="11">
        <f>C6*47.78</f>
        <v>23.89</v>
      </c>
      <c r="E6">
        <v>24</v>
      </c>
    </row>
    <row r="7" spans="1:8" x14ac:dyDescent="0.3">
      <c r="A7" s="10" t="s">
        <v>18</v>
      </c>
      <c r="B7" s="10">
        <v>1</v>
      </c>
      <c r="C7" s="10">
        <f t="shared" si="0"/>
        <v>1</v>
      </c>
      <c r="D7" s="11">
        <f t="shared" ref="D7:D10" si="1">C7*47.78</f>
        <v>47.78</v>
      </c>
      <c r="E7">
        <v>48</v>
      </c>
    </row>
    <row r="8" spans="1:8" x14ac:dyDescent="0.3">
      <c r="A8" s="10" t="s">
        <v>15</v>
      </c>
      <c r="B8" s="10">
        <v>1.5</v>
      </c>
      <c r="C8" s="10">
        <f t="shared" si="0"/>
        <v>1.5</v>
      </c>
      <c r="D8" s="11">
        <f t="shared" si="1"/>
        <v>71.67</v>
      </c>
      <c r="E8">
        <v>72</v>
      </c>
    </row>
    <row r="9" spans="1:8" x14ac:dyDescent="0.3">
      <c r="A9" s="10" t="s">
        <v>19</v>
      </c>
      <c r="B9" s="10">
        <v>4</v>
      </c>
      <c r="C9" s="10">
        <f t="shared" si="0"/>
        <v>4</v>
      </c>
      <c r="D9" s="11">
        <f>C9*47.78</f>
        <v>191.12</v>
      </c>
      <c r="E9">
        <v>192</v>
      </c>
      <c r="F9">
        <f>4*48</f>
        <v>192</v>
      </c>
    </row>
    <row r="10" spans="1:8" x14ac:dyDescent="0.3">
      <c r="A10" s="10" t="s">
        <v>11</v>
      </c>
      <c r="B10" s="10">
        <v>0.5</v>
      </c>
      <c r="C10" s="10">
        <f t="shared" si="0"/>
        <v>0.5</v>
      </c>
      <c r="D10" s="11">
        <f t="shared" si="1"/>
        <v>23.89</v>
      </c>
      <c r="E10">
        <v>24</v>
      </c>
      <c r="H10" s="33"/>
    </row>
    <row r="11" spans="1:8" ht="15" x14ac:dyDescent="0.3">
      <c r="A11" s="10" t="s">
        <v>12</v>
      </c>
      <c r="B11" s="10">
        <v>8</v>
      </c>
      <c r="C11" s="10">
        <v>8</v>
      </c>
      <c r="D11" s="11">
        <f>C11*47.78</f>
        <v>382.24</v>
      </c>
      <c r="E11">
        <f>SUM(E5:E10)</f>
        <v>384</v>
      </c>
      <c r="H11" s="23"/>
    </row>
    <row r="12" spans="1:8" x14ac:dyDescent="0.3">
      <c r="B12">
        <f>SUM(B5:B10)</f>
        <v>8</v>
      </c>
      <c r="C12">
        <v>8</v>
      </c>
      <c r="D12" s="82">
        <f>C12*47.78</f>
        <v>382.24</v>
      </c>
      <c r="E12" s="83">
        <f>SUM(D5:D10)</f>
        <v>382.24</v>
      </c>
      <c r="H12" s="33"/>
    </row>
    <row r="13" spans="1:8" ht="15.6" x14ac:dyDescent="0.3">
      <c r="A13" s="7" t="s">
        <v>40</v>
      </c>
      <c r="H13" s="33"/>
    </row>
    <row r="14" spans="1:8" ht="15.6" x14ac:dyDescent="0.3">
      <c r="A14" s="15" t="s">
        <v>46</v>
      </c>
      <c r="G14" s="15" t="s">
        <v>141</v>
      </c>
      <c r="H14" s="33"/>
    </row>
    <row r="15" spans="1:8" x14ac:dyDescent="0.3">
      <c r="A15" s="1">
        <f>8*1804</f>
        <v>14432</v>
      </c>
      <c r="B15" t="s">
        <v>140</v>
      </c>
      <c r="H15" s="33"/>
    </row>
    <row r="16" spans="1:8" ht="15.6" x14ac:dyDescent="0.3">
      <c r="A16" s="7" t="s">
        <v>45</v>
      </c>
    </row>
    <row r="17" spans="1:7" ht="15" x14ac:dyDescent="0.3">
      <c r="A17" s="22" t="s">
        <v>47</v>
      </c>
      <c r="G17" s="22" t="s">
        <v>142</v>
      </c>
    </row>
    <row r="18" spans="1:7" ht="15" x14ac:dyDescent="0.3">
      <c r="A18" s="80">
        <f>8*47.78*1804</f>
        <v>689560.96</v>
      </c>
    </row>
    <row r="19" spans="1:7" x14ac:dyDescent="0.3">
      <c r="A19" s="81">
        <v>689561</v>
      </c>
    </row>
    <row r="20" spans="1:7" x14ac:dyDescent="0.3">
      <c r="A20" s="33"/>
    </row>
    <row r="21" spans="1:7" x14ac:dyDescent="0.3">
      <c r="A21" s="33"/>
    </row>
    <row r="22" spans="1:7" ht="15.6" x14ac:dyDescent="0.3">
      <c r="A22" s="34" t="s">
        <v>48</v>
      </c>
    </row>
    <row r="23" spans="1:7" ht="15" x14ac:dyDescent="0.3">
      <c r="A23" s="23" t="s">
        <v>143</v>
      </c>
    </row>
    <row r="24" spans="1:7" ht="15" x14ac:dyDescent="0.3">
      <c r="A24" s="23"/>
    </row>
    <row r="25" spans="1:7" ht="15.6" x14ac:dyDescent="0.3">
      <c r="A25" s="34" t="s">
        <v>49</v>
      </c>
    </row>
    <row r="26" spans="1:7" ht="15" x14ac:dyDescent="0.3">
      <c r="A26" s="23" t="s">
        <v>144</v>
      </c>
    </row>
    <row r="27" spans="1:7" x14ac:dyDescent="0.3">
      <c r="A27" s="33"/>
    </row>
  </sheetData>
  <mergeCells count="3">
    <mergeCell ref="A3:A4"/>
    <mergeCell ref="B3:C3"/>
    <mergeCell ref="D3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81C0-71BF-4D32-8C93-C6060B4CB5D7}">
  <dimension ref="A1:F23"/>
  <sheetViews>
    <sheetView workbookViewId="0">
      <selection activeCell="J23" sqref="J23"/>
    </sheetView>
  </sheetViews>
  <sheetFormatPr defaultRowHeight="14.4" x14ac:dyDescent="0.3"/>
  <cols>
    <col min="1" max="1" width="21.5546875" bestFit="1" customWidth="1"/>
    <col min="2" max="2" width="17.44140625" customWidth="1"/>
    <col min="3" max="3" width="22.109375" customWidth="1"/>
    <col min="4" max="4" width="21.88671875" customWidth="1"/>
  </cols>
  <sheetData>
    <row r="1" spans="1:6" ht="15.6" x14ac:dyDescent="0.3">
      <c r="A1" s="13" t="s">
        <v>25</v>
      </c>
    </row>
    <row r="2" spans="1:6" ht="15.6" x14ac:dyDescent="0.3">
      <c r="A2" s="13" t="s">
        <v>26</v>
      </c>
    </row>
    <row r="4" spans="1:6" x14ac:dyDescent="0.3">
      <c r="A4" s="104" t="s">
        <v>0</v>
      </c>
      <c r="B4" s="100" t="s">
        <v>3</v>
      </c>
      <c r="C4" s="100"/>
      <c r="D4" s="103" t="s">
        <v>17</v>
      </c>
    </row>
    <row r="5" spans="1:6" x14ac:dyDescent="0.3">
      <c r="A5" s="104"/>
      <c r="B5" s="12" t="s">
        <v>5</v>
      </c>
      <c r="C5" s="12" t="s">
        <v>14</v>
      </c>
      <c r="D5" s="103"/>
    </row>
    <row r="6" spans="1:6" x14ac:dyDescent="0.3">
      <c r="A6" s="10" t="s">
        <v>7</v>
      </c>
      <c r="B6" s="10">
        <v>0.5</v>
      </c>
      <c r="C6" s="10">
        <v>0.5</v>
      </c>
      <c r="D6" s="11">
        <f>C6*47.78</f>
        <v>23.89</v>
      </c>
    </row>
    <row r="7" spans="1:6" x14ac:dyDescent="0.3">
      <c r="A7" s="10" t="s">
        <v>8</v>
      </c>
      <c r="B7" s="10">
        <v>0.5</v>
      </c>
      <c r="C7" s="10">
        <v>0.5</v>
      </c>
      <c r="D7" s="11">
        <f t="shared" ref="D7:D11" si="0">C7*47.78</f>
        <v>23.89</v>
      </c>
    </row>
    <row r="8" spans="1:6" x14ac:dyDescent="0.3">
      <c r="A8" s="10" t="s">
        <v>22</v>
      </c>
      <c r="B8" s="10">
        <v>1</v>
      </c>
      <c r="C8" s="10">
        <v>1</v>
      </c>
      <c r="D8" s="11">
        <f t="shared" si="0"/>
        <v>47.78</v>
      </c>
    </row>
    <row r="9" spans="1:6" x14ac:dyDescent="0.3">
      <c r="A9" s="10" t="s">
        <v>10</v>
      </c>
      <c r="B9" s="10">
        <v>1.5</v>
      </c>
      <c r="C9" s="10">
        <v>1.5</v>
      </c>
      <c r="D9" s="11">
        <f t="shared" si="0"/>
        <v>71.67</v>
      </c>
    </row>
    <row r="10" spans="1:6" x14ac:dyDescent="0.3">
      <c r="A10" s="10" t="s">
        <v>23</v>
      </c>
      <c r="B10" s="10">
        <v>4</v>
      </c>
      <c r="C10" s="10">
        <v>4</v>
      </c>
      <c r="D10" s="11">
        <v>192</v>
      </c>
    </row>
    <row r="11" spans="1:6" x14ac:dyDescent="0.3">
      <c r="A11" s="10" t="s">
        <v>24</v>
      </c>
      <c r="B11" s="10">
        <v>0.5</v>
      </c>
      <c r="C11" s="10">
        <v>0.5</v>
      </c>
      <c r="D11" s="11">
        <f t="shared" si="0"/>
        <v>23.89</v>
      </c>
    </row>
    <row r="12" spans="1:6" x14ac:dyDescent="0.3">
      <c r="A12" s="10" t="s">
        <v>12</v>
      </c>
      <c r="B12" s="10">
        <v>8</v>
      </c>
      <c r="C12" s="10">
        <v>8</v>
      </c>
      <c r="D12" s="11">
        <f>C12*47.78</f>
        <v>382.24</v>
      </c>
      <c r="E12" s="83">
        <f>SUM(D6:D11)</f>
        <v>383.12</v>
      </c>
      <c r="F12" t="s">
        <v>145</v>
      </c>
    </row>
    <row r="15" spans="1:6" ht="15.6" x14ac:dyDescent="0.3">
      <c r="A15" s="7" t="s">
        <v>40</v>
      </c>
    </row>
    <row r="16" spans="1:6" ht="15" x14ac:dyDescent="0.3">
      <c r="A16" s="22" t="s">
        <v>147</v>
      </c>
    </row>
    <row r="17" spans="1:1" ht="15" x14ac:dyDescent="0.3">
      <c r="A17" s="22"/>
    </row>
    <row r="18" spans="1:1" ht="15.6" x14ac:dyDescent="0.3">
      <c r="A18" s="7" t="s">
        <v>42</v>
      </c>
    </row>
    <row r="19" spans="1:1" ht="15" x14ac:dyDescent="0.3">
      <c r="A19" s="23" t="s">
        <v>148</v>
      </c>
    </row>
    <row r="20" spans="1:1" ht="15" x14ac:dyDescent="0.3">
      <c r="A20" s="85">
        <f>8*47.78*16795</f>
        <v>6419720.7999999998</v>
      </c>
    </row>
    <row r="21" spans="1:1" x14ac:dyDescent="0.3">
      <c r="A21" s="86">
        <v>6419721</v>
      </c>
    </row>
    <row r="22" spans="1:1" x14ac:dyDescent="0.3">
      <c r="A22" s="86">
        <v>335900</v>
      </c>
    </row>
    <row r="23" spans="1:1" x14ac:dyDescent="0.3">
      <c r="A23" s="88">
        <f>SUM(A21:A22)</f>
        <v>6755621</v>
      </c>
    </row>
  </sheetData>
  <mergeCells count="3">
    <mergeCell ref="A4:A5"/>
    <mergeCell ref="B4:C4"/>
    <mergeCell ref="D4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6DD7-D07B-45D2-9BA7-C52A24A2C5F5}">
  <dimension ref="A1:G20"/>
  <sheetViews>
    <sheetView topLeftCell="A4" workbookViewId="0">
      <selection activeCell="G12" sqref="G12"/>
    </sheetView>
  </sheetViews>
  <sheetFormatPr defaultRowHeight="14.4" x14ac:dyDescent="0.3"/>
  <cols>
    <col min="1" max="1" width="21.5546875" bestFit="1" customWidth="1"/>
    <col min="2" max="2" width="14.33203125" bestFit="1" customWidth="1"/>
    <col min="3" max="3" width="11" bestFit="1" customWidth="1"/>
    <col min="4" max="4" width="16.44140625" customWidth="1"/>
  </cols>
  <sheetData>
    <row r="1" spans="1:7" ht="15.6" x14ac:dyDescent="0.3">
      <c r="A1" s="13" t="s">
        <v>27</v>
      </c>
    </row>
    <row r="2" spans="1:7" ht="15.6" x14ac:dyDescent="0.3">
      <c r="A2" s="7" t="s">
        <v>28</v>
      </c>
    </row>
    <row r="4" spans="1:7" x14ac:dyDescent="0.3">
      <c r="A4" s="100" t="s">
        <v>0</v>
      </c>
      <c r="B4" s="100" t="s">
        <v>3</v>
      </c>
      <c r="C4" s="100"/>
      <c r="D4" s="103" t="s">
        <v>17</v>
      </c>
    </row>
    <row r="5" spans="1:7" x14ac:dyDescent="0.3">
      <c r="A5" s="100"/>
      <c r="B5" s="10" t="s">
        <v>5</v>
      </c>
      <c r="C5" s="10" t="s">
        <v>14</v>
      </c>
      <c r="D5" s="103"/>
    </row>
    <row r="6" spans="1:7" x14ac:dyDescent="0.3">
      <c r="A6" s="10" t="s">
        <v>7</v>
      </c>
      <c r="B6" s="10">
        <v>0.5</v>
      </c>
      <c r="C6" s="10">
        <v>0.5</v>
      </c>
      <c r="D6" s="11">
        <f>C6*47.78</f>
        <v>23.89</v>
      </c>
    </row>
    <row r="7" spans="1:7" x14ac:dyDescent="0.3">
      <c r="A7" s="10" t="s">
        <v>8</v>
      </c>
      <c r="B7" s="10">
        <v>0.5</v>
      </c>
      <c r="C7" s="10">
        <v>0.5</v>
      </c>
      <c r="D7" s="11">
        <f t="shared" ref="D7:D11" si="0">C7*47.78</f>
        <v>23.89</v>
      </c>
    </row>
    <row r="8" spans="1:7" x14ac:dyDescent="0.3">
      <c r="A8" s="10" t="s">
        <v>22</v>
      </c>
      <c r="B8" s="10">
        <v>1</v>
      </c>
      <c r="C8" s="10">
        <v>1</v>
      </c>
      <c r="D8" s="11">
        <f t="shared" si="0"/>
        <v>47.78</v>
      </c>
    </row>
    <row r="9" spans="1:7" x14ac:dyDescent="0.3">
      <c r="A9" s="10" t="s">
        <v>10</v>
      </c>
      <c r="B9" s="10">
        <v>1</v>
      </c>
      <c r="C9" s="10">
        <v>1</v>
      </c>
      <c r="D9" s="11">
        <f t="shared" si="0"/>
        <v>47.78</v>
      </c>
    </row>
    <row r="10" spans="1:7" x14ac:dyDescent="0.3">
      <c r="A10" s="10" t="s">
        <v>23</v>
      </c>
      <c r="B10" s="10">
        <v>4</v>
      </c>
      <c r="C10" s="10">
        <v>4</v>
      </c>
      <c r="D10" s="11">
        <v>192</v>
      </c>
    </row>
    <row r="11" spans="1:7" x14ac:dyDescent="0.3">
      <c r="A11" s="10" t="s">
        <v>24</v>
      </c>
      <c r="B11" s="10">
        <v>0.5</v>
      </c>
      <c r="C11" s="10">
        <v>0.5</v>
      </c>
      <c r="D11" s="11">
        <f t="shared" si="0"/>
        <v>23.89</v>
      </c>
    </row>
    <row r="12" spans="1:7" x14ac:dyDescent="0.3">
      <c r="A12" s="10" t="s">
        <v>12</v>
      </c>
      <c r="B12" s="10">
        <v>7.5</v>
      </c>
      <c r="C12" s="10">
        <v>7.5</v>
      </c>
      <c r="D12" s="11">
        <f>C12*47.78</f>
        <v>358.35</v>
      </c>
      <c r="E12" s="84">
        <f>SUM(D6:D11)</f>
        <v>359.23</v>
      </c>
      <c r="F12" t="s">
        <v>149</v>
      </c>
      <c r="G12" s="87"/>
    </row>
    <row r="15" spans="1:7" ht="15.6" x14ac:dyDescent="0.3">
      <c r="A15" s="7" t="s">
        <v>40</v>
      </c>
    </row>
    <row r="16" spans="1:7" ht="15" x14ac:dyDescent="0.3">
      <c r="A16" s="22" t="s">
        <v>146</v>
      </c>
    </row>
    <row r="17" spans="1:1" ht="15" x14ac:dyDescent="0.3">
      <c r="A17" s="22"/>
    </row>
    <row r="18" spans="1:1" ht="15.6" x14ac:dyDescent="0.3">
      <c r="A18" s="7" t="s">
        <v>45</v>
      </c>
    </row>
    <row r="19" spans="1:1" ht="15" x14ac:dyDescent="0.3">
      <c r="A19" s="22" t="s">
        <v>50</v>
      </c>
    </row>
    <row r="20" spans="1:1" x14ac:dyDescent="0.3">
      <c r="A20" s="1">
        <f>7.5*47.78*322</f>
        <v>115388.70000000001</v>
      </c>
    </row>
  </sheetData>
  <mergeCells count="3">
    <mergeCell ref="A4:A5"/>
    <mergeCell ref="B4:C4"/>
    <mergeCell ref="D4:D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A950-D61A-488D-8DC3-8B2DBC242AF4}">
  <dimension ref="A2:G11"/>
  <sheetViews>
    <sheetView workbookViewId="0">
      <selection activeCell="H9" sqref="H9"/>
    </sheetView>
  </sheetViews>
  <sheetFormatPr defaultRowHeight="14.4" x14ac:dyDescent="0.3"/>
  <cols>
    <col min="1" max="1" width="43.33203125" customWidth="1"/>
    <col min="2" max="2" width="9.109375" customWidth="1"/>
    <col min="3" max="3" width="0.44140625" customWidth="1"/>
    <col min="4" max="4" width="11.5546875" customWidth="1"/>
    <col min="5" max="6" width="12.5546875" bestFit="1" customWidth="1"/>
  </cols>
  <sheetData>
    <row r="2" spans="1:7" ht="16.2" thickBot="1" x14ac:dyDescent="0.35">
      <c r="A2" s="7" t="s">
        <v>51</v>
      </c>
    </row>
    <row r="3" spans="1:7" ht="16.2" thickBot="1" x14ac:dyDescent="0.35">
      <c r="A3" s="14" t="s">
        <v>29</v>
      </c>
      <c r="B3" s="112" t="s">
        <v>30</v>
      </c>
      <c r="C3" s="113"/>
      <c r="D3" s="114"/>
    </row>
    <row r="4" spans="1:7" ht="16.2" thickBot="1" x14ac:dyDescent="0.35">
      <c r="A4" s="16"/>
      <c r="B4" s="115" t="s">
        <v>31</v>
      </c>
      <c r="C4" s="116"/>
      <c r="D4" s="17" t="s">
        <v>32</v>
      </c>
    </row>
    <row r="5" spans="1:7" ht="16.2" thickBot="1" x14ac:dyDescent="0.35">
      <c r="A5" s="107" t="s">
        <v>33</v>
      </c>
      <c r="B5" s="108"/>
      <c r="C5" s="108"/>
      <c r="D5" s="109"/>
    </row>
    <row r="6" spans="1:7" ht="15" thickBot="1" x14ac:dyDescent="0.35">
      <c r="A6" s="5" t="s">
        <v>34</v>
      </c>
      <c r="B6" s="18">
        <v>25328</v>
      </c>
      <c r="C6" s="117">
        <f>F6</f>
        <v>1271071</v>
      </c>
      <c r="D6" s="118"/>
      <c r="E6" s="2">
        <v>1271071</v>
      </c>
      <c r="F6" s="3">
        <f>E6</f>
        <v>1271071</v>
      </c>
    </row>
    <row r="7" spans="1:7" ht="15" thickBot="1" x14ac:dyDescent="0.35">
      <c r="A7" s="5" t="s">
        <v>35</v>
      </c>
      <c r="B7" s="18">
        <v>134360</v>
      </c>
      <c r="C7" s="119">
        <f>F7</f>
        <v>6755621</v>
      </c>
      <c r="D7" s="120"/>
      <c r="E7" s="2">
        <v>6419721</v>
      </c>
      <c r="F7" s="2">
        <f>6419721+335900</f>
        <v>6755621</v>
      </c>
      <c r="G7" t="s">
        <v>150</v>
      </c>
    </row>
    <row r="8" spans="1:7" ht="15" thickBot="1" x14ac:dyDescent="0.35">
      <c r="A8" s="19" t="s">
        <v>36</v>
      </c>
      <c r="B8" s="20">
        <v>2415</v>
      </c>
      <c r="C8" s="121">
        <v>115388.70000000001</v>
      </c>
      <c r="D8" s="122"/>
      <c r="E8" s="2">
        <v>115389</v>
      </c>
      <c r="F8" s="3">
        <f>E8</f>
        <v>115389</v>
      </c>
    </row>
    <row r="9" spans="1:7" ht="15.6" thickTop="1" thickBot="1" x14ac:dyDescent="0.35">
      <c r="A9" s="21" t="s">
        <v>37</v>
      </c>
      <c r="B9" s="18">
        <f>SUM(B6:B8)</f>
        <v>162103</v>
      </c>
      <c r="C9" s="105">
        <f>SUM(C6:D8)</f>
        <v>8142080.7000000002</v>
      </c>
      <c r="D9" s="106"/>
      <c r="E9" s="2">
        <f>SUM(E6:E8)</f>
        <v>7806181</v>
      </c>
      <c r="F9" s="2">
        <f>SUM(F6:F8)</f>
        <v>8142081</v>
      </c>
    </row>
    <row r="10" spans="1:7" ht="16.2" thickBot="1" x14ac:dyDescent="0.35">
      <c r="A10" s="107" t="s">
        <v>38</v>
      </c>
      <c r="B10" s="108"/>
      <c r="C10" s="108"/>
      <c r="D10" s="109"/>
    </row>
    <row r="11" spans="1:7" ht="15" thickBot="1" x14ac:dyDescent="0.35">
      <c r="A11" s="21" t="s">
        <v>39</v>
      </c>
      <c r="B11" s="24">
        <v>232</v>
      </c>
      <c r="C11" s="110">
        <v>18441.43</v>
      </c>
      <c r="D11" s="111"/>
    </row>
  </sheetData>
  <mergeCells count="9">
    <mergeCell ref="C9:D9"/>
    <mergeCell ref="A10:D10"/>
    <mergeCell ref="C11:D11"/>
    <mergeCell ref="B3:D3"/>
    <mergeCell ref="B4:C4"/>
    <mergeCell ref="A5:D5"/>
    <mergeCell ref="C6:D6"/>
    <mergeCell ref="C7:D7"/>
    <mergeCell ref="C8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799F-50FF-4286-A49C-DD9CBCE2515F}">
  <dimension ref="A1:D16"/>
  <sheetViews>
    <sheetView workbookViewId="0">
      <selection activeCell="F20" sqref="F20"/>
    </sheetView>
  </sheetViews>
  <sheetFormatPr defaultRowHeight="14.4" x14ac:dyDescent="0.3"/>
  <cols>
    <col min="1" max="1" width="20.88671875" bestFit="1" customWidth="1"/>
    <col min="2" max="2" width="16.33203125" customWidth="1"/>
    <col min="3" max="3" width="12.44140625" customWidth="1"/>
    <col min="4" max="4" width="17.109375" customWidth="1"/>
  </cols>
  <sheetData>
    <row r="1" spans="1:4" ht="15.6" x14ac:dyDescent="0.3">
      <c r="A1" s="13" t="s">
        <v>53</v>
      </c>
    </row>
    <row r="2" spans="1:4" ht="15.6" x14ac:dyDescent="0.3">
      <c r="A2" s="13" t="s">
        <v>54</v>
      </c>
    </row>
    <row r="3" spans="1:4" ht="15" customHeight="1" x14ac:dyDescent="0.3">
      <c r="A3" s="101" t="s">
        <v>0</v>
      </c>
      <c r="B3" s="123" t="s">
        <v>3</v>
      </c>
      <c r="C3" s="124"/>
      <c r="D3" s="125" t="s">
        <v>17</v>
      </c>
    </row>
    <row r="4" spans="1:4" x14ac:dyDescent="0.3">
      <c r="A4" s="102"/>
      <c r="B4" s="12" t="s">
        <v>5</v>
      </c>
      <c r="C4" s="12" t="s">
        <v>14</v>
      </c>
      <c r="D4" s="126"/>
    </row>
    <row r="5" spans="1:4" x14ac:dyDescent="0.3">
      <c r="A5" s="10" t="s">
        <v>7</v>
      </c>
      <c r="B5" s="10">
        <v>0</v>
      </c>
      <c r="C5" s="10">
        <v>0</v>
      </c>
      <c r="D5" s="11">
        <v>0</v>
      </c>
    </row>
    <row r="6" spans="1:4" x14ac:dyDescent="0.3">
      <c r="A6" s="10" t="s">
        <v>8</v>
      </c>
      <c r="B6" s="10">
        <v>0</v>
      </c>
      <c r="C6" s="10">
        <v>0</v>
      </c>
      <c r="D6" s="11">
        <v>0</v>
      </c>
    </row>
    <row r="7" spans="1:4" x14ac:dyDescent="0.3">
      <c r="A7" s="10" t="s">
        <v>15</v>
      </c>
      <c r="B7" s="10">
        <v>3</v>
      </c>
      <c r="C7" s="10">
        <v>3</v>
      </c>
      <c r="D7" s="11">
        <f>48*3</f>
        <v>144</v>
      </c>
    </row>
    <row r="8" spans="1:4" x14ac:dyDescent="0.3">
      <c r="A8" s="10" t="s">
        <v>52</v>
      </c>
      <c r="B8" s="10">
        <v>1</v>
      </c>
      <c r="C8" s="10">
        <v>1</v>
      </c>
      <c r="D8" s="11">
        <f>C8*47.78</f>
        <v>47.78</v>
      </c>
    </row>
    <row r="9" spans="1:4" x14ac:dyDescent="0.3">
      <c r="A9" s="10" t="s">
        <v>12</v>
      </c>
      <c r="B9" s="10">
        <v>4</v>
      </c>
      <c r="C9" s="10">
        <v>4</v>
      </c>
      <c r="D9" s="11">
        <f>C9*48</f>
        <v>192</v>
      </c>
    </row>
    <row r="11" spans="1:4" ht="15.6" x14ac:dyDescent="0.3">
      <c r="A11" s="7" t="s">
        <v>40</v>
      </c>
    </row>
    <row r="12" spans="1:4" ht="15" x14ac:dyDescent="0.3">
      <c r="A12" s="22" t="s">
        <v>55</v>
      </c>
    </row>
    <row r="13" spans="1:4" ht="15" x14ac:dyDescent="0.3">
      <c r="A13" s="22"/>
    </row>
    <row r="14" spans="1:4" ht="15.6" x14ac:dyDescent="0.3">
      <c r="A14" s="7" t="s">
        <v>56</v>
      </c>
    </row>
    <row r="15" spans="1:4" ht="15" x14ac:dyDescent="0.3">
      <c r="A15" s="22" t="s">
        <v>57</v>
      </c>
    </row>
    <row r="16" spans="1:4" x14ac:dyDescent="0.3">
      <c r="A16" s="83">
        <f>4*47.78*4665</f>
        <v>891574.8</v>
      </c>
    </row>
  </sheetData>
  <mergeCells count="3">
    <mergeCell ref="A3:A4"/>
    <mergeCell ref="B3:C3"/>
    <mergeCell ref="D3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AFC4F-E780-4509-A180-223C61D0AE2D}">
  <dimension ref="A1:G19"/>
  <sheetViews>
    <sheetView workbookViewId="0">
      <selection activeCell="H14" sqref="H14"/>
    </sheetView>
  </sheetViews>
  <sheetFormatPr defaultRowHeight="14.4" x14ac:dyDescent="0.3"/>
  <cols>
    <col min="1" max="1" width="35.6640625" customWidth="1"/>
    <col min="2" max="2" width="13.88671875" customWidth="1"/>
    <col min="6" max="6" width="13" customWidth="1"/>
    <col min="7" max="7" width="10.109375" bestFit="1" customWidth="1"/>
  </cols>
  <sheetData>
    <row r="1" spans="1:7" ht="15.6" x14ac:dyDescent="0.3">
      <c r="A1" s="13" t="s">
        <v>81</v>
      </c>
    </row>
    <row r="2" spans="1:7" ht="15.6" x14ac:dyDescent="0.3">
      <c r="A2" s="13" t="s">
        <v>82</v>
      </c>
    </row>
    <row r="4" spans="1:7" x14ac:dyDescent="0.3">
      <c r="A4" s="127" t="s">
        <v>63</v>
      </c>
      <c r="B4" s="127" t="s">
        <v>64</v>
      </c>
      <c r="C4" s="127"/>
      <c r="D4" s="127"/>
      <c r="E4" s="127"/>
      <c r="F4" s="103" t="s">
        <v>73</v>
      </c>
    </row>
    <row r="5" spans="1:7" x14ac:dyDescent="0.3">
      <c r="A5" s="127"/>
      <c r="B5" s="127"/>
      <c r="C5" s="127"/>
      <c r="D5" s="127"/>
      <c r="E5" s="127"/>
      <c r="F5" s="103"/>
    </row>
    <row r="6" spans="1:7" x14ac:dyDescent="0.3">
      <c r="A6" s="127"/>
      <c r="B6" s="103" t="s">
        <v>75</v>
      </c>
      <c r="C6" s="103" t="s">
        <v>76</v>
      </c>
      <c r="D6" s="103" t="s">
        <v>77</v>
      </c>
      <c r="E6" s="103" t="s">
        <v>14</v>
      </c>
      <c r="F6" s="100" t="s">
        <v>65</v>
      </c>
    </row>
    <row r="7" spans="1:7" ht="13.5" customHeight="1" x14ac:dyDescent="0.3">
      <c r="A7" s="127"/>
      <c r="B7" s="100"/>
      <c r="C7" s="103"/>
      <c r="D7" s="103"/>
      <c r="E7" s="103"/>
      <c r="F7" s="100"/>
    </row>
    <row r="8" spans="1:7" ht="28.8" x14ac:dyDescent="0.3">
      <c r="A8" s="26" t="s">
        <v>66</v>
      </c>
      <c r="B8" s="12">
        <v>2</v>
      </c>
      <c r="C8" s="12">
        <v>90</v>
      </c>
      <c r="D8" s="12">
        <v>10</v>
      </c>
      <c r="E8" s="12">
        <f>SUM(B8:D8)</f>
        <v>102</v>
      </c>
      <c r="F8" s="27">
        <f>132*B8+C8*87+49*D8</f>
        <v>8584</v>
      </c>
      <c r="G8">
        <v>8584</v>
      </c>
    </row>
    <row r="9" spans="1:7" x14ac:dyDescent="0.3">
      <c r="A9" s="26" t="s">
        <v>67</v>
      </c>
      <c r="B9" s="12">
        <v>5</v>
      </c>
      <c r="C9" s="12">
        <v>20</v>
      </c>
      <c r="D9" s="12">
        <v>5</v>
      </c>
      <c r="E9" s="12">
        <f t="shared" ref="E9:E14" si="0">SUM(B9:D9)</f>
        <v>30</v>
      </c>
      <c r="F9" s="27">
        <f t="shared" ref="F9:F14" si="1">132*B9+C9*87+49*D9</f>
        <v>2645</v>
      </c>
      <c r="G9">
        <v>2645</v>
      </c>
    </row>
    <row r="10" spans="1:7" x14ac:dyDescent="0.3">
      <c r="A10" s="26" t="s">
        <v>68</v>
      </c>
      <c r="B10" s="12">
        <v>0</v>
      </c>
      <c r="C10" s="12">
        <v>20</v>
      </c>
      <c r="D10" s="12">
        <v>10</v>
      </c>
      <c r="E10" s="12">
        <f t="shared" si="0"/>
        <v>30</v>
      </c>
      <c r="F10" s="27">
        <f t="shared" si="1"/>
        <v>2230</v>
      </c>
      <c r="G10">
        <v>2230</v>
      </c>
    </row>
    <row r="11" spans="1:7" x14ac:dyDescent="0.3">
      <c r="A11" s="26" t="s">
        <v>69</v>
      </c>
      <c r="B11" s="12">
        <v>0</v>
      </c>
      <c r="C11" s="12">
        <v>30</v>
      </c>
      <c r="D11" s="12">
        <v>15</v>
      </c>
      <c r="E11" s="12">
        <f t="shared" si="0"/>
        <v>45</v>
      </c>
      <c r="F11" s="27">
        <f t="shared" si="1"/>
        <v>3345</v>
      </c>
      <c r="G11">
        <v>3345</v>
      </c>
    </row>
    <row r="12" spans="1:7" ht="28.8" x14ac:dyDescent="0.3">
      <c r="A12" s="26" t="s">
        <v>70</v>
      </c>
      <c r="B12" s="12">
        <v>0</v>
      </c>
      <c r="C12" s="12">
        <v>10</v>
      </c>
      <c r="D12" s="12">
        <v>5</v>
      </c>
      <c r="E12" s="12">
        <f t="shared" si="0"/>
        <v>15</v>
      </c>
      <c r="F12" s="27">
        <f t="shared" si="1"/>
        <v>1115</v>
      </c>
      <c r="G12">
        <v>1115</v>
      </c>
    </row>
    <row r="13" spans="1:7" x14ac:dyDescent="0.3">
      <c r="A13" s="26" t="s">
        <v>71</v>
      </c>
      <c r="B13" s="12">
        <v>0</v>
      </c>
      <c r="C13" s="12">
        <v>0</v>
      </c>
      <c r="D13" s="12">
        <v>10</v>
      </c>
      <c r="E13" s="12">
        <f t="shared" si="0"/>
        <v>10</v>
      </c>
      <c r="F13" s="27">
        <f t="shared" si="1"/>
        <v>490</v>
      </c>
      <c r="G13">
        <v>490</v>
      </c>
    </row>
    <row r="14" spans="1:7" x14ac:dyDescent="0.3">
      <c r="A14" s="26" t="s">
        <v>72</v>
      </c>
      <c r="B14" s="12">
        <v>7</v>
      </c>
      <c r="C14" s="12">
        <v>170</v>
      </c>
      <c r="D14" s="12">
        <v>55</v>
      </c>
      <c r="E14" s="12">
        <f t="shared" si="0"/>
        <v>232</v>
      </c>
      <c r="F14" s="27">
        <f t="shared" si="1"/>
        <v>18409</v>
      </c>
      <c r="G14" s="2">
        <f>SUM(G8:G13)</f>
        <v>18409</v>
      </c>
    </row>
    <row r="16" spans="1:7" ht="15.6" x14ac:dyDescent="0.3">
      <c r="A16" s="15" t="s">
        <v>78</v>
      </c>
      <c r="B16" s="2">
        <f>7*132</f>
        <v>924</v>
      </c>
    </row>
    <row r="17" spans="1:2" ht="15.6" x14ac:dyDescent="0.3">
      <c r="A17" s="15" t="s">
        <v>79</v>
      </c>
      <c r="B17" s="2">
        <f>170*87</f>
        <v>14790</v>
      </c>
    </row>
    <row r="18" spans="1:2" ht="15.6" x14ac:dyDescent="0.3">
      <c r="A18" s="15" t="s">
        <v>80</v>
      </c>
      <c r="B18" s="2">
        <f>49*55</f>
        <v>2695</v>
      </c>
    </row>
    <row r="19" spans="1:2" ht="15.6" x14ac:dyDescent="0.3">
      <c r="A19" s="25" t="s">
        <v>74</v>
      </c>
      <c r="B19" s="3">
        <f>SUM(B16:B18)</f>
        <v>18409</v>
      </c>
    </row>
  </sheetData>
  <mergeCells count="8">
    <mergeCell ref="B6:B7"/>
    <mergeCell ref="B4:E5"/>
    <mergeCell ref="A4:A7"/>
    <mergeCell ref="F4:F5"/>
    <mergeCell ref="F6:F7"/>
    <mergeCell ref="E6:E7"/>
    <mergeCell ref="D6:D7"/>
    <mergeCell ref="C6:C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70578-CC46-48AA-BDD0-F1F764688E99}">
  <dimension ref="A1:D11"/>
  <sheetViews>
    <sheetView workbookViewId="0">
      <selection activeCell="A17" sqref="A17"/>
    </sheetView>
  </sheetViews>
  <sheetFormatPr defaultRowHeight="14.4" x14ac:dyDescent="0.3"/>
  <cols>
    <col min="1" max="1" width="82.109375" bestFit="1" customWidth="1"/>
    <col min="2" max="2" width="26.109375" customWidth="1"/>
    <col min="3" max="3" width="3.33203125" hidden="1" customWidth="1"/>
    <col min="4" max="4" width="21.88671875" customWidth="1"/>
  </cols>
  <sheetData>
    <row r="1" spans="1:4" ht="16.2" thickBot="1" x14ac:dyDescent="0.35">
      <c r="A1" s="7" t="s">
        <v>91</v>
      </c>
    </row>
    <row r="2" spans="1:4" ht="16.2" thickBot="1" x14ac:dyDescent="0.35">
      <c r="A2" s="14" t="s">
        <v>29</v>
      </c>
      <c r="B2" s="112" t="s">
        <v>30</v>
      </c>
      <c r="C2" s="113"/>
      <c r="D2" s="114"/>
    </row>
    <row r="3" spans="1:4" ht="16.2" thickBot="1" x14ac:dyDescent="0.35">
      <c r="A3" s="28"/>
      <c r="B3" s="137" t="s">
        <v>31</v>
      </c>
      <c r="C3" s="138"/>
      <c r="D3" s="29" t="s">
        <v>32</v>
      </c>
    </row>
    <row r="4" spans="1:4" ht="16.8" thickTop="1" thickBot="1" x14ac:dyDescent="0.35">
      <c r="A4" s="128" t="s">
        <v>83</v>
      </c>
      <c r="B4" s="129"/>
      <c r="C4" s="129"/>
      <c r="D4" s="130"/>
    </row>
    <row r="5" spans="1:4" ht="15.6" thickTop="1" thickBot="1" x14ac:dyDescent="0.35">
      <c r="A5" s="19" t="s">
        <v>84</v>
      </c>
      <c r="B5" s="20">
        <f>'Table 6.6'!B9</f>
        <v>162103</v>
      </c>
      <c r="C5" s="131">
        <f>'Table 6.6'!F9</f>
        <v>8142081</v>
      </c>
      <c r="D5" s="132"/>
    </row>
    <row r="6" spans="1:4" ht="15.6" thickTop="1" thickBot="1" x14ac:dyDescent="0.35">
      <c r="A6" s="19" t="s">
        <v>85</v>
      </c>
      <c r="B6" s="20">
        <v>18660</v>
      </c>
      <c r="C6" s="131">
        <f>'Table 6.7'!A16</f>
        <v>891574.8</v>
      </c>
      <c r="D6" s="132"/>
    </row>
    <row r="7" spans="1:4" ht="15.6" thickTop="1" thickBot="1" x14ac:dyDescent="0.35">
      <c r="A7" s="30" t="s">
        <v>86</v>
      </c>
      <c r="B7" s="31">
        <f>SUM(B5:B6)</f>
        <v>180763</v>
      </c>
      <c r="C7" s="139">
        <f>SUM(C5:D6)</f>
        <v>9033655.8000000007</v>
      </c>
      <c r="D7" s="140"/>
    </row>
    <row r="8" spans="1:4" ht="16.8" thickTop="1" thickBot="1" x14ac:dyDescent="0.35">
      <c r="A8" s="128" t="s">
        <v>87</v>
      </c>
      <c r="B8" s="129"/>
      <c r="C8" s="129"/>
      <c r="D8" s="130"/>
    </row>
    <row r="9" spans="1:4" ht="15.6" thickTop="1" thickBot="1" x14ac:dyDescent="0.35">
      <c r="A9" s="19" t="s">
        <v>88</v>
      </c>
      <c r="B9" s="32">
        <v>232</v>
      </c>
      <c r="C9" s="131">
        <v>18409</v>
      </c>
      <c r="D9" s="132"/>
    </row>
    <row r="10" spans="1:4" ht="15.6" thickTop="1" thickBot="1" x14ac:dyDescent="0.35">
      <c r="A10" s="19" t="s">
        <v>89</v>
      </c>
      <c r="B10" s="32">
        <v>0</v>
      </c>
      <c r="C10" s="133">
        <v>0</v>
      </c>
      <c r="D10" s="134"/>
    </row>
    <row r="11" spans="1:4" ht="15.6" thickTop="1" thickBot="1" x14ac:dyDescent="0.35">
      <c r="A11" s="21" t="s">
        <v>90</v>
      </c>
      <c r="B11" s="4">
        <v>232</v>
      </c>
      <c r="C11" s="135">
        <f>SUM(C9:D10)</f>
        <v>18409</v>
      </c>
      <c r="D11" s="136"/>
    </row>
  </sheetData>
  <mergeCells count="10">
    <mergeCell ref="A8:D8"/>
    <mergeCell ref="C9:D9"/>
    <mergeCell ref="C10:D10"/>
    <mergeCell ref="C11:D11"/>
    <mergeCell ref="B2:D2"/>
    <mergeCell ref="B3:C3"/>
    <mergeCell ref="A4:D4"/>
    <mergeCell ref="C5:D5"/>
    <mergeCell ref="C6:D6"/>
    <mergeCell ref="C7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F945D3E4F86649B7BD7D579B37A57A" ma:contentTypeVersion="11" ma:contentTypeDescription="Create a new document." ma:contentTypeScope="" ma:versionID="497b8a8b4ff777a8c025520ed077faf6">
  <xsd:schema xmlns:xsd="http://www.w3.org/2001/XMLSchema" xmlns:xs="http://www.w3.org/2001/XMLSchema" xmlns:p="http://schemas.microsoft.com/office/2006/metadata/properties" xmlns:ns2="http://schemas.microsoft.com/sharepoint.v3" xmlns:ns3="4ffa91fb-a0ff-4ac5-b2db-65c790d184a4" xmlns:ns4="118f882f-1e32-4cf2-ad69-9de43d57f4c6" xmlns:ns5="a5d1ca4e-0a3f-4119-b619-e20b93ebd1aa" targetNamespace="http://schemas.microsoft.com/office/2006/metadata/properties" ma:root="true" ma:fieldsID="08b2174e6ae303c8777cb48821b9bd9e" ns2:_="" ns3:_="" ns4:_="" ns5:_="">
    <xsd:import namespace="http://schemas.microsoft.com/sharepoint.v3"/>
    <xsd:import namespace="4ffa91fb-a0ff-4ac5-b2db-65c790d184a4"/>
    <xsd:import namespace="118f882f-1e32-4cf2-ad69-9de43d57f4c6"/>
    <xsd:import namespace="a5d1ca4e-0a3f-4119-b619-e20b93ebd1aa"/>
    <xsd:element name="properties">
      <xsd:complexType>
        <xsd:sequence>
          <xsd:element name="documentManagement">
            <xsd:complexType>
              <xsd:all>
                <xsd:element ref="ns2:CategoryDescription" minOccurs="0"/>
                <xsd:element ref="ns3:TaxCatchAllLabel" minOccurs="0"/>
                <xsd:element ref="ns3:TaxCatchAll" minOccurs="0"/>
                <xsd:element ref="ns4:FRN_x0020_List_x0020_Item_x0020_ID"/>
                <xsd:element ref="ns5:SharedWithUsers" minOccurs="0"/>
                <xsd:element ref="ns5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2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12331871-f22f-4f1e-b241-7c04b4cb386a}" ma:internalName="TaxCatchAllLabel" ma:readOnly="true" ma:showField="CatchAllDataLabel" ma:web="a5d1ca4e-0a3f-4119-b619-e20b93ebd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7" nillable="true" ma:displayName="Taxonomy Catch All Column" ma:hidden="true" ma:list="{12331871-f22f-4f1e-b241-7c04b4cb386a}" ma:internalName="TaxCatchAll" ma:showField="CatchAllData" ma:web="a5d1ca4e-0a3f-4119-b619-e20b93ebd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f882f-1e32-4cf2-ad69-9de43d57f4c6" elementFormDefault="qualified">
    <xsd:import namespace="http://schemas.microsoft.com/office/2006/documentManagement/types"/>
    <xsd:import namespace="http://schemas.microsoft.com/office/infopath/2007/PartnerControls"/>
    <xsd:element name="FRN_x0020_List_x0020_Item_x0020_ID" ma:index="11" ma:displayName="FRN List Item ID" ma:internalName="FRN_x0020_List_x0020_Item_x0020_ID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1ca4e-0a3f-4119-b619-e20b93ebd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Description xmlns="http://schemas.microsoft.com/sharepoint.v3" xsi:nil="true"/>
    <TaxCatchAll xmlns="4ffa91fb-a0ff-4ac5-b2db-65c790d184a4"/>
    <FRN_x0020_List_x0020_Item_x0020_ID xmlns="118f882f-1e32-4cf2-ad69-9de43d57f4c6">2779</FRN_x0020_List_x0020_Item_x0020_ID>
  </documentManagement>
</p:properties>
</file>

<file path=customXml/itemProps1.xml><?xml version="1.0" encoding="utf-8"?>
<ds:datastoreItem xmlns:ds="http://schemas.openxmlformats.org/officeDocument/2006/customXml" ds:itemID="{DFF0E513-FB0E-4581-B98F-7BF35A582A10}"/>
</file>

<file path=customXml/itemProps2.xml><?xml version="1.0" encoding="utf-8"?>
<ds:datastoreItem xmlns:ds="http://schemas.openxmlformats.org/officeDocument/2006/customXml" ds:itemID="{2343E180-7CC6-4FDE-A96F-260081415562}"/>
</file>

<file path=customXml/itemProps3.xml><?xml version="1.0" encoding="utf-8"?>
<ds:datastoreItem xmlns:ds="http://schemas.openxmlformats.org/officeDocument/2006/customXml" ds:itemID="{8BF2C78C-E0B0-458D-B75F-A4CCE137FC3B}"/>
</file>

<file path=customXml/itemProps4.xml><?xml version="1.0" encoding="utf-8"?>
<ds:datastoreItem xmlns:ds="http://schemas.openxmlformats.org/officeDocument/2006/customXml" ds:itemID="{44DDE9A4-6CAC-4CCC-B1E4-A2D197D105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Table 6.1</vt:lpstr>
      <vt:lpstr>Table 6.2</vt:lpstr>
      <vt:lpstr>Table 6.3</vt:lpstr>
      <vt:lpstr>Table 6.4</vt:lpstr>
      <vt:lpstr>Table 6.5</vt:lpstr>
      <vt:lpstr>Table 6.6</vt:lpstr>
      <vt:lpstr>Table 6.7</vt:lpstr>
      <vt:lpstr>Table 6.8</vt:lpstr>
      <vt:lpstr>Table 6.9</vt:lpstr>
      <vt:lpstr>Registrants pay table</vt:lpstr>
      <vt:lpstr>EPA pay table</vt:lpstr>
      <vt:lpstr>'Table 6.3'!_ftn1</vt:lpstr>
      <vt:lpstr>'Table 6.3'!_ftnref1</vt:lpstr>
      <vt:lpstr>'Table 6.1'!_Hlk22108931</vt:lpstr>
      <vt:lpstr>'Table 6.2'!_Hlk22110086</vt:lpstr>
      <vt:lpstr>'Table 6.3'!_Hlk22110165</vt:lpstr>
      <vt:lpstr>'Table 6.4'!_Hlk22110383</vt:lpstr>
      <vt:lpstr>'Table 6.5'!_Hlk22110499</vt:lpstr>
      <vt:lpstr>'Table 6.7'!_Hlk22110586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Barden, Danielle</dc:creator>
  <cp:lastModifiedBy>Siu, Carolyn</cp:lastModifiedBy>
  <dcterms:created xsi:type="dcterms:W3CDTF">2019-10-16T13:32:17Z</dcterms:created>
  <dcterms:modified xsi:type="dcterms:W3CDTF">2020-06-01T14:08:52Z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0x010100E8F945D3E4F86649B7BD7D579B37A57A</vt:lpwstr>
  </property>
</Properties>
</file>