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62A263C2-3564-4A6D-B174-827B6DA7B7A8}" xr6:coauthVersionLast="44" xr6:coauthVersionMax="44" xr10:uidLastSave="{00000000-0000-0000-0000-000000000000}"/>
  <bookViews>
    <workbookView xWindow="-120" yWindow="-120" windowWidth="20730" windowHeight="11160" xr2:uid="{96DE058B-D098-4CE9-9E14-B8F7844C5F75}"/>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5" i="3" l="1"/>
  <c r="E43" i="1"/>
  <c r="D42" i="3"/>
  <c r="I42" i="3" s="1"/>
  <c r="E18" i="2"/>
  <c r="E17" i="2"/>
  <c r="E16" i="2"/>
  <c r="E9" i="2"/>
  <c r="E59" i="1"/>
  <c r="E58" i="1"/>
  <c r="E57" i="1"/>
  <c r="E40" i="1"/>
  <c r="E21" i="1"/>
  <c r="E17" i="1"/>
  <c r="G42" i="3"/>
  <c r="D41" i="3"/>
  <c r="D40" i="3"/>
  <c r="G40" i="3"/>
  <c r="G41" i="3"/>
  <c r="G39" i="3"/>
  <c r="E35" i="1" l="1"/>
  <c r="C26" i="3" l="1"/>
  <c r="E36" i="1" l="1"/>
  <c r="E61" i="1" s="1"/>
  <c r="E33" i="1"/>
  <c r="E32" i="1"/>
  <c r="E31" i="1"/>
  <c r="E30" i="1"/>
  <c r="E20" i="1"/>
  <c r="E18" i="1"/>
  <c r="E14" i="1"/>
  <c r="E13" i="1"/>
  <c r="E10" i="1"/>
  <c r="E27" i="1" s="1"/>
  <c r="C27" i="3"/>
  <c r="E28" i="1" l="1"/>
  <c r="E26" i="1"/>
  <c r="C39" i="3"/>
  <c r="D39" i="3" s="1"/>
  <c r="C38" i="3"/>
  <c r="D38" i="3" s="1"/>
  <c r="C37" i="3"/>
  <c r="D37" i="3" s="1"/>
  <c r="C36" i="3"/>
  <c r="D36" i="3" s="1"/>
  <c r="E5" i="3"/>
  <c r="E6" i="3"/>
  <c r="E7" i="3"/>
  <c r="E8" i="3"/>
  <c r="E9" i="3"/>
  <c r="E10" i="3"/>
  <c r="E4" i="3"/>
  <c r="C28" i="3"/>
  <c r="F26" i="3"/>
  <c r="F27" i="3"/>
  <c r="F25" i="3"/>
  <c r="F28" i="3" l="1"/>
  <c r="D19" i="2"/>
  <c r="F19" i="2" s="1"/>
  <c r="D18" i="2"/>
  <c r="D17" i="2"/>
  <c r="D16" i="2"/>
  <c r="D15" i="2"/>
  <c r="F15" i="2" s="1"/>
  <c r="D14" i="2"/>
  <c r="F14" i="2" s="1"/>
  <c r="D13" i="2"/>
  <c r="F13" i="2" s="1"/>
  <c r="D9" i="2"/>
  <c r="D8" i="2"/>
  <c r="F8" i="2" s="1"/>
  <c r="D6" i="2"/>
  <c r="F6" i="2" s="1"/>
  <c r="D61" i="1"/>
  <c r="F61" i="1" s="1"/>
  <c r="D59" i="1"/>
  <c r="D58" i="1"/>
  <c r="D57" i="1"/>
  <c r="D54" i="1"/>
  <c r="D53" i="1"/>
  <c r="D52" i="1"/>
  <c r="D43" i="1"/>
  <c r="D42" i="1"/>
  <c r="D41" i="1"/>
  <c r="D40" i="1"/>
  <c r="D39" i="1"/>
  <c r="F39" i="1" s="1"/>
  <c r="D36" i="1"/>
  <c r="F36" i="1" s="1"/>
  <c r="D35" i="1"/>
  <c r="F35" i="1" s="1"/>
  <c r="D33" i="1"/>
  <c r="F33" i="1" s="1"/>
  <c r="D31" i="1"/>
  <c r="F31" i="1" s="1"/>
  <c r="D30" i="1"/>
  <c r="F30" i="1" s="1"/>
  <c r="D28" i="1"/>
  <c r="F28" i="1" s="1"/>
  <c r="D27" i="1"/>
  <c r="F27" i="1" s="1"/>
  <c r="D26" i="1"/>
  <c r="F26" i="1" s="1"/>
  <c r="D21" i="1"/>
  <c r="D20" i="1"/>
  <c r="F20" i="1" s="1"/>
  <c r="D18" i="1"/>
  <c r="F18" i="1" s="1"/>
  <c r="D17" i="1"/>
  <c r="D15" i="1"/>
  <c r="D14" i="1"/>
  <c r="F14" i="1" s="1"/>
  <c r="D13" i="1"/>
  <c r="F13" i="1" s="1"/>
  <c r="D8" i="1"/>
  <c r="H13" i="2" l="1"/>
  <c r="I13" i="2"/>
  <c r="G18" i="1"/>
  <c r="G61" i="1"/>
  <c r="G33" i="1"/>
  <c r="G38" i="3"/>
  <c r="G37" i="3"/>
  <c r="G36" i="3"/>
  <c r="F15" i="1"/>
  <c r="F40" i="1"/>
  <c r="H40" i="1" s="1"/>
  <c r="E8" i="1"/>
  <c r="F17" i="1"/>
  <c r="E11" i="3"/>
  <c r="F21" i="1"/>
  <c r="H61" i="1"/>
  <c r="H33" i="1"/>
  <c r="H18" i="1"/>
  <c r="H15" i="2"/>
  <c r="G15" i="2"/>
  <c r="G6" i="2"/>
  <c r="I6" i="2" s="1"/>
  <c r="H6" i="2"/>
  <c r="H8" i="2"/>
  <c r="G8" i="2"/>
  <c r="I8" i="2" s="1"/>
  <c r="H19" i="2"/>
  <c r="G19" i="2"/>
  <c r="I19" i="2" s="1"/>
  <c r="H14" i="2"/>
  <c r="I14" i="2" s="1"/>
  <c r="G14" i="2"/>
  <c r="G13" i="2"/>
  <c r="H27" i="1"/>
  <c r="G27" i="1"/>
  <c r="G28" i="1"/>
  <c r="H28" i="1"/>
  <c r="H14" i="1"/>
  <c r="G14" i="1"/>
  <c r="G35" i="1"/>
  <c r="H35" i="1"/>
  <c r="H26" i="1"/>
  <c r="G26" i="1"/>
  <c r="I26" i="1" s="1"/>
  <c r="H39" i="1"/>
  <c r="G39" i="1"/>
  <c r="H13" i="1"/>
  <c r="G13" i="1"/>
  <c r="G20" i="1"/>
  <c r="H20" i="1"/>
  <c r="H31" i="1"/>
  <c r="G31" i="1"/>
  <c r="I31" i="1" s="1"/>
  <c r="G36" i="1"/>
  <c r="H36" i="1"/>
  <c r="G30" i="1"/>
  <c r="H30" i="1"/>
  <c r="I15" i="2" l="1"/>
  <c r="I35" i="1"/>
  <c r="I18" i="1"/>
  <c r="I39" i="1"/>
  <c r="I13" i="1"/>
  <c r="I14" i="1"/>
  <c r="I61" i="1"/>
  <c r="I27" i="1"/>
  <c r="I30" i="1"/>
  <c r="I28" i="1"/>
  <c r="I36" i="1"/>
  <c r="I20" i="1"/>
  <c r="I33" i="1"/>
  <c r="G21" i="1"/>
  <c r="H21" i="1"/>
  <c r="H17" i="1"/>
  <c r="G17" i="1"/>
  <c r="H15" i="1"/>
  <c r="G15" i="1"/>
  <c r="A49" i="3"/>
  <c r="E54" i="1"/>
  <c r="F54" i="1" s="1"/>
  <c r="E53" i="1"/>
  <c r="F53" i="1" s="1"/>
  <c r="E52" i="1"/>
  <c r="F52" i="1" s="1"/>
  <c r="F57" i="1"/>
  <c r="F59" i="1"/>
  <c r="F58" i="1"/>
  <c r="G40" i="1"/>
  <c r="I40" i="1" s="1"/>
  <c r="F43" i="1"/>
  <c r="E14" i="3"/>
  <c r="E41" i="1"/>
  <c r="F41" i="1" s="1"/>
  <c r="E12" i="3"/>
  <c r="F8" i="1"/>
  <c r="E42" i="1"/>
  <c r="F42" i="1" s="1"/>
  <c r="E13" i="3"/>
  <c r="G49" i="3" l="1"/>
  <c r="I66" i="1"/>
  <c r="I17" i="1"/>
  <c r="F18" i="2"/>
  <c r="F9" i="2"/>
  <c r="I21" i="1"/>
  <c r="I15" i="1"/>
  <c r="B49" i="3"/>
  <c r="H43" i="1"/>
  <c r="G43" i="1"/>
  <c r="H58" i="1"/>
  <c r="G58" i="1"/>
  <c r="H59" i="1"/>
  <c r="G59" i="1"/>
  <c r="G57" i="1"/>
  <c r="H57" i="1"/>
  <c r="H52" i="1"/>
  <c r="G52" i="1"/>
  <c r="H42" i="1"/>
  <c r="G42" i="1"/>
  <c r="H8" i="1"/>
  <c r="G8" i="1"/>
  <c r="H53" i="1"/>
  <c r="G53" i="1"/>
  <c r="G41" i="1"/>
  <c r="H41" i="1"/>
  <c r="H54" i="1"/>
  <c r="G54" i="1"/>
  <c r="C49" i="3" l="1"/>
  <c r="D49" i="3"/>
  <c r="F44" i="1"/>
  <c r="F65" i="1" s="1"/>
  <c r="F64" i="1"/>
  <c r="H9" i="2"/>
  <c r="G9" i="2"/>
  <c r="F17" i="2"/>
  <c r="F16" i="2"/>
  <c r="G18" i="2"/>
  <c r="H18" i="2"/>
  <c r="I52" i="1"/>
  <c r="I43" i="1"/>
  <c r="I42" i="1"/>
  <c r="I57" i="1"/>
  <c r="I59" i="1"/>
  <c r="I53" i="1"/>
  <c r="I41" i="1"/>
  <c r="I54" i="1"/>
  <c r="I58" i="1"/>
  <c r="I8" i="1"/>
  <c r="E49" i="3" l="1"/>
  <c r="I49" i="3" s="1"/>
  <c r="I18" i="2"/>
  <c r="I44" i="1"/>
  <c r="I64" i="1"/>
  <c r="G16" i="2"/>
  <c r="H16" i="2"/>
  <c r="H17" i="2"/>
  <c r="G17" i="2"/>
  <c r="I9" i="2"/>
  <c r="I17" i="2" l="1"/>
  <c r="I65" i="1"/>
  <c r="I67" i="1" s="1"/>
  <c r="F20" i="2"/>
  <c r="I16" i="2"/>
  <c r="I20" i="2" s="1"/>
  <c r="F49" i="3" l="1"/>
  <c r="H49" i="3" s="1"/>
</calcChain>
</file>

<file path=xl/sharedStrings.xml><?xml version="1.0" encoding="utf-8"?>
<sst xmlns="http://schemas.openxmlformats.org/spreadsheetml/2006/main" count="247" uniqueCount="193">
  <si>
    <t>(A)</t>
  </si>
  <si>
    <t>Information Collection Activity</t>
  </si>
  <si>
    <t>(B)</t>
  </si>
  <si>
    <t>Number of Respondents</t>
  </si>
  <si>
    <t>(C)</t>
  </si>
  <si>
    <t>Number of Responses</t>
  </si>
  <si>
    <t>(D)</t>
  </si>
  <si>
    <t>Number of Existing Respondents That Keep Records But Do Not Submit Reports</t>
  </si>
  <si>
    <t>(E)</t>
  </si>
  <si>
    <t>Total</t>
  </si>
  <si>
    <t>Total Annual Responses E=(BxC)+D</t>
  </si>
  <si>
    <t>Respondents That Submit Reports</t>
  </si>
  <si>
    <t>Respondents That Do Not Submit Any Reports</t>
  </si>
  <si>
    <t>Year</t>
  </si>
  <si>
    <r>
      <t xml:space="preserve">Number of New Respondents </t>
    </r>
    <r>
      <rPr>
        <vertAlign val="superscript"/>
        <sz val="10"/>
        <color rgb="FF000000"/>
        <rFont val="Times New Roman"/>
        <family val="1"/>
      </rPr>
      <t>1</t>
    </r>
  </si>
  <si>
    <t>Number of Existing Respondents</t>
  </si>
  <si>
    <t>Number of Existing Respondents that keep records but do not submit reports</t>
  </si>
  <si>
    <t>Number of Existing Respondents That Are Also New Respondents</t>
  </si>
  <si>
    <t>Average</t>
  </si>
  <si>
    <t>Number of Respondents (E=A+B+C-D)</t>
  </si>
  <si>
    <t>New respondents include sources with constructed, reconstructed and modified affected facilities.</t>
  </si>
  <si>
    <t>Continuous Monitoring Device</t>
  </si>
  <si>
    <t xml:space="preserve">Number of New Respondents </t>
  </si>
  <si>
    <t>Total Capital/Startup Cost, (B X C)</t>
  </si>
  <si>
    <t>(F)</t>
  </si>
  <si>
    <t>Number of Respondents with O&amp;M</t>
  </si>
  <si>
    <t>(G)</t>
  </si>
  <si>
    <t>Total O&amp;M, 
(E X F)</t>
  </si>
  <si>
    <t>Burden Item</t>
  </si>
  <si>
    <t>1. Applications</t>
  </si>
  <si>
    <t>N/A</t>
  </si>
  <si>
    <t>3. Reporting Requirements</t>
  </si>
  <si>
    <t>(H)</t>
  </si>
  <si>
    <t>Assumptions:</t>
  </si>
  <si>
    <t>B. Required Activities</t>
  </si>
  <si>
    <t>See 3B</t>
  </si>
  <si>
    <t>C. Create Information</t>
  </si>
  <si>
    <t>D. Gather Information</t>
  </si>
  <si>
    <t>See 3E</t>
  </si>
  <si>
    <t>E. Report Preparation</t>
  </si>
  <si>
    <t>Subtotal for Reporting Requirements</t>
  </si>
  <si>
    <t>4. Recordkeeping Requirements</t>
  </si>
  <si>
    <t>A. Familiarize with regulatory requirements</t>
  </si>
  <si>
    <t>See 3A</t>
  </si>
  <si>
    <t>B. Plan Activities</t>
  </si>
  <si>
    <t>C. Implement Activities</t>
  </si>
  <si>
    <t>D. Develop Record System</t>
  </si>
  <si>
    <t>E. Record Information</t>
  </si>
  <si>
    <t>1) Records of operating parameters</t>
  </si>
  <si>
    <t>5) Records of stack tests</t>
  </si>
  <si>
    <t>6) Records of siting analysis</t>
  </si>
  <si>
    <t>F. Personnel Training</t>
  </si>
  <si>
    <t>G. Time for Audits</t>
  </si>
  <si>
    <t>Subtotal for Recordkeeping Requirements</t>
  </si>
  <si>
    <t>7) Records of persons who have reviewed operating procedures</t>
  </si>
  <si>
    <t>8) Records of persons who have completed operator training</t>
  </si>
  <si>
    <t>10) Records of monitoring device calibration</t>
  </si>
  <si>
    <t>Labor Rates</t>
  </si>
  <si>
    <t>Management</t>
  </si>
  <si>
    <t>Technical</t>
  </si>
  <si>
    <t>Clerical</t>
  </si>
  <si>
    <t xml:space="preserve">Total </t>
  </si>
  <si>
    <t>Annual O&amp;M Costs for One Respondent</t>
  </si>
  <si>
    <t>Bag Leak Detectors</t>
  </si>
  <si>
    <t>CO CEMS</t>
  </si>
  <si>
    <t>ACI Monitors</t>
  </si>
  <si>
    <t>Stack Tests</t>
  </si>
  <si>
    <t>4) Report of initial CMS demonstration</t>
  </si>
  <si>
    <t>7) Report of initial stack test</t>
  </si>
  <si>
    <t>8) Report established values for site-specific operating parameters</t>
  </si>
  <si>
    <t xml:space="preserve">(A) </t>
  </si>
  <si>
    <t xml:space="preserve">(B) </t>
  </si>
  <si>
    <t xml:space="preserve">(C) </t>
  </si>
  <si>
    <t xml:space="preserve">(D) </t>
  </si>
  <si>
    <t xml:space="preserve">(E) </t>
  </si>
  <si>
    <t xml:space="preserve">(F) </t>
  </si>
  <si>
    <t xml:space="preserve">(G) </t>
  </si>
  <si>
    <t xml:space="preserve">Respondent Hours per Occurrence </t>
  </si>
  <si>
    <t>Number of Occurrences Per Respondent Per Year</t>
  </si>
  <si>
    <t>Hours Per Respondent Per Year 
(C=AxB)</t>
  </si>
  <si>
    <t>Technical Hours Per Year 
(E=CxD)</t>
  </si>
  <si>
    <t>Management Hours Per Year 
(F=Ex0.05)</t>
  </si>
  <si>
    <t>Clerical Hours Per Year 
(G=Ex0.1)</t>
  </si>
  <si>
    <t>2. Surveys and Studies</t>
  </si>
  <si>
    <t>1) Initial stack test and report (PM, dioxins/furans, opacity, HCl, Cd, Pb, Hg, CO, NOx, and SO2)</t>
  </si>
  <si>
    <t>See Capital/ Startup Costs</t>
  </si>
  <si>
    <t>2) Annual stack test and test report (PM, HCl, Opacity, and Fugitive Ash)</t>
  </si>
  <si>
    <t>See O&amp;M Costs</t>
  </si>
  <si>
    <t xml:space="preserve">3) Operator training and qualification      </t>
  </si>
  <si>
    <t>c) Annual refresher course</t>
  </si>
  <si>
    <t>d) Initial review of site-specific information</t>
  </si>
  <si>
    <t>e) Annual review of site-specific information</t>
  </si>
  <si>
    <t xml:space="preserve">5) Continuous parameter monitoring (including CEMS)  </t>
  </si>
  <si>
    <t>a) Initial monitoring</t>
  </si>
  <si>
    <t>b) Annual monitoring</t>
  </si>
  <si>
    <t>a) Pollutants, fugitive ash emissions</t>
  </si>
  <si>
    <t>b) Fugitive Ash Emissions</t>
  </si>
  <si>
    <t>a) Without site specific parameter petition</t>
  </si>
  <si>
    <t>b) With site specific parameter petition</t>
  </si>
  <si>
    <t>See 3B(1)</t>
  </si>
  <si>
    <t xml:space="preserve"> </t>
  </si>
  <si>
    <t>See 3B(5b)</t>
  </si>
  <si>
    <t xml:space="preserve">9) Records of persons who meet operator qualification criteria </t>
  </si>
  <si>
    <t xml:space="preserve">(H) </t>
  </si>
  <si>
    <t>EPA Hours per Occurrence</t>
  </si>
  <si>
    <t>EPA Hours Per Respondent Per Year 
(C=AxB)</t>
  </si>
  <si>
    <r>
      <t xml:space="preserve">Number of Respondents Per Year </t>
    </r>
    <r>
      <rPr>
        <b/>
        <vertAlign val="superscript"/>
        <sz val="9"/>
        <color theme="1"/>
        <rFont val="Times New Roman"/>
        <family val="1"/>
      </rPr>
      <t>a</t>
    </r>
  </si>
  <si>
    <t>Technical Hours Per Year 
(E=CXD)</t>
  </si>
  <si>
    <r>
      <t xml:space="preserve">Total Costs, $ </t>
    </r>
    <r>
      <rPr>
        <b/>
        <vertAlign val="superscript"/>
        <sz val="9"/>
        <color theme="1"/>
        <rFont val="Times New Roman"/>
        <family val="1"/>
      </rPr>
      <t>b</t>
    </r>
  </si>
  <si>
    <t>2. Familiarize with regulatory requirements</t>
  </si>
  <si>
    <t>3. Required Activities</t>
  </si>
  <si>
    <r>
      <t xml:space="preserve">A. Observe initial stack tests (PM, dioxins/furans, opacity, HCl, Cd, Pb, Hg, CO, NOx, and SO2) </t>
    </r>
    <r>
      <rPr>
        <vertAlign val="superscript"/>
        <sz val="9"/>
        <color theme="1"/>
        <rFont val="Times New Roman"/>
        <family val="1"/>
      </rPr>
      <t>c</t>
    </r>
  </si>
  <si>
    <r>
      <t xml:space="preserve">B. Excess emissions -- Enforcement Activities </t>
    </r>
    <r>
      <rPr>
        <vertAlign val="superscript"/>
        <sz val="9"/>
        <color theme="1"/>
        <rFont val="Times New Roman"/>
        <family val="1"/>
      </rPr>
      <t>d</t>
    </r>
  </si>
  <si>
    <t>E. Report Reviews</t>
  </si>
  <si>
    <r>
      <t xml:space="preserve">1) Review waste management plan and siting analysis </t>
    </r>
    <r>
      <rPr>
        <vertAlign val="superscript"/>
        <sz val="9"/>
        <color theme="1"/>
        <rFont val="Times New Roman"/>
        <family val="1"/>
      </rPr>
      <t>e</t>
    </r>
  </si>
  <si>
    <r>
      <t xml:space="preserve">2) Review report submitted prior to initial startup </t>
    </r>
    <r>
      <rPr>
        <vertAlign val="superscript"/>
        <sz val="9"/>
        <color theme="1"/>
        <rFont val="Times New Roman"/>
        <family val="1"/>
      </rPr>
      <t>e</t>
    </r>
  </si>
  <si>
    <r>
      <t xml:space="preserve">3) Review initial stack test report </t>
    </r>
    <r>
      <rPr>
        <vertAlign val="superscript"/>
        <sz val="9"/>
        <color theme="1"/>
        <rFont val="Times New Roman"/>
        <family val="1"/>
      </rPr>
      <t>e</t>
    </r>
  </si>
  <si>
    <t>4) Review annual compliance report</t>
  </si>
  <si>
    <r>
      <t xml:space="preserve">5) Review semi-annual excess emission and parameter exceedance report </t>
    </r>
    <r>
      <rPr>
        <vertAlign val="superscript"/>
        <sz val="9"/>
        <color theme="1"/>
        <rFont val="Times New Roman"/>
        <family val="1"/>
      </rPr>
      <t>d</t>
    </r>
  </si>
  <si>
    <r>
      <t xml:space="preserve">6) Review notifications and status reports for qualified operators off-site </t>
    </r>
    <r>
      <rPr>
        <vertAlign val="superscript"/>
        <sz val="9"/>
        <color theme="1"/>
        <rFont val="Times New Roman"/>
        <family val="1"/>
      </rPr>
      <t>f</t>
    </r>
  </si>
  <si>
    <t xml:space="preserve">Total Annual Responses </t>
  </si>
  <si>
    <t>Report prior to construction (includes siting analysis)</t>
  </si>
  <si>
    <t>Report prior to initial start-up</t>
  </si>
  <si>
    <t>Report of initial performance test</t>
  </si>
  <si>
    <t>Report established values for site-specific operating parameters</t>
  </si>
  <si>
    <t>Waste management plan</t>
  </si>
  <si>
    <t xml:space="preserve">Capital/Startup Cost for One Respondent </t>
  </si>
  <si>
    <t xml:space="preserve">Notification of initial performance test </t>
  </si>
  <si>
    <t xml:space="preserve">Notification of initial CMS Demonstration </t>
  </si>
  <si>
    <r>
      <t xml:space="preserve">Annual Report </t>
    </r>
    <r>
      <rPr>
        <vertAlign val="superscript"/>
        <sz val="10"/>
        <color rgb="FF000000"/>
        <rFont val="Times New Roman"/>
        <family val="1"/>
      </rPr>
      <t>a</t>
    </r>
  </si>
  <si>
    <r>
      <t xml:space="preserve">Notification for qualified operators that are off-site for more than 2 weeks </t>
    </r>
    <r>
      <rPr>
        <vertAlign val="superscript"/>
        <sz val="10"/>
        <color rgb="FF000000"/>
        <rFont val="Times New Roman"/>
        <family val="1"/>
      </rPr>
      <t>b</t>
    </r>
  </si>
  <si>
    <r>
      <t xml:space="preserve">Status report for qualified operators that are off-site for more than 2 weeks </t>
    </r>
    <r>
      <rPr>
        <vertAlign val="superscript"/>
        <sz val="10"/>
        <color rgb="FF000000"/>
        <rFont val="Times New Roman"/>
        <family val="1"/>
      </rPr>
      <t>b</t>
    </r>
  </si>
  <si>
    <t>Capital/Startup vs. Operation and Maintenance (O&amp;M) Costs</t>
  </si>
  <si>
    <r>
      <t xml:space="preserve">Number of Respondents Per Year </t>
    </r>
    <r>
      <rPr>
        <b/>
        <vertAlign val="superscript"/>
        <sz val="10"/>
        <color rgb="FF000000"/>
        <rFont val="Times New Roman"/>
        <family val="1"/>
      </rPr>
      <t>a</t>
    </r>
  </si>
  <si>
    <r>
      <t xml:space="preserve">Total Labor Costs Per Year </t>
    </r>
    <r>
      <rPr>
        <b/>
        <vertAlign val="superscript"/>
        <sz val="10"/>
        <color rgb="FF000000"/>
        <rFont val="Times New Roman"/>
        <family val="1"/>
      </rPr>
      <t>b</t>
    </r>
  </si>
  <si>
    <r>
      <t xml:space="preserve">A. Familiarize with regulatory requirements </t>
    </r>
    <r>
      <rPr>
        <vertAlign val="superscript"/>
        <sz val="10"/>
        <color rgb="FF000000"/>
        <rFont val="Times New Roman"/>
        <family val="1"/>
      </rPr>
      <t>c</t>
    </r>
  </si>
  <si>
    <r>
      <t xml:space="preserve">a) Establish and teach operator qualification course </t>
    </r>
    <r>
      <rPr>
        <vertAlign val="superscript"/>
        <sz val="10"/>
        <color rgb="FF000000"/>
        <rFont val="Times New Roman"/>
        <family val="1"/>
      </rPr>
      <t>d</t>
    </r>
  </si>
  <si>
    <r>
      <t xml:space="preserve">b) Obtain operator qualification </t>
    </r>
    <r>
      <rPr>
        <vertAlign val="superscript"/>
        <sz val="10"/>
        <color rgb="FF000000"/>
        <rFont val="Times New Roman"/>
        <family val="1"/>
      </rPr>
      <t>d</t>
    </r>
  </si>
  <si>
    <r>
      <t xml:space="preserve">4) Establish operating parameters (maximum and minimum) </t>
    </r>
    <r>
      <rPr>
        <vertAlign val="superscript"/>
        <sz val="10"/>
        <color rgb="FF000000"/>
        <rFont val="Times New Roman"/>
        <family val="1"/>
      </rPr>
      <t>d</t>
    </r>
  </si>
  <si>
    <r>
      <t xml:space="preserve">1) Notification of initial performance test </t>
    </r>
    <r>
      <rPr>
        <vertAlign val="superscript"/>
        <sz val="10"/>
        <color rgb="FF000000"/>
        <rFont val="Times New Roman"/>
        <family val="1"/>
      </rPr>
      <t>d</t>
    </r>
  </si>
  <si>
    <r>
      <t xml:space="preserve">2) Notification of initial CMS Demonstration </t>
    </r>
    <r>
      <rPr>
        <vertAlign val="superscript"/>
        <sz val="10"/>
        <color rgb="FF000000"/>
        <rFont val="Times New Roman"/>
        <family val="1"/>
      </rPr>
      <t>d</t>
    </r>
  </si>
  <si>
    <r>
      <t xml:space="preserve">3) Report of initial performance test </t>
    </r>
    <r>
      <rPr>
        <vertAlign val="superscript"/>
        <sz val="10"/>
        <color rgb="FF000000"/>
        <rFont val="Times New Roman"/>
        <family val="1"/>
      </rPr>
      <t>d</t>
    </r>
  </si>
  <si>
    <r>
      <t xml:space="preserve">5) Report prior to construction (includes siting analysis) </t>
    </r>
    <r>
      <rPr>
        <vertAlign val="superscript"/>
        <sz val="10"/>
        <color rgb="FF000000"/>
        <rFont val="Times New Roman"/>
        <family val="1"/>
      </rPr>
      <t>d</t>
    </r>
  </si>
  <si>
    <r>
      <t xml:space="preserve">6) Report prior to initial start-up </t>
    </r>
    <r>
      <rPr>
        <vertAlign val="superscript"/>
        <sz val="10"/>
        <color rgb="FF000000"/>
        <rFont val="Times New Roman"/>
        <family val="1"/>
      </rPr>
      <t>d, e</t>
    </r>
  </si>
  <si>
    <r>
      <t xml:space="preserve">9) Waste management plan </t>
    </r>
    <r>
      <rPr>
        <vertAlign val="superscript"/>
        <sz val="10"/>
        <color rgb="FF000000"/>
        <rFont val="Times New Roman"/>
        <family val="1"/>
      </rPr>
      <t>d</t>
    </r>
  </si>
  <si>
    <r>
      <t xml:space="preserve">11) Notification for qualified operators that are off-site for more than 2 weeks </t>
    </r>
    <r>
      <rPr>
        <vertAlign val="superscript"/>
        <sz val="10"/>
        <color rgb="FF000000"/>
        <rFont val="Times New Roman"/>
        <family val="1"/>
      </rPr>
      <t>f</t>
    </r>
  </si>
  <si>
    <r>
      <t xml:space="preserve">12) Status report for qualified operators that are off-site for more than 2 weeks </t>
    </r>
    <r>
      <rPr>
        <vertAlign val="superscript"/>
        <sz val="10"/>
        <color rgb="FF000000"/>
        <rFont val="Times New Roman"/>
        <family val="1"/>
      </rPr>
      <t>f</t>
    </r>
  </si>
  <si>
    <r>
      <t xml:space="preserve">13) Semiannual report of emissions/parameter exceedances </t>
    </r>
    <r>
      <rPr>
        <vertAlign val="superscript"/>
        <sz val="10"/>
        <color rgb="FF000000"/>
        <rFont val="Times New Roman"/>
        <family val="1"/>
      </rPr>
      <t>g</t>
    </r>
  </si>
  <si>
    <r>
      <t xml:space="preserve">4) Records of exceedances of the operating parameters </t>
    </r>
    <r>
      <rPr>
        <vertAlign val="superscript"/>
        <sz val="10"/>
        <color rgb="FF000000"/>
        <rFont val="Times New Roman"/>
        <family val="1"/>
      </rPr>
      <t>g</t>
    </r>
  </si>
  <si>
    <r>
      <t xml:space="preserve">11) Records of site-specific documentation </t>
    </r>
    <r>
      <rPr>
        <vertAlign val="superscript"/>
        <sz val="10"/>
        <color rgb="FF000000"/>
        <rFont val="Times New Roman"/>
        <family val="1"/>
      </rPr>
      <t>e</t>
    </r>
  </si>
  <si>
    <t>See 3B(4)</t>
  </si>
  <si>
    <t>10) Annual Report: Results of performance tests conducted during the year</t>
  </si>
  <si>
    <r>
      <t xml:space="preserve">3) Records of malfunction of the unit </t>
    </r>
    <r>
      <rPr>
        <vertAlign val="superscript"/>
        <sz val="10"/>
        <color rgb="FF000000"/>
        <rFont val="Times New Roman"/>
        <family val="1"/>
      </rPr>
      <t>g</t>
    </r>
  </si>
  <si>
    <r>
      <t xml:space="preserve">2) Records of periods for which minimum amount of data on operating parameters were not obtained </t>
    </r>
    <r>
      <rPr>
        <vertAlign val="superscript"/>
        <sz val="10"/>
        <color rgb="FF000000"/>
        <rFont val="Times New Roman"/>
        <family val="1"/>
      </rPr>
      <t>g</t>
    </r>
  </si>
  <si>
    <r>
      <t xml:space="preserve">Total Labor Burden and Costs (rounded) </t>
    </r>
    <r>
      <rPr>
        <b/>
        <vertAlign val="superscript"/>
        <sz val="10"/>
        <color rgb="FF000000"/>
        <rFont val="Times New Roman"/>
        <family val="1"/>
      </rPr>
      <t>h</t>
    </r>
  </si>
  <si>
    <r>
      <t xml:space="preserve">Total Capital and O&amp;M Cost (rounded) </t>
    </r>
    <r>
      <rPr>
        <b/>
        <vertAlign val="superscript"/>
        <sz val="10"/>
        <color rgb="FF000000"/>
        <rFont val="Times New Roman"/>
        <family val="1"/>
      </rPr>
      <t>h</t>
    </r>
  </si>
  <si>
    <r>
      <t xml:space="preserve">Grand Total (rounded) </t>
    </r>
    <r>
      <rPr>
        <b/>
        <vertAlign val="superscript"/>
        <sz val="10"/>
        <color rgb="FF000000"/>
        <rFont val="Times New Roman"/>
        <family val="1"/>
      </rPr>
      <t>h</t>
    </r>
  </si>
  <si>
    <r>
      <t xml:space="preserve">Total </t>
    </r>
    <r>
      <rPr>
        <b/>
        <vertAlign val="superscript"/>
        <sz val="10"/>
        <color rgb="FF000000"/>
        <rFont val="Times New Roman"/>
        <family val="1"/>
      </rPr>
      <t>a</t>
    </r>
  </si>
  <si>
    <r>
      <t xml:space="preserve">a  </t>
    </r>
    <r>
      <rPr>
        <sz val="10"/>
        <color theme="1"/>
        <rFont val="Times New Roman"/>
        <family val="1"/>
      </rPr>
      <t>Totals have been rounded to 3 significant figures. Figures may not add exactly due to rounding.</t>
    </r>
  </si>
  <si>
    <r>
      <t xml:space="preserve">F. Prepare annual summary report </t>
    </r>
    <r>
      <rPr>
        <vertAlign val="superscript"/>
        <sz val="9"/>
        <color theme="1"/>
        <rFont val="Times New Roman"/>
        <family val="1"/>
      </rPr>
      <t>g</t>
    </r>
  </si>
  <si>
    <r>
      <t xml:space="preserve">TOTAL (rounded) </t>
    </r>
    <r>
      <rPr>
        <b/>
        <vertAlign val="superscript"/>
        <sz val="9"/>
        <color theme="1"/>
        <rFont val="Times New Roman"/>
        <family val="1"/>
      </rPr>
      <t>h</t>
    </r>
  </si>
  <si>
    <t>Reporting Hours</t>
  </si>
  <si>
    <t>Recordkeeping Hours</t>
  </si>
  <si>
    <t>Total Hours</t>
  </si>
  <si>
    <t>Labor Costs</t>
  </si>
  <si>
    <t>Non-Labor (Capital/Startup and O&amp;M) Costs</t>
  </si>
  <si>
    <t>Total Costs</t>
  </si>
  <si>
    <t>Hours per Response</t>
  </si>
  <si>
    <t xml:space="preserve">Table 1: Annual Respondent Burden and Cost – NSPS for Commercial and Industrial Solid Waste Incineration (CISWI) Units (40 CFR Part 60, Subpart CCCC) (Renewal)
</t>
  </si>
  <si>
    <t>Summary of Annual Respondent Burden and Cost – NSPS for Commercial and Industrial Solid Waste Incineration (CISWI) Units (40 CFR Part 60, Subpart CCCC) (Renewal)</t>
  </si>
  <si>
    <t xml:space="preserve">Table 2: Average Annual EPA Burden and Cost – NSPS for Commercial and Industrial Solid Waste Incineration (CISWI) Units (40 CFR Part 60, Subpart CCCC) (Renewal)
</t>
  </si>
  <si>
    <t>Postage for Performance Tests</t>
  </si>
  <si>
    <t>Postage for Semiannual Reports</t>
  </si>
  <si>
    <r>
      <t>a</t>
    </r>
    <r>
      <rPr>
        <sz val="10"/>
        <color theme="1"/>
        <rFont val="Times New Roman"/>
        <family val="1"/>
      </rPr>
      <t xml:space="preserve"> We estimate 10 existing respondents have to submit annual reports. </t>
    </r>
  </si>
  <si>
    <r>
      <rPr>
        <vertAlign val="superscript"/>
        <sz val="10"/>
        <color theme="1"/>
        <rFont val="Times New Roman"/>
        <family val="1"/>
      </rPr>
      <t xml:space="preserve">a </t>
    </r>
    <r>
      <rPr>
        <sz val="10"/>
        <color theme="1"/>
        <rFont val="Times New Roman"/>
        <family val="1"/>
      </rPr>
      <t xml:space="preserve"> We assume there are 10 existing sources subject to the rule and 1 additional new source per year (one new respondent) will become subject to the rule during the three-year period of this ICR.</t>
    </r>
  </si>
  <si>
    <r>
      <rPr>
        <vertAlign val="superscript"/>
        <sz val="10"/>
        <color theme="1"/>
        <rFont val="Times New Roman"/>
        <family val="1"/>
      </rPr>
      <t>b</t>
    </r>
    <r>
      <rPr>
        <sz val="10"/>
        <color theme="1"/>
        <rFont val="Times New Roman"/>
        <family val="1"/>
      </rPr>
      <t xml:space="preserve">  This ICR uses the following labor rates for privately-owned sources: $141.06 for managerial, $120.27 for technical,  and $58.67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r>
  </si>
  <si>
    <r>
      <rPr>
        <vertAlign val="superscript"/>
        <sz val="10"/>
        <color theme="1"/>
        <rFont val="Times New Roman"/>
        <family val="1"/>
      </rPr>
      <t>c</t>
    </r>
    <r>
      <rPr>
        <sz val="10"/>
        <color theme="1"/>
        <rFont val="Times New Roman"/>
        <family val="1"/>
      </rPr>
      <t xml:space="preserve">  We assume that all sources will have to familiarize with the regulatory requirements each year.</t>
    </r>
  </si>
  <si>
    <r>
      <rPr>
        <vertAlign val="superscript"/>
        <sz val="10"/>
        <color theme="1"/>
        <rFont val="Times New Roman"/>
        <family val="1"/>
      </rPr>
      <t>d</t>
    </r>
    <r>
      <rPr>
        <sz val="10"/>
        <color theme="1"/>
        <rFont val="Times New Roman"/>
        <family val="1"/>
      </rPr>
      <t xml:space="preserve">  These are one-time only costs associated with the startup of a new source. We assume there will be 1 new respondent per year.</t>
    </r>
  </si>
  <si>
    <r>
      <rPr>
        <vertAlign val="superscript"/>
        <sz val="10"/>
        <color theme="1"/>
        <rFont val="Times New Roman"/>
        <family val="1"/>
      </rPr>
      <t>e</t>
    </r>
    <r>
      <rPr>
        <sz val="10"/>
        <color theme="1"/>
        <rFont val="Times New Roman"/>
        <family val="1"/>
      </rPr>
      <t xml:space="preserve">  We assume that one-third of the facilities will petition for site-specific parameters.</t>
    </r>
  </si>
  <si>
    <r>
      <rPr>
        <vertAlign val="superscript"/>
        <sz val="10"/>
        <color theme="1"/>
        <rFont val="Times New Roman"/>
        <family val="1"/>
      </rPr>
      <t>h</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</si>
  <si>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 xml:space="preserve">f </t>
    </r>
    <r>
      <rPr>
        <sz val="10"/>
        <color theme="1"/>
        <rFont val="Times New Roman"/>
        <family val="1"/>
      </rPr>
      <t xml:space="preserve"> We assume that 10 percent of the existing facilities would not have a qualified operator available for more than two weeks at least once a year (Note: each deviation requires 2 notifications, 1 for when the deviation occurs and 1 for when operation resumes).   We also assume that each deviation will require only two status reports.</t>
    </r>
  </si>
  <si>
    <r>
      <rPr>
        <vertAlign val="superscript"/>
        <sz val="10"/>
        <color theme="1"/>
        <rFont val="Times New Roman"/>
        <family val="1"/>
      </rPr>
      <t>a</t>
    </r>
    <r>
      <rPr>
        <sz val="10"/>
        <color theme="1"/>
        <rFont val="Times New Roman"/>
        <family val="1"/>
      </rPr>
      <t xml:space="preserve">  We assume there are 10 existing sources subject to the rule and 1 additional new source per year (one new respondent) will become subject to the rule during the three-year period of this ICR.</t>
    </r>
  </si>
  <si>
    <r>
      <rPr>
        <vertAlign val="superscript"/>
        <sz val="10"/>
        <color theme="1"/>
        <rFont val="Times New Roman"/>
        <family val="1"/>
      </rPr>
      <t>b</t>
    </r>
    <r>
      <rPr>
        <sz val="10"/>
        <color theme="1"/>
        <rFont val="Times New Roman"/>
        <family val="1"/>
      </rPr>
      <t xml:space="preserve">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r>
  </si>
  <si>
    <r>
      <rPr>
        <vertAlign val="superscript"/>
        <sz val="10"/>
        <color theme="1"/>
        <rFont val="Times New Roman"/>
        <family val="1"/>
      </rPr>
      <t>c</t>
    </r>
    <r>
      <rPr>
        <sz val="10"/>
        <color theme="1"/>
        <rFont val="Times New Roman"/>
        <family val="1"/>
      </rPr>
      <t xml:space="preserve">  Assumes EPA personnel attend 20 percent of the stack tests. We estimate initial stack test observations will take 48 hours per plant.</t>
    </r>
  </si>
  <si>
    <r>
      <rPr>
        <vertAlign val="superscript"/>
        <sz val="10"/>
        <color theme="1"/>
        <rFont val="Times New Roman"/>
        <family val="1"/>
      </rPr>
      <t xml:space="preserve">e </t>
    </r>
    <r>
      <rPr>
        <sz val="10"/>
        <color theme="1"/>
        <rFont val="Times New Roman"/>
        <family val="1"/>
      </rPr>
      <t xml:space="preserve"> These are one-time only costs associated with the startup of a new source. We assume there will be 1 new respondent per year.</t>
    </r>
  </si>
  <si>
    <r>
      <rPr>
        <vertAlign val="superscript"/>
        <sz val="10"/>
        <color theme="1"/>
        <rFont val="Times New Roman"/>
        <family val="1"/>
      </rPr>
      <t>g</t>
    </r>
    <r>
      <rPr>
        <sz val="10"/>
        <color theme="1"/>
        <rFont val="Times New Roman"/>
        <family val="1"/>
      </rPr>
      <t xml:space="preserve">  We assume that each state (i.e., 50 respondents) will take 4 hours to prepare an annual summary of progress for implementing state plans.</t>
    </r>
  </si>
  <si>
    <r>
      <rPr>
        <vertAlign val="superscript"/>
        <sz val="10"/>
        <color theme="1"/>
        <rFont val="Times New Roman"/>
        <family val="1"/>
      </rPr>
      <t xml:space="preserve">h </t>
    </r>
    <r>
      <rPr>
        <sz val="10"/>
        <color theme="1"/>
        <rFont val="Times New Roman"/>
        <family val="1"/>
      </rPr>
      <t xml:space="preserve"> Totals have been rounded to 3 significant figures. Figures may not add exactly due to rounding.</t>
    </r>
  </si>
  <si>
    <r>
      <rPr>
        <vertAlign val="superscript"/>
        <sz val="10"/>
        <color theme="1"/>
        <rFont val="Times New Roman"/>
        <family val="1"/>
      </rPr>
      <t>f</t>
    </r>
    <r>
      <rPr>
        <sz val="10"/>
        <color theme="1"/>
        <rFont val="Times New Roman"/>
        <family val="1"/>
      </rPr>
      <t xml:space="preserve">   We assume that 10 percent of the existing facilities would not have a qualified operator available for more than two weeks at least once a year (Note: each deviation requires 2 notifications, 1 for when the deviation occurs and 1 for when operation resumes).   We also assume that each deviation will require only two status reports.</t>
    </r>
  </si>
  <si>
    <r>
      <rPr>
        <vertAlign val="superscript"/>
        <sz val="10"/>
        <color theme="1"/>
        <rFont val="Times New Roman"/>
        <family val="1"/>
      </rPr>
      <t>d</t>
    </r>
    <r>
      <rPr>
        <sz val="10"/>
        <color theme="1"/>
        <rFont val="Times New Roman"/>
        <family val="1"/>
      </rPr>
      <t xml:space="preserve">  Assume that 10 percent of all facilities (both existing and new) have an exceedance during the year. </t>
    </r>
  </si>
  <si>
    <r>
      <rPr>
        <vertAlign val="superscript"/>
        <sz val="10"/>
        <color theme="1"/>
        <rFont val="Times New Roman"/>
        <family val="1"/>
      </rPr>
      <t>g</t>
    </r>
    <r>
      <rPr>
        <sz val="10"/>
        <color theme="1"/>
        <rFont val="Times New Roman"/>
        <family val="1"/>
      </rPr>
      <t xml:space="preserve">  We assume that 10 percent of all facilities (both new and existing) would have a malfunction or an exceedance during the year.  </t>
    </r>
  </si>
  <si>
    <r>
      <t xml:space="preserve">Semiannual report of deviations: emissions/parameter exceedances </t>
    </r>
    <r>
      <rPr>
        <vertAlign val="superscript"/>
        <sz val="10"/>
        <color rgb="FF000000"/>
        <rFont val="Times New Roman"/>
        <family val="1"/>
      </rPr>
      <t>c</t>
    </r>
  </si>
  <si>
    <r>
      <t>b</t>
    </r>
    <r>
      <rPr>
        <sz val="10"/>
        <color theme="1"/>
        <rFont val="Times New Roman"/>
        <family val="1"/>
      </rPr>
      <t xml:space="preserve"> We assume that these activities will apply to 10 percent of existing facilities</t>
    </r>
  </si>
  <si>
    <r>
      <t>c</t>
    </r>
    <r>
      <rPr>
        <sz val="10"/>
        <color theme="1"/>
        <rFont val="Times New Roman"/>
        <family val="1"/>
      </rPr>
      <t xml:space="preserve"> We assume that 10 percent of all facilities (both new and existing) would have a malfunction or an exceedance during the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</si>
</sst>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164" formatCode="&quot;$&quot;#,##0.00"/>
    <numFmt numFmtId="165" formatCode="0.0"/>
    <numFmt numFmtId="166" formatCode="General_)"/>
    <numFmt numFmtId="167" formatCode="&quot;$&quot;#,##0"/>
  </numFmts>
  <fonts count="23"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sz val="9"/>
      <color rgb="FF000000"/>
      <name val="Times New Roman"/>
      <family val="1"/>
    </font>
    <font>
      <sz val="9"/>
      <color theme="1"/>
      <name val="Times New Roman"/>
      <family val="1"/>
    </font>
    <font>
      <vertAlign val="superscript"/>
      <sz val="9"/>
      <color theme="1"/>
      <name val="Times New Roman"/>
      <family val="1"/>
    </font>
    <font>
      <b/>
      <sz val="9"/>
      <color theme="1"/>
      <name val="Times New Roman"/>
      <family val="1"/>
    </font>
    <font>
      <sz val="8"/>
      <name val="Calibri"/>
      <family val="2"/>
      <scheme val="minor"/>
    </font>
    <font>
      <sz val="10"/>
      <color rgb="FF000000"/>
      <name val="Times New Roman"/>
      <family val="1"/>
    </font>
    <font>
      <vertAlign val="superscript"/>
      <sz val="10"/>
      <color rgb="FF000000"/>
      <name val="Times New Roman"/>
      <family val="1"/>
    </font>
    <font>
      <b/>
      <sz val="10"/>
      <color rgb="FF000000"/>
      <name val="Times New Roman"/>
      <family val="1"/>
    </font>
    <font>
      <b/>
      <vertAlign val="superscript"/>
      <sz val="10"/>
      <color rgb="FF000000"/>
      <name val="Times New Roman"/>
      <family val="1"/>
    </font>
    <font>
      <vertAlign val="superscript"/>
      <sz val="10"/>
      <color theme="1"/>
      <name val="Times New Roman"/>
      <family val="1"/>
    </font>
    <font>
      <b/>
      <sz val="10"/>
      <color theme="1"/>
      <name val="Times New Roman"/>
      <family val="1"/>
    </font>
    <font>
      <b/>
      <i/>
      <sz val="10"/>
      <color rgb="FF000000"/>
      <name val="Times New Roman"/>
      <family val="1"/>
    </font>
    <font>
      <sz val="10"/>
      <name val="Times New Roman"/>
      <family val="1"/>
    </font>
    <font>
      <b/>
      <sz val="9"/>
      <color rgb="FF000000"/>
      <name val="Times New Roman"/>
      <family val="1"/>
    </font>
    <font>
      <b/>
      <sz val="11"/>
      <color theme="1"/>
      <name val="Calibri"/>
      <family val="2"/>
      <scheme val="minor"/>
    </font>
    <font>
      <b/>
      <vertAlign val="superscript"/>
      <sz val="9"/>
      <color theme="1"/>
      <name val="Times New Roman"/>
      <family val="1"/>
    </font>
    <font>
      <b/>
      <sz val="9"/>
      <color rgb="FF0000FF"/>
      <name val="Times New Roman"/>
      <family val="1"/>
    </font>
    <font>
      <sz val="11"/>
      <color theme="1"/>
      <name val="Calibri"/>
      <family val="2"/>
    </font>
    <font>
      <sz val="10"/>
      <color rgb="FFFF0000"/>
      <name val="Times New Roman"/>
      <family val="1"/>
    </font>
  </fonts>
  <fills count="3">
    <fill>
      <patternFill patternType="none"/>
    </fill>
    <fill>
      <patternFill patternType="gray125"/>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
    <xf numFmtId="0" fontId="0" fillId="0" borderId="0"/>
  </cellStyleXfs>
  <cellXfs count="90">
    <xf numFmtId="0" fontId="0" fillId="0" borderId="0" xfId="0"/>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0" xfId="0" applyFont="1"/>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3" fillId="0" borderId="0" xfId="0" applyFont="1" applyAlignment="1">
      <alignment vertical="center"/>
    </xf>
    <xf numFmtId="6" fontId="11" fillId="0" borderId="1" xfId="0" applyNumberFormat="1" applyFont="1" applyBorder="1" applyAlignment="1">
      <alignment horizontal="center" vertical="center" wrapText="1"/>
    </xf>
    <xf numFmtId="0" fontId="3" fillId="0" borderId="0" xfId="0" applyFont="1"/>
    <xf numFmtId="0" fontId="11" fillId="0" borderId="0" xfId="0" applyFont="1" applyAlignment="1">
      <alignment vertical="center"/>
    </xf>
    <xf numFmtId="0" fontId="11" fillId="0" borderId="1" xfId="0" applyFont="1" applyBorder="1" applyAlignment="1">
      <alignment vertical="center" wrapText="1"/>
    </xf>
    <xf numFmtId="0" fontId="16" fillId="0" borderId="1" xfId="0" applyFont="1" applyBorder="1" applyAlignment="1">
      <alignment vertical="center"/>
    </xf>
    <xf numFmtId="164" fontId="9" fillId="0" borderId="1" xfId="0" applyNumberFormat="1" applyFont="1" applyBorder="1"/>
    <xf numFmtId="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4" fillId="0" borderId="1" xfId="0" applyFont="1" applyBorder="1" applyAlignment="1">
      <alignment horizontal="center" vertical="center"/>
    </xf>
    <xf numFmtId="0" fontId="17" fillId="0" borderId="1" xfId="0" applyFont="1" applyBorder="1" applyAlignment="1">
      <alignment vertical="center"/>
    </xf>
    <xf numFmtId="0" fontId="9" fillId="0" borderId="0" xfId="0" applyFont="1" applyAlignment="1">
      <alignment vertical="center"/>
    </xf>
    <xf numFmtId="0" fontId="3" fillId="0" borderId="1" xfId="0" applyFont="1" applyBorder="1" applyAlignment="1">
      <alignment vertical="center"/>
    </xf>
    <xf numFmtId="0" fontId="3" fillId="0" borderId="1" xfId="0" applyFont="1" applyBorder="1"/>
    <xf numFmtId="0" fontId="5" fillId="0" borderId="1" xfId="0" applyFont="1" applyBorder="1" applyAlignment="1">
      <alignment horizontal="center" vertical="center"/>
    </xf>
    <xf numFmtId="6" fontId="5" fillId="0" borderId="1" xfId="0" applyNumberFormat="1" applyFont="1" applyBorder="1" applyAlignment="1">
      <alignment horizontal="right" vertical="center"/>
    </xf>
    <xf numFmtId="0" fontId="5" fillId="0" borderId="1" xfId="0" applyFont="1" applyBorder="1" applyAlignment="1">
      <alignment horizontal="left" vertical="center" wrapText="1" indent="1"/>
    </xf>
    <xf numFmtId="0" fontId="5" fillId="0" borderId="1" xfId="0" applyFont="1" applyBorder="1" applyAlignment="1">
      <alignment horizontal="left" vertical="center" wrapText="1" indent="2"/>
    </xf>
    <xf numFmtId="0" fontId="7" fillId="0" borderId="1" xfId="0" applyFont="1" applyBorder="1" applyAlignment="1">
      <alignment vertical="center" wrapText="1"/>
    </xf>
    <xf numFmtId="0" fontId="7" fillId="0" borderId="1" xfId="0" applyFont="1" applyBorder="1" applyAlignment="1">
      <alignment horizontal="center" vertical="center"/>
    </xf>
    <xf numFmtId="0" fontId="20" fillId="0" borderId="1" xfId="0" applyFont="1" applyBorder="1" applyAlignment="1">
      <alignment horizontal="center" vertical="center"/>
    </xf>
    <xf numFmtId="6" fontId="7" fillId="0" borderId="1" xfId="0" applyNumberFormat="1" applyFont="1" applyBorder="1" applyAlignment="1">
      <alignment horizontal="right" vertical="center"/>
    </xf>
    <xf numFmtId="0" fontId="14" fillId="0" borderId="1" xfId="0" applyFont="1" applyBorder="1" applyAlignment="1">
      <alignment horizontal="center" vertical="center" wrapText="1"/>
    </xf>
    <xf numFmtId="1" fontId="14" fillId="0" borderId="1" xfId="0" applyNumberFormat="1" applyFont="1" applyBorder="1" applyAlignment="1">
      <alignment horizontal="center" vertical="center" wrapText="1"/>
    </xf>
    <xf numFmtId="0" fontId="13" fillId="0" borderId="0" xfId="0" applyFont="1" applyBorder="1" applyAlignment="1">
      <alignment horizontal="left" vertical="center"/>
    </xf>
    <xf numFmtId="0" fontId="13" fillId="0" borderId="0" xfId="0" applyFont="1" applyBorder="1" applyAlignment="1">
      <alignment vertical="center"/>
    </xf>
    <xf numFmtId="6" fontId="3" fillId="0" borderId="0" xfId="0" applyNumberFormat="1" applyFont="1"/>
    <xf numFmtId="0" fontId="3" fillId="0" borderId="0" xfId="0" applyFont="1" applyFill="1"/>
    <xf numFmtId="164" fontId="3" fillId="0" borderId="0" xfId="0" applyNumberFormat="1" applyFont="1" applyFill="1"/>
    <xf numFmtId="0" fontId="11"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3" fillId="0" borderId="1" xfId="0" applyFont="1" applyFill="1" applyBorder="1" applyAlignment="1">
      <alignment vertical="center"/>
    </xf>
    <xf numFmtId="0" fontId="16" fillId="0" borderId="1" xfId="0" applyFont="1" applyFill="1" applyBorder="1" applyAlignment="1">
      <alignment vertical="center"/>
    </xf>
    <xf numFmtId="164" fontId="9" fillId="0" borderId="1" xfId="0" applyNumberFormat="1" applyFont="1" applyFill="1" applyBorder="1"/>
    <xf numFmtId="0" fontId="9" fillId="0" borderId="1" xfId="0" applyFont="1" applyFill="1" applyBorder="1" applyAlignment="1">
      <alignment horizontal="left" vertical="center" wrapText="1" indent="1"/>
    </xf>
    <xf numFmtId="8" fontId="9" fillId="0" borderId="1" xfId="0" applyNumberFormat="1" applyFont="1" applyFill="1" applyBorder="1" applyAlignment="1">
      <alignment horizontal="right" vertical="center"/>
    </xf>
    <xf numFmtId="0" fontId="9" fillId="0" borderId="1" xfId="0" applyFont="1" applyFill="1" applyBorder="1" applyAlignment="1">
      <alignment horizontal="left" vertical="center" wrapText="1" indent="2"/>
    </xf>
    <xf numFmtId="0" fontId="3" fillId="0" borderId="1" xfId="0" applyFont="1" applyFill="1" applyBorder="1" applyAlignment="1">
      <alignment horizontal="center" vertical="center"/>
    </xf>
    <xf numFmtId="0" fontId="9" fillId="0" borderId="1" xfId="0" applyFont="1" applyFill="1" applyBorder="1" applyAlignment="1">
      <alignment horizontal="left" vertical="center" wrapText="1" indent="3"/>
    </xf>
    <xf numFmtId="0" fontId="9" fillId="0" borderId="1" xfId="0" applyFont="1" applyFill="1" applyBorder="1" applyAlignment="1">
      <alignment horizontal="left" vertical="center"/>
    </xf>
    <xf numFmtId="2" fontId="9" fillId="0" borderId="1" xfId="0" applyNumberFormat="1" applyFont="1" applyFill="1" applyBorder="1" applyAlignment="1">
      <alignment horizontal="center" vertical="center"/>
    </xf>
    <xf numFmtId="165" fontId="9" fillId="0" borderId="1" xfId="0" applyNumberFormat="1" applyFont="1" applyFill="1" applyBorder="1" applyAlignment="1">
      <alignment horizontal="center" vertical="center"/>
    </xf>
    <xf numFmtId="0" fontId="15" fillId="0" borderId="1" xfId="0" applyFont="1" applyFill="1" applyBorder="1" applyAlignment="1">
      <alignment vertical="center" wrapText="1"/>
    </xf>
    <xf numFmtId="6" fontId="11" fillId="0" borderId="1" xfId="0" applyNumberFormat="1" applyFont="1" applyFill="1" applyBorder="1" applyAlignment="1">
      <alignment horizontal="right" vertical="center"/>
    </xf>
    <xf numFmtId="0" fontId="9" fillId="0" borderId="1" xfId="0" applyFont="1" applyFill="1" applyBorder="1" applyAlignment="1">
      <alignment vertical="center"/>
    </xf>
    <xf numFmtId="0" fontId="9" fillId="0" borderId="1" xfId="0" applyFont="1" applyFill="1" applyBorder="1" applyAlignment="1">
      <alignment horizontal="center" vertical="center" wrapText="1"/>
    </xf>
    <xf numFmtId="0" fontId="3" fillId="0" borderId="1" xfId="0" applyFont="1" applyFill="1" applyBorder="1"/>
    <xf numFmtId="0" fontId="11" fillId="0" borderId="1" xfId="0" applyFont="1" applyFill="1" applyBorder="1" applyAlignment="1">
      <alignment vertical="center"/>
    </xf>
    <xf numFmtId="0" fontId="11" fillId="0" borderId="1" xfId="0" applyFont="1" applyFill="1" applyBorder="1" applyAlignment="1">
      <alignment vertical="center" wrapText="1"/>
    </xf>
    <xf numFmtId="3" fontId="11" fillId="0" borderId="1" xfId="0" applyNumberFormat="1" applyFont="1" applyFill="1" applyBorder="1" applyAlignment="1">
      <alignment horizontal="center" vertical="center"/>
    </xf>
    <xf numFmtId="0" fontId="11" fillId="0" borderId="0" xfId="0" applyFont="1" applyFill="1" applyAlignment="1">
      <alignment vertical="center"/>
    </xf>
    <xf numFmtId="0" fontId="16" fillId="0" borderId="0" xfId="0" applyFont="1" applyFill="1"/>
    <xf numFmtId="0" fontId="3" fillId="0" borderId="0" xfId="0" applyFont="1" applyFill="1" applyAlignment="1">
      <alignment vertical="center"/>
    </xf>
    <xf numFmtId="0" fontId="21" fillId="0" borderId="0" xfId="0" applyFont="1"/>
    <xf numFmtId="166" fontId="16" fillId="2" borderId="6" xfId="0" applyNumberFormat="1" applyFont="1" applyFill="1" applyBorder="1" applyAlignment="1">
      <alignment horizontal="center" vertical="center" wrapText="1"/>
    </xf>
    <xf numFmtId="3" fontId="16" fillId="0" borderId="2" xfId="0" applyNumberFormat="1" applyFont="1" applyBorder="1" applyAlignment="1">
      <alignment horizontal="center"/>
    </xf>
    <xf numFmtId="3" fontId="16" fillId="0" borderId="2" xfId="0" quotePrefix="1" applyNumberFormat="1" applyFont="1" applyBorder="1" applyAlignment="1">
      <alignment horizontal="center"/>
    </xf>
    <xf numFmtId="167" fontId="16" fillId="2" borderId="2" xfId="0" applyNumberFormat="1" applyFont="1" applyFill="1" applyBorder="1" applyAlignment="1">
      <alignment horizontal="center"/>
    </xf>
    <xf numFmtId="6" fontId="15" fillId="0" borderId="1" xfId="0" applyNumberFormat="1" applyFont="1" applyFill="1" applyBorder="1" applyAlignment="1">
      <alignment horizontal="right" vertical="center"/>
    </xf>
    <xf numFmtId="0" fontId="22" fillId="0" borderId="0" xfId="0" applyFont="1" applyFill="1"/>
    <xf numFmtId="0" fontId="22" fillId="0" borderId="0" xfId="0" applyFont="1"/>
    <xf numFmtId="8" fontId="9" fillId="0" borderId="1" xfId="0" applyNumberFormat="1" applyFont="1" applyFill="1" applyBorder="1" applyAlignment="1">
      <alignment horizontal="center" vertical="center" wrapText="1"/>
    </xf>
    <xf numFmtId="6" fontId="9" fillId="0" borderId="1" xfId="0" applyNumberFormat="1" applyFont="1" applyFill="1" applyBorder="1" applyAlignment="1">
      <alignment horizontal="center" vertical="center" wrapText="1"/>
    </xf>
    <xf numFmtId="0" fontId="3" fillId="0" borderId="0" xfId="0" applyFont="1" applyFill="1" applyAlignment="1">
      <alignment horizontal="left" vertical="top" wrapText="1"/>
    </xf>
    <xf numFmtId="0" fontId="3" fillId="0" borderId="0" xfId="0" applyFont="1" applyFill="1" applyAlignment="1">
      <alignment horizontal="left" vertical="top"/>
    </xf>
    <xf numFmtId="3" fontId="15" fillId="0" borderId="1" xfId="0" applyNumberFormat="1" applyFont="1" applyFill="1" applyBorder="1" applyAlignment="1">
      <alignment horizontal="center" vertical="center"/>
    </xf>
    <xf numFmtId="1" fontId="15"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xf>
    <xf numFmtId="0" fontId="1" fillId="0" borderId="0" xfId="0" applyFont="1" applyFill="1" applyAlignment="1">
      <alignment horizontal="left" vertical="top" wrapText="1"/>
    </xf>
    <xf numFmtId="0" fontId="16" fillId="0" borderId="1" xfId="0" applyFont="1" applyFill="1" applyBorder="1" applyAlignment="1">
      <alignment horizont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5" xfId="0" applyFont="1" applyFill="1" applyBorder="1" applyAlignment="1">
      <alignment horizontal="left" vertical="center"/>
    </xf>
    <xf numFmtId="0" fontId="11" fillId="0" borderId="1" xfId="0" applyFont="1" applyFill="1" applyBorder="1" applyAlignment="1">
      <alignment horizontal="center" vertical="center" wrapText="1"/>
    </xf>
    <xf numFmtId="0" fontId="3" fillId="0" borderId="0" xfId="0" applyFont="1" applyAlignment="1">
      <alignment horizontal="left" vertical="top" wrapText="1"/>
    </xf>
    <xf numFmtId="0" fontId="16" fillId="0" borderId="3" xfId="0" applyFont="1" applyBorder="1" applyAlignment="1">
      <alignment horizontal="center"/>
    </xf>
    <xf numFmtId="0" fontId="16" fillId="0" borderId="5" xfId="0" applyFont="1" applyBorder="1" applyAlignment="1">
      <alignment horizontal="center"/>
    </xf>
    <xf numFmtId="0" fontId="18" fillId="0" borderId="0" xfId="0" applyFont="1" applyAlignment="1">
      <alignment horizontal="left" vertical="top" wrapText="1"/>
    </xf>
    <xf numFmtId="1"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2" fillId="0" borderId="0" xfId="0" applyFont="1" applyAlignment="1">
      <alignment horizontal="left" vertical="top" wrapText="1"/>
    </xf>
    <xf numFmtId="0" fontId="2" fillId="0" borderId="1" xfId="0" applyFont="1" applyBorder="1" applyAlignment="1">
      <alignment horizontal="center" vertical="center" wrapText="1"/>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0BD19-CD42-40A8-94CE-66543BF5C3C8}">
  <dimension ref="A1:L81"/>
  <sheetViews>
    <sheetView tabSelected="1" zoomScale="98" zoomScaleNormal="98" workbookViewId="0">
      <selection sqref="A1:I1"/>
    </sheetView>
  </sheetViews>
  <sheetFormatPr defaultColWidth="9.140625" defaultRowHeight="12.75" x14ac:dyDescent="0.2"/>
  <cols>
    <col min="1" max="1" width="42.140625" style="33" customWidth="1"/>
    <col min="2" max="8" width="9.140625" style="33"/>
    <col min="9" max="9" width="13" style="33" customWidth="1"/>
    <col min="10" max="10" width="9.140625" style="33"/>
    <col min="11" max="11" width="12.7109375" style="33" customWidth="1"/>
    <col min="12" max="16384" width="9.140625" style="33"/>
  </cols>
  <sheetData>
    <row r="1" spans="1:12" ht="30" customHeight="1" x14ac:dyDescent="0.2">
      <c r="A1" s="75" t="s">
        <v>168</v>
      </c>
      <c r="B1" s="75"/>
      <c r="C1" s="75"/>
      <c r="D1" s="75"/>
      <c r="E1" s="75"/>
      <c r="F1" s="75"/>
      <c r="G1" s="75"/>
      <c r="H1" s="75"/>
      <c r="I1" s="75"/>
    </row>
    <row r="2" spans="1:12" x14ac:dyDescent="0.2">
      <c r="F2" s="34"/>
      <c r="G2" s="34"/>
      <c r="H2" s="34"/>
    </row>
    <row r="3" spans="1:12" x14ac:dyDescent="0.2">
      <c r="A3" s="80" t="s">
        <v>28</v>
      </c>
      <c r="B3" s="35" t="s">
        <v>70</v>
      </c>
      <c r="C3" s="35" t="s">
        <v>71</v>
      </c>
      <c r="D3" s="35" t="s">
        <v>72</v>
      </c>
      <c r="E3" s="35" t="s">
        <v>73</v>
      </c>
      <c r="F3" s="35" t="s">
        <v>74</v>
      </c>
      <c r="G3" s="35" t="s">
        <v>75</v>
      </c>
      <c r="H3" s="35" t="s">
        <v>76</v>
      </c>
      <c r="I3" s="35" t="s">
        <v>32</v>
      </c>
    </row>
    <row r="4" spans="1:12" ht="84.75" customHeight="1" x14ac:dyDescent="0.2">
      <c r="A4" s="80"/>
      <c r="B4" s="35" t="s">
        <v>77</v>
      </c>
      <c r="C4" s="35" t="s">
        <v>78</v>
      </c>
      <c r="D4" s="35" t="s">
        <v>79</v>
      </c>
      <c r="E4" s="35" t="s">
        <v>133</v>
      </c>
      <c r="F4" s="35" t="s">
        <v>80</v>
      </c>
      <c r="G4" s="35" t="s">
        <v>81</v>
      </c>
      <c r="H4" s="35" t="s">
        <v>82</v>
      </c>
      <c r="I4" s="35" t="s">
        <v>134</v>
      </c>
    </row>
    <row r="5" spans="1:12" x14ac:dyDescent="0.2">
      <c r="A5" s="36" t="s">
        <v>29</v>
      </c>
      <c r="B5" s="37" t="s">
        <v>30</v>
      </c>
      <c r="C5" s="38"/>
      <c r="D5" s="38"/>
      <c r="E5" s="38"/>
      <c r="F5" s="38"/>
      <c r="G5" s="38"/>
      <c r="H5" s="38"/>
      <c r="I5" s="38"/>
      <c r="K5" s="76" t="s">
        <v>57</v>
      </c>
      <c r="L5" s="76"/>
    </row>
    <row r="6" spans="1:12" x14ac:dyDescent="0.2">
      <c r="A6" s="36" t="s">
        <v>83</v>
      </c>
      <c r="B6" s="37" t="s">
        <v>30</v>
      </c>
      <c r="C6" s="38"/>
      <c r="D6" s="38"/>
      <c r="E6" s="38"/>
      <c r="F6" s="38"/>
      <c r="G6" s="38"/>
      <c r="H6" s="38"/>
      <c r="I6" s="38"/>
      <c r="K6" s="39" t="s">
        <v>58</v>
      </c>
      <c r="L6" s="40">
        <v>141.06</v>
      </c>
    </row>
    <row r="7" spans="1:12" x14ac:dyDescent="0.2">
      <c r="A7" s="36" t="s">
        <v>31</v>
      </c>
      <c r="B7" s="38"/>
      <c r="C7" s="38"/>
      <c r="D7" s="38"/>
      <c r="E7" s="38"/>
      <c r="F7" s="38"/>
      <c r="G7" s="38"/>
      <c r="H7" s="38"/>
      <c r="I7" s="38"/>
      <c r="K7" s="39" t="s">
        <v>59</v>
      </c>
      <c r="L7" s="40">
        <v>120.27</v>
      </c>
    </row>
    <row r="8" spans="1:12" ht="15.75" x14ac:dyDescent="0.2">
      <c r="A8" s="41" t="s">
        <v>135</v>
      </c>
      <c r="B8" s="37">
        <v>1</v>
      </c>
      <c r="C8" s="37">
        <v>1</v>
      </c>
      <c r="D8" s="37">
        <f>B8*C8</f>
        <v>1</v>
      </c>
      <c r="E8" s="37">
        <f>'O&amp;M'!F28</f>
        <v>11</v>
      </c>
      <c r="F8" s="37">
        <f>D8*E8</f>
        <v>11</v>
      </c>
      <c r="G8" s="37">
        <f>+F8*0.05</f>
        <v>0.55000000000000004</v>
      </c>
      <c r="H8" s="37">
        <f>+F8*0.1</f>
        <v>1.1000000000000001</v>
      </c>
      <c r="I8" s="42">
        <f>+$L$7*F8+$L$6*G8+$L$8*H8</f>
        <v>1465.0900000000001</v>
      </c>
      <c r="J8" s="66"/>
      <c r="K8" s="39" t="s">
        <v>60</v>
      </c>
      <c r="L8" s="40">
        <v>58.67</v>
      </c>
    </row>
    <row r="9" spans="1:12" x14ac:dyDescent="0.2">
      <c r="A9" s="41" t="s">
        <v>34</v>
      </c>
      <c r="B9" s="38"/>
      <c r="C9" s="38"/>
      <c r="D9" s="37"/>
      <c r="E9" s="38"/>
      <c r="F9" s="37"/>
      <c r="G9" s="37"/>
      <c r="H9" s="37"/>
      <c r="I9" s="42"/>
    </row>
    <row r="10" spans="1:12" ht="38.25" x14ac:dyDescent="0.2">
      <c r="A10" s="43" t="s">
        <v>84</v>
      </c>
      <c r="B10" s="77" t="s">
        <v>85</v>
      </c>
      <c r="C10" s="78"/>
      <c r="D10" s="79"/>
      <c r="E10" s="44">
        <f>'O&amp;M'!B28</f>
        <v>1</v>
      </c>
      <c r="F10" s="37"/>
      <c r="G10" s="37"/>
      <c r="H10" s="37"/>
      <c r="I10" s="42"/>
    </row>
    <row r="11" spans="1:12" ht="25.5" x14ac:dyDescent="0.2">
      <c r="A11" s="43" t="s">
        <v>86</v>
      </c>
      <c r="B11" s="77" t="s">
        <v>87</v>
      </c>
      <c r="C11" s="78"/>
      <c r="D11" s="79"/>
      <c r="E11" s="44">
        <v>10</v>
      </c>
      <c r="F11" s="37"/>
      <c r="G11" s="37"/>
      <c r="H11" s="37"/>
      <c r="I11" s="42"/>
      <c r="J11" s="66"/>
    </row>
    <row r="12" spans="1:12" x14ac:dyDescent="0.2">
      <c r="A12" s="43" t="s">
        <v>88</v>
      </c>
      <c r="B12" s="38"/>
      <c r="C12" s="38"/>
      <c r="D12" s="37"/>
      <c r="E12" s="38"/>
      <c r="F12" s="37"/>
      <c r="G12" s="37"/>
      <c r="H12" s="37"/>
      <c r="I12" s="42"/>
    </row>
    <row r="13" spans="1:12" ht="28.5" x14ac:dyDescent="0.2">
      <c r="A13" s="45" t="s">
        <v>136</v>
      </c>
      <c r="B13" s="37">
        <v>64</v>
      </c>
      <c r="C13" s="37">
        <v>1</v>
      </c>
      <c r="D13" s="37">
        <f t="shared" ref="D13:D61" si="0">B13*C13</f>
        <v>64</v>
      </c>
      <c r="E13" s="37">
        <f>'O&amp;M'!B28</f>
        <v>1</v>
      </c>
      <c r="F13" s="37">
        <f t="shared" ref="F13:F43" si="1">D13*E13</f>
        <v>64</v>
      </c>
      <c r="G13" s="37">
        <f t="shared" ref="G13:G43" si="2">+F13*0.05</f>
        <v>3.2</v>
      </c>
      <c r="H13" s="37">
        <f t="shared" ref="H13:H43" si="3">+F13*0.1</f>
        <v>6.4</v>
      </c>
      <c r="I13" s="42">
        <f t="shared" ref="I13:I15" si="4">+$L$7*F13+$L$6*G13+$L$8*H13</f>
        <v>8524.16</v>
      </c>
    </row>
    <row r="14" spans="1:12" ht="15.75" x14ac:dyDescent="0.2">
      <c r="A14" s="45" t="s">
        <v>137</v>
      </c>
      <c r="B14" s="37">
        <v>72</v>
      </c>
      <c r="C14" s="37">
        <v>1</v>
      </c>
      <c r="D14" s="37">
        <f t="shared" si="0"/>
        <v>72</v>
      </c>
      <c r="E14" s="37">
        <f>'O&amp;M'!B28</f>
        <v>1</v>
      </c>
      <c r="F14" s="37">
        <f t="shared" si="1"/>
        <v>72</v>
      </c>
      <c r="G14" s="37">
        <f t="shared" si="2"/>
        <v>3.6</v>
      </c>
      <c r="H14" s="37">
        <f t="shared" si="3"/>
        <v>7.2</v>
      </c>
      <c r="I14" s="42">
        <f t="shared" si="4"/>
        <v>9589.6800000000021</v>
      </c>
    </row>
    <row r="15" spans="1:12" x14ac:dyDescent="0.2">
      <c r="A15" s="45" t="s">
        <v>89</v>
      </c>
      <c r="B15" s="37">
        <v>12</v>
      </c>
      <c r="C15" s="37">
        <v>1</v>
      </c>
      <c r="D15" s="37">
        <f t="shared" si="0"/>
        <v>12</v>
      </c>
      <c r="E15" s="37">
        <v>10</v>
      </c>
      <c r="F15" s="37">
        <f t="shared" si="1"/>
        <v>120</v>
      </c>
      <c r="G15" s="37">
        <f t="shared" si="2"/>
        <v>6</v>
      </c>
      <c r="H15" s="37">
        <f t="shared" si="3"/>
        <v>12</v>
      </c>
      <c r="I15" s="42">
        <f t="shared" si="4"/>
        <v>15982.8</v>
      </c>
      <c r="J15" s="66"/>
    </row>
    <row r="16" spans="1:12" x14ac:dyDescent="0.2">
      <c r="A16" s="45" t="s">
        <v>90</v>
      </c>
      <c r="B16" s="37" t="s">
        <v>43</v>
      </c>
      <c r="C16" s="38"/>
      <c r="D16" s="37"/>
      <c r="E16" s="38"/>
      <c r="F16" s="37"/>
      <c r="G16" s="37"/>
      <c r="H16" s="37"/>
      <c r="I16" s="42"/>
    </row>
    <row r="17" spans="1:10" x14ac:dyDescent="0.2">
      <c r="A17" s="45" t="s">
        <v>91</v>
      </c>
      <c r="B17" s="37">
        <v>8</v>
      </c>
      <c r="C17" s="37">
        <v>1</v>
      </c>
      <c r="D17" s="37">
        <f t="shared" si="0"/>
        <v>8</v>
      </c>
      <c r="E17" s="37">
        <f>'O&amp;M'!C28</f>
        <v>10</v>
      </c>
      <c r="F17" s="37">
        <f t="shared" si="1"/>
        <v>80</v>
      </c>
      <c r="G17" s="37">
        <f t="shared" si="2"/>
        <v>4</v>
      </c>
      <c r="H17" s="37">
        <f t="shared" si="3"/>
        <v>8</v>
      </c>
      <c r="I17" s="42">
        <f t="shared" ref="I17:I18" si="5">+$L$7*F17+$L$6*G17+$L$8*H17</f>
        <v>10655.2</v>
      </c>
      <c r="J17" s="66"/>
    </row>
    <row r="18" spans="1:10" ht="28.5" x14ac:dyDescent="0.2">
      <c r="A18" s="43" t="s">
        <v>138</v>
      </c>
      <c r="B18" s="37">
        <v>40</v>
      </c>
      <c r="C18" s="37">
        <v>1</v>
      </c>
      <c r="D18" s="37">
        <f t="shared" si="0"/>
        <v>40</v>
      </c>
      <c r="E18" s="37">
        <f>'O&amp;M'!B28</f>
        <v>1</v>
      </c>
      <c r="F18" s="37">
        <f t="shared" si="1"/>
        <v>40</v>
      </c>
      <c r="G18" s="37">
        <f t="shared" si="2"/>
        <v>2</v>
      </c>
      <c r="H18" s="37">
        <f t="shared" si="3"/>
        <v>4</v>
      </c>
      <c r="I18" s="42">
        <f t="shared" si="5"/>
        <v>5327.6</v>
      </c>
    </row>
    <row r="19" spans="1:10" ht="25.5" x14ac:dyDescent="0.2">
      <c r="A19" s="43" t="s">
        <v>92</v>
      </c>
      <c r="B19" s="38"/>
      <c r="C19" s="38"/>
      <c r="D19" s="37"/>
      <c r="E19" s="38"/>
      <c r="F19" s="37"/>
      <c r="G19" s="37"/>
      <c r="H19" s="37"/>
      <c r="I19" s="42"/>
    </row>
    <row r="20" spans="1:10" x14ac:dyDescent="0.2">
      <c r="A20" s="45" t="s">
        <v>93</v>
      </c>
      <c r="B20" s="37">
        <v>17</v>
      </c>
      <c r="C20" s="37">
        <v>1</v>
      </c>
      <c r="D20" s="37">
        <f t="shared" si="0"/>
        <v>17</v>
      </c>
      <c r="E20" s="37">
        <f>'O&amp;M'!B28</f>
        <v>1</v>
      </c>
      <c r="F20" s="37">
        <f t="shared" si="1"/>
        <v>17</v>
      </c>
      <c r="G20" s="37">
        <f t="shared" si="2"/>
        <v>0.85000000000000009</v>
      </c>
      <c r="H20" s="37">
        <f t="shared" si="3"/>
        <v>1.7000000000000002</v>
      </c>
      <c r="I20" s="42">
        <f t="shared" ref="I20:I21" si="6">+$L$7*F20+$L$6*G20+$L$8*H20</f>
        <v>2264.23</v>
      </c>
    </row>
    <row r="21" spans="1:10" x14ac:dyDescent="0.2">
      <c r="A21" s="45" t="s">
        <v>94</v>
      </c>
      <c r="B21" s="37">
        <v>17</v>
      </c>
      <c r="C21" s="37">
        <v>1</v>
      </c>
      <c r="D21" s="37">
        <f t="shared" si="0"/>
        <v>17</v>
      </c>
      <c r="E21" s="37">
        <f>'O&amp;M'!C28</f>
        <v>10</v>
      </c>
      <c r="F21" s="37">
        <f t="shared" si="1"/>
        <v>170</v>
      </c>
      <c r="G21" s="37">
        <f t="shared" si="2"/>
        <v>8.5</v>
      </c>
      <c r="H21" s="37">
        <f t="shared" si="3"/>
        <v>17</v>
      </c>
      <c r="I21" s="42">
        <f t="shared" si="6"/>
        <v>22642.299999999996</v>
      </c>
      <c r="J21" s="66"/>
    </row>
    <row r="22" spans="1:10" x14ac:dyDescent="0.2">
      <c r="A22" s="41" t="s">
        <v>36</v>
      </c>
      <c r="B22" s="37" t="s">
        <v>35</v>
      </c>
      <c r="C22" s="38"/>
      <c r="D22" s="37"/>
      <c r="E22" s="38"/>
      <c r="F22" s="37"/>
      <c r="G22" s="37"/>
      <c r="H22" s="37"/>
      <c r="I22" s="42"/>
    </row>
    <row r="23" spans="1:10" x14ac:dyDescent="0.2">
      <c r="A23" s="41" t="s">
        <v>37</v>
      </c>
      <c r="B23" s="37" t="s">
        <v>38</v>
      </c>
      <c r="C23" s="38"/>
      <c r="D23" s="37"/>
      <c r="E23" s="38"/>
      <c r="F23" s="37"/>
      <c r="G23" s="37"/>
      <c r="H23" s="37"/>
      <c r="I23" s="42"/>
    </row>
    <row r="24" spans="1:10" x14ac:dyDescent="0.2">
      <c r="A24" s="41" t="s">
        <v>39</v>
      </c>
      <c r="B24" s="38"/>
      <c r="C24" s="38"/>
      <c r="D24" s="37"/>
      <c r="E24" s="38"/>
      <c r="F24" s="37"/>
      <c r="G24" s="37"/>
      <c r="H24" s="37"/>
      <c r="I24" s="42"/>
    </row>
    <row r="25" spans="1:10" ht="15.75" x14ac:dyDescent="0.2">
      <c r="A25" s="43" t="s">
        <v>139</v>
      </c>
      <c r="B25" s="38"/>
      <c r="C25" s="38"/>
      <c r="D25" s="37"/>
      <c r="E25" s="38"/>
      <c r="F25" s="37"/>
      <c r="G25" s="37"/>
      <c r="H25" s="37"/>
      <c r="I25" s="42"/>
    </row>
    <row r="26" spans="1:10" x14ac:dyDescent="0.2">
      <c r="A26" s="45" t="s">
        <v>95</v>
      </c>
      <c r="B26" s="37">
        <v>2</v>
      </c>
      <c r="C26" s="37">
        <v>1</v>
      </c>
      <c r="D26" s="37">
        <f t="shared" si="0"/>
        <v>2</v>
      </c>
      <c r="E26" s="37">
        <f>E10</f>
        <v>1</v>
      </c>
      <c r="F26" s="37">
        <f t="shared" si="1"/>
        <v>2</v>
      </c>
      <c r="G26" s="37">
        <f t="shared" si="2"/>
        <v>0.1</v>
      </c>
      <c r="H26" s="37">
        <f t="shared" si="3"/>
        <v>0.2</v>
      </c>
      <c r="I26" s="42">
        <f t="shared" ref="I26:I28" si="7">+$L$7*F26+$L$6*G26+$L$8*H26</f>
        <v>266.38</v>
      </c>
    </row>
    <row r="27" spans="1:10" x14ac:dyDescent="0.2">
      <c r="A27" s="45" t="s">
        <v>96</v>
      </c>
      <c r="B27" s="37">
        <v>1</v>
      </c>
      <c r="C27" s="37">
        <v>1</v>
      </c>
      <c r="D27" s="37">
        <f t="shared" si="0"/>
        <v>1</v>
      </c>
      <c r="E27" s="37">
        <f>E10</f>
        <v>1</v>
      </c>
      <c r="F27" s="37">
        <f t="shared" si="1"/>
        <v>1</v>
      </c>
      <c r="G27" s="37">
        <f t="shared" si="2"/>
        <v>0.05</v>
      </c>
      <c r="H27" s="37">
        <f t="shared" si="3"/>
        <v>0.1</v>
      </c>
      <c r="I27" s="42">
        <f t="shared" si="7"/>
        <v>133.19</v>
      </c>
    </row>
    <row r="28" spans="1:10" ht="15.75" x14ac:dyDescent="0.2">
      <c r="A28" s="43" t="s">
        <v>140</v>
      </c>
      <c r="B28" s="37">
        <v>2</v>
      </c>
      <c r="C28" s="37">
        <v>1</v>
      </c>
      <c r="D28" s="37">
        <f t="shared" si="0"/>
        <v>2</v>
      </c>
      <c r="E28" s="37">
        <f>E10</f>
        <v>1</v>
      </c>
      <c r="F28" s="37">
        <f t="shared" si="1"/>
        <v>2</v>
      </c>
      <c r="G28" s="37">
        <f t="shared" si="2"/>
        <v>0.1</v>
      </c>
      <c r="H28" s="37">
        <f t="shared" si="3"/>
        <v>0.2</v>
      </c>
      <c r="I28" s="42">
        <f t="shared" si="7"/>
        <v>266.38</v>
      </c>
    </row>
    <row r="29" spans="1:10" ht="15.75" x14ac:dyDescent="0.2">
      <c r="A29" s="43" t="s">
        <v>141</v>
      </c>
      <c r="B29" s="38"/>
      <c r="C29" s="38"/>
      <c r="D29" s="37"/>
      <c r="E29" s="38"/>
      <c r="F29" s="37"/>
      <c r="G29" s="37"/>
      <c r="H29" s="37"/>
      <c r="I29" s="42"/>
    </row>
    <row r="30" spans="1:10" x14ac:dyDescent="0.2">
      <c r="A30" s="45" t="s">
        <v>95</v>
      </c>
      <c r="B30" s="37">
        <v>8</v>
      </c>
      <c r="C30" s="37">
        <v>1</v>
      </c>
      <c r="D30" s="37">
        <f t="shared" si="0"/>
        <v>8</v>
      </c>
      <c r="E30" s="37">
        <f>'O&amp;M'!B28</f>
        <v>1</v>
      </c>
      <c r="F30" s="37">
        <f t="shared" si="1"/>
        <v>8</v>
      </c>
      <c r="G30" s="37">
        <f t="shared" si="2"/>
        <v>0.4</v>
      </c>
      <c r="H30" s="37">
        <f t="shared" si="3"/>
        <v>0.8</v>
      </c>
      <c r="I30" s="42">
        <f t="shared" ref="I30:I31" si="8">+$L$7*F30+$L$6*G30+$L$8*H30</f>
        <v>1065.52</v>
      </c>
    </row>
    <row r="31" spans="1:10" x14ac:dyDescent="0.2">
      <c r="A31" s="45" t="s">
        <v>96</v>
      </c>
      <c r="B31" s="37">
        <v>2</v>
      </c>
      <c r="C31" s="37">
        <v>1</v>
      </c>
      <c r="D31" s="37">
        <f t="shared" si="0"/>
        <v>2</v>
      </c>
      <c r="E31" s="37">
        <f>'O&amp;M'!B28</f>
        <v>1</v>
      </c>
      <c r="F31" s="37">
        <f t="shared" si="1"/>
        <v>2</v>
      </c>
      <c r="G31" s="37">
        <f t="shared" si="2"/>
        <v>0.1</v>
      </c>
      <c r="H31" s="37">
        <f t="shared" si="3"/>
        <v>0.2</v>
      </c>
      <c r="I31" s="42">
        <f t="shared" si="8"/>
        <v>266.38</v>
      </c>
    </row>
    <row r="32" spans="1:10" x14ac:dyDescent="0.2">
      <c r="A32" s="43" t="s">
        <v>67</v>
      </c>
      <c r="B32" s="46" t="s">
        <v>85</v>
      </c>
      <c r="C32" s="38"/>
      <c r="D32" s="37"/>
      <c r="E32" s="44">
        <f>'O&amp;M'!B28</f>
        <v>1</v>
      </c>
      <c r="F32" s="37"/>
      <c r="G32" s="37"/>
      <c r="H32" s="37"/>
      <c r="I32" s="42"/>
    </row>
    <row r="33" spans="1:10" ht="28.5" x14ac:dyDescent="0.2">
      <c r="A33" s="43" t="s">
        <v>142</v>
      </c>
      <c r="B33" s="37">
        <v>160</v>
      </c>
      <c r="C33" s="37">
        <v>1</v>
      </c>
      <c r="D33" s="37">
        <f t="shared" si="0"/>
        <v>160</v>
      </c>
      <c r="E33" s="37">
        <f>'O&amp;M'!B28</f>
        <v>1</v>
      </c>
      <c r="F33" s="37">
        <f t="shared" si="1"/>
        <v>160</v>
      </c>
      <c r="G33" s="37">
        <f t="shared" si="2"/>
        <v>8</v>
      </c>
      <c r="H33" s="37">
        <f t="shared" si="3"/>
        <v>16</v>
      </c>
      <c r="I33" s="42">
        <f>+$L$7*F33+$L$6*G33+$L$8*H33</f>
        <v>21310.400000000001</v>
      </c>
    </row>
    <row r="34" spans="1:10" ht="15.75" x14ac:dyDescent="0.2">
      <c r="A34" s="43" t="s">
        <v>143</v>
      </c>
      <c r="B34" s="38"/>
      <c r="C34" s="38"/>
      <c r="D34" s="37"/>
      <c r="E34" s="38"/>
      <c r="F34" s="37"/>
      <c r="G34" s="37"/>
      <c r="H34" s="37"/>
      <c r="I34" s="42"/>
    </row>
    <row r="35" spans="1:10" x14ac:dyDescent="0.2">
      <c r="A35" s="45" t="s">
        <v>97</v>
      </c>
      <c r="B35" s="37">
        <v>6</v>
      </c>
      <c r="C35" s="37">
        <v>1</v>
      </c>
      <c r="D35" s="37">
        <f t="shared" si="0"/>
        <v>6</v>
      </c>
      <c r="E35" s="47">
        <f>'O&amp;M'!B28*2/3</f>
        <v>0.66666666666666663</v>
      </c>
      <c r="F35" s="37">
        <f t="shared" si="1"/>
        <v>4</v>
      </c>
      <c r="G35" s="48">
        <f t="shared" si="2"/>
        <v>0.2</v>
      </c>
      <c r="H35" s="48">
        <f t="shared" si="3"/>
        <v>0.4</v>
      </c>
      <c r="I35" s="42">
        <f t="shared" ref="I35:I36" si="9">+$L$7*F35+$L$6*G35+$L$8*H35</f>
        <v>532.76</v>
      </c>
    </row>
    <row r="36" spans="1:10" x14ac:dyDescent="0.2">
      <c r="A36" s="45" t="s">
        <v>98</v>
      </c>
      <c r="B36" s="37">
        <v>14</v>
      </c>
      <c r="C36" s="37">
        <v>1</v>
      </c>
      <c r="D36" s="37">
        <f t="shared" si="0"/>
        <v>14</v>
      </c>
      <c r="E36" s="47">
        <f>'O&amp;M'!B28*1/3</f>
        <v>0.33333333333333331</v>
      </c>
      <c r="F36" s="48">
        <f t="shared" si="1"/>
        <v>4.6666666666666661</v>
      </c>
      <c r="G36" s="47">
        <f t="shared" si="2"/>
        <v>0.23333333333333331</v>
      </c>
      <c r="H36" s="47">
        <f t="shared" si="3"/>
        <v>0.46666666666666662</v>
      </c>
      <c r="I36" s="42">
        <f t="shared" si="9"/>
        <v>621.55333333333317</v>
      </c>
    </row>
    <row r="37" spans="1:10" x14ac:dyDescent="0.2">
      <c r="A37" s="43" t="s">
        <v>68</v>
      </c>
      <c r="B37" s="37" t="s">
        <v>99</v>
      </c>
      <c r="C37" s="38"/>
      <c r="D37" s="37"/>
      <c r="E37" s="38"/>
      <c r="F37" s="37"/>
      <c r="G37" s="37"/>
      <c r="H37" s="37"/>
      <c r="I37" s="42"/>
    </row>
    <row r="38" spans="1:10" ht="25.5" x14ac:dyDescent="0.2">
      <c r="A38" s="43" t="s">
        <v>69</v>
      </c>
      <c r="B38" s="37" t="s">
        <v>150</v>
      </c>
      <c r="C38" s="38"/>
      <c r="D38" s="37"/>
      <c r="E38" s="38"/>
      <c r="F38" s="37"/>
      <c r="G38" s="37"/>
      <c r="H38" s="37"/>
      <c r="I38" s="42"/>
    </row>
    <row r="39" spans="1:10" ht="15.75" x14ac:dyDescent="0.2">
      <c r="A39" s="43" t="s">
        <v>144</v>
      </c>
      <c r="B39" s="37">
        <v>160</v>
      </c>
      <c r="C39" s="37">
        <v>1</v>
      </c>
      <c r="D39" s="37">
        <f t="shared" si="0"/>
        <v>160</v>
      </c>
      <c r="E39" s="37">
        <v>1</v>
      </c>
      <c r="F39" s="37">
        <f t="shared" si="1"/>
        <v>160</v>
      </c>
      <c r="G39" s="37">
        <f t="shared" si="2"/>
        <v>8</v>
      </c>
      <c r="H39" s="37">
        <f t="shared" si="3"/>
        <v>16</v>
      </c>
      <c r="I39" s="42">
        <f t="shared" ref="I39:I42" si="10">+$L$7*F39+$L$6*G39+$L$8*H39</f>
        <v>21310.400000000001</v>
      </c>
    </row>
    <row r="40" spans="1:10" ht="25.5" x14ac:dyDescent="0.2">
      <c r="A40" s="43" t="s">
        <v>151</v>
      </c>
      <c r="B40" s="37">
        <v>40</v>
      </c>
      <c r="C40" s="37">
        <v>1</v>
      </c>
      <c r="D40" s="37">
        <f t="shared" si="0"/>
        <v>40</v>
      </c>
      <c r="E40" s="37">
        <f>'O&amp;M'!C28</f>
        <v>10</v>
      </c>
      <c r="F40" s="37">
        <f t="shared" si="1"/>
        <v>400</v>
      </c>
      <c r="G40" s="37">
        <f t="shared" si="2"/>
        <v>20</v>
      </c>
      <c r="H40" s="37">
        <f t="shared" si="3"/>
        <v>40</v>
      </c>
      <c r="I40" s="42">
        <f t="shared" si="10"/>
        <v>53276</v>
      </c>
      <c r="J40" s="66"/>
    </row>
    <row r="41" spans="1:10" ht="28.5" x14ac:dyDescent="0.2">
      <c r="A41" s="43" t="s">
        <v>145</v>
      </c>
      <c r="B41" s="37">
        <v>8</v>
      </c>
      <c r="C41" s="37">
        <v>2</v>
      </c>
      <c r="D41" s="37">
        <f t="shared" si="0"/>
        <v>16</v>
      </c>
      <c r="E41" s="37">
        <f>'O&amp;M'!B12</f>
        <v>1</v>
      </c>
      <c r="F41" s="37">
        <f t="shared" si="1"/>
        <v>16</v>
      </c>
      <c r="G41" s="37">
        <f t="shared" si="2"/>
        <v>0.8</v>
      </c>
      <c r="H41" s="37">
        <f t="shared" si="3"/>
        <v>1.6</v>
      </c>
      <c r="I41" s="42">
        <f t="shared" si="10"/>
        <v>2131.04</v>
      </c>
    </row>
    <row r="42" spans="1:10" ht="28.5" x14ac:dyDescent="0.2">
      <c r="A42" s="43" t="s">
        <v>146</v>
      </c>
      <c r="B42" s="37">
        <v>8</v>
      </c>
      <c r="C42" s="37">
        <v>2</v>
      </c>
      <c r="D42" s="37">
        <f t="shared" si="0"/>
        <v>16</v>
      </c>
      <c r="E42" s="37">
        <f>'O&amp;M'!B13</f>
        <v>1</v>
      </c>
      <c r="F42" s="37">
        <f t="shared" si="1"/>
        <v>16</v>
      </c>
      <c r="G42" s="37">
        <f t="shared" si="2"/>
        <v>0.8</v>
      </c>
      <c r="H42" s="37">
        <f t="shared" si="3"/>
        <v>1.6</v>
      </c>
      <c r="I42" s="42">
        <f t="shared" si="10"/>
        <v>2131.04</v>
      </c>
    </row>
    <row r="43" spans="1:10" ht="28.5" x14ac:dyDescent="0.2">
      <c r="A43" s="43" t="s">
        <v>147</v>
      </c>
      <c r="B43" s="37">
        <v>24</v>
      </c>
      <c r="C43" s="37">
        <v>2</v>
      </c>
      <c r="D43" s="37">
        <f t="shared" si="0"/>
        <v>48</v>
      </c>
      <c r="E43" s="37">
        <f>E54</f>
        <v>1.1000000000000001</v>
      </c>
      <c r="F43" s="37">
        <f t="shared" si="1"/>
        <v>52.800000000000004</v>
      </c>
      <c r="G43" s="37">
        <f t="shared" si="2"/>
        <v>2.6400000000000006</v>
      </c>
      <c r="H43" s="37">
        <f t="shared" si="3"/>
        <v>5.2800000000000011</v>
      </c>
      <c r="I43" s="42">
        <f>+$L$7*F43+$L$6*G43+$L$8*H43</f>
        <v>7032.4320000000007</v>
      </c>
    </row>
    <row r="44" spans="1:10" ht="13.5" x14ac:dyDescent="0.2">
      <c r="A44" s="49" t="s">
        <v>40</v>
      </c>
      <c r="B44" s="38"/>
      <c r="C44" s="38"/>
      <c r="D44" s="37"/>
      <c r="E44" s="38"/>
      <c r="F44" s="72">
        <f>SUM(F5:H43)</f>
        <v>1612.8366666666664</v>
      </c>
      <c r="G44" s="72"/>
      <c r="H44" s="72"/>
      <c r="I44" s="65">
        <f>SUM(I5:I43)</f>
        <v>186794.53533333336</v>
      </c>
    </row>
    <row r="45" spans="1:10" x14ac:dyDescent="0.2">
      <c r="A45" s="36" t="s">
        <v>41</v>
      </c>
      <c r="B45" s="51" t="s">
        <v>100</v>
      </c>
      <c r="C45" s="51" t="s">
        <v>100</v>
      </c>
      <c r="D45" s="37"/>
      <c r="E45" s="51" t="s">
        <v>100</v>
      </c>
      <c r="F45" s="51" t="s">
        <v>100</v>
      </c>
      <c r="G45" s="51" t="s">
        <v>100</v>
      </c>
      <c r="H45" s="51" t="s">
        <v>100</v>
      </c>
      <c r="I45" s="51" t="s">
        <v>100</v>
      </c>
    </row>
    <row r="46" spans="1:10" x14ac:dyDescent="0.2">
      <c r="A46" s="41" t="s">
        <v>42</v>
      </c>
      <c r="B46" s="37" t="s">
        <v>43</v>
      </c>
      <c r="C46" s="38"/>
      <c r="D46" s="37"/>
      <c r="E46" s="38"/>
      <c r="F46" s="38"/>
      <c r="G46" s="38"/>
      <c r="H46" s="38"/>
      <c r="I46" s="38"/>
    </row>
    <row r="47" spans="1:10" x14ac:dyDescent="0.2">
      <c r="A47" s="41" t="s">
        <v>44</v>
      </c>
      <c r="B47" s="52" t="s">
        <v>35</v>
      </c>
      <c r="C47" s="38"/>
      <c r="D47" s="37"/>
      <c r="E47" s="38"/>
      <c r="F47" s="38"/>
      <c r="G47" s="38"/>
      <c r="H47" s="38"/>
      <c r="I47" s="38"/>
    </row>
    <row r="48" spans="1:10" x14ac:dyDescent="0.2">
      <c r="A48" s="41" t="s">
        <v>45</v>
      </c>
      <c r="B48" s="52" t="s">
        <v>35</v>
      </c>
      <c r="C48" s="38"/>
      <c r="D48" s="37"/>
      <c r="E48" s="38"/>
      <c r="F48" s="38"/>
      <c r="G48" s="38"/>
      <c r="H48" s="38"/>
      <c r="I48" s="38"/>
    </row>
    <row r="49" spans="1:9" x14ac:dyDescent="0.2">
      <c r="A49" s="41" t="s">
        <v>46</v>
      </c>
      <c r="B49" s="37" t="s">
        <v>30</v>
      </c>
      <c r="C49" s="38"/>
      <c r="D49" s="37"/>
      <c r="E49" s="38"/>
      <c r="F49" s="38"/>
      <c r="G49" s="38"/>
      <c r="H49" s="38"/>
      <c r="I49" s="38"/>
    </row>
    <row r="50" spans="1:9" x14ac:dyDescent="0.2">
      <c r="A50" s="41" t="s">
        <v>47</v>
      </c>
      <c r="B50" s="38"/>
      <c r="C50" s="38"/>
      <c r="D50" s="37"/>
      <c r="E50" s="38"/>
      <c r="F50" s="38"/>
      <c r="G50" s="38"/>
      <c r="H50" s="38"/>
      <c r="I50" s="38"/>
    </row>
    <row r="51" spans="1:9" x14ac:dyDescent="0.2">
      <c r="A51" s="43" t="s">
        <v>48</v>
      </c>
      <c r="B51" s="37" t="s">
        <v>101</v>
      </c>
      <c r="C51" s="38"/>
      <c r="D51" s="37"/>
      <c r="E51" s="38"/>
      <c r="F51" s="38"/>
      <c r="G51" s="38"/>
      <c r="H51" s="38"/>
      <c r="I51" s="38"/>
    </row>
    <row r="52" spans="1:9" ht="41.25" x14ac:dyDescent="0.2">
      <c r="A52" s="43" t="s">
        <v>153</v>
      </c>
      <c r="B52" s="37">
        <v>0.5</v>
      </c>
      <c r="C52" s="37">
        <v>52</v>
      </c>
      <c r="D52" s="37">
        <f t="shared" si="0"/>
        <v>26</v>
      </c>
      <c r="E52" s="37">
        <f>E8*0.1</f>
        <v>1.1000000000000001</v>
      </c>
      <c r="F52" s="37">
        <f t="shared" ref="F52:F61" si="11">D52*E52</f>
        <v>28.6</v>
      </c>
      <c r="G52" s="37">
        <f t="shared" ref="G52:G61" si="12">+F52*0.05</f>
        <v>1.4300000000000002</v>
      </c>
      <c r="H52" s="37">
        <f t="shared" ref="H52:H61" si="13">+F52*0.1</f>
        <v>2.8600000000000003</v>
      </c>
      <c r="I52" s="42">
        <f t="shared" ref="I52:I54" si="14">+$L$7*F52+$L$6*G52+$L$8*H52</f>
        <v>3809.2340000000004</v>
      </c>
    </row>
    <row r="53" spans="1:9" ht="15.75" x14ac:dyDescent="0.2">
      <c r="A53" s="43" t="s">
        <v>152</v>
      </c>
      <c r="B53" s="37">
        <v>1.5</v>
      </c>
      <c r="C53" s="37">
        <v>1</v>
      </c>
      <c r="D53" s="37">
        <f t="shared" si="0"/>
        <v>1.5</v>
      </c>
      <c r="E53" s="37">
        <f>E8*0.1</f>
        <v>1.1000000000000001</v>
      </c>
      <c r="F53" s="37">
        <f t="shared" si="11"/>
        <v>1.6500000000000001</v>
      </c>
      <c r="G53" s="37">
        <f t="shared" si="12"/>
        <v>8.2500000000000018E-2</v>
      </c>
      <c r="H53" s="37">
        <f t="shared" si="13"/>
        <v>0.16500000000000004</v>
      </c>
      <c r="I53" s="42">
        <f t="shared" si="14"/>
        <v>219.76350000000002</v>
      </c>
    </row>
    <row r="54" spans="1:9" ht="28.5" x14ac:dyDescent="0.2">
      <c r="A54" s="43" t="s">
        <v>148</v>
      </c>
      <c r="B54" s="37">
        <v>1.5</v>
      </c>
      <c r="C54" s="37">
        <v>2</v>
      </c>
      <c r="D54" s="37">
        <f t="shared" si="0"/>
        <v>3</v>
      </c>
      <c r="E54" s="37">
        <f>E8*0.1</f>
        <v>1.1000000000000001</v>
      </c>
      <c r="F54" s="37">
        <f t="shared" si="11"/>
        <v>3.3000000000000003</v>
      </c>
      <c r="G54" s="37">
        <f t="shared" si="12"/>
        <v>0.16500000000000004</v>
      </c>
      <c r="H54" s="37">
        <f t="shared" si="13"/>
        <v>0.33000000000000007</v>
      </c>
      <c r="I54" s="42">
        <f t="shared" si="14"/>
        <v>439.52700000000004</v>
      </c>
    </row>
    <row r="55" spans="1:9" x14ac:dyDescent="0.2">
      <c r="A55" s="43" t="s">
        <v>49</v>
      </c>
      <c r="B55" s="37" t="s">
        <v>38</v>
      </c>
      <c r="C55" s="38"/>
      <c r="D55" s="37"/>
      <c r="E55" s="38"/>
      <c r="F55" s="37"/>
      <c r="G55" s="37"/>
      <c r="H55" s="37"/>
      <c r="I55" s="42"/>
    </row>
    <row r="56" spans="1:9" x14ac:dyDescent="0.2">
      <c r="A56" s="43" t="s">
        <v>50</v>
      </c>
      <c r="B56" s="37" t="s">
        <v>38</v>
      </c>
      <c r="C56" s="38"/>
      <c r="D56" s="37"/>
      <c r="E56" s="38"/>
      <c r="F56" s="37"/>
      <c r="G56" s="37"/>
      <c r="H56" s="37"/>
      <c r="I56" s="42"/>
    </row>
    <row r="57" spans="1:9" ht="25.5" x14ac:dyDescent="0.2">
      <c r="A57" s="43" t="s">
        <v>54</v>
      </c>
      <c r="B57" s="37">
        <v>1</v>
      </c>
      <c r="C57" s="37">
        <v>1</v>
      </c>
      <c r="D57" s="37">
        <f t="shared" si="0"/>
        <v>1</v>
      </c>
      <c r="E57" s="37">
        <f>E14+E15</f>
        <v>11</v>
      </c>
      <c r="F57" s="37">
        <f t="shared" si="11"/>
        <v>11</v>
      </c>
      <c r="G57" s="37">
        <f t="shared" si="12"/>
        <v>0.55000000000000004</v>
      </c>
      <c r="H57" s="37">
        <f t="shared" si="13"/>
        <v>1.1000000000000001</v>
      </c>
      <c r="I57" s="42">
        <f t="shared" ref="I57:I59" si="15">+$L$7*F57+$L$6*G57+$L$8*H57</f>
        <v>1465.0900000000001</v>
      </c>
    </row>
    <row r="58" spans="1:9" ht="25.5" x14ac:dyDescent="0.2">
      <c r="A58" s="43" t="s">
        <v>55</v>
      </c>
      <c r="B58" s="37">
        <v>1</v>
      </c>
      <c r="C58" s="37">
        <v>1</v>
      </c>
      <c r="D58" s="37">
        <f t="shared" si="0"/>
        <v>1</v>
      </c>
      <c r="E58" s="37">
        <f>E14+E15</f>
        <v>11</v>
      </c>
      <c r="F58" s="37">
        <f t="shared" si="11"/>
        <v>11</v>
      </c>
      <c r="G58" s="37">
        <f t="shared" si="12"/>
        <v>0.55000000000000004</v>
      </c>
      <c r="H58" s="37">
        <f t="shared" si="13"/>
        <v>1.1000000000000001</v>
      </c>
      <c r="I58" s="42">
        <f t="shared" si="15"/>
        <v>1465.0900000000001</v>
      </c>
    </row>
    <row r="59" spans="1:9" ht="25.5" x14ac:dyDescent="0.2">
      <c r="A59" s="43" t="s">
        <v>102</v>
      </c>
      <c r="B59" s="37">
        <v>1</v>
      </c>
      <c r="C59" s="37">
        <v>1</v>
      </c>
      <c r="D59" s="37">
        <f t="shared" si="0"/>
        <v>1</v>
      </c>
      <c r="E59" s="37">
        <f>E14+E15</f>
        <v>11</v>
      </c>
      <c r="F59" s="37">
        <f t="shared" si="11"/>
        <v>11</v>
      </c>
      <c r="G59" s="37">
        <f t="shared" si="12"/>
        <v>0.55000000000000004</v>
      </c>
      <c r="H59" s="37">
        <f t="shared" si="13"/>
        <v>1.1000000000000001</v>
      </c>
      <c r="I59" s="42">
        <f t="shared" si="15"/>
        <v>1465.0900000000001</v>
      </c>
    </row>
    <row r="60" spans="1:9" x14ac:dyDescent="0.2">
      <c r="A60" s="43" t="s">
        <v>56</v>
      </c>
      <c r="B60" s="37" t="s">
        <v>35</v>
      </c>
      <c r="C60" s="38"/>
      <c r="D60" s="37"/>
      <c r="E60" s="38"/>
      <c r="F60" s="37"/>
      <c r="G60" s="37"/>
      <c r="H60" s="37"/>
      <c r="I60" s="42"/>
    </row>
    <row r="61" spans="1:9" ht="15.75" x14ac:dyDescent="0.2">
      <c r="A61" s="43" t="s">
        <v>149</v>
      </c>
      <c r="B61" s="37">
        <v>24</v>
      </c>
      <c r="C61" s="37">
        <v>1</v>
      </c>
      <c r="D61" s="37">
        <f t="shared" si="0"/>
        <v>24</v>
      </c>
      <c r="E61" s="47">
        <f>E36</f>
        <v>0.33333333333333331</v>
      </c>
      <c r="F61" s="37">
        <f t="shared" si="11"/>
        <v>8</v>
      </c>
      <c r="G61" s="37">
        <f t="shared" si="12"/>
        <v>0.4</v>
      </c>
      <c r="H61" s="37">
        <f t="shared" si="13"/>
        <v>0.8</v>
      </c>
      <c r="I61" s="42">
        <f>+$L$7*F61+$L$6*G61+$L$8*H61</f>
        <v>1065.52</v>
      </c>
    </row>
    <row r="62" spans="1:9" x14ac:dyDescent="0.2">
      <c r="A62" s="41" t="s">
        <v>51</v>
      </c>
      <c r="B62" s="37" t="s">
        <v>35</v>
      </c>
      <c r="C62" s="53"/>
      <c r="D62" s="53"/>
      <c r="E62" s="53"/>
      <c r="F62" s="53"/>
      <c r="G62" s="53"/>
      <c r="H62" s="53"/>
      <c r="I62" s="38"/>
    </row>
    <row r="63" spans="1:9" x14ac:dyDescent="0.2">
      <c r="A63" s="41" t="s">
        <v>52</v>
      </c>
      <c r="B63" s="37" t="s">
        <v>30</v>
      </c>
      <c r="C63" s="53"/>
      <c r="D63" s="53"/>
      <c r="E63" s="53"/>
      <c r="F63" s="53"/>
      <c r="G63" s="53"/>
      <c r="H63" s="53"/>
      <c r="I63" s="38"/>
    </row>
    <row r="64" spans="1:9" ht="13.5" x14ac:dyDescent="0.2">
      <c r="A64" s="49" t="s">
        <v>53</v>
      </c>
      <c r="B64" s="54"/>
      <c r="C64" s="54"/>
      <c r="D64" s="54"/>
      <c r="E64" s="54"/>
      <c r="F64" s="73">
        <f>SUM(F45:H63)</f>
        <v>85.732499999999987</v>
      </c>
      <c r="G64" s="73"/>
      <c r="H64" s="73"/>
      <c r="I64" s="65">
        <f>SUM(I45:I63)</f>
        <v>9929.3145000000004</v>
      </c>
    </row>
    <row r="65" spans="1:10" ht="15.75" x14ac:dyDescent="0.2">
      <c r="A65" s="55" t="s">
        <v>154</v>
      </c>
      <c r="B65" s="51"/>
      <c r="C65" s="51"/>
      <c r="D65" s="51"/>
      <c r="E65" s="51"/>
      <c r="F65" s="74">
        <f>ROUND(F44+F64,-1)</f>
        <v>1700</v>
      </c>
      <c r="G65" s="74"/>
      <c r="H65" s="74"/>
      <c r="I65" s="50">
        <f>ROUND(I44+I64,-3)</f>
        <v>197000</v>
      </c>
    </row>
    <row r="66" spans="1:10" ht="15.75" x14ac:dyDescent="0.2">
      <c r="A66" s="55" t="s">
        <v>155</v>
      </c>
      <c r="B66" s="51"/>
      <c r="C66" s="51"/>
      <c r="D66" s="51"/>
      <c r="E66" s="51"/>
      <c r="F66" s="56"/>
      <c r="G66" s="56"/>
      <c r="H66" s="56"/>
      <c r="I66" s="50">
        <f>ROUND('O&amp;M'!D42+'O&amp;M'!G42,-3)</f>
        <v>769000</v>
      </c>
    </row>
    <row r="67" spans="1:10" ht="15.75" x14ac:dyDescent="0.2">
      <c r="A67" s="55" t="s">
        <v>156</v>
      </c>
      <c r="B67" s="51"/>
      <c r="C67" s="51"/>
      <c r="D67" s="51"/>
      <c r="E67" s="51"/>
      <c r="F67" s="56"/>
      <c r="G67" s="56"/>
      <c r="H67" s="56"/>
      <c r="I67" s="50">
        <f>ROUND(I65+I66,-4)</f>
        <v>970000</v>
      </c>
    </row>
    <row r="69" spans="1:10" x14ac:dyDescent="0.2">
      <c r="A69" s="57" t="s">
        <v>33</v>
      </c>
    </row>
    <row r="70" spans="1:10" ht="30" customHeight="1" x14ac:dyDescent="0.2">
      <c r="A70" s="70" t="s">
        <v>174</v>
      </c>
      <c r="B70" s="70"/>
      <c r="C70" s="70"/>
      <c r="D70" s="70"/>
      <c r="E70" s="70"/>
      <c r="F70" s="70"/>
      <c r="G70" s="70"/>
      <c r="H70" s="70"/>
      <c r="I70" s="70"/>
      <c r="J70" s="67"/>
    </row>
    <row r="71" spans="1:10" ht="60.75" customHeight="1" x14ac:dyDescent="0.2">
      <c r="A71" s="70" t="s">
        <v>175</v>
      </c>
      <c r="B71" s="70"/>
      <c r="C71" s="70"/>
      <c r="D71" s="70"/>
      <c r="E71" s="70"/>
      <c r="F71" s="70"/>
      <c r="G71" s="70"/>
      <c r="H71" s="70"/>
      <c r="I71" s="70"/>
    </row>
    <row r="72" spans="1:10" ht="15.75" x14ac:dyDescent="0.2">
      <c r="A72" s="71" t="s">
        <v>176</v>
      </c>
      <c r="B72" s="71"/>
      <c r="C72" s="71"/>
      <c r="D72" s="71"/>
      <c r="E72" s="71"/>
      <c r="F72" s="71"/>
      <c r="G72" s="71"/>
      <c r="H72" s="71"/>
      <c r="I72" s="71"/>
    </row>
    <row r="73" spans="1:10" ht="15.75" x14ac:dyDescent="0.2">
      <c r="A73" s="71" t="s">
        <v>177</v>
      </c>
      <c r="B73" s="71"/>
      <c r="C73" s="71"/>
      <c r="D73" s="71"/>
      <c r="E73" s="71"/>
      <c r="F73" s="71"/>
      <c r="G73" s="71"/>
      <c r="H73" s="71"/>
      <c r="I73" s="71"/>
    </row>
    <row r="74" spans="1:10" ht="15.75" x14ac:dyDescent="0.2">
      <c r="A74" s="71" t="s">
        <v>178</v>
      </c>
      <c r="B74" s="71"/>
      <c r="C74" s="71"/>
      <c r="D74" s="71"/>
      <c r="E74" s="71"/>
      <c r="F74" s="71"/>
      <c r="G74" s="71"/>
      <c r="H74" s="71"/>
      <c r="I74" s="71"/>
    </row>
    <row r="75" spans="1:10" ht="46.5" customHeight="1" x14ac:dyDescent="0.2">
      <c r="A75" s="70" t="s">
        <v>180</v>
      </c>
      <c r="B75" s="70"/>
      <c r="C75" s="70"/>
      <c r="D75" s="70"/>
      <c r="E75" s="70"/>
      <c r="F75" s="70"/>
      <c r="G75" s="70"/>
      <c r="H75" s="70"/>
      <c r="I75" s="70"/>
    </row>
    <row r="76" spans="1:10" ht="15.75" x14ac:dyDescent="0.2">
      <c r="A76" s="71" t="s">
        <v>189</v>
      </c>
      <c r="B76" s="71"/>
      <c r="C76" s="71"/>
      <c r="D76" s="71"/>
      <c r="E76" s="71"/>
      <c r="F76" s="71"/>
      <c r="G76" s="71"/>
      <c r="H76" s="71"/>
      <c r="I76" s="71"/>
    </row>
    <row r="77" spans="1:10" ht="15.75" x14ac:dyDescent="0.2">
      <c r="A77" s="71" t="s">
        <v>179</v>
      </c>
      <c r="B77" s="71"/>
      <c r="C77" s="71"/>
      <c r="D77" s="71"/>
      <c r="E77" s="71"/>
      <c r="F77" s="71"/>
      <c r="G77" s="71"/>
      <c r="H77" s="71"/>
      <c r="I77" s="71"/>
    </row>
    <row r="79" spans="1:10" x14ac:dyDescent="0.2">
      <c r="A79" s="58"/>
    </row>
    <row r="81" spans="1:1" x14ac:dyDescent="0.2">
      <c r="A81" s="59"/>
    </row>
  </sheetData>
  <mergeCells count="16">
    <mergeCell ref="F44:H44"/>
    <mergeCell ref="F64:H64"/>
    <mergeCell ref="F65:H65"/>
    <mergeCell ref="A1:I1"/>
    <mergeCell ref="K5:L5"/>
    <mergeCell ref="B11:D11"/>
    <mergeCell ref="B10:D10"/>
    <mergeCell ref="A3:A4"/>
    <mergeCell ref="A75:I75"/>
    <mergeCell ref="A76:I76"/>
    <mergeCell ref="A77:I77"/>
    <mergeCell ref="A70:I70"/>
    <mergeCell ref="A71:I71"/>
    <mergeCell ref="A72:I72"/>
    <mergeCell ref="A73:I73"/>
    <mergeCell ref="A74:I7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234C-CFDB-45F6-8394-8564F7F247CD}">
  <dimension ref="A1:L30"/>
  <sheetViews>
    <sheetView workbookViewId="0">
      <selection sqref="A1:I1"/>
    </sheetView>
  </sheetViews>
  <sheetFormatPr defaultColWidth="9.140625" defaultRowHeight="12.75" x14ac:dyDescent="0.2"/>
  <cols>
    <col min="1" max="1" width="39.5703125" style="8" customWidth="1"/>
    <col min="2" max="9" width="9.140625" style="8"/>
    <col min="10" max="10" width="5.28515625" style="8" customWidth="1"/>
    <col min="11" max="11" width="12.28515625" style="8" customWidth="1"/>
    <col min="12" max="16384" width="9.140625" style="8"/>
  </cols>
  <sheetData>
    <row r="1" spans="1:12" ht="36" customHeight="1" x14ac:dyDescent="0.2">
      <c r="A1" s="84" t="s">
        <v>170</v>
      </c>
      <c r="B1" s="84"/>
      <c r="C1" s="84"/>
      <c r="D1" s="84"/>
      <c r="E1" s="84"/>
      <c r="F1" s="84"/>
      <c r="G1" s="84"/>
      <c r="H1" s="84"/>
      <c r="I1" s="84"/>
    </row>
    <row r="2" spans="1:12" ht="15" x14ac:dyDescent="0.25">
      <c r="A2"/>
      <c r="B2"/>
      <c r="C2"/>
      <c r="D2"/>
      <c r="E2"/>
      <c r="F2"/>
      <c r="G2"/>
      <c r="H2"/>
      <c r="I2"/>
    </row>
    <row r="3" spans="1:12" x14ac:dyDescent="0.2">
      <c r="A3" s="86" t="s">
        <v>28</v>
      </c>
      <c r="B3" s="2" t="s">
        <v>70</v>
      </c>
      <c r="C3" s="2" t="s">
        <v>71</v>
      </c>
      <c r="D3" s="2" t="s">
        <v>72</v>
      </c>
      <c r="E3" s="2" t="s">
        <v>73</v>
      </c>
      <c r="F3" s="2" t="s">
        <v>74</v>
      </c>
      <c r="G3" s="2" t="s">
        <v>75</v>
      </c>
      <c r="H3" s="2" t="s">
        <v>76</v>
      </c>
      <c r="I3" s="2" t="s">
        <v>103</v>
      </c>
    </row>
    <row r="4" spans="1:12" ht="60" x14ac:dyDescent="0.2">
      <c r="A4" s="86"/>
      <c r="B4" s="2" t="s">
        <v>104</v>
      </c>
      <c r="C4" s="2" t="s">
        <v>78</v>
      </c>
      <c r="D4" s="2" t="s">
        <v>105</v>
      </c>
      <c r="E4" s="2" t="s">
        <v>106</v>
      </c>
      <c r="F4" s="2" t="s">
        <v>107</v>
      </c>
      <c r="G4" s="2" t="s">
        <v>81</v>
      </c>
      <c r="H4" s="2" t="s">
        <v>82</v>
      </c>
      <c r="I4" s="2" t="s">
        <v>108</v>
      </c>
    </row>
    <row r="5" spans="1:12" x14ac:dyDescent="0.2">
      <c r="A5" s="1" t="s">
        <v>29</v>
      </c>
      <c r="B5" s="20" t="s">
        <v>30</v>
      </c>
      <c r="C5" s="18"/>
      <c r="D5" s="19"/>
      <c r="E5" s="19"/>
      <c r="F5" s="18"/>
      <c r="G5" s="18"/>
      <c r="H5" s="18"/>
      <c r="I5" s="18"/>
      <c r="K5" s="82" t="s">
        <v>57</v>
      </c>
      <c r="L5" s="83"/>
    </row>
    <row r="6" spans="1:12" x14ac:dyDescent="0.2">
      <c r="A6" s="1" t="s">
        <v>109</v>
      </c>
      <c r="B6" s="20">
        <v>16</v>
      </c>
      <c r="C6" s="20">
        <v>1</v>
      </c>
      <c r="D6" s="20">
        <f>B6*C6</f>
        <v>16</v>
      </c>
      <c r="E6" s="15">
        <v>0</v>
      </c>
      <c r="F6" s="20">
        <f>D6*E6</f>
        <v>0</v>
      </c>
      <c r="G6" s="20">
        <f>F6*0.05</f>
        <v>0</v>
      </c>
      <c r="H6" s="20">
        <f>F6*0.1</f>
        <v>0</v>
      </c>
      <c r="I6" s="21">
        <f>$L$7*F6+$L$6*G6+$L$8*H6</f>
        <v>0</v>
      </c>
      <c r="K6" s="11" t="s">
        <v>58</v>
      </c>
      <c r="L6" s="12">
        <v>66.62</v>
      </c>
    </row>
    <row r="7" spans="1:12" x14ac:dyDescent="0.2">
      <c r="A7" s="1" t="s">
        <v>110</v>
      </c>
      <c r="B7" s="18"/>
      <c r="C7" s="18"/>
      <c r="D7" s="20"/>
      <c r="E7" s="19"/>
      <c r="F7" s="20"/>
      <c r="G7" s="20"/>
      <c r="H7" s="20"/>
      <c r="I7" s="21"/>
      <c r="K7" s="11" t="s">
        <v>59</v>
      </c>
      <c r="L7" s="12">
        <v>49.44</v>
      </c>
    </row>
    <row r="8" spans="1:12" ht="25.5" x14ac:dyDescent="0.2">
      <c r="A8" s="22" t="s">
        <v>111</v>
      </c>
      <c r="B8" s="20">
        <v>48</v>
      </c>
      <c r="C8" s="20">
        <v>1</v>
      </c>
      <c r="D8" s="20">
        <f t="shared" ref="D8:D19" si="0">B8*C8</f>
        <v>48</v>
      </c>
      <c r="E8" s="15">
        <v>0.2</v>
      </c>
      <c r="F8" s="20">
        <f t="shared" ref="F8:F19" si="1">D8*E8</f>
        <v>9.6000000000000014</v>
      </c>
      <c r="G8" s="20">
        <f t="shared" ref="G8:G19" si="2">F8*0.05</f>
        <v>0.48000000000000009</v>
      </c>
      <c r="H8" s="20">
        <f t="shared" ref="H8:H19" si="3">F8*0.1</f>
        <v>0.96000000000000019</v>
      </c>
      <c r="I8" s="21">
        <f t="shared" ref="I8:I9" si="4">$L$7*F8+$L$6*G8+$L$8*H8</f>
        <v>532.28160000000003</v>
      </c>
      <c r="K8" s="11" t="s">
        <v>60</v>
      </c>
      <c r="L8" s="12">
        <v>26.75</v>
      </c>
    </row>
    <row r="9" spans="1:12" ht="13.5" x14ac:dyDescent="0.2">
      <c r="A9" s="22" t="s">
        <v>112</v>
      </c>
      <c r="B9" s="20">
        <v>24</v>
      </c>
      <c r="C9" s="20">
        <v>1</v>
      </c>
      <c r="D9" s="20">
        <f t="shared" si="0"/>
        <v>24</v>
      </c>
      <c r="E9" s="15">
        <f>'Table 1'!E54</f>
        <v>1.1000000000000001</v>
      </c>
      <c r="F9" s="20">
        <f t="shared" si="1"/>
        <v>26.400000000000002</v>
      </c>
      <c r="G9" s="20">
        <f t="shared" si="2"/>
        <v>1.3200000000000003</v>
      </c>
      <c r="H9" s="20">
        <f t="shared" si="3"/>
        <v>2.6400000000000006</v>
      </c>
      <c r="I9" s="21">
        <f t="shared" si="4"/>
        <v>1463.7744000000002</v>
      </c>
    </row>
    <row r="10" spans="1:12" x14ac:dyDescent="0.2">
      <c r="A10" s="22" t="s">
        <v>36</v>
      </c>
      <c r="B10" s="20" t="s">
        <v>30</v>
      </c>
      <c r="C10" s="18"/>
      <c r="D10" s="20"/>
      <c r="E10" s="19"/>
      <c r="F10" s="20"/>
      <c r="G10" s="20"/>
      <c r="H10" s="20"/>
      <c r="I10" s="21"/>
    </row>
    <row r="11" spans="1:12" x14ac:dyDescent="0.2">
      <c r="A11" s="22" t="s">
        <v>37</v>
      </c>
      <c r="B11" s="20" t="s">
        <v>30</v>
      </c>
      <c r="C11" s="18"/>
      <c r="D11" s="20"/>
      <c r="E11" s="19"/>
      <c r="F11" s="20"/>
      <c r="G11" s="20"/>
      <c r="H11" s="20"/>
      <c r="I11" s="21"/>
    </row>
    <row r="12" spans="1:12" x14ac:dyDescent="0.2">
      <c r="A12" s="22" t="s">
        <v>113</v>
      </c>
      <c r="B12" s="18"/>
      <c r="C12" s="18"/>
      <c r="D12" s="20"/>
      <c r="E12" s="19"/>
      <c r="F12" s="20"/>
      <c r="G12" s="20"/>
      <c r="H12" s="20"/>
      <c r="I12" s="21"/>
    </row>
    <row r="13" spans="1:12" ht="25.5" x14ac:dyDescent="0.2">
      <c r="A13" s="23" t="s">
        <v>114</v>
      </c>
      <c r="B13" s="20">
        <v>8</v>
      </c>
      <c r="C13" s="20">
        <v>1</v>
      </c>
      <c r="D13" s="20">
        <f t="shared" si="0"/>
        <v>8</v>
      </c>
      <c r="E13" s="20">
        <v>1</v>
      </c>
      <c r="F13" s="20">
        <f t="shared" si="1"/>
        <v>8</v>
      </c>
      <c r="G13" s="20">
        <f t="shared" si="2"/>
        <v>0.4</v>
      </c>
      <c r="H13" s="20">
        <f t="shared" si="3"/>
        <v>0.8</v>
      </c>
      <c r="I13" s="21">
        <f t="shared" ref="I13:I19" si="5">$L$7*F13+$L$6*G13+$L$8*H13</f>
        <v>443.56799999999998</v>
      </c>
    </row>
    <row r="14" spans="1:12" ht="25.5" x14ac:dyDescent="0.2">
      <c r="A14" s="23" t="s">
        <v>115</v>
      </c>
      <c r="B14" s="20">
        <v>2</v>
      </c>
      <c r="C14" s="20">
        <v>1</v>
      </c>
      <c r="D14" s="20">
        <f t="shared" si="0"/>
        <v>2</v>
      </c>
      <c r="E14" s="20">
        <v>1</v>
      </c>
      <c r="F14" s="20">
        <f t="shared" si="1"/>
        <v>2</v>
      </c>
      <c r="G14" s="20">
        <f t="shared" si="2"/>
        <v>0.1</v>
      </c>
      <c r="H14" s="20">
        <f t="shared" si="3"/>
        <v>0.2</v>
      </c>
      <c r="I14" s="21">
        <f t="shared" si="5"/>
        <v>110.892</v>
      </c>
    </row>
    <row r="15" spans="1:12" ht="13.5" x14ac:dyDescent="0.2">
      <c r="A15" s="23" t="s">
        <v>116</v>
      </c>
      <c r="B15" s="20">
        <v>40</v>
      </c>
      <c r="C15" s="20">
        <v>1</v>
      </c>
      <c r="D15" s="20">
        <f t="shared" si="0"/>
        <v>40</v>
      </c>
      <c r="E15" s="20">
        <v>1</v>
      </c>
      <c r="F15" s="20">
        <f t="shared" si="1"/>
        <v>40</v>
      </c>
      <c r="G15" s="20">
        <f t="shared" si="2"/>
        <v>2</v>
      </c>
      <c r="H15" s="20">
        <f t="shared" si="3"/>
        <v>4</v>
      </c>
      <c r="I15" s="21">
        <f t="shared" si="5"/>
        <v>2217.84</v>
      </c>
    </row>
    <row r="16" spans="1:12" x14ac:dyDescent="0.2">
      <c r="A16" s="23" t="s">
        <v>117</v>
      </c>
      <c r="B16" s="20">
        <v>8</v>
      </c>
      <c r="C16" s="20">
        <v>1</v>
      </c>
      <c r="D16" s="20">
        <f t="shared" si="0"/>
        <v>8</v>
      </c>
      <c r="E16" s="20">
        <f>'Table 1'!E11</f>
        <v>10</v>
      </c>
      <c r="F16" s="20">
        <f t="shared" si="1"/>
        <v>80</v>
      </c>
      <c r="G16" s="20">
        <f t="shared" si="2"/>
        <v>4</v>
      </c>
      <c r="H16" s="20">
        <f t="shared" si="3"/>
        <v>8</v>
      </c>
      <c r="I16" s="21">
        <f t="shared" si="5"/>
        <v>4435.68</v>
      </c>
    </row>
    <row r="17" spans="1:10" ht="25.5" x14ac:dyDescent="0.2">
      <c r="A17" s="23" t="s">
        <v>118</v>
      </c>
      <c r="B17" s="20">
        <v>16</v>
      </c>
      <c r="C17" s="20">
        <v>1</v>
      </c>
      <c r="D17" s="20">
        <f t="shared" si="0"/>
        <v>16</v>
      </c>
      <c r="E17" s="20">
        <f>'Table 1'!E54</f>
        <v>1.1000000000000001</v>
      </c>
      <c r="F17" s="20">
        <f t="shared" si="1"/>
        <v>17.600000000000001</v>
      </c>
      <c r="G17" s="20">
        <f t="shared" si="2"/>
        <v>0.88000000000000012</v>
      </c>
      <c r="H17" s="20">
        <f t="shared" si="3"/>
        <v>1.7600000000000002</v>
      </c>
      <c r="I17" s="21">
        <f t="shared" si="5"/>
        <v>975.84960000000001</v>
      </c>
    </row>
    <row r="18" spans="1:10" ht="25.5" x14ac:dyDescent="0.2">
      <c r="A18" s="23" t="s">
        <v>119</v>
      </c>
      <c r="B18" s="20">
        <v>4</v>
      </c>
      <c r="C18" s="20">
        <v>4</v>
      </c>
      <c r="D18" s="20">
        <f t="shared" si="0"/>
        <v>16</v>
      </c>
      <c r="E18" s="20">
        <f>'Table 1'!E41</f>
        <v>1</v>
      </c>
      <c r="F18" s="20">
        <f t="shared" si="1"/>
        <v>16</v>
      </c>
      <c r="G18" s="20">
        <f t="shared" si="2"/>
        <v>0.8</v>
      </c>
      <c r="H18" s="20">
        <f t="shared" si="3"/>
        <v>1.6</v>
      </c>
      <c r="I18" s="21">
        <f t="shared" si="5"/>
        <v>887.13599999999997</v>
      </c>
    </row>
    <row r="19" spans="1:10" ht="13.5" x14ac:dyDescent="0.2">
      <c r="A19" s="22" t="s">
        <v>159</v>
      </c>
      <c r="B19" s="20">
        <v>200</v>
      </c>
      <c r="C19" s="20">
        <v>1</v>
      </c>
      <c r="D19" s="20">
        <f t="shared" si="0"/>
        <v>200</v>
      </c>
      <c r="E19" s="20">
        <v>1</v>
      </c>
      <c r="F19" s="20">
        <f t="shared" si="1"/>
        <v>200</v>
      </c>
      <c r="G19" s="20">
        <f t="shared" si="2"/>
        <v>10</v>
      </c>
      <c r="H19" s="20">
        <f t="shared" si="3"/>
        <v>20</v>
      </c>
      <c r="I19" s="21">
        <f t="shared" si="5"/>
        <v>11089.2</v>
      </c>
    </row>
    <row r="20" spans="1:10" ht="14.25" x14ac:dyDescent="0.2">
      <c r="A20" s="24" t="s">
        <v>160</v>
      </c>
      <c r="B20" s="25"/>
      <c r="C20" s="25"/>
      <c r="D20" s="26"/>
      <c r="E20" s="16"/>
      <c r="F20" s="85">
        <f>SUM(F5:H19)</f>
        <v>459.53999999999996</v>
      </c>
      <c r="G20" s="85"/>
      <c r="H20" s="85"/>
      <c r="I20" s="27">
        <f>ROUND(SUM(I5:I19),-2)</f>
        <v>22200</v>
      </c>
    </row>
    <row r="21" spans="1:10" ht="15" x14ac:dyDescent="0.25">
      <c r="A21"/>
      <c r="B21"/>
      <c r="C21"/>
      <c r="D21"/>
      <c r="E21"/>
      <c r="F21"/>
      <c r="G21"/>
      <c r="H21"/>
      <c r="I21"/>
    </row>
    <row r="22" spans="1:10" x14ac:dyDescent="0.2">
      <c r="A22" s="9" t="s">
        <v>33</v>
      </c>
    </row>
    <row r="23" spans="1:10" ht="34.5" customHeight="1" x14ac:dyDescent="0.2">
      <c r="A23" s="81" t="s">
        <v>181</v>
      </c>
      <c r="B23" s="81"/>
      <c r="C23" s="81"/>
      <c r="D23" s="81"/>
      <c r="E23" s="81"/>
      <c r="F23" s="81"/>
      <c r="G23" s="81"/>
      <c r="H23" s="81"/>
      <c r="I23" s="81"/>
      <c r="J23" s="67"/>
    </row>
    <row r="24" spans="1:10" ht="47.25" customHeight="1" x14ac:dyDescent="0.2">
      <c r="A24" s="81" t="s">
        <v>182</v>
      </c>
      <c r="B24" s="81"/>
      <c r="C24" s="81"/>
      <c r="D24" s="81"/>
      <c r="E24" s="81"/>
      <c r="F24" s="81"/>
      <c r="G24" s="81"/>
      <c r="H24" s="81"/>
      <c r="I24" s="81"/>
    </row>
    <row r="25" spans="1:10" ht="18" customHeight="1" x14ac:dyDescent="0.2">
      <c r="A25" s="81" t="s">
        <v>183</v>
      </c>
      <c r="B25" s="81"/>
      <c r="C25" s="81"/>
      <c r="D25" s="81"/>
      <c r="E25" s="81"/>
      <c r="F25" s="81"/>
      <c r="G25" s="81"/>
      <c r="H25" s="81"/>
      <c r="I25" s="81"/>
    </row>
    <row r="26" spans="1:10" ht="18" customHeight="1" x14ac:dyDescent="0.2">
      <c r="A26" s="81" t="s">
        <v>188</v>
      </c>
      <c r="B26" s="81"/>
      <c r="C26" s="81"/>
      <c r="D26" s="81"/>
      <c r="E26" s="81"/>
      <c r="F26" s="81"/>
      <c r="G26" s="81"/>
      <c r="H26" s="81"/>
      <c r="I26" s="81"/>
      <c r="J26" s="67"/>
    </row>
    <row r="27" spans="1:10" ht="18" customHeight="1" x14ac:dyDescent="0.2">
      <c r="A27" s="81" t="s">
        <v>184</v>
      </c>
      <c r="B27" s="81"/>
      <c r="C27" s="81"/>
      <c r="D27" s="81"/>
      <c r="E27" s="81"/>
      <c r="F27" s="81"/>
      <c r="G27" s="81"/>
      <c r="H27" s="81"/>
      <c r="I27" s="81"/>
    </row>
    <row r="28" spans="1:10" ht="48" customHeight="1" x14ac:dyDescent="0.2">
      <c r="A28" s="81" t="s">
        <v>187</v>
      </c>
      <c r="B28" s="81"/>
      <c r="C28" s="81"/>
      <c r="D28" s="81"/>
      <c r="E28" s="81"/>
      <c r="F28" s="81"/>
      <c r="G28" s="81"/>
      <c r="H28" s="81"/>
      <c r="I28" s="81"/>
    </row>
    <row r="29" spans="1:10" ht="18.75" customHeight="1" x14ac:dyDescent="0.2">
      <c r="A29" s="81" t="s">
        <v>185</v>
      </c>
      <c r="B29" s="81"/>
      <c r="C29" s="81"/>
      <c r="D29" s="81"/>
      <c r="E29" s="81"/>
      <c r="F29" s="81"/>
      <c r="G29" s="81"/>
      <c r="H29" s="81"/>
      <c r="I29" s="81"/>
    </row>
    <row r="30" spans="1:10" ht="18.75" customHeight="1" x14ac:dyDescent="0.2">
      <c r="A30" s="81" t="s">
        <v>186</v>
      </c>
      <c r="B30" s="81"/>
      <c r="C30" s="81"/>
      <c r="D30" s="81"/>
      <c r="E30" s="81"/>
      <c r="F30" s="81"/>
      <c r="G30" s="81"/>
      <c r="H30" s="81"/>
      <c r="I30" s="81"/>
    </row>
  </sheetData>
  <mergeCells count="12">
    <mergeCell ref="A29:I29"/>
    <mergeCell ref="A30:I30"/>
    <mergeCell ref="K5:L5"/>
    <mergeCell ref="A1:I1"/>
    <mergeCell ref="A28:I28"/>
    <mergeCell ref="A23:I23"/>
    <mergeCell ref="A24:I24"/>
    <mergeCell ref="A25:I25"/>
    <mergeCell ref="A26:I26"/>
    <mergeCell ref="A27:I27"/>
    <mergeCell ref="F20:H20"/>
    <mergeCell ref="A3:A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B8617-C1A6-46FA-92F7-5AC3F58594E7}">
  <dimension ref="A1:K49"/>
  <sheetViews>
    <sheetView topLeftCell="A34" zoomScaleNormal="100" workbookViewId="0">
      <selection activeCell="E16" sqref="E16"/>
    </sheetView>
  </sheetViews>
  <sheetFormatPr defaultColWidth="9.140625" defaultRowHeight="12.75" x14ac:dyDescent="0.2"/>
  <cols>
    <col min="1" max="1" width="34.85546875" style="8" customWidth="1"/>
    <col min="2" max="8" width="17.140625" style="8" customWidth="1"/>
    <col min="9" max="10" width="9.140625" style="8"/>
    <col min="11" max="11" width="23.5703125" style="8" customWidth="1"/>
    <col min="12" max="12" width="14.140625" style="8" customWidth="1"/>
    <col min="13" max="13" width="14.5703125" style="8" customWidth="1"/>
    <col min="14" max="14" width="19.140625" style="8" customWidth="1"/>
    <col min="15" max="15" width="15.42578125" style="8" customWidth="1"/>
    <col min="16" max="16" width="13.140625" style="8" customWidth="1"/>
    <col min="17" max="17" width="19.85546875" style="8" customWidth="1"/>
    <col min="18" max="18" width="9.140625" style="8"/>
    <col min="19" max="19" width="32.7109375" style="8" customWidth="1"/>
    <col min="20" max="21" width="14.28515625" style="8" customWidth="1"/>
    <col min="22" max="22" width="29.42578125" style="8" customWidth="1"/>
    <col min="23" max="25" width="14.28515625" style="8" customWidth="1"/>
    <col min="26" max="26" width="24.42578125" style="8" customWidth="1"/>
    <col min="27" max="16384" width="9.140625" style="8"/>
  </cols>
  <sheetData>
    <row r="1" spans="1:6" ht="15.75" x14ac:dyDescent="0.2">
      <c r="A1" s="88" t="s">
        <v>120</v>
      </c>
      <c r="B1" s="88"/>
      <c r="C1" s="88"/>
      <c r="D1" s="88"/>
      <c r="E1" s="88"/>
    </row>
    <row r="2" spans="1:6" x14ac:dyDescent="0.2">
      <c r="A2" s="5" t="s">
        <v>0</v>
      </c>
      <c r="B2" s="5" t="s">
        <v>2</v>
      </c>
      <c r="C2" s="5" t="s">
        <v>4</v>
      </c>
      <c r="D2" s="5" t="s">
        <v>6</v>
      </c>
      <c r="E2" s="5" t="s">
        <v>8</v>
      </c>
    </row>
    <row r="3" spans="1:6" ht="63.75" x14ac:dyDescent="0.2">
      <c r="A3" s="5" t="s">
        <v>1</v>
      </c>
      <c r="B3" s="5" t="s">
        <v>3</v>
      </c>
      <c r="C3" s="5" t="s">
        <v>5</v>
      </c>
      <c r="D3" s="5" t="s">
        <v>7</v>
      </c>
      <c r="E3" s="5" t="s">
        <v>10</v>
      </c>
    </row>
    <row r="4" spans="1:6" ht="25.5" x14ac:dyDescent="0.2">
      <c r="A4" s="4" t="s">
        <v>121</v>
      </c>
      <c r="B4" s="5">
        <v>1</v>
      </c>
      <c r="C4" s="5">
        <v>1</v>
      </c>
      <c r="D4" s="5">
        <v>0</v>
      </c>
      <c r="E4" s="5">
        <f>B4*C4+D4</f>
        <v>1</v>
      </c>
    </row>
    <row r="5" spans="1:6" x14ac:dyDescent="0.2">
      <c r="A5" s="4" t="s">
        <v>122</v>
      </c>
      <c r="B5" s="5">
        <v>1</v>
      </c>
      <c r="C5" s="5">
        <v>1</v>
      </c>
      <c r="D5" s="5">
        <v>0</v>
      </c>
      <c r="E5" s="5">
        <f t="shared" ref="E5:E14" si="0">B5*C5+D5</f>
        <v>1</v>
      </c>
    </row>
    <row r="6" spans="1:6" x14ac:dyDescent="0.2">
      <c r="A6" s="4" t="s">
        <v>127</v>
      </c>
      <c r="B6" s="5">
        <v>1</v>
      </c>
      <c r="C6" s="5">
        <v>1</v>
      </c>
      <c r="D6" s="5">
        <v>0</v>
      </c>
      <c r="E6" s="5">
        <f t="shared" si="0"/>
        <v>1</v>
      </c>
    </row>
    <row r="7" spans="1:6" x14ac:dyDescent="0.2">
      <c r="A7" s="4" t="s">
        <v>128</v>
      </c>
      <c r="B7" s="5">
        <v>1</v>
      </c>
      <c r="C7" s="5">
        <v>1</v>
      </c>
      <c r="D7" s="5">
        <v>0</v>
      </c>
      <c r="E7" s="5">
        <f t="shared" si="0"/>
        <v>1</v>
      </c>
    </row>
    <row r="8" spans="1:6" x14ac:dyDescent="0.2">
      <c r="A8" s="4" t="s">
        <v>123</v>
      </c>
      <c r="B8" s="5">
        <v>1</v>
      </c>
      <c r="C8" s="5">
        <v>1</v>
      </c>
      <c r="D8" s="5">
        <v>0</v>
      </c>
      <c r="E8" s="5">
        <f t="shared" si="0"/>
        <v>1</v>
      </c>
    </row>
    <row r="9" spans="1:6" ht="25.5" x14ac:dyDescent="0.2">
      <c r="A9" s="4" t="s">
        <v>124</v>
      </c>
      <c r="B9" s="5">
        <v>1</v>
      </c>
      <c r="C9" s="5">
        <v>1</v>
      </c>
      <c r="D9" s="5">
        <v>0</v>
      </c>
      <c r="E9" s="5">
        <f t="shared" si="0"/>
        <v>1</v>
      </c>
    </row>
    <row r="10" spans="1:6" x14ac:dyDescent="0.2">
      <c r="A10" s="4" t="s">
        <v>125</v>
      </c>
      <c r="B10" s="5">
        <v>1</v>
      </c>
      <c r="C10" s="5">
        <v>1</v>
      </c>
      <c r="D10" s="5">
        <v>0</v>
      </c>
      <c r="E10" s="5">
        <f t="shared" si="0"/>
        <v>1</v>
      </c>
    </row>
    <row r="11" spans="1:6" ht="15.75" x14ac:dyDescent="0.2">
      <c r="A11" s="4" t="s">
        <v>129</v>
      </c>
      <c r="B11" s="5">
        <v>10</v>
      </c>
      <c r="C11" s="5">
        <v>1</v>
      </c>
      <c r="D11" s="5">
        <v>0</v>
      </c>
      <c r="E11" s="5">
        <f t="shared" si="0"/>
        <v>10</v>
      </c>
    </row>
    <row r="12" spans="1:6" ht="28.5" x14ac:dyDescent="0.2">
      <c r="A12" s="4" t="s">
        <v>130</v>
      </c>
      <c r="B12" s="5">
        <v>1</v>
      </c>
      <c r="C12" s="5">
        <v>2</v>
      </c>
      <c r="D12" s="5">
        <v>0</v>
      </c>
      <c r="E12" s="5">
        <f t="shared" si="0"/>
        <v>2</v>
      </c>
    </row>
    <row r="13" spans="1:6" ht="28.5" x14ac:dyDescent="0.2">
      <c r="A13" s="4" t="s">
        <v>131</v>
      </c>
      <c r="B13" s="5">
        <v>1</v>
      </c>
      <c r="C13" s="5">
        <v>2</v>
      </c>
      <c r="D13" s="5">
        <v>0</v>
      </c>
      <c r="E13" s="5">
        <f t="shared" si="0"/>
        <v>2</v>
      </c>
    </row>
    <row r="14" spans="1:6" ht="28.5" x14ac:dyDescent="0.2">
      <c r="A14" s="4" t="s">
        <v>190</v>
      </c>
      <c r="B14" s="5">
        <v>1.1000000000000001</v>
      </c>
      <c r="C14" s="5">
        <v>2</v>
      </c>
      <c r="D14" s="5">
        <v>0</v>
      </c>
      <c r="E14" s="5">
        <f t="shared" si="0"/>
        <v>2.2000000000000002</v>
      </c>
    </row>
    <row r="15" spans="1:6" x14ac:dyDescent="0.2">
      <c r="A15" s="19"/>
      <c r="B15" s="19"/>
      <c r="C15" s="19"/>
      <c r="D15" s="28" t="s">
        <v>9</v>
      </c>
      <c r="E15" s="29">
        <f>SUM(E4:E14)</f>
        <v>23.2</v>
      </c>
      <c r="F15" s="32"/>
    </row>
    <row r="16" spans="1:6" ht="15.75" x14ac:dyDescent="0.2">
      <c r="A16" s="30" t="s">
        <v>173</v>
      </c>
      <c r="F16" s="32"/>
    </row>
    <row r="17" spans="1:6" ht="15.75" x14ac:dyDescent="0.2">
      <c r="A17" s="31" t="s">
        <v>191</v>
      </c>
    </row>
    <row r="18" spans="1:6" ht="15.75" x14ac:dyDescent="0.2">
      <c r="A18" s="31" t="s">
        <v>192</v>
      </c>
    </row>
    <row r="19" spans="1:6" ht="15.75" x14ac:dyDescent="0.2">
      <c r="A19" s="31"/>
    </row>
    <row r="21" spans="1:6" ht="15.75" x14ac:dyDescent="0.2">
      <c r="A21" s="88" t="s">
        <v>3</v>
      </c>
      <c r="B21" s="88"/>
      <c r="C21" s="88"/>
      <c r="D21" s="88"/>
      <c r="E21" s="88"/>
      <c r="F21" s="88"/>
    </row>
    <row r="22" spans="1:6" ht="38.25" x14ac:dyDescent="0.2">
      <c r="A22" s="10"/>
      <c r="B22" s="89" t="s">
        <v>11</v>
      </c>
      <c r="C22" s="89"/>
      <c r="D22" s="4" t="s">
        <v>12</v>
      </c>
      <c r="E22" s="89"/>
      <c r="F22" s="89"/>
    </row>
    <row r="23" spans="1:6" x14ac:dyDescent="0.2">
      <c r="A23" s="4"/>
      <c r="B23" s="5" t="s">
        <v>0</v>
      </c>
      <c r="C23" s="5" t="s">
        <v>2</v>
      </c>
      <c r="D23" s="5" t="s">
        <v>4</v>
      </c>
      <c r="E23" s="5" t="s">
        <v>6</v>
      </c>
      <c r="F23" s="5" t="s">
        <v>8</v>
      </c>
    </row>
    <row r="24" spans="1:6" ht="66" customHeight="1" x14ac:dyDescent="0.2">
      <c r="A24" s="5" t="s">
        <v>13</v>
      </c>
      <c r="B24" s="5" t="s">
        <v>14</v>
      </c>
      <c r="C24" s="5" t="s">
        <v>15</v>
      </c>
      <c r="D24" s="5" t="s">
        <v>16</v>
      </c>
      <c r="E24" s="5" t="s">
        <v>17</v>
      </c>
      <c r="F24" s="5" t="s">
        <v>19</v>
      </c>
    </row>
    <row r="25" spans="1:6" x14ac:dyDescent="0.2">
      <c r="A25" s="5">
        <v>1</v>
      </c>
      <c r="B25" s="5">
        <v>1</v>
      </c>
      <c r="C25" s="5">
        <v>9</v>
      </c>
      <c r="D25" s="5">
        <v>0</v>
      </c>
      <c r="E25" s="5">
        <v>0</v>
      </c>
      <c r="F25" s="5">
        <f>B25+C25+D25-E25</f>
        <v>10</v>
      </c>
    </row>
    <row r="26" spans="1:6" x14ac:dyDescent="0.2">
      <c r="A26" s="5">
        <v>2</v>
      </c>
      <c r="B26" s="5">
        <v>1</v>
      </c>
      <c r="C26" s="5">
        <f>C25+B25</f>
        <v>10</v>
      </c>
      <c r="D26" s="5">
        <v>0</v>
      </c>
      <c r="E26" s="5">
        <v>0</v>
      </c>
      <c r="F26" s="5">
        <f t="shared" ref="F26:F27" si="1">B26+C26+D26-E26</f>
        <v>11</v>
      </c>
    </row>
    <row r="27" spans="1:6" x14ac:dyDescent="0.2">
      <c r="A27" s="5">
        <v>3</v>
      </c>
      <c r="B27" s="5">
        <v>1</v>
      </c>
      <c r="C27" s="5">
        <f>C26+B26</f>
        <v>11</v>
      </c>
      <c r="D27" s="5">
        <v>0</v>
      </c>
      <c r="E27" s="5">
        <v>0</v>
      </c>
      <c r="F27" s="5">
        <f t="shared" si="1"/>
        <v>12</v>
      </c>
    </row>
    <row r="28" spans="1:6" x14ac:dyDescent="0.2">
      <c r="A28" s="5" t="s">
        <v>18</v>
      </c>
      <c r="B28" s="5">
        <v>1</v>
      </c>
      <c r="C28" s="5">
        <f>AVERAGE(C25:C27)</f>
        <v>10</v>
      </c>
      <c r="D28" s="5">
        <v>0</v>
      </c>
      <c r="E28" s="5">
        <v>0</v>
      </c>
      <c r="F28" s="5">
        <f>AVERAGE(F25:F27)</f>
        <v>11</v>
      </c>
    </row>
    <row r="29" spans="1:6" x14ac:dyDescent="0.2">
      <c r="A29" s="3" t="s">
        <v>20</v>
      </c>
    </row>
    <row r="33" spans="1:11" ht="15.75" x14ac:dyDescent="0.2">
      <c r="A33" s="88" t="s">
        <v>132</v>
      </c>
      <c r="B33" s="88"/>
      <c r="C33" s="88"/>
      <c r="D33" s="88"/>
      <c r="E33" s="88"/>
      <c r="F33" s="88"/>
      <c r="G33" s="88"/>
      <c r="K33" s="3"/>
    </row>
    <row r="34" spans="1:11" x14ac:dyDescent="0.2">
      <c r="A34" s="5" t="s">
        <v>0</v>
      </c>
      <c r="B34" s="5" t="s">
        <v>2</v>
      </c>
      <c r="C34" s="5" t="s">
        <v>4</v>
      </c>
      <c r="D34" s="5" t="s">
        <v>6</v>
      </c>
      <c r="E34" s="5" t="s">
        <v>8</v>
      </c>
      <c r="F34" s="5" t="s">
        <v>24</v>
      </c>
      <c r="G34" s="5" t="s">
        <v>26</v>
      </c>
    </row>
    <row r="35" spans="1:11" ht="38.25" x14ac:dyDescent="0.2">
      <c r="A35" s="5" t="s">
        <v>21</v>
      </c>
      <c r="B35" s="5" t="s">
        <v>126</v>
      </c>
      <c r="C35" s="5" t="s">
        <v>22</v>
      </c>
      <c r="D35" s="5" t="s">
        <v>23</v>
      </c>
      <c r="E35" s="5" t="s">
        <v>62</v>
      </c>
      <c r="F35" s="5" t="s">
        <v>25</v>
      </c>
      <c r="G35" s="5" t="s">
        <v>27</v>
      </c>
    </row>
    <row r="36" spans="1:11" x14ac:dyDescent="0.2">
      <c r="A36" s="4" t="s">
        <v>63</v>
      </c>
      <c r="B36" s="13">
        <v>3500</v>
      </c>
      <c r="C36" s="5">
        <f>B28</f>
        <v>1</v>
      </c>
      <c r="D36" s="13">
        <f>B36*C36</f>
        <v>3500</v>
      </c>
      <c r="E36" s="13">
        <v>9700</v>
      </c>
      <c r="F36" s="5">
        <v>10</v>
      </c>
      <c r="G36" s="13">
        <f>E36*F36</f>
        <v>97000</v>
      </c>
    </row>
    <row r="37" spans="1:11" x14ac:dyDescent="0.2">
      <c r="A37" s="4" t="s">
        <v>64</v>
      </c>
      <c r="B37" s="13">
        <v>12600</v>
      </c>
      <c r="C37" s="5">
        <f>B28</f>
        <v>1</v>
      </c>
      <c r="D37" s="13">
        <f t="shared" ref="D37:D39" si="2">B37*C37</f>
        <v>12600</v>
      </c>
      <c r="E37" s="13">
        <v>41400</v>
      </c>
      <c r="F37" s="5">
        <v>10</v>
      </c>
      <c r="G37" s="13">
        <f>E37*F37</f>
        <v>414000</v>
      </c>
    </row>
    <row r="38" spans="1:11" x14ac:dyDescent="0.2">
      <c r="A38" s="4" t="s">
        <v>65</v>
      </c>
      <c r="B38" s="13">
        <v>0</v>
      </c>
      <c r="C38" s="5">
        <f>B28</f>
        <v>1</v>
      </c>
      <c r="D38" s="13">
        <f t="shared" si="2"/>
        <v>0</v>
      </c>
      <c r="E38" s="13">
        <v>4200</v>
      </c>
      <c r="F38" s="5">
        <v>10</v>
      </c>
      <c r="G38" s="13">
        <f>E38*F38</f>
        <v>42000</v>
      </c>
    </row>
    <row r="39" spans="1:11" x14ac:dyDescent="0.2">
      <c r="A39" s="4" t="s">
        <v>66</v>
      </c>
      <c r="B39" s="13">
        <v>55000</v>
      </c>
      <c r="C39" s="5">
        <f>B28</f>
        <v>1</v>
      </c>
      <c r="D39" s="13">
        <f t="shared" si="2"/>
        <v>55000</v>
      </c>
      <c r="E39" s="13">
        <v>14533</v>
      </c>
      <c r="F39" s="5">
        <v>10</v>
      </c>
      <c r="G39" s="13">
        <f>E39*F39</f>
        <v>145330</v>
      </c>
    </row>
    <row r="40" spans="1:11" x14ac:dyDescent="0.2">
      <c r="A40" s="36" t="s">
        <v>171</v>
      </c>
      <c r="B40" s="68">
        <v>7.5</v>
      </c>
      <c r="C40" s="52">
        <v>1</v>
      </c>
      <c r="D40" s="69">
        <f>B40*C40</f>
        <v>7.5</v>
      </c>
      <c r="E40" s="68">
        <v>7.5</v>
      </c>
      <c r="F40" s="52">
        <v>10</v>
      </c>
      <c r="G40" s="13">
        <f t="shared" ref="G40:G41" si="3">E40*F40</f>
        <v>75</v>
      </c>
    </row>
    <row r="41" spans="1:11" x14ac:dyDescent="0.2">
      <c r="A41" s="36" t="s">
        <v>172</v>
      </c>
      <c r="B41" s="69">
        <v>0</v>
      </c>
      <c r="C41" s="52">
        <v>0</v>
      </c>
      <c r="D41" s="69">
        <f>B41*C41</f>
        <v>0</v>
      </c>
      <c r="E41" s="69">
        <v>15</v>
      </c>
      <c r="F41" s="52">
        <v>1</v>
      </c>
      <c r="G41" s="13">
        <f t="shared" si="3"/>
        <v>15</v>
      </c>
    </row>
    <row r="42" spans="1:11" ht="15.75" x14ac:dyDescent="0.2">
      <c r="A42" s="4"/>
      <c r="B42" s="4"/>
      <c r="C42" s="14" t="s">
        <v>61</v>
      </c>
      <c r="D42" s="7">
        <f>ROUND(SUM(D36:D41),-2)</f>
        <v>71100</v>
      </c>
      <c r="E42" s="14"/>
      <c r="F42" s="14" t="s">
        <v>157</v>
      </c>
      <c r="G42" s="7">
        <f>ROUND(SUM(G36:G41),-3)</f>
        <v>698000</v>
      </c>
      <c r="I42" s="32">
        <f>ROUND(D42+G42,-3)</f>
        <v>769000</v>
      </c>
    </row>
    <row r="43" spans="1:11" ht="15.75" x14ac:dyDescent="0.2">
      <c r="A43" s="6" t="s">
        <v>158</v>
      </c>
    </row>
    <row r="46" spans="1:11" ht="15.75" x14ac:dyDescent="0.25">
      <c r="A46" s="87" t="s">
        <v>169</v>
      </c>
      <c r="B46" s="87"/>
      <c r="C46" s="87"/>
      <c r="D46" s="87"/>
      <c r="E46" s="87"/>
      <c r="F46" s="87"/>
      <c r="G46" s="87"/>
      <c r="H46" s="87"/>
      <c r="I46" s="87"/>
      <c r="J46" s="60"/>
    </row>
    <row r="47" spans="1:11" ht="15" x14ac:dyDescent="0.25">
      <c r="A47" s="17"/>
      <c r="B47" s="3"/>
      <c r="C47" s="3"/>
      <c r="D47" s="3"/>
      <c r="E47" s="3"/>
      <c r="F47" s="3"/>
      <c r="G47" s="3"/>
      <c r="H47" s="3"/>
      <c r="I47" s="60"/>
      <c r="J47" s="60"/>
    </row>
    <row r="48" spans="1:11" ht="39" thickBot="1" x14ac:dyDescent="0.25">
      <c r="A48" s="61" t="s">
        <v>3</v>
      </c>
      <c r="B48" s="61" t="s">
        <v>5</v>
      </c>
      <c r="C48" s="61" t="s">
        <v>161</v>
      </c>
      <c r="D48" s="61" t="s">
        <v>162</v>
      </c>
      <c r="E48" s="61" t="s">
        <v>163</v>
      </c>
      <c r="F48" s="61" t="s">
        <v>164</v>
      </c>
      <c r="G48" s="61" t="s">
        <v>165</v>
      </c>
      <c r="H48" s="61" t="s">
        <v>166</v>
      </c>
      <c r="I48" s="61" t="s">
        <v>167</v>
      </c>
    </row>
    <row r="49" spans="1:9" ht="13.5" thickTop="1" x14ac:dyDescent="0.2">
      <c r="A49" s="62">
        <f>'Table 1'!E11</f>
        <v>10</v>
      </c>
      <c r="B49" s="63">
        <f>E15</f>
        <v>23.2</v>
      </c>
      <c r="C49" s="62">
        <f>SUM('Table 1'!F8:H43)</f>
        <v>1612.8366666666664</v>
      </c>
      <c r="D49" s="62">
        <f>SUM('Table 1'!F45:H63)</f>
        <v>85.732499999999987</v>
      </c>
      <c r="E49" s="62">
        <f>ROUND(C49+D49,-1)</f>
        <v>1700</v>
      </c>
      <c r="F49" s="64">
        <f>'Table 1'!I65</f>
        <v>197000</v>
      </c>
      <c r="G49" s="64">
        <f>I42</f>
        <v>769000</v>
      </c>
      <c r="H49" s="64">
        <f>ROUND(F49+G49,-4)</f>
        <v>970000</v>
      </c>
      <c r="I49" s="62">
        <f>E49/B49</f>
        <v>73.275862068965523</v>
      </c>
    </row>
  </sheetData>
  <mergeCells count="6">
    <mergeCell ref="A46:I46"/>
    <mergeCell ref="A1:E1"/>
    <mergeCell ref="A21:F21"/>
    <mergeCell ref="B22:C22"/>
    <mergeCell ref="E22:F22"/>
    <mergeCell ref="A33:G33"/>
  </mergeCells>
  <phoneticPr fontId="8"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804992087E664C80213BBECC87D7C5" ma:contentTypeVersion="36" ma:contentTypeDescription="Create a new document." ma:contentTypeScope="" ma:versionID="e2639bbbb30a5e8a5e9fedbedbfe4134">
  <xsd:schema xmlns:xsd="http://www.w3.org/2001/XMLSchema" xmlns:xs="http://www.w3.org/2001/XMLSchema" xmlns:p="http://schemas.microsoft.com/office/2006/metadata/properties" xmlns:ns1="http://schemas.microsoft.com/sharepoint/v3" xmlns:ns3="4ffa91fb-a0ff-4ac5-b2db-65c790d184a4" xmlns:ns4="http://schemas.microsoft.com/sharepoint.v3" xmlns:ns5="http://schemas.microsoft.com/sharepoint/v3/fields" xmlns:ns6="80377dfa-2fcc-4c15-9433-ebfcd06defd6" xmlns:ns7="0a649cfe-4b5c-4768-8616-91f3c5fa8351" targetNamespace="http://schemas.microsoft.com/office/2006/metadata/properties" ma:root="true" ma:fieldsID="88fa74547581242d5b740bb33b8839be" ns1:_="" ns3:_="" ns4:_="" ns5:_="" ns6:_="" ns7:_="">
    <xsd:import namespace="http://schemas.microsoft.com/sharepoint/v3"/>
    <xsd:import namespace="4ffa91fb-a0ff-4ac5-b2db-65c790d184a4"/>
    <xsd:import namespace="http://schemas.microsoft.com/sharepoint.v3"/>
    <xsd:import namespace="http://schemas.microsoft.com/sharepoint/v3/fields"/>
    <xsd:import namespace="80377dfa-2fcc-4c15-9433-ebfcd06defd6"/>
    <xsd:import namespace="0a649cfe-4b5c-4768-8616-91f3c5fa8351"/>
    <xsd:element name="properties">
      <xsd:complexType>
        <xsd:sequence>
          <xsd:element name="documentManagement">
            <xsd:complexType>
              <xsd:all>
                <xsd:element ref="ns3:Document_x0020_Creation_x0020_Date" minOccurs="0"/>
                <xsd:element ref="ns3:Creator" minOccurs="0"/>
                <xsd:element ref="ns3:EPA_x0020_Office" minOccurs="0"/>
                <xsd:element ref="ns3:Record" minOccurs="0"/>
                <xsd:element ref="ns4:CategoryDescription" minOccurs="0"/>
                <xsd:element ref="ns3:Identifier" minOccurs="0"/>
                <xsd:element ref="ns3:EPA_x0020_Contributor" minOccurs="0"/>
                <xsd:element ref="ns3:External_x0020_Contributor" minOccurs="0"/>
                <xsd:element ref="ns5:_Coverage" minOccurs="0"/>
                <xsd:element ref="ns3:EPA_x0020_Related_x0020_Documents" minOccurs="0"/>
                <xsd:element ref="ns5:_Source" minOccurs="0"/>
                <xsd:element ref="ns3:Rights" minOccurs="0"/>
                <xsd:element ref="ns1:Language" minOccurs="0"/>
                <xsd:element ref="ns3:j747ac98061d40f0aa7bd47e1db5675d" minOccurs="0"/>
                <xsd:element ref="ns3:TaxKeywordTaxHTField" minOccurs="0"/>
                <xsd:element ref="ns3:TaxCatchAllLabel" minOccurs="0"/>
                <xsd:element ref="ns3:TaxCatchAll" minOccurs="0"/>
                <xsd:element ref="ns6:MediaServiceMetadata" minOccurs="0"/>
                <xsd:element ref="ns6:MediaServiceFastMetadata" minOccurs="0"/>
                <xsd:element ref="ns7:SharedWithUsers" minOccurs="0"/>
                <xsd:element ref="ns7:SharedWithDetails" minOccurs="0"/>
                <xsd:element ref="ns7:SharingHintHash" minOccurs="0"/>
                <xsd:element ref="ns7:Records_x0020_Status" minOccurs="0"/>
                <xsd:element ref="ns7:Records_x0020_Date" minOccurs="0"/>
                <xsd:element ref="ns6:MediaServiceAutoKeyPoints" minOccurs="0"/>
                <xsd:element ref="ns6:MediaServiceKeyPoints" minOccurs="0"/>
                <xsd:element ref="ns6:MediaServiceAutoTags" minOccurs="0"/>
                <xsd:element ref="ns6:MediaServiceGenerationTime" minOccurs="0"/>
                <xsd:element ref="ns6:MediaServiceEventHashCode" minOccurs="0"/>
                <xsd:element ref="ns6:MediaServiceOCR" minOccurs="0"/>
                <xsd:element ref="ns6: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43a3f819-d1f1-4d52-8826-84fa7c6c0225}" ma:internalName="TaxCatchAllLabel" ma:readOnly="true" ma:showField="CatchAllDataLabel" ma:web="0a649cfe-4b5c-4768-8616-91f3c5fa835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43a3f819-d1f1-4d52-8826-84fa7c6c0225}" ma:internalName="TaxCatchAll" ma:showField="CatchAllData" ma:web="0a649cfe-4b5c-4768-8616-91f3c5fa835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377dfa-2fcc-4c15-9433-ebfcd06defd6"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AutoTags" ma:index="37" nillable="true" ma:displayName="Tags" ma:internalName="MediaServiceAutoTags" ma:readOnly="true">
      <xsd:simpleType>
        <xsd:restriction base="dms:Text"/>
      </xsd:simpleType>
    </xsd:element>
    <xsd:element name="MediaServiceGenerationTime" ma:index="38" nillable="true" ma:displayName="MediaServiceGenerationTime" ma:hidden="true" ma:internalName="MediaServiceGenerationTime" ma:readOnly="true">
      <xsd:simpleType>
        <xsd:restriction base="dms:Text"/>
      </xsd:simpleType>
    </xsd:element>
    <xsd:element name="MediaServiceEventHashCode" ma:index="39" nillable="true" ma:displayName="MediaServiceEventHashCode" ma:hidden="true" ma:internalName="MediaServiceEventHashCode" ma:readOnly="true">
      <xsd:simpleType>
        <xsd:restriction base="dms:Text"/>
      </xsd:simpleType>
    </xsd:element>
    <xsd:element name="MediaServiceOCR" ma:index="40" nillable="true" ma:displayName="Extracted Text" ma:internalName="MediaServiceOCR"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a649cfe-4b5c-4768-8616-91f3c5fa835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element name="SharingHintHash" ma:index="32" nillable="true" ma:displayName="Sharing Hint Hash" ma:hidden="true" ma:internalName="SharingHintHash" ma:readOnly="true">
      <xsd:simpleType>
        <xsd:restriction base="dms:Text"/>
      </xsd:simpleType>
    </xsd:element>
    <xsd:element name="Records_x0020_Status" ma:index="33" nillable="true" ma:displayName="Records Status" ma:default="Pending" ma:internalName="Records_x0020_Status">
      <xsd:simpleType>
        <xsd:restriction base="dms:Text"/>
      </xsd:simpleType>
    </xsd:element>
    <xsd:element name="Records_x0020_Date" ma:index="34" nillable="true" ma:displayName="Records Date" ma:hidden="true" ma:internalName="Records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Records_x0020_Date xmlns="0a649cfe-4b5c-4768-8616-91f3c5fa8351"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2020-06-23T14:24:59+00:00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Records_x0020_Status xmlns="0a649cfe-4b5c-4768-8616-91f3c5fa8351">Pending</Records_x0020_Status>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8BE8B55F-A4EE-4EAA-86A6-83C52A34D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80377dfa-2fcc-4c15-9433-ebfcd06defd6"/>
    <ds:schemaRef ds:uri="0a649cfe-4b5c-4768-8616-91f3c5fa83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E0BC43-AAFF-4459-83AD-C7A338406C57}">
  <ds:schemaRefs>
    <ds:schemaRef ds:uri="Microsoft.SharePoint.Taxonomy.ContentTypeSync"/>
  </ds:schemaRefs>
</ds:datastoreItem>
</file>

<file path=customXml/itemProps3.xml><?xml version="1.0" encoding="utf-8"?>
<ds:datastoreItem xmlns:ds="http://schemas.openxmlformats.org/officeDocument/2006/customXml" ds:itemID="{ADCF3978-BC6C-49F1-89F3-BB58BF53D097}">
  <ds:schemaRefs>
    <ds:schemaRef ds:uri="http://schemas.microsoft.com/sharepoint/v3/contenttype/forms"/>
  </ds:schemaRefs>
</ds:datastoreItem>
</file>

<file path=customXml/itemProps4.xml><?xml version="1.0" encoding="utf-8"?>
<ds:datastoreItem xmlns:ds="http://schemas.openxmlformats.org/officeDocument/2006/customXml" ds:itemID="{D2ED8918-7AE1-469A-AACA-D4083EE31E7D}">
  <ds:schemaRefs>
    <ds:schemaRef ds:uri="http://schemas.microsoft.com/sharepoint/v3"/>
    <ds:schemaRef ds:uri="http://schemas.microsoft.com/office/infopath/2007/PartnerControls"/>
    <ds:schemaRef ds:uri="http://purl.org/dc/terms/"/>
    <ds:schemaRef ds:uri="http://schemas.openxmlformats.org/package/2006/metadata/core-properties"/>
    <ds:schemaRef ds:uri="0a649cfe-4b5c-4768-8616-91f3c5fa8351"/>
    <ds:schemaRef ds:uri="http://schemas.microsoft.com/office/2006/documentManagement/types"/>
    <ds:schemaRef ds:uri="80377dfa-2fcc-4c15-9433-ebfcd06defd6"/>
    <ds:schemaRef ds:uri="http://schemas.microsoft.com/sharepoint/v3/fields"/>
    <ds:schemaRef ds:uri="http://schemas.microsoft.com/sharepoint.v3"/>
    <ds:schemaRef ds:uri="http://purl.org/dc/elements/1.1/"/>
    <ds:schemaRef ds:uri="http://schemas.microsoft.com/office/2006/metadata/properties"/>
    <ds:schemaRef ds:uri="4ffa91fb-a0ff-4ac5-b2db-65c790d184a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Treimel</dc:creator>
  <cp:lastModifiedBy>Wrigley, William</cp:lastModifiedBy>
  <dcterms:created xsi:type="dcterms:W3CDTF">2019-06-27T19:36:56Z</dcterms:created>
  <dcterms:modified xsi:type="dcterms:W3CDTF">2020-06-23T14:26:07Z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0x01010007804992087E664C80213BBECC87D7C5</vt:lpwstr>
  </property>
</Properties>
</file>