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Dsalahud\Documents\"/>
    </mc:Choice>
  </mc:AlternateContent>
  <xr:revisionPtr revIDLastSave="0" documentId="8_{4AFF07F2-0967-49C7-879F-265E6611223C}" xr6:coauthVersionLast="45" xr6:coauthVersionMax="45" xr10:uidLastSave="{00000000-0000-0000-0000-000000000000}"/>
  <bookViews>
    <workbookView xWindow="-110" yWindow="-110" windowWidth="19420" windowHeight="10420" activeTab="2" xr2:uid="{00000000-000D-0000-FFFF-FFFF00000000}"/>
  </bookViews>
  <sheets>
    <sheet name="Respondents" sheetId="1" r:id="rId1"/>
    <sheet name="Agency" sheetId="2" r:id="rId2"/>
    <sheet name="Capital and O&amp;M" sheetId="4" r:id="rId3"/>
    <sheet name="Stack testing"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4" l="1"/>
  <c r="G5" i="4" s="1"/>
  <c r="B5" i="4"/>
  <c r="D5" i="4" s="1"/>
  <c r="F20" i="5"/>
  <c r="E12" i="5"/>
  <c r="F12" i="5" s="1"/>
  <c r="E16" i="5"/>
  <c r="F16" i="5" s="1"/>
  <c r="D18" i="5"/>
  <c r="E18" i="5" s="1"/>
  <c r="F18" i="5" s="1"/>
  <c r="D17" i="5"/>
  <c r="E17" i="5" s="1"/>
  <c r="F17" i="5" s="1"/>
  <c r="D16" i="5"/>
  <c r="D15" i="5"/>
  <c r="D14" i="5"/>
  <c r="E14" i="5" s="1"/>
  <c r="F14" i="5" s="1"/>
  <c r="D13" i="5"/>
  <c r="E13" i="5" s="1"/>
  <c r="F13" i="5" s="1"/>
  <c r="D12" i="5"/>
  <c r="D11" i="5"/>
  <c r="D19" i="5" s="1"/>
  <c r="G25" i="5" l="1"/>
  <c r="E11" i="5"/>
  <c r="E15" i="5"/>
  <c r="F15" i="5" s="1"/>
  <c r="E38" i="4"/>
  <c r="K55" i="1"/>
  <c r="F11" i="5" l="1"/>
  <c r="F19" i="5" s="1"/>
  <c r="F21" i="5" s="1"/>
  <c r="B6" i="4" s="1"/>
  <c r="E19" i="5"/>
  <c r="E21" i="5" s="1"/>
  <c r="E12" i="2"/>
  <c r="E11" i="2"/>
  <c r="E29" i="1" l="1"/>
  <c r="E28" i="1"/>
  <c r="E27" i="1"/>
  <c r="E26" i="1"/>
  <c r="E25" i="1"/>
  <c r="E20" i="1"/>
  <c r="E16" i="1"/>
  <c r="E15" i="1"/>
  <c r="E12" i="1"/>
  <c r="D9" i="1" l="1"/>
  <c r="F9" i="1" s="1"/>
  <c r="D10" i="1"/>
  <c r="G9" i="1" l="1"/>
  <c r="H9" i="1"/>
  <c r="E29" i="4"/>
  <c r="E30" i="4"/>
  <c r="E31" i="4"/>
  <c r="E32" i="4"/>
  <c r="E33" i="4"/>
  <c r="C36" i="4"/>
  <c r="F19" i="4"/>
  <c r="F20" i="4"/>
  <c r="F21" i="4"/>
  <c r="B22" i="4"/>
  <c r="C22" i="4"/>
  <c r="E10" i="1" s="1"/>
  <c r="D22" i="4"/>
  <c r="E22" i="4"/>
  <c r="E46" i="1" l="1"/>
  <c r="E45" i="1"/>
  <c r="E48" i="1"/>
  <c r="E44" i="1"/>
  <c r="E43" i="1"/>
  <c r="E49" i="1"/>
  <c r="E47" i="1"/>
  <c r="E21" i="1"/>
  <c r="E33" i="1"/>
  <c r="E32" i="1"/>
  <c r="E31" i="1"/>
  <c r="B35" i="4" s="1"/>
  <c r="E35" i="4" s="1"/>
  <c r="E17" i="1"/>
  <c r="E6" i="2"/>
  <c r="E30" i="1"/>
  <c r="E19" i="1"/>
  <c r="E13" i="1"/>
  <c r="F10" i="1"/>
  <c r="H10" i="1" s="1"/>
  <c r="I9" i="1"/>
  <c r="G10" i="1"/>
  <c r="I10" i="1" s="1"/>
  <c r="F22" i="4"/>
  <c r="B37" i="4" l="1"/>
  <c r="E37" i="4" s="1"/>
  <c r="B34" i="4"/>
  <c r="E34" i="4" s="1"/>
  <c r="F6" i="4"/>
  <c r="E6" i="4"/>
  <c r="G6" i="4" s="1"/>
  <c r="G8" i="4" s="1"/>
  <c r="C14" i="2"/>
  <c r="E16" i="2" l="1"/>
  <c r="E13" i="2"/>
  <c r="B36" i="4"/>
  <c r="E36" i="4" s="1"/>
  <c r="D6" i="2"/>
  <c r="D7" i="2"/>
  <c r="F7" i="2" s="1"/>
  <c r="G7" i="2" s="1"/>
  <c r="D11" i="2"/>
  <c r="F11" i="2" s="1"/>
  <c r="D12" i="2"/>
  <c r="F12" i="2" s="1"/>
  <c r="D13" i="2"/>
  <c r="D14" i="2"/>
  <c r="D15" i="2"/>
  <c r="D16" i="2"/>
  <c r="D7" i="4"/>
  <c r="D6" i="4"/>
  <c r="F12" i="1"/>
  <c r="G12" i="1" s="1"/>
  <c r="D12" i="1"/>
  <c r="D13" i="1"/>
  <c r="D15" i="1"/>
  <c r="F15" i="1" s="1"/>
  <c r="D16" i="1"/>
  <c r="F16" i="1" s="1"/>
  <c r="D17" i="1"/>
  <c r="F17" i="1" s="1"/>
  <c r="H17" i="1" s="1"/>
  <c r="D19" i="1"/>
  <c r="F19" i="1" s="1"/>
  <c r="D20" i="1"/>
  <c r="F20" i="1" s="1"/>
  <c r="D21" i="1"/>
  <c r="F21" i="1" s="1"/>
  <c r="D25" i="1"/>
  <c r="F25" i="1" s="1"/>
  <c r="G25" i="1" s="1"/>
  <c r="D26" i="1"/>
  <c r="F26" i="1" s="1"/>
  <c r="G26" i="1" s="1"/>
  <c r="D27" i="1"/>
  <c r="F27" i="1" s="1"/>
  <c r="D28" i="1"/>
  <c r="F28" i="1" s="1"/>
  <c r="D29" i="1"/>
  <c r="F29" i="1" s="1"/>
  <c r="H29" i="1" s="1"/>
  <c r="D30" i="1"/>
  <c r="F30" i="1" s="1"/>
  <c r="D31" i="1"/>
  <c r="F31" i="1" s="1"/>
  <c r="D32" i="1"/>
  <c r="D33" i="1"/>
  <c r="F33" i="1" s="1"/>
  <c r="H33" i="1" s="1"/>
  <c r="D41" i="1"/>
  <c r="F41" i="1" s="1"/>
  <c r="D42" i="1"/>
  <c r="D43" i="1"/>
  <c r="D44" i="1"/>
  <c r="F44" i="1" s="1"/>
  <c r="D45" i="1"/>
  <c r="F45" i="1" s="1"/>
  <c r="G45" i="1" s="1"/>
  <c r="D46" i="1"/>
  <c r="F46" i="1" s="1"/>
  <c r="G46" i="1" s="1"/>
  <c r="D47" i="1"/>
  <c r="F47" i="1" s="1"/>
  <c r="D48" i="1"/>
  <c r="F48" i="1" s="1"/>
  <c r="H48" i="1" s="1"/>
  <c r="D49" i="1"/>
  <c r="F49" i="1" s="1"/>
  <c r="D8" i="4" l="1"/>
  <c r="H8" i="4" s="1"/>
  <c r="F13" i="1"/>
  <c r="G13" i="1" s="1"/>
  <c r="F43" i="1"/>
  <c r="G43" i="1" s="1"/>
  <c r="F6" i="2"/>
  <c r="G6" i="2" s="1"/>
  <c r="F13" i="2"/>
  <c r="G13" i="2" s="1"/>
  <c r="F16" i="2"/>
  <c r="G16" i="2" s="1"/>
  <c r="H41" i="1"/>
  <c r="F32" i="1"/>
  <c r="G32" i="1" s="1"/>
  <c r="G41" i="1"/>
  <c r="G28" i="1"/>
  <c r="H28" i="1"/>
  <c r="G27" i="1"/>
  <c r="H27" i="1"/>
  <c r="G11" i="2"/>
  <c r="H11" i="2"/>
  <c r="I11" i="2" s="1"/>
  <c r="G15" i="1"/>
  <c r="H15" i="1"/>
  <c r="G21" i="1"/>
  <c r="H21" i="1"/>
  <c r="G16" i="1"/>
  <c r="H16" i="1"/>
  <c r="G47" i="1"/>
  <c r="H47" i="1"/>
  <c r="H20" i="1"/>
  <c r="G20" i="1"/>
  <c r="G44" i="1"/>
  <c r="H44" i="1"/>
  <c r="H31" i="1"/>
  <c r="G31" i="1"/>
  <c r="G12" i="2"/>
  <c r="H12" i="2"/>
  <c r="G49" i="1"/>
  <c r="G19" i="1"/>
  <c r="H46" i="1"/>
  <c r="I46" i="1" s="1"/>
  <c r="G48" i="1"/>
  <c r="I48" i="1" s="1"/>
  <c r="G29" i="1"/>
  <c r="I29" i="1" s="1"/>
  <c r="G17" i="1"/>
  <c r="I17" i="1" s="1"/>
  <c r="H45" i="1"/>
  <c r="I45" i="1" s="1"/>
  <c r="H26" i="1"/>
  <c r="I26" i="1" s="1"/>
  <c r="H12" i="1"/>
  <c r="I12" i="1" s="1"/>
  <c r="H25" i="1"/>
  <c r="I25" i="1" s="1"/>
  <c r="E15" i="2"/>
  <c r="F15" i="2" s="1"/>
  <c r="H7" i="2"/>
  <c r="I7" i="2" s="1"/>
  <c r="H49" i="1"/>
  <c r="H19" i="1"/>
  <c r="E42" i="1"/>
  <c r="F42" i="1" s="1"/>
  <c r="E14" i="2"/>
  <c r="F14" i="2" s="1"/>
  <c r="G14" i="2" s="1"/>
  <c r="G33" i="1"/>
  <c r="I33" i="1" s="1"/>
  <c r="H30" i="1"/>
  <c r="G30" i="1"/>
  <c r="I54" i="1" l="1"/>
  <c r="H13" i="1"/>
  <c r="I13" i="1" s="1"/>
  <c r="G42" i="1"/>
  <c r="F52" i="1" s="1"/>
  <c r="I15" i="1"/>
  <c r="I16" i="1"/>
  <c r="I20" i="1"/>
  <c r="H13" i="2"/>
  <c r="I13" i="2" s="1"/>
  <c r="H43" i="1"/>
  <c r="I43" i="1" s="1"/>
  <c r="H16" i="2"/>
  <c r="I16" i="2" s="1"/>
  <c r="H6" i="2"/>
  <c r="I6" i="2" s="1"/>
  <c r="I49" i="1"/>
  <c r="I19" i="1"/>
  <c r="I27" i="1"/>
  <c r="I21" i="1"/>
  <c r="I41" i="1"/>
  <c r="I28" i="1"/>
  <c r="I12" i="2"/>
  <c r="H32" i="1"/>
  <c r="I32" i="1" s="1"/>
  <c r="I47" i="1"/>
  <c r="I44" i="1"/>
  <c r="I30" i="1"/>
  <c r="I31" i="1"/>
  <c r="H14" i="2"/>
  <c r="I14" i="2" s="1"/>
  <c r="G15" i="2"/>
  <c r="H15" i="2"/>
  <c r="H42" i="1"/>
  <c r="F34" i="1" l="1"/>
  <c r="F53" i="1" s="1"/>
  <c r="I34" i="1"/>
  <c r="I42" i="1"/>
  <c r="F17" i="2"/>
  <c r="I15" i="2"/>
  <c r="I17" i="2" s="1"/>
  <c r="I52" i="1" l="1"/>
  <c r="I53" i="1" s="1"/>
  <c r="I55" i="1" s="1"/>
</calcChain>
</file>

<file path=xl/sharedStrings.xml><?xml version="1.0" encoding="utf-8"?>
<sst xmlns="http://schemas.openxmlformats.org/spreadsheetml/2006/main" count="247" uniqueCount="212">
  <si>
    <t>Burden Item</t>
  </si>
  <si>
    <t>A</t>
  </si>
  <si>
    <t>B</t>
  </si>
  <si>
    <t>C</t>
  </si>
  <si>
    <t>D</t>
  </si>
  <si>
    <t>E</t>
  </si>
  <si>
    <t>F</t>
  </si>
  <si>
    <t>G</t>
  </si>
  <si>
    <t>H</t>
  </si>
  <si>
    <t>Technical person-hours 
per occurrence</t>
  </si>
  <si>
    <t>No. of occurrences per respondent 
per year</t>
  </si>
  <si>
    <t>Technical person-hours per respondent 
per year 
(AxB)</t>
  </si>
  <si>
    <r>
      <t xml:space="preserve">Respondents per year </t>
    </r>
    <r>
      <rPr>
        <b/>
        <vertAlign val="superscript"/>
        <sz val="10"/>
        <rFont val="Times New Roman"/>
        <family val="1"/>
      </rPr>
      <t>a</t>
    </r>
  </si>
  <si>
    <t>Management hours per year  
(Ex0.05)</t>
  </si>
  <si>
    <t>Clerical hours per year 
(Ex0.10)</t>
  </si>
  <si>
    <r>
      <t xml:space="preserve">Total cost per year </t>
    </r>
    <r>
      <rPr>
        <b/>
        <vertAlign val="superscript"/>
        <sz val="10"/>
        <rFont val="Times New Roman"/>
        <family val="1"/>
      </rPr>
      <t>b</t>
    </r>
    <r>
      <rPr>
        <b/>
        <sz val="10"/>
        <rFont val="Times New Roman"/>
        <family val="1"/>
      </rPr>
      <t xml:space="preserve"> </t>
    </r>
  </si>
  <si>
    <t>Technical hours per year 
(CxD)</t>
  </si>
  <si>
    <t>1. Applications</t>
  </si>
  <si>
    <t>2. Survey and Studies</t>
  </si>
  <si>
    <t>3. Reporting Requirements</t>
  </si>
  <si>
    <t xml:space="preserve">3) Operator  training and qualification      </t>
  </si>
  <si>
    <t>d) Initial review of site-specific information</t>
  </si>
  <si>
    <r>
      <t xml:space="preserve">1) Notification of construction (includes siting analysis) </t>
    </r>
    <r>
      <rPr>
        <vertAlign val="superscript"/>
        <sz val="10"/>
        <color theme="1"/>
        <rFont val="Times New Roman"/>
        <family val="1"/>
      </rPr>
      <t>c</t>
    </r>
  </si>
  <si>
    <r>
      <t xml:space="preserve">3) Notification of initial performance test </t>
    </r>
    <r>
      <rPr>
        <vertAlign val="superscript"/>
        <sz val="10"/>
        <color theme="1"/>
        <rFont val="Times New Roman"/>
        <family val="1"/>
      </rPr>
      <t>c</t>
    </r>
  </si>
  <si>
    <t>5) Initial Compliance Report</t>
  </si>
  <si>
    <t>6) Annual Compliance Report</t>
  </si>
  <si>
    <t>Subtotal for Reporting Requirements</t>
  </si>
  <si>
    <t xml:space="preserve">4.  Recordkeeping Requirements </t>
  </si>
  <si>
    <t>D.  Develop record system</t>
  </si>
  <si>
    <t>E.  Record Information</t>
  </si>
  <si>
    <t>1) Records of operating parameters</t>
  </si>
  <si>
    <t>3) Records of stack tests</t>
  </si>
  <si>
    <t>4) Records of siting analysis</t>
  </si>
  <si>
    <t>5) Records of persons who have reviewed operating procedures</t>
  </si>
  <si>
    <t>6) Records of persons who have completed operator training</t>
  </si>
  <si>
    <t>7) Records of persons who meet operator qualification criteria</t>
  </si>
  <si>
    <t>8) Records of monitoring device calibration</t>
  </si>
  <si>
    <t>9) Records of site-specific documentation</t>
  </si>
  <si>
    <t>F.  Time to train personnel</t>
  </si>
  <si>
    <t>G.  Time for audits</t>
  </si>
  <si>
    <t>Subtotal for Recordkeeping Requirements</t>
  </si>
  <si>
    <t>N/A</t>
  </si>
  <si>
    <t>See 3B</t>
  </si>
  <si>
    <t>See 3A</t>
  </si>
  <si>
    <t>See 3E</t>
  </si>
  <si>
    <t>Assumptions:</t>
  </si>
  <si>
    <t>(A)</t>
  </si>
  <si>
    <t>(B)</t>
  </si>
  <si>
    <t>(C)</t>
  </si>
  <si>
    <t>(D)</t>
  </si>
  <si>
    <t>(E)</t>
  </si>
  <si>
    <t>(F)</t>
  </si>
  <si>
    <t>(G)</t>
  </si>
  <si>
    <t>Item</t>
  </si>
  <si>
    <t>Capital/Startup Cost for One Respondent</t>
  </si>
  <si>
    <r>
      <t>Number of New Respondents</t>
    </r>
    <r>
      <rPr>
        <vertAlign val="superscript"/>
        <sz val="10"/>
        <color theme="1"/>
        <rFont val="Times New Roman"/>
        <family val="1"/>
      </rPr>
      <t>a</t>
    </r>
    <r>
      <rPr>
        <sz val="10"/>
        <color theme="1"/>
        <rFont val="Times New Roman"/>
        <family val="1"/>
      </rPr>
      <t xml:space="preserve"> </t>
    </r>
  </si>
  <si>
    <t>Annual O&amp;M Costs for One Respondent</t>
  </si>
  <si>
    <t>Number of Respondents  with O&amp;M</t>
  </si>
  <si>
    <t>Total O&amp;M, 
(E X F)</t>
  </si>
  <si>
    <r>
      <t xml:space="preserve">Stack testing </t>
    </r>
    <r>
      <rPr>
        <vertAlign val="superscript"/>
        <sz val="10"/>
        <color theme="1"/>
        <rFont val="Times New Roman"/>
        <family val="1"/>
      </rPr>
      <t>c</t>
    </r>
  </si>
  <si>
    <r>
      <t>Filing cabinet</t>
    </r>
    <r>
      <rPr>
        <vertAlign val="superscript"/>
        <sz val="10"/>
        <color theme="1"/>
        <rFont val="Times New Roman"/>
        <family val="1"/>
      </rPr>
      <t>d</t>
    </r>
  </si>
  <si>
    <t>Total</t>
  </si>
  <si>
    <t>Total Capital/Startup Cost,  
(B X C)</t>
  </si>
  <si>
    <t>Number of Respondents</t>
  </si>
  <si>
    <t>Respondents That Submit Reports</t>
  </si>
  <si>
    <t>Respondents That Do Not Submit Any Reports</t>
  </si>
  <si>
    <t>Year</t>
  </si>
  <si>
    <t>(C)
Number of Existing  Respondents that keep records but do not submit reports</t>
  </si>
  <si>
    <t>(D)
Number of Existing Respondents That Are Also New Respondents</t>
  </si>
  <si>
    <t>(E)
Number of Respondents (E=A+B+C-D)</t>
  </si>
  <si>
    <t>Average</t>
  </si>
  <si>
    <t>Total Annual Responses</t>
  </si>
  <si>
    <t>(A)
Information Collection Activity</t>
  </si>
  <si>
    <t xml:space="preserve">(B)
Average Number of Respondents  </t>
  </si>
  <si>
    <t>(C)
Number of Responses</t>
  </si>
  <si>
    <t>(D)
Number of Existing Respondents That Keep Records But Do Not Submit Reports</t>
  </si>
  <si>
    <t>(E)
Total Annual Responses
E=(BxC)+D</t>
  </si>
  <si>
    <t>Notification of Construction</t>
  </si>
  <si>
    <t>Notification of Start-up</t>
  </si>
  <si>
    <t>Notification of Initial Performance Test</t>
  </si>
  <si>
    <t>Notification of Initial CMS Demonstration</t>
  </si>
  <si>
    <t>Initial Compliance Report</t>
  </si>
  <si>
    <r>
      <t xml:space="preserve">Annual Compliance Report </t>
    </r>
    <r>
      <rPr>
        <vertAlign val="superscript"/>
        <sz val="9"/>
        <color rgb="FF000000"/>
        <rFont val="Times New Roman"/>
        <family val="1"/>
      </rPr>
      <t>a</t>
    </r>
  </si>
  <si>
    <r>
      <t xml:space="preserve">Status report for operators that are off-site for more than 2 weeks </t>
    </r>
    <r>
      <rPr>
        <vertAlign val="superscript"/>
        <sz val="9"/>
        <color theme="1"/>
        <rFont val="Times New Roman"/>
        <family val="1"/>
      </rPr>
      <t>b</t>
    </r>
  </si>
  <si>
    <r>
      <t xml:space="preserve">Corrective action summary for operators that are off-site for more than 2 weeks </t>
    </r>
    <r>
      <rPr>
        <vertAlign val="superscript"/>
        <sz val="9"/>
        <color theme="1"/>
        <rFont val="Times New Roman"/>
        <family val="1"/>
      </rPr>
      <t>b</t>
    </r>
  </si>
  <si>
    <t>1.  Applications</t>
  </si>
  <si>
    <r>
      <t xml:space="preserve">A. Observe stack tests </t>
    </r>
    <r>
      <rPr>
        <vertAlign val="superscript"/>
        <sz val="10"/>
        <color theme="1"/>
        <rFont val="Times New Roman"/>
        <family val="1"/>
      </rPr>
      <t>c</t>
    </r>
  </si>
  <si>
    <t>B. Excess emissions - Enforcement activities</t>
  </si>
  <si>
    <t>C. Create Information</t>
  </si>
  <si>
    <t>D. Gather Information</t>
  </si>
  <si>
    <t>E. Report Reviews</t>
  </si>
  <si>
    <r>
      <t xml:space="preserve">F. Prepare annual summary report </t>
    </r>
    <r>
      <rPr>
        <vertAlign val="superscript"/>
        <sz val="10"/>
        <color theme="1"/>
        <rFont val="Times New Roman"/>
        <family val="1"/>
      </rPr>
      <t>e</t>
    </r>
  </si>
  <si>
    <t>total</t>
  </si>
  <si>
    <r>
      <t xml:space="preserve">a </t>
    </r>
    <r>
      <rPr>
        <sz val="10"/>
        <color rgb="FF000000"/>
        <rFont val="Times New Roman"/>
        <family val="1"/>
      </rPr>
      <t xml:space="preserve"> </t>
    </r>
    <r>
      <rPr>
        <sz val="9"/>
        <color rgb="FF000000"/>
        <rFont val="Times New Roman"/>
        <family val="1"/>
      </rPr>
      <t xml:space="preserve">Facilities may test every three years if certain requirements are met, and it is assumed most facilities would meet the requirements. However, annual compliance reports must be submitted regardless of whether a performance test is conducted during the reporting period. </t>
    </r>
  </si>
  <si>
    <t>hr/response</t>
  </si>
  <si>
    <t>2019 Labor Rates</t>
  </si>
  <si>
    <t>Technical</t>
  </si>
  <si>
    <t>Management</t>
  </si>
  <si>
    <t>Clerical</t>
  </si>
  <si>
    <r>
      <t xml:space="preserve">b </t>
    </r>
    <r>
      <rPr>
        <sz val="9"/>
        <rFont val="Times New Roman"/>
        <family val="1"/>
      </rPr>
      <t xml:space="preserve">Assumed there are 7 existing facilities with 6 units each on average. Based on EPA's 2016 SSI Inventory. </t>
    </r>
  </si>
  <si>
    <r>
      <t>(A)
Number of New Respondents</t>
    </r>
    <r>
      <rPr>
        <vertAlign val="superscript"/>
        <sz val="10"/>
        <rFont val="Times New Roman"/>
        <family val="1"/>
      </rPr>
      <t>a</t>
    </r>
  </si>
  <si>
    <r>
      <t>(B)
Number of Existing Respondents</t>
    </r>
    <r>
      <rPr>
        <vertAlign val="superscript"/>
        <sz val="10"/>
        <rFont val="Times New Roman"/>
        <family val="1"/>
      </rPr>
      <t>b</t>
    </r>
  </si>
  <si>
    <t>Capital/Startup vs. Operation and Maintenance (O&amp;M) Costs</t>
  </si>
  <si>
    <t>Labor Rates</t>
  </si>
  <si>
    <r>
      <rPr>
        <vertAlign val="superscript"/>
        <sz val="10"/>
        <rFont val="Times New Roman"/>
        <family val="1"/>
      </rPr>
      <t>i</t>
    </r>
    <r>
      <rPr>
        <sz val="10"/>
        <rFont val="Times New Roman"/>
        <family val="1"/>
      </rPr>
      <t xml:space="preserve">  Totals are rounded to 3 significant figures. Figures may not add exactly due to rounding. </t>
    </r>
  </si>
  <si>
    <r>
      <rPr>
        <vertAlign val="superscript"/>
        <sz val="10"/>
        <rFont val="Times New Roman"/>
        <family val="1"/>
      </rPr>
      <t>f</t>
    </r>
    <r>
      <rPr>
        <sz val="10"/>
        <rFont val="Times New Roman"/>
        <family val="1"/>
      </rPr>
      <t xml:space="preserve">  Totals rounded to 3 significant figures. Figures may not add exactly due to rounding. </t>
    </r>
  </si>
  <si>
    <r>
      <t>CEMS/CPMS</t>
    </r>
    <r>
      <rPr>
        <vertAlign val="superscript"/>
        <sz val="10"/>
        <color theme="1"/>
        <rFont val="Times New Roman"/>
        <family val="1"/>
      </rPr>
      <t>b</t>
    </r>
  </si>
  <si>
    <t>Total (rounded)</t>
  </si>
  <si>
    <r>
      <t xml:space="preserve">4) Notification of initial CMS Demonstration </t>
    </r>
    <r>
      <rPr>
        <vertAlign val="superscript"/>
        <sz val="10"/>
        <color theme="1"/>
        <rFont val="Times New Roman"/>
        <family val="1"/>
      </rPr>
      <t>c</t>
    </r>
  </si>
  <si>
    <t>A.  Familiarize with regulation requirements</t>
  </si>
  <si>
    <t>B.  Plan activities</t>
  </si>
  <si>
    <t xml:space="preserve">C.  Implement activities: </t>
  </si>
  <si>
    <t>A. Familiarize with regulation requirements</t>
  </si>
  <si>
    <t>B. Required activities</t>
  </si>
  <si>
    <t xml:space="preserve">C. Create Information </t>
  </si>
  <si>
    <t>D. Gather Existing Information</t>
  </si>
  <si>
    <t>E. Write report</t>
  </si>
  <si>
    <r>
      <t xml:space="preserve">a) Establish and teach operator qualification course </t>
    </r>
    <r>
      <rPr>
        <vertAlign val="superscript"/>
        <sz val="10"/>
        <color theme="1"/>
        <rFont val="Times New Roman"/>
        <family val="1"/>
      </rPr>
      <t>c, f</t>
    </r>
  </si>
  <si>
    <r>
      <t xml:space="preserve">b) Obtain operator qualification </t>
    </r>
    <r>
      <rPr>
        <vertAlign val="superscript"/>
        <sz val="10"/>
        <color theme="1"/>
        <rFont val="Times New Roman"/>
        <family val="1"/>
      </rPr>
      <t>c, f</t>
    </r>
  </si>
  <si>
    <r>
      <rPr>
        <vertAlign val="superscript"/>
        <sz val="10"/>
        <rFont val="Times New Roman"/>
        <family val="1"/>
      </rPr>
      <t>f</t>
    </r>
    <r>
      <rPr>
        <sz val="10"/>
        <rFont val="Times New Roman"/>
        <family val="1"/>
      </rPr>
      <t xml:space="preserve">  Costs incurred by a facility regardless of the number of affected units at the plant.</t>
    </r>
  </si>
  <si>
    <r>
      <t xml:space="preserve">9) Semiannual Deviation Report </t>
    </r>
    <r>
      <rPr>
        <vertAlign val="superscript"/>
        <sz val="10"/>
        <color theme="1"/>
        <rFont val="Times New Roman"/>
        <family val="1"/>
      </rPr>
      <t>h</t>
    </r>
  </si>
  <si>
    <r>
      <t xml:space="preserve">8) Corrective action summary for operators that are off-site for more than 2 weeks </t>
    </r>
    <r>
      <rPr>
        <vertAlign val="superscript"/>
        <sz val="10"/>
        <color theme="1"/>
        <rFont val="Times New Roman"/>
        <family val="1"/>
      </rPr>
      <t>g</t>
    </r>
  </si>
  <si>
    <r>
      <t xml:space="preserve">7) Status report for operators that are off-site for more than 2 weeks </t>
    </r>
    <r>
      <rPr>
        <vertAlign val="superscript"/>
        <sz val="10"/>
        <color theme="1"/>
        <rFont val="Times New Roman"/>
        <family val="1"/>
      </rPr>
      <t>g</t>
    </r>
  </si>
  <si>
    <r>
      <t xml:space="preserve">TOTAL LABOR  BURDEN AND COSTS (rounded) </t>
    </r>
    <r>
      <rPr>
        <b/>
        <vertAlign val="superscript"/>
        <sz val="10"/>
        <color theme="1"/>
        <rFont val="Times New Roman"/>
        <family val="1"/>
      </rPr>
      <t>i</t>
    </r>
  </si>
  <si>
    <r>
      <t xml:space="preserve">GRAND TOTAL (rounded) </t>
    </r>
    <r>
      <rPr>
        <b/>
        <vertAlign val="superscript"/>
        <sz val="10"/>
        <color theme="1"/>
        <rFont val="Times New Roman"/>
        <family val="1"/>
      </rPr>
      <t>i</t>
    </r>
  </si>
  <si>
    <r>
      <t xml:space="preserve">TOTAL COST (rounded) </t>
    </r>
    <r>
      <rPr>
        <b/>
        <vertAlign val="superscript"/>
        <sz val="10"/>
        <color theme="1"/>
        <rFont val="Times New Roman"/>
        <family val="1"/>
      </rPr>
      <t>f</t>
    </r>
  </si>
  <si>
    <r>
      <t xml:space="preserve">1) New sources </t>
    </r>
    <r>
      <rPr>
        <vertAlign val="superscript"/>
        <sz val="10"/>
        <color theme="1"/>
        <rFont val="Times New Roman"/>
        <family val="1"/>
      </rPr>
      <t>c</t>
    </r>
  </si>
  <si>
    <r>
      <t xml:space="preserve">2) Existing sources </t>
    </r>
    <r>
      <rPr>
        <vertAlign val="superscript"/>
        <sz val="10"/>
        <color theme="1"/>
        <rFont val="Times New Roman"/>
        <family val="1"/>
      </rPr>
      <t>d</t>
    </r>
  </si>
  <si>
    <r>
      <t xml:space="preserve">1) Initial stack test and report (new sources) </t>
    </r>
    <r>
      <rPr>
        <vertAlign val="superscript"/>
        <sz val="10"/>
        <color theme="1"/>
        <rFont val="Times New Roman"/>
        <family val="1"/>
      </rPr>
      <t>c</t>
    </r>
  </si>
  <si>
    <r>
      <t xml:space="preserve">2) Annual stack test and test report (existing sources) </t>
    </r>
    <r>
      <rPr>
        <vertAlign val="superscript"/>
        <sz val="10"/>
        <color theme="1"/>
        <rFont val="Times New Roman"/>
        <family val="1"/>
      </rPr>
      <t>d, e</t>
    </r>
  </si>
  <si>
    <r>
      <rPr>
        <vertAlign val="superscript"/>
        <sz val="10"/>
        <rFont val="Times New Roman"/>
        <family val="1"/>
      </rPr>
      <t>c</t>
    </r>
    <r>
      <rPr>
        <sz val="10"/>
        <rFont val="Times New Roman"/>
        <family val="1"/>
      </rPr>
      <t xml:space="preserve">  One-time only costs for new sources.</t>
    </r>
  </si>
  <si>
    <r>
      <t>e</t>
    </r>
    <r>
      <rPr>
        <sz val="10"/>
        <color theme="1"/>
        <rFont val="Times New Roman"/>
        <family val="1"/>
      </rPr>
      <t xml:space="preserve">  Totals have been rounded to 3 significant figures. Figures may not add exactly due to rounding.</t>
    </r>
  </si>
  <si>
    <r>
      <rPr>
        <vertAlign val="superscript"/>
        <sz val="10"/>
        <color theme="1"/>
        <rFont val="Times New Roman"/>
        <family val="1"/>
      </rPr>
      <t>d</t>
    </r>
    <r>
      <rPr>
        <sz val="10"/>
        <color theme="1"/>
        <rFont val="Times New Roman"/>
        <family val="1"/>
      </rPr>
      <t xml:space="preserve">  Assumed $100 for purchase of filing cabinet to store copy of rule, records, and report copies. </t>
    </r>
  </si>
  <si>
    <t>2. Required Activities</t>
  </si>
  <si>
    <r>
      <t xml:space="preserve">1) Review initial notifications </t>
    </r>
    <r>
      <rPr>
        <vertAlign val="superscript"/>
        <sz val="10"/>
        <color theme="1"/>
        <rFont val="Times New Roman"/>
        <family val="1"/>
      </rPr>
      <t>d</t>
    </r>
  </si>
  <si>
    <t>2) Review initial compliance report</t>
  </si>
  <si>
    <t>3) Review annual compliance report</t>
  </si>
  <si>
    <t>4) Review semi-annual excess emission and parameter exceedance report</t>
  </si>
  <si>
    <t>5) Review status reports and  corrective action summary for operators off-site</t>
  </si>
  <si>
    <r>
      <t xml:space="preserve">e) Annual review of site-specific information (existing sources) </t>
    </r>
    <r>
      <rPr>
        <vertAlign val="superscript"/>
        <sz val="10"/>
        <color theme="1"/>
        <rFont val="Times New Roman"/>
        <family val="1"/>
      </rPr>
      <t>d</t>
    </r>
  </si>
  <si>
    <r>
      <t xml:space="preserve">4) Establish maximum and minimum operating parameters (new sources) </t>
    </r>
    <r>
      <rPr>
        <vertAlign val="superscript"/>
        <sz val="10"/>
        <color theme="1"/>
        <rFont val="Times New Roman"/>
        <family val="1"/>
      </rPr>
      <t>c</t>
    </r>
  </si>
  <si>
    <r>
      <t xml:space="preserve">2) Notification of start-up (includes monitoring plan) </t>
    </r>
    <r>
      <rPr>
        <vertAlign val="superscript"/>
        <sz val="10"/>
        <color theme="1"/>
        <rFont val="Times New Roman"/>
        <family val="1"/>
      </rPr>
      <t>c</t>
    </r>
  </si>
  <si>
    <r>
      <rPr>
        <vertAlign val="superscript"/>
        <sz val="10"/>
        <rFont val="Times New Roman"/>
        <family val="1"/>
      </rPr>
      <t>e</t>
    </r>
    <r>
      <rPr>
        <sz val="10"/>
        <rFont val="Times New Roman"/>
        <family val="1"/>
      </rPr>
      <t xml:space="preserve">  Existing facilities may test every three years if certain requirements are met, and it is assumed that all facilities would meet the requirements. Thus, on average 2.31 existing sources per year (7 x 0.33 = 2.31) perform annual testing following the initial performance test.</t>
    </r>
  </si>
  <si>
    <r>
      <rPr>
        <vertAlign val="superscript"/>
        <sz val="10"/>
        <rFont val="Times New Roman"/>
        <family val="1"/>
      </rPr>
      <t>a</t>
    </r>
    <r>
      <rPr>
        <sz val="10"/>
        <rFont val="Times New Roman"/>
        <family val="1"/>
      </rPr>
      <t xml:space="preserve">  We assume there are 7 existing facilities with 6 incineration units each. Burden estimates are based on a "per respondent" basis, not a "per unit" basis. We assume that there will be a total of 2 new sources and 1 modified source over the next three-year period, averaging to 1 new respondent per year. Estimates are based on EPA's 2016 SSI Inventory. </t>
    </r>
  </si>
  <si>
    <r>
      <rPr>
        <vertAlign val="superscript"/>
        <sz val="10"/>
        <rFont val="Times New Roman"/>
        <family val="1"/>
      </rPr>
      <t>b</t>
    </r>
    <r>
      <rPr>
        <sz val="10"/>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
</t>
    </r>
  </si>
  <si>
    <r>
      <rPr>
        <vertAlign val="superscript"/>
        <sz val="10"/>
        <color theme="1"/>
        <rFont val="Times New Roman"/>
        <family val="1"/>
      </rPr>
      <t>b</t>
    </r>
    <r>
      <rPr>
        <sz val="10"/>
        <color theme="1"/>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</si>
  <si>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rPr>
        <vertAlign val="superscript"/>
        <sz val="10"/>
        <rFont val="Times New Roman"/>
        <family val="1"/>
      </rPr>
      <t>e</t>
    </r>
    <r>
      <rPr>
        <sz val="10"/>
        <rFont val="Times New Roman"/>
        <family val="1"/>
      </rPr>
      <t xml:space="preserve">  We assume four hours per state to write annual summary report.</t>
    </r>
  </si>
  <si>
    <r>
      <rPr>
        <vertAlign val="superscript"/>
        <sz val="10"/>
        <rFont val="Times New Roman"/>
        <family val="1"/>
      </rPr>
      <t>g</t>
    </r>
    <r>
      <rPr>
        <sz val="10"/>
        <rFont val="Times New Roman"/>
        <family val="1"/>
      </rPr>
      <t xml:space="preserve">  We assume that 10 percent of the facilities would not have a qualified operator available for more than two weeks at least once a year. We further assume that this would require only two corrective action summaries.</t>
    </r>
  </si>
  <si>
    <r>
      <t xml:space="preserve">2) Records of exceedances of the operating parameters </t>
    </r>
    <r>
      <rPr>
        <vertAlign val="superscript"/>
        <sz val="10"/>
        <color theme="1"/>
        <rFont val="Times New Roman"/>
        <family val="1"/>
      </rPr>
      <t>h</t>
    </r>
  </si>
  <si>
    <r>
      <t xml:space="preserve">TOTAL CAPITAL AND O&amp;M COSTS (rounded) </t>
    </r>
    <r>
      <rPr>
        <b/>
        <vertAlign val="superscript"/>
        <sz val="10"/>
        <rFont val="Times New Roman"/>
        <family val="1"/>
      </rPr>
      <t>i</t>
    </r>
  </si>
  <si>
    <r>
      <rPr>
        <vertAlign val="superscript"/>
        <sz val="10"/>
        <rFont val="Times New Roman"/>
        <family val="1"/>
      </rPr>
      <t>h</t>
    </r>
    <r>
      <rPr>
        <sz val="10"/>
        <rFont val="Times New Roman"/>
        <family val="1"/>
      </rPr>
      <t xml:space="preserve">  We assume that 10 percent of the facilities would have an exceedance during the year.  </t>
    </r>
  </si>
  <si>
    <r>
      <rPr>
        <vertAlign val="superscript"/>
        <sz val="10"/>
        <rFont val="Times New Roman"/>
        <family val="1"/>
      </rPr>
      <t>d</t>
    </r>
    <r>
      <rPr>
        <sz val="10"/>
        <rFont val="Times New Roman"/>
        <family val="1"/>
      </rPr>
      <t xml:space="preserve">  Annual Costs for existing sources. Annual costs are not incurred until the second year of operation. </t>
    </r>
  </si>
  <si>
    <r>
      <rPr>
        <vertAlign val="superscript"/>
        <sz val="10"/>
        <rFont val="Times New Roman"/>
        <family val="1"/>
      </rPr>
      <t>c</t>
    </r>
    <r>
      <rPr>
        <sz val="10"/>
        <rFont val="Times New Roman"/>
        <family val="1"/>
      </rPr>
      <t xml:space="preserve">  Assumes EPA personnel attend 15 percent of the stack tests. New facilities do stack testing. Existing facilities may test every three years if certain requirements are met, and it is assumed that all facilities would meet the requirements. (((1 new facility + (7 existing facilities x 0.33)) x 0.15) = 0.5 tests observed per year)</t>
    </r>
  </si>
  <si>
    <r>
      <rPr>
        <vertAlign val="superscript"/>
        <sz val="10"/>
        <rFont val="Times New Roman"/>
        <family val="1"/>
      </rPr>
      <t>d</t>
    </r>
    <r>
      <rPr>
        <sz val="10"/>
        <rFont val="Times New Roman"/>
        <family val="1"/>
      </rPr>
      <t xml:space="preserve">  Includes notification of construction, notification of start-up for new units, notification of initial performance test, and notification of initial CMS demonstration.</t>
    </r>
  </si>
  <si>
    <r>
      <t xml:space="preserve">a </t>
    </r>
    <r>
      <rPr>
        <sz val="10"/>
        <rFont val="Times New Roman"/>
        <family val="1"/>
      </rPr>
      <t xml:space="preserve">We assume there will be 2 new sources and 1 modified source over the next three years, averaging to 1 new respondent per year. </t>
    </r>
  </si>
  <si>
    <r>
      <t xml:space="preserve">c) Annual refresher course </t>
    </r>
    <r>
      <rPr>
        <vertAlign val="superscript"/>
        <sz val="10"/>
        <color theme="1"/>
        <rFont val="Times New Roman"/>
        <family val="1"/>
      </rPr>
      <t>d</t>
    </r>
  </si>
  <si>
    <r>
      <t xml:space="preserve">5) Continuous parameter monitoring (including CEMS) </t>
    </r>
    <r>
      <rPr>
        <vertAlign val="superscript"/>
        <sz val="10"/>
        <color theme="1"/>
        <rFont val="Times New Roman"/>
        <family val="1"/>
      </rPr>
      <t>d</t>
    </r>
  </si>
  <si>
    <t>Table 1: Annual Respondent Burden and Cost – NSPS for Sewage Sludge Incineration Units (40 CFR Part 60, Subpart LLLL) (Renewal)</t>
  </si>
  <si>
    <t>Table 2: Average Annual EPA Burden and Cost – NSPS for Sewage Sludge Incineration Units (40 CFR Part 60, Subpart LLLL) (Renewal)</t>
  </si>
  <si>
    <r>
      <t xml:space="preserve">Semiannual Deviation Report </t>
    </r>
    <r>
      <rPr>
        <vertAlign val="superscript"/>
        <sz val="9"/>
        <color theme="1"/>
        <rFont val="Times New Roman"/>
        <family val="1"/>
      </rPr>
      <t>c</t>
    </r>
  </si>
  <si>
    <r>
      <t>b</t>
    </r>
    <r>
      <rPr>
        <sz val="10"/>
        <color theme="1"/>
        <rFont val="Times New Roman"/>
        <family val="1"/>
      </rPr>
      <t xml:space="preserve"> We assume that 10 percent of the facilities would not have a qualified operator available for more than two weeks at least once a year. We further assume this would require only two corrective action summaries. </t>
    </r>
  </si>
  <si>
    <r>
      <t>c</t>
    </r>
    <r>
      <rPr>
        <sz val="10"/>
        <color theme="1"/>
        <rFont val="Times New Roman"/>
        <family val="1"/>
      </rPr>
      <t xml:space="preserve"> We assume that 10 percent of the existing facilities (7 * 0.1 = 0.7) have excess emissions and submit semiannual deviation reports.</t>
    </r>
  </si>
  <si>
    <t>Stack Testing Costs</t>
  </si>
  <si>
    <t>Parameters/Costs</t>
  </si>
  <si>
    <t>Equation</t>
  </si>
  <si>
    <t>Values</t>
  </si>
  <si>
    <t>A. Parameters</t>
  </si>
  <si>
    <t>1. Cost index</t>
  </si>
  <si>
    <t>B. Testing Costs, $</t>
  </si>
  <si>
    <t>1. Method 5 (PM)</t>
  </si>
  <si>
    <t>= $8,000 x (575.4/358.2)</t>
  </si>
  <si>
    <t>2. Method 9 (opacity)</t>
  </si>
  <si>
    <t>= $1,000 x (575.4/358.2) + $1,500</t>
  </si>
  <si>
    <t>3. Method 10 (CO)</t>
  </si>
  <si>
    <t>= $4,000 x (575.4/358.2) + $1,000</t>
  </si>
  <si>
    <t>4. Method 26 (HCl)</t>
  </si>
  <si>
    <t xml:space="preserve">= $5,000 x (575.4/358.2) </t>
  </si>
  <si>
    <t>5. Method 29 (metals)</t>
  </si>
  <si>
    <t>= $8,000 x (575.4/358.2) + $2,000</t>
  </si>
  <si>
    <t>Everything</t>
  </si>
  <si>
    <t>6. Method 23 (CDD/CDF)</t>
  </si>
  <si>
    <t>= $21,000 x (575.4/358.2) - $5,000</t>
  </si>
  <si>
    <r>
      <t>7. Method 7E (NO</t>
    </r>
    <r>
      <rPr>
        <vertAlign val="subscript"/>
        <sz val="10"/>
        <rFont val="Arial"/>
        <family val="2"/>
      </rPr>
      <t>X</t>
    </r>
    <r>
      <rPr>
        <sz val="10"/>
        <rFont val="Arial"/>
        <family val="2"/>
      </rPr>
      <t>)</t>
    </r>
  </si>
  <si>
    <t>Annual</t>
  </si>
  <si>
    <r>
      <t>8. Method 6C (SO</t>
    </r>
    <r>
      <rPr>
        <vertAlign val="subscript"/>
        <sz val="10"/>
        <rFont val="Arial"/>
        <family val="2"/>
      </rPr>
      <t>2</t>
    </r>
    <r>
      <rPr>
        <sz val="10"/>
        <rFont val="Arial"/>
        <family val="2"/>
      </rPr>
      <t>)</t>
    </r>
  </si>
  <si>
    <t>Note:</t>
  </si>
  <si>
    <t>1. Initial testing costs to be annualized over 15 years at 7% interest.</t>
  </si>
  <si>
    <t>2.  Testing costs have been rounded to the nearest $1,000 (except for opacity) to be</t>
  </si>
  <si>
    <t>consistent with level of rounding in original costs; costs also adjusted based on</t>
  </si>
  <si>
    <t>additional information from EPA.</t>
  </si>
  <si>
    <t>3.  Multiple test costs adjusted by 2/3 in nationwide cost estimates to account for travel,</t>
  </si>
  <si>
    <t>accommodations, methods/sampling trains, etc. common to the tests.</t>
  </si>
  <si>
    <t>Sources:</t>
  </si>
  <si>
    <t>1.  Memorandum from R. Segall, EPA/EMB, to R. Copland, EPA/SDB.  October 14, 1992.</t>
  </si>
  <si>
    <t>Medical Waste Incinerator Study:  Emission Measurement and Continuous Monitoring.</t>
  </si>
  <si>
    <t>(II-B-89)</t>
  </si>
  <si>
    <t>2.  E-mail from Jason Dewees, EPA, to Peter Westlin, EPA.  August 20, 2008.</t>
  </si>
  <si>
    <t>Monitoring Options for SNCR &amp; Test Cost Questions.</t>
  </si>
  <si>
    <t>3.  E-mail from Jason Dewees, EPA, to Mary Johnson, EPA.  August 20, 2008.</t>
  </si>
  <si>
    <t>Re: Monitoring Options for SNCR &amp; Test Cost Questions.</t>
  </si>
  <si>
    <t xml:space="preserve">Source: “Burden Estimate Tables - Standards of Performance for New Stationary Sources Sewage Sludge Incineration (SSI) Units (Subpart LLLL)” spreadsheet at https://beta.regulations.gov/document/EPA-HQ-OAR-2009-0559-0168  [see the hidden stack testing tab] </t>
  </si>
  <si>
    <t xml:space="preserve">    a. 2019</t>
  </si>
  <si>
    <t xml:space="preserve">    b. 2008</t>
  </si>
  <si>
    <t xml:space="preserve">    c. 1992</t>
  </si>
  <si>
    <t>plus visible emissions testing</t>
  </si>
  <si>
    <t>SubTotal</t>
  </si>
  <si>
    <r>
      <rPr>
        <vertAlign val="superscript"/>
        <sz val="10"/>
        <color theme="1"/>
        <rFont val="Times New Roman"/>
        <family val="1"/>
      </rPr>
      <t>b</t>
    </r>
    <r>
      <rPr>
        <sz val="10"/>
        <color theme="1"/>
        <rFont val="Times New Roman"/>
        <family val="1"/>
      </rPr>
      <t xml:space="preserve">  Based on estimated monitoring costs provided in Table 1 from the Supporting Statement for the Standards of Performance for New Stationary Sources: Sewage Sludge Incineration (SSI) Units (Subpart LLLL) from the March 21, 2011 final rule (see https://beta.regulations.gov/document/EPA-HQ-OAR-2009-0559-0168). Monitoring costs have been updated from 2008 to 2019 values using the CEPCI CE Index.</t>
    </r>
  </si>
  <si>
    <r>
      <rPr>
        <vertAlign val="superscript"/>
        <sz val="10"/>
        <color theme="1"/>
        <rFont val="Times New Roman"/>
        <family val="1"/>
      </rPr>
      <t xml:space="preserve">c </t>
    </r>
    <r>
      <rPr>
        <sz val="10"/>
        <color theme="1"/>
        <rFont val="Times New Roman"/>
        <family val="1"/>
      </rPr>
      <t xml:space="preserve"> Total estimated cost for initial stack test, including Method 5 (PM) ($9,150), Method 9 (opacity) ($2,464), Method 10 (CO) ($4,927), Method 26 (HCl) ($5,631), Method 29 (metals) ($10,558), Method 23 (CDD/CDF) ($20,412), Method 7E (NOx) ($5,631), Method 6C (SO2) ($5,631), and visible emissions testing ($370) are from “Burden Estimate Tables - Standards of Performance for New Stationary Sources Sewage Sludge Incineration (SSI) Units (Subpart LLLL)” spreadsheet at https://beta.regulations.gov/document/EPA-HQ-OAR-2009-0559-0168. Testing costs have been updated to 2019 dollars using the CEPCI CE Index. Existing facilities may test every three years if certain requirements are met, and it is assumed that all facilities would meet the requirements. Thus, on average 2.31 existing sources per year (7 x 0.33 = 2.31) perform annual testing following the initial performance test.</t>
    </r>
  </si>
  <si>
    <r>
      <rPr>
        <vertAlign val="superscript"/>
        <sz val="10"/>
        <rFont val="Times New Roman"/>
        <family val="1"/>
      </rPr>
      <t>a</t>
    </r>
    <r>
      <rPr>
        <sz val="10"/>
        <rFont val="Times New Roman"/>
        <family val="1"/>
      </rPr>
      <t xml:space="preserve">  We assume that there are 7 existing SSI facilities with an average of 6 incinerator units. Burden estimates are based on a "per respondent" basis, not a "per unit" basis. We assume that there will be one new or modified source each year over the next three-year period, averaging in an estimated growth rate of 1 new respondent per year. The estimate for the number of facilities subject to NSPS Subpart LLLL is based on EPA's 2016 SSI Inventory for the Federal Plan (see Appendix A at https://beta.regulations.gov/document/EPA-HQ-OAR-2012-0319-0020) and adjusted to reflect the estimated growth rate. </t>
    </r>
  </si>
  <si>
    <t>Adjusted testing cost</t>
  </si>
  <si>
    <t xml:space="preserve">Updated to 2019 CEPCI </t>
  </si>
  <si>
    <t>Adjusted per Footnote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</si>
</sst>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General_)"/>
    <numFmt numFmtId="165" formatCode="&quot;$&quot;#,##0.00"/>
    <numFmt numFmtId="166" formatCode="&quot;$&quot;#,##0"/>
    <numFmt numFmtId="167" formatCode="0.0"/>
  </numFmts>
  <fonts count="33" x14ac:knownFonts="1">
    <font>
      <sz val="11"/>
      <color theme="1"/>
      <name val="Calibri"/>
      <family val="2"/>
      <scheme val="minor"/>
    </font>
    <font>
      <b/>
      <sz val="10"/>
      <name val="Times New Roman"/>
      <family val="1"/>
    </font>
    <font>
      <b/>
      <vertAlign val="superscript"/>
      <sz val="10"/>
      <name val="Times New Roman"/>
      <family val="1"/>
    </font>
    <font>
      <sz val="10"/>
      <color theme="1"/>
      <name val="Times New Roman"/>
      <family val="1"/>
    </font>
    <font>
      <vertAlign val="superscript"/>
      <sz val="10"/>
      <color theme="1"/>
      <name val="Times New Roman"/>
      <family val="1"/>
    </font>
    <font>
      <b/>
      <i/>
      <sz val="10"/>
      <color theme="1"/>
      <name val="Times New Roman"/>
      <family val="1"/>
    </font>
    <font>
      <b/>
      <sz val="10"/>
      <color theme="1"/>
      <name val="Times New Roman"/>
      <family val="1"/>
    </font>
    <font>
      <b/>
      <vertAlign val="superscript"/>
      <sz val="10"/>
      <color theme="1"/>
      <name val="Times New Roman"/>
      <family val="1"/>
    </font>
    <font>
      <sz val="11"/>
      <color theme="1"/>
      <name val="Times New Roman"/>
      <family val="1"/>
    </font>
    <font>
      <sz val="10"/>
      <name val="Times New Roman"/>
      <family val="1"/>
    </font>
    <font>
      <b/>
      <sz val="12"/>
      <color rgb="FF000000"/>
      <name val="Times New Roman"/>
      <family val="1"/>
    </font>
    <font>
      <b/>
      <sz val="9"/>
      <color rgb="FF000000"/>
      <name val="Times New Roman"/>
      <family val="1"/>
    </font>
    <font>
      <sz val="9"/>
      <color rgb="FF000000"/>
      <name val="Times New Roman"/>
      <family val="1"/>
    </font>
    <font>
      <vertAlign val="superscript"/>
      <sz val="10"/>
      <name val="Times New Roman"/>
      <family val="1"/>
    </font>
    <font>
      <sz val="9"/>
      <name val="Times New Roman"/>
      <family val="1"/>
    </font>
    <font>
      <vertAlign val="superscript"/>
      <sz val="9"/>
      <name val="Times New Roman"/>
      <family val="1"/>
    </font>
    <font>
      <sz val="9"/>
      <color theme="1"/>
      <name val="Times New Roman"/>
      <family val="1"/>
    </font>
    <font>
      <vertAlign val="superscript"/>
      <sz val="9"/>
      <color rgb="FF000000"/>
      <name val="Times New Roman"/>
      <family val="1"/>
    </font>
    <font>
      <vertAlign val="superscript"/>
      <sz val="9"/>
      <color theme="1"/>
      <name val="Times New Roman"/>
      <family val="1"/>
    </font>
    <font>
      <b/>
      <sz val="9"/>
      <color theme="1"/>
      <name val="Times New Roman"/>
      <family val="1"/>
    </font>
    <font>
      <vertAlign val="superscript"/>
      <sz val="10"/>
      <color rgb="FF000000"/>
      <name val="Times New Roman"/>
      <family val="1"/>
    </font>
    <font>
      <sz val="10"/>
      <color rgb="FF000000"/>
      <name val="Times New Roman"/>
      <family val="1"/>
    </font>
    <font>
      <sz val="8"/>
      <name val="Courier"/>
      <family val="3"/>
    </font>
    <font>
      <b/>
      <sz val="12"/>
      <color theme="1"/>
      <name val="Times New Roman"/>
      <family val="1"/>
    </font>
    <font>
      <sz val="11"/>
      <color rgb="FFFF0000"/>
      <name val="Calibri"/>
      <family val="2"/>
      <scheme val="minor"/>
    </font>
    <font>
      <b/>
      <sz val="11"/>
      <color rgb="FFFF0000"/>
      <name val="Calibri"/>
      <family val="2"/>
      <scheme val="minor"/>
    </font>
    <font>
      <sz val="8"/>
      <name val="Calibri"/>
      <family val="2"/>
      <scheme val="minor"/>
    </font>
    <font>
      <sz val="10"/>
      <name val="Arial"/>
      <family val="2"/>
    </font>
    <font>
      <b/>
      <sz val="14"/>
      <name val="Arial"/>
      <family val="2"/>
    </font>
    <font>
      <b/>
      <sz val="10"/>
      <name val="Arial"/>
      <family val="2"/>
    </font>
    <font>
      <sz val="10"/>
      <color rgb="FF000000"/>
      <name val="Arial"/>
      <family val="2"/>
    </font>
    <font>
      <vertAlign val="subscript"/>
      <sz val="10"/>
      <name val="Arial"/>
      <family val="2"/>
    </font>
    <font>
      <u/>
      <sz val="10"/>
      <name val="Arial"/>
      <family val="2"/>
    </font>
  </fonts>
  <fills count="3">
    <fill>
      <patternFill patternType="none"/>
    </fill>
    <fill>
      <patternFill patternType="gray125"/>
    </fill>
    <fill>
      <patternFill patternType="solid">
        <fgColor rgb="FFC0C0C0"/>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0" fontId="22" fillId="0" borderId="0"/>
    <xf numFmtId="0" fontId="27" fillId="0" borderId="0"/>
  </cellStyleXfs>
  <cellXfs count="145">
    <xf numFmtId="0" fontId="0" fillId="0" borderId="0" xfId="0"/>
    <xf numFmtId="0" fontId="1" fillId="0" borderId="1" xfId="0" applyNumberFormat="1" applyFont="1" applyFill="1" applyBorder="1" applyAlignment="1">
      <alignment horizontal="center"/>
    </xf>
    <xf numFmtId="4" fontId="1" fillId="0" borderId="1" xfId="0" applyNumberFormat="1" applyFont="1" applyFill="1" applyBorder="1" applyAlignment="1">
      <alignment horizontal="center"/>
    </xf>
    <xf numFmtId="0" fontId="1" fillId="0" borderId="2" xfId="0" applyNumberFormat="1" applyFont="1" applyFill="1" applyBorder="1" applyAlignment="1">
      <alignment horizontal="center" vertical="center" wrapText="1"/>
    </xf>
    <xf numFmtId="4" fontId="1" fillId="0" borderId="2"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0" fillId="0" borderId="0" xfId="0" applyFill="1"/>
    <xf numFmtId="0" fontId="3" fillId="0" borderId="1" xfId="0" applyFont="1" applyFill="1" applyBorder="1" applyAlignment="1">
      <alignment horizontal="right" vertical="center"/>
    </xf>
    <xf numFmtId="165" fontId="3" fillId="0" borderId="1" xfId="0" applyNumberFormat="1" applyFont="1" applyFill="1" applyBorder="1" applyAlignment="1">
      <alignment horizontal="right" vertical="center"/>
    </xf>
    <xf numFmtId="0" fontId="5" fillId="0" borderId="1" xfId="0" applyFont="1" applyFill="1" applyBorder="1" applyAlignment="1">
      <alignment horizontal="left" vertical="center" wrapText="1"/>
    </xf>
    <xf numFmtId="166" fontId="6" fillId="0" borderId="1" xfId="0" applyNumberFormat="1" applyFont="1" applyFill="1" applyBorder="1" applyAlignment="1">
      <alignment horizontal="right" vertical="center"/>
    </xf>
    <xf numFmtId="6" fontId="6" fillId="0" borderId="1" xfId="0" applyNumberFormat="1" applyFont="1" applyFill="1" applyBorder="1" applyAlignment="1">
      <alignment horizontal="right" vertical="center"/>
    </xf>
    <xf numFmtId="0" fontId="6" fillId="0" borderId="0" xfId="0" applyFont="1" applyFill="1"/>
    <xf numFmtId="0" fontId="3" fillId="0" borderId="0" xfId="0" applyFont="1" applyFill="1" applyAlignment="1"/>
    <xf numFmtId="0" fontId="8" fillId="0" borderId="0" xfId="0" applyFont="1" applyFill="1"/>
    <xf numFmtId="0" fontId="11" fillId="0" borderId="1" xfId="0" applyFont="1" applyFill="1" applyBorder="1" applyAlignment="1">
      <alignment vertical="top" wrapText="1"/>
    </xf>
    <xf numFmtId="0" fontId="9" fillId="0" borderId="1" xfId="0" applyFont="1" applyFill="1" applyBorder="1" applyAlignment="1">
      <alignment horizontal="center" vertical="top" wrapText="1"/>
    </xf>
    <xf numFmtId="0" fontId="16" fillId="0" borderId="2" xfId="0" applyFont="1" applyFill="1" applyBorder="1" applyAlignment="1">
      <alignment horizontal="center" vertical="top"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1"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4" fillId="0" borderId="1" xfId="0" applyFont="1" applyFill="1" applyBorder="1" applyAlignment="1">
      <alignment horizontal="center" vertical="top" wrapText="1"/>
    </xf>
    <xf numFmtId="0" fontId="16" fillId="0" borderId="1" xfId="0" applyFont="1" applyFill="1" applyBorder="1" applyAlignment="1">
      <alignment horizontal="center" vertical="center"/>
    </xf>
    <xf numFmtId="0" fontId="16" fillId="0" borderId="1" xfId="0" applyFont="1" applyFill="1" applyBorder="1" applyAlignment="1">
      <alignment horizontal="left" vertical="center"/>
    </xf>
    <xf numFmtId="167" fontId="16" fillId="0" borderId="1" xfId="0" applyNumberFormat="1" applyFont="1" applyFill="1" applyBorder="1" applyAlignment="1">
      <alignment horizontal="center" vertical="center"/>
    </xf>
    <xf numFmtId="0" fontId="16" fillId="0" borderId="1" xfId="0" applyFont="1" applyFill="1" applyBorder="1"/>
    <xf numFmtId="0" fontId="19" fillId="0" borderId="1" xfId="0" applyFont="1" applyFill="1" applyBorder="1"/>
    <xf numFmtId="0" fontId="3" fillId="0" borderId="1" xfId="0" applyFont="1" applyFill="1" applyBorder="1" applyAlignment="1">
      <alignment wrapText="1"/>
    </xf>
    <xf numFmtId="0" fontId="3" fillId="0" borderId="1" xfId="0" applyFont="1" applyFill="1" applyBorder="1" applyAlignment="1">
      <alignment horizontal="center" vertical="center" wrapText="1"/>
    </xf>
    <xf numFmtId="0" fontId="3" fillId="0" borderId="1" xfId="0" applyFont="1" applyFill="1" applyBorder="1" applyAlignment="1"/>
    <xf numFmtId="6" fontId="3" fillId="0" borderId="1" xfId="0" applyNumberFormat="1" applyFont="1" applyFill="1" applyBorder="1" applyAlignment="1"/>
    <xf numFmtId="0" fontId="3" fillId="0" borderId="1" xfId="0" applyFont="1" applyFill="1" applyBorder="1" applyAlignment="1">
      <alignment horizontal="center"/>
    </xf>
    <xf numFmtId="0" fontId="6" fillId="0" borderId="1" xfId="0" applyFont="1" applyFill="1" applyBorder="1" applyAlignment="1"/>
    <xf numFmtId="6" fontId="6" fillId="0" borderId="1" xfId="0" applyNumberFormat="1" applyFont="1" applyFill="1" applyBorder="1" applyAlignment="1"/>
    <xf numFmtId="6" fontId="0" fillId="0" borderId="0" xfId="0" applyNumberFormat="1" applyFill="1"/>
    <xf numFmtId="0" fontId="3" fillId="0" borderId="1" xfId="0" applyFont="1" applyFill="1" applyBorder="1"/>
    <xf numFmtId="166" fontId="5" fillId="0" borderId="1" xfId="0" applyNumberFormat="1" applyFont="1" applyFill="1" applyBorder="1" applyAlignment="1">
      <alignment horizontal="right" vertical="center"/>
    </xf>
    <xf numFmtId="0" fontId="9" fillId="0" borderId="8" xfId="0" applyFont="1" applyBorder="1"/>
    <xf numFmtId="0" fontId="9" fillId="0" borderId="1" xfId="0" applyFont="1" applyBorder="1"/>
    <xf numFmtId="165" fontId="9" fillId="0" borderId="8" xfId="1" applyNumberFormat="1" applyFont="1" applyFill="1" applyBorder="1"/>
    <xf numFmtId="165" fontId="9" fillId="0" borderId="1" xfId="1" applyNumberFormat="1" applyFont="1" applyFill="1" applyBorder="1"/>
    <xf numFmtId="167" fontId="3" fillId="0" borderId="1" xfId="0" applyNumberFormat="1" applyFont="1" applyFill="1" applyBorder="1" applyAlignment="1">
      <alignment horizontal="center" vertical="center"/>
    </xf>
    <xf numFmtId="3" fontId="0" fillId="0" borderId="0" xfId="0" applyNumberFormat="1" applyFill="1"/>
    <xf numFmtId="1" fontId="3" fillId="0" borderId="0" xfId="0" applyNumberFormat="1" applyFont="1" applyFill="1"/>
    <xf numFmtId="0" fontId="3" fillId="0" borderId="0" xfId="0" applyFont="1" applyFill="1"/>
    <xf numFmtId="0" fontId="3" fillId="0" borderId="1" xfId="0" applyFont="1" applyFill="1" applyBorder="1" applyAlignment="1">
      <alignment horizontal="left" vertical="center" wrapText="1" indent="2"/>
    </xf>
    <xf numFmtId="0" fontId="3" fillId="0" borderId="1" xfId="0" applyFont="1" applyFill="1" applyBorder="1" applyAlignment="1">
      <alignment horizontal="left" vertical="center" wrapText="1" indent="3"/>
    </xf>
    <xf numFmtId="0" fontId="3" fillId="0" borderId="1" xfId="0" applyFont="1" applyFill="1" applyBorder="1" applyAlignment="1">
      <alignment horizontal="left" vertical="center" wrapText="1" indent="1"/>
    </xf>
    <xf numFmtId="1" fontId="3" fillId="0" borderId="1" xfId="0" applyNumberFormat="1" applyFont="1" applyFill="1" applyBorder="1" applyAlignment="1">
      <alignment horizontal="center" vertical="center"/>
    </xf>
    <xf numFmtId="0" fontId="24" fillId="0" borderId="0" xfId="0" applyFont="1" applyFill="1"/>
    <xf numFmtId="0" fontId="3" fillId="0" borderId="0" xfId="0" applyFont="1" applyFill="1" applyBorder="1"/>
    <xf numFmtId="165" fontId="9" fillId="0" borderId="0" xfId="1" applyNumberFormat="1" applyFont="1" applyFill="1" applyBorder="1"/>
    <xf numFmtId="2" fontId="3" fillId="0" borderId="1" xfId="0" applyNumberFormat="1" applyFont="1" applyFill="1" applyBorder="1" applyAlignment="1">
      <alignment horizontal="center"/>
    </xf>
    <xf numFmtId="0" fontId="4" fillId="0" borderId="0" xfId="0" applyFont="1" applyAlignment="1">
      <alignment horizontal="left" vertical="center"/>
    </xf>
    <xf numFmtId="0" fontId="25" fillId="0" borderId="0" xfId="0" applyFont="1" applyFill="1"/>
    <xf numFmtId="166" fontId="3" fillId="0" borderId="1" xfId="0" applyNumberFormat="1" applyFont="1" applyFill="1" applyBorder="1" applyAlignment="1">
      <alignment horizontal="right" vertical="center"/>
    </xf>
    <xf numFmtId="0" fontId="0" fillId="0" borderId="0" xfId="0" applyFill="1" applyAlignment="1">
      <alignment vertical="top" wrapText="1"/>
    </xf>
    <xf numFmtId="0" fontId="28" fillId="0" borderId="0" xfId="2" applyFont="1"/>
    <xf numFmtId="0" fontId="27" fillId="0" borderId="0" xfId="2"/>
    <xf numFmtId="0" fontId="29" fillId="2" borderId="9" xfId="2" applyFont="1" applyFill="1" applyBorder="1"/>
    <xf numFmtId="0" fontId="29" fillId="2" borderId="10" xfId="2" applyFont="1" applyFill="1" applyBorder="1"/>
    <xf numFmtId="0" fontId="29" fillId="2" borderId="11" xfId="2" applyFont="1" applyFill="1" applyBorder="1" applyAlignment="1">
      <alignment horizontal="center"/>
    </xf>
    <xf numFmtId="0" fontId="29" fillId="2" borderId="12" xfId="2" applyFont="1" applyFill="1" applyBorder="1" applyAlignment="1">
      <alignment horizontal="center"/>
    </xf>
    <xf numFmtId="0" fontId="29" fillId="0" borderId="13" xfId="2" applyFont="1" applyBorder="1"/>
    <xf numFmtId="0" fontId="29" fillId="0" borderId="14" xfId="2" applyFont="1" applyBorder="1"/>
    <xf numFmtId="0" fontId="29" fillId="0" borderId="15" xfId="2" applyFont="1" applyBorder="1" applyAlignment="1">
      <alignment horizontal="center"/>
    </xf>
    <xf numFmtId="0" fontId="27" fillId="0" borderId="16" xfId="2" applyBorder="1"/>
    <xf numFmtId="0" fontId="29" fillId="0" borderId="6" xfId="2" applyFont="1" applyBorder="1"/>
    <xf numFmtId="0" fontId="29" fillId="0" borderId="17" xfId="2" applyFont="1" applyBorder="1" applyAlignment="1">
      <alignment horizontal="center"/>
    </xf>
    <xf numFmtId="0" fontId="27" fillId="0" borderId="6" xfId="2" applyBorder="1"/>
    <xf numFmtId="0" fontId="30" fillId="0" borderId="6" xfId="2" applyFont="1" applyBorder="1" applyAlignment="1">
      <alignment vertical="top" wrapText="1"/>
    </xf>
    <xf numFmtId="0" fontId="30" fillId="0" borderId="1" xfId="2" applyFont="1" applyBorder="1" applyAlignment="1">
      <alignment vertical="top" wrapText="1"/>
    </xf>
    <xf numFmtId="0" fontId="30" fillId="0" borderId="17" xfId="2" applyFont="1" applyBorder="1" applyAlignment="1">
      <alignment vertical="top" wrapText="1"/>
    </xf>
    <xf numFmtId="0" fontId="29" fillId="0" borderId="16" xfId="2" applyFont="1" applyBorder="1"/>
    <xf numFmtId="166" fontId="27" fillId="0" borderId="1" xfId="2" quotePrefix="1" applyNumberFormat="1" applyBorder="1"/>
    <xf numFmtId="166" fontId="27" fillId="0" borderId="17" xfId="2" applyNumberFormat="1" applyBorder="1"/>
    <xf numFmtId="0" fontId="27" fillId="0" borderId="19" xfId="2" applyBorder="1"/>
    <xf numFmtId="0" fontId="27" fillId="0" borderId="20" xfId="2" applyBorder="1"/>
    <xf numFmtId="166" fontId="27" fillId="0" borderId="21" xfId="2" quotePrefix="1" applyNumberFormat="1" applyBorder="1"/>
    <xf numFmtId="166" fontId="27" fillId="0" borderId="22" xfId="2" applyNumberFormat="1" applyBorder="1"/>
    <xf numFmtId="164" fontId="29" fillId="0" borderId="0" xfId="0" applyNumberFormat="1" applyFont="1"/>
    <xf numFmtId="166" fontId="29" fillId="0" borderId="0" xfId="0" applyNumberFormat="1" applyFont="1"/>
    <xf numFmtId="0" fontId="32" fillId="0" borderId="0" xfId="2" applyFont="1"/>
    <xf numFmtId="166" fontId="27" fillId="0" borderId="0" xfId="2" applyNumberFormat="1"/>
    <xf numFmtId="0" fontId="27" fillId="0" borderId="0" xfId="2" applyAlignment="1">
      <alignment horizontal="right"/>
    </xf>
    <xf numFmtId="0" fontId="27" fillId="0" borderId="1" xfId="2" applyBorder="1"/>
    <xf numFmtId="0" fontId="27" fillId="0" borderId="0" xfId="2" applyBorder="1"/>
    <xf numFmtId="0" fontId="27" fillId="0" borderId="17" xfId="2" applyFont="1" applyBorder="1" applyAlignment="1">
      <alignment horizontal="right"/>
    </xf>
    <xf numFmtId="0" fontId="29" fillId="0" borderId="1" xfId="2" applyFont="1" applyBorder="1"/>
    <xf numFmtId="166" fontId="0" fillId="0" borderId="0" xfId="0" applyNumberFormat="1" applyFill="1"/>
    <xf numFmtId="0" fontId="27" fillId="0" borderId="4" xfId="2" applyBorder="1"/>
    <xf numFmtId="166" fontId="27" fillId="0" borderId="4" xfId="2" applyNumberFormat="1" applyBorder="1"/>
    <xf numFmtId="166" fontId="27" fillId="0" borderId="23" xfId="2" applyNumberFormat="1" applyBorder="1"/>
    <xf numFmtId="0" fontId="27" fillId="0" borderId="24" xfId="2" applyBorder="1"/>
    <xf numFmtId="0" fontId="27" fillId="0" borderId="25" xfId="2" applyBorder="1"/>
    <xf numFmtId="166" fontId="27" fillId="0" borderId="26" xfId="2" applyNumberFormat="1" applyBorder="1"/>
    <xf numFmtId="166" fontId="27" fillId="0" borderId="27" xfId="2" applyNumberFormat="1" applyBorder="1"/>
    <xf numFmtId="166" fontId="29" fillId="0" borderId="0" xfId="2" applyNumberFormat="1" applyFont="1" applyFill="1"/>
    <xf numFmtId="164" fontId="9" fillId="0" borderId="0" xfId="0" applyNumberFormat="1" applyFont="1" applyFill="1" applyAlignment="1">
      <alignment horizontal="left" vertical="top" wrapText="1"/>
    </xf>
    <xf numFmtId="0" fontId="23" fillId="0" borderId="0" xfId="0" applyFont="1" applyFill="1" applyAlignment="1">
      <alignment horizontal="left" vertical="top" wrapText="1"/>
    </xf>
    <xf numFmtId="0" fontId="3" fillId="0" borderId="1" xfId="0" applyFont="1" applyFill="1" applyBorder="1" applyAlignment="1">
      <alignment horizontal="center"/>
    </xf>
    <xf numFmtId="1" fontId="6" fillId="0" borderId="4" xfId="0" applyNumberFormat="1" applyFont="1" applyFill="1" applyBorder="1" applyAlignment="1">
      <alignment horizontal="center" vertical="center"/>
    </xf>
    <xf numFmtId="1" fontId="6" fillId="0" borderId="5" xfId="0" applyNumberFormat="1" applyFont="1" applyFill="1" applyBorder="1" applyAlignment="1">
      <alignment horizontal="center" vertical="center"/>
    </xf>
    <xf numFmtId="1" fontId="6" fillId="0" borderId="6" xfId="0" applyNumberFormat="1" applyFont="1" applyFill="1" applyBorder="1" applyAlignment="1">
      <alignment horizontal="center" vertical="center"/>
    </xf>
    <xf numFmtId="0" fontId="1" fillId="0" borderId="1" xfId="0" applyNumberFormat="1" applyFont="1" applyFill="1" applyBorder="1" applyAlignment="1">
      <alignment horizontal="center" wrapText="1"/>
    </xf>
    <xf numFmtId="0" fontId="1" fillId="0" borderId="2" xfId="0" applyNumberFormat="1" applyFont="1" applyFill="1" applyBorder="1" applyAlignment="1">
      <alignment horizontal="center" wrapText="1"/>
    </xf>
    <xf numFmtId="3" fontId="5" fillId="0" borderId="4" xfId="0" applyNumberFormat="1" applyFont="1" applyFill="1" applyBorder="1" applyAlignment="1">
      <alignment horizontal="center" vertical="center"/>
    </xf>
    <xf numFmtId="3" fontId="5" fillId="0" borderId="5" xfId="0" applyNumberFormat="1" applyFont="1" applyFill="1" applyBorder="1" applyAlignment="1">
      <alignment horizontal="center" vertical="center"/>
    </xf>
    <xf numFmtId="3" fontId="5" fillId="0" borderId="6" xfId="0" applyNumberFormat="1" applyFont="1" applyFill="1" applyBorder="1" applyAlignment="1">
      <alignment horizontal="center" vertical="center"/>
    </xf>
    <xf numFmtId="1" fontId="5" fillId="0" borderId="4" xfId="0" applyNumberFormat="1" applyFont="1" applyFill="1" applyBorder="1" applyAlignment="1">
      <alignment horizontal="center" vertical="center"/>
    </xf>
    <xf numFmtId="1" fontId="5" fillId="0" borderId="5" xfId="0" applyNumberFormat="1" applyFont="1" applyFill="1" applyBorder="1" applyAlignment="1">
      <alignment horizontal="center" vertical="center"/>
    </xf>
    <xf numFmtId="1" fontId="5" fillId="0" borderId="6" xfId="0" applyNumberFormat="1" applyFont="1" applyFill="1" applyBorder="1" applyAlignment="1">
      <alignment horizontal="center" vertical="center"/>
    </xf>
    <xf numFmtId="3" fontId="6" fillId="0" borderId="4" xfId="0" applyNumberFormat="1" applyFont="1" applyFill="1" applyBorder="1" applyAlignment="1">
      <alignment horizontal="center" vertical="center"/>
    </xf>
    <xf numFmtId="3" fontId="6" fillId="0" borderId="5" xfId="0" applyNumberFormat="1" applyFont="1" applyFill="1" applyBorder="1" applyAlignment="1">
      <alignment horizontal="center" vertical="center"/>
    </xf>
    <xf numFmtId="3" fontId="6" fillId="0" borderId="6" xfId="0" applyNumberFormat="1" applyFont="1" applyFill="1" applyBorder="1" applyAlignment="1">
      <alignment horizontal="center" vertical="center"/>
    </xf>
    <xf numFmtId="0" fontId="23" fillId="0" borderId="3" xfId="0" applyFont="1" applyFill="1" applyBorder="1" applyAlignment="1">
      <alignment horizontal="left" vertical="top" wrapText="1"/>
    </xf>
    <xf numFmtId="0" fontId="21" fillId="0" borderId="4" xfId="0" applyFont="1" applyBorder="1" applyAlignment="1">
      <alignment horizontal="center"/>
    </xf>
    <xf numFmtId="0" fontId="21" fillId="0" borderId="6" xfId="0" applyFont="1" applyBorder="1" applyAlignment="1">
      <alignment horizontal="center"/>
    </xf>
    <xf numFmtId="164" fontId="9" fillId="0" borderId="0" xfId="0" applyNumberFormat="1" applyFont="1" applyFill="1" applyBorder="1" applyAlignment="1">
      <alignment wrapText="1"/>
    </xf>
    <xf numFmtId="164" fontId="9" fillId="0" borderId="0" xfId="0" applyNumberFormat="1" applyFont="1" applyFill="1" applyAlignment="1">
      <alignment wrapText="1"/>
    </xf>
    <xf numFmtId="0" fontId="1" fillId="0" borderId="1"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164" fontId="9" fillId="0" borderId="0" xfId="0" applyNumberFormat="1" applyFont="1" applyFill="1" applyAlignment="1">
      <alignment horizontal="left" vertical="center" wrapText="1"/>
    </xf>
    <xf numFmtId="0" fontId="3" fillId="0" borderId="0" xfId="0" applyFont="1" applyFill="1" applyAlignment="1">
      <alignment horizontal="left" vertical="top" wrapText="1"/>
    </xf>
    <xf numFmtId="0" fontId="4" fillId="0" borderId="0" xfId="0" applyFont="1" applyAlignment="1">
      <alignment vertical="top" wrapText="1"/>
    </xf>
    <xf numFmtId="0" fontId="20" fillId="0" borderId="7" xfId="0" applyFont="1" applyFill="1" applyBorder="1" applyAlignment="1">
      <alignment vertical="top"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2" fillId="0" borderId="1" xfId="0" applyFont="1" applyFill="1" applyBorder="1" applyAlignment="1">
      <alignment horizontal="center" vertical="center" wrapText="1"/>
    </xf>
    <xf numFmtId="0" fontId="13"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3" fillId="0" borderId="0" xfId="0" applyFont="1" applyFill="1" applyAlignment="1">
      <alignment wrapText="1"/>
    </xf>
    <xf numFmtId="0" fontId="3" fillId="0" borderId="0" xfId="0" applyFont="1" applyFill="1" applyAlignment="1">
      <alignment horizontal="left" wrapText="1"/>
    </xf>
    <xf numFmtId="0" fontId="3" fillId="0" borderId="0" xfId="0" applyFont="1" applyFill="1" applyAlignment="1"/>
    <xf numFmtId="0" fontId="10" fillId="0" borderId="1" xfId="0" applyFont="1" applyBorder="1" applyAlignment="1">
      <alignment horizontal="center"/>
    </xf>
    <xf numFmtId="0" fontId="27" fillId="0" borderId="18" xfId="2" applyBorder="1" applyAlignment="1">
      <alignment horizontal="center"/>
    </xf>
    <xf numFmtId="0" fontId="27" fillId="0" borderId="0" xfId="2" applyAlignment="1">
      <alignment horizontal="center"/>
    </xf>
  </cellXfs>
  <cellStyles count="3">
    <cellStyle name="Normal" xfId="0" builtinId="0"/>
    <cellStyle name="Normal_HMIWI EG SS" xfId="1" xr:uid="{00000000-0005-0000-0000-000001000000}"/>
    <cellStyle name="Normal_ICR Cost Inputs" xfId="2" xr:uid="{CBF69C56-0C3D-45F7-B6F8-CEDA784C21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6"/>
  <sheetViews>
    <sheetView topLeftCell="A45" workbookViewId="0">
      <selection activeCell="I54" sqref="I54"/>
    </sheetView>
  </sheetViews>
  <sheetFormatPr defaultColWidth="9.1796875" defaultRowHeight="14.5" x14ac:dyDescent="0.35"/>
  <cols>
    <col min="1" max="1" width="42.453125" style="9" customWidth="1"/>
    <col min="2" max="2" width="13.7265625" style="9" customWidth="1"/>
    <col min="3" max="3" width="13.26953125" style="9" customWidth="1"/>
    <col min="4" max="4" width="12.26953125" style="9" customWidth="1"/>
    <col min="5" max="5" width="11.26953125" style="9" customWidth="1"/>
    <col min="6" max="6" width="10.7265625" style="9" customWidth="1"/>
    <col min="7" max="7" width="11" style="9" customWidth="1"/>
    <col min="8" max="8" width="9.453125" style="9" customWidth="1"/>
    <col min="9" max="9" width="10.81640625" style="9" bestFit="1" customWidth="1"/>
    <col min="10" max="10" width="9.1796875" style="9"/>
    <col min="11" max="11" width="12.1796875" style="9" customWidth="1"/>
    <col min="12" max="12" width="15.1796875" style="9" customWidth="1"/>
    <col min="13" max="13" width="16.453125" style="9" customWidth="1"/>
    <col min="14" max="16384" width="9.1796875" style="9"/>
  </cols>
  <sheetData>
    <row r="1" spans="1:12" ht="15" x14ac:dyDescent="0.35">
      <c r="A1" s="104" t="s">
        <v>157</v>
      </c>
      <c r="B1" s="104"/>
      <c r="C1" s="104"/>
      <c r="D1" s="104"/>
      <c r="E1" s="104"/>
      <c r="F1" s="104"/>
      <c r="G1" s="104"/>
      <c r="H1" s="104"/>
      <c r="I1" s="104"/>
    </row>
    <row r="3" spans="1:12" x14ac:dyDescent="0.35">
      <c r="A3" s="109" t="s">
        <v>0</v>
      </c>
      <c r="B3" s="1" t="s">
        <v>1</v>
      </c>
      <c r="C3" s="1" t="s">
        <v>2</v>
      </c>
      <c r="D3" s="1" t="s">
        <v>3</v>
      </c>
      <c r="E3" s="1" t="s">
        <v>4</v>
      </c>
      <c r="F3" s="1" t="s">
        <v>5</v>
      </c>
      <c r="G3" s="1" t="s">
        <v>6</v>
      </c>
      <c r="H3" s="1" t="s">
        <v>7</v>
      </c>
      <c r="I3" s="2" t="s">
        <v>8</v>
      </c>
    </row>
    <row r="4" spans="1:12" ht="77.25" customHeight="1" x14ac:dyDescent="0.35">
      <c r="A4" s="110"/>
      <c r="B4" s="3" t="s">
        <v>9</v>
      </c>
      <c r="C4" s="3" t="s">
        <v>10</v>
      </c>
      <c r="D4" s="3" t="s">
        <v>11</v>
      </c>
      <c r="E4" s="3" t="s">
        <v>12</v>
      </c>
      <c r="F4" s="3" t="s">
        <v>16</v>
      </c>
      <c r="G4" s="3" t="s">
        <v>13</v>
      </c>
      <c r="H4" s="3" t="s">
        <v>14</v>
      </c>
      <c r="I4" s="4" t="s">
        <v>15</v>
      </c>
    </row>
    <row r="5" spans="1:12" x14ac:dyDescent="0.35">
      <c r="A5" s="6" t="s">
        <v>17</v>
      </c>
      <c r="B5" s="8" t="s">
        <v>41</v>
      </c>
      <c r="C5" s="8"/>
      <c r="D5" s="8"/>
      <c r="E5" s="8"/>
      <c r="F5" s="8"/>
      <c r="G5" s="8"/>
      <c r="H5" s="8"/>
      <c r="I5" s="10"/>
      <c r="K5" s="105" t="s">
        <v>95</v>
      </c>
      <c r="L5" s="105"/>
    </row>
    <row r="6" spans="1:12" x14ac:dyDescent="0.35">
      <c r="A6" s="6" t="s">
        <v>18</v>
      </c>
      <c r="B6" s="8" t="s">
        <v>41</v>
      </c>
      <c r="C6" s="8"/>
      <c r="D6" s="8"/>
      <c r="E6" s="8"/>
      <c r="F6" s="8"/>
      <c r="G6" s="8"/>
      <c r="H6" s="8"/>
      <c r="I6" s="10"/>
      <c r="K6" s="40" t="s">
        <v>96</v>
      </c>
      <c r="L6" s="44">
        <v>49.44</v>
      </c>
    </row>
    <row r="7" spans="1:12" x14ac:dyDescent="0.35">
      <c r="A7" s="6" t="s">
        <v>19</v>
      </c>
      <c r="B7" s="8"/>
      <c r="C7" s="8"/>
      <c r="D7" s="8"/>
      <c r="E7" s="8"/>
      <c r="F7" s="8"/>
      <c r="G7" s="8"/>
      <c r="H7" s="8"/>
      <c r="I7" s="10"/>
      <c r="K7" s="40" t="s">
        <v>97</v>
      </c>
      <c r="L7" s="45">
        <v>66.62</v>
      </c>
    </row>
    <row r="8" spans="1:12" x14ac:dyDescent="0.35">
      <c r="A8" s="52" t="s">
        <v>112</v>
      </c>
      <c r="B8" s="8"/>
      <c r="C8" s="8"/>
      <c r="D8" s="8"/>
      <c r="E8" s="8"/>
      <c r="F8" s="8"/>
      <c r="G8" s="8"/>
      <c r="H8" s="8"/>
      <c r="I8" s="11"/>
      <c r="K8" s="40" t="s">
        <v>98</v>
      </c>
      <c r="L8" s="45">
        <v>26.75</v>
      </c>
    </row>
    <row r="9" spans="1:12" ht="15.5" x14ac:dyDescent="0.35">
      <c r="A9" s="50" t="s">
        <v>126</v>
      </c>
      <c r="B9" s="8">
        <v>40</v>
      </c>
      <c r="C9" s="8">
        <v>1</v>
      </c>
      <c r="D9" s="8">
        <f t="shared" ref="D9:D10" si="0">B9*C9</f>
        <v>40</v>
      </c>
      <c r="E9" s="8">
        <v>1</v>
      </c>
      <c r="F9" s="8">
        <f t="shared" ref="F9:F10" si="1">D9*E9</f>
        <v>40</v>
      </c>
      <c r="G9" s="8">
        <f t="shared" ref="G9:G10" si="2">F9*0.05</f>
        <v>2</v>
      </c>
      <c r="H9" s="8">
        <f t="shared" ref="H9:H10" si="3">F9*0.1</f>
        <v>4</v>
      </c>
      <c r="I9" s="11">
        <f t="shared" ref="I9:I10" si="4">F9*$L$6+G9*$L$7+H9*$L$8</f>
        <v>2217.84</v>
      </c>
      <c r="J9" s="54"/>
      <c r="K9" s="55"/>
      <c r="L9" s="56"/>
    </row>
    <row r="10" spans="1:12" ht="15.5" x14ac:dyDescent="0.35">
      <c r="A10" s="50" t="s">
        <v>127</v>
      </c>
      <c r="B10" s="8">
        <v>4</v>
      </c>
      <c r="C10" s="8">
        <v>1</v>
      </c>
      <c r="D10" s="8">
        <f t="shared" si="0"/>
        <v>4</v>
      </c>
      <c r="E10" s="8">
        <f>'Capital and O&amp;M'!C22</f>
        <v>7</v>
      </c>
      <c r="F10" s="8">
        <f t="shared" si="1"/>
        <v>28</v>
      </c>
      <c r="G10" s="8">
        <f t="shared" si="2"/>
        <v>1.4000000000000001</v>
      </c>
      <c r="H10" s="53">
        <f t="shared" si="3"/>
        <v>2.8000000000000003</v>
      </c>
      <c r="I10" s="11">
        <f t="shared" si="4"/>
        <v>1552.4880000000001</v>
      </c>
      <c r="J10" s="54"/>
      <c r="K10" s="55"/>
      <c r="L10" s="56"/>
    </row>
    <row r="11" spans="1:12" x14ac:dyDescent="0.35">
      <c r="A11" s="52" t="s">
        <v>113</v>
      </c>
      <c r="B11" s="8"/>
      <c r="C11" s="8"/>
      <c r="D11" s="8"/>
      <c r="E11" s="8"/>
      <c r="F11" s="8"/>
      <c r="G11" s="8"/>
      <c r="H11" s="8"/>
      <c r="I11" s="11"/>
      <c r="K11" s="54"/>
    </row>
    <row r="12" spans="1:12" ht="15.5" x14ac:dyDescent="0.35">
      <c r="A12" s="50" t="s">
        <v>128</v>
      </c>
      <c r="B12" s="8">
        <v>40</v>
      </c>
      <c r="C12" s="8">
        <v>1</v>
      </c>
      <c r="D12" s="8">
        <f t="shared" ref="D12:D49" si="5">B12*C12</f>
        <v>40</v>
      </c>
      <c r="E12" s="8">
        <f>E9</f>
        <v>1</v>
      </c>
      <c r="F12" s="8">
        <f t="shared" ref="F12:F49" si="6">D12*E12</f>
        <v>40</v>
      </c>
      <c r="G12" s="8">
        <f t="shared" ref="G12:G49" si="7">F12*0.05</f>
        <v>2</v>
      </c>
      <c r="H12" s="8">
        <f t="shared" ref="H12:H49" si="8">F12*0.1</f>
        <v>4</v>
      </c>
      <c r="I12" s="11">
        <f>F12*$L$6+G12*$L$7+H12*$L$8</f>
        <v>2217.84</v>
      </c>
    </row>
    <row r="13" spans="1:12" ht="28.5" x14ac:dyDescent="0.35">
      <c r="A13" s="50" t="s">
        <v>129</v>
      </c>
      <c r="B13" s="8">
        <v>40</v>
      </c>
      <c r="C13" s="8">
        <v>0.33</v>
      </c>
      <c r="D13" s="8">
        <f t="shared" si="5"/>
        <v>13.200000000000001</v>
      </c>
      <c r="E13" s="46">
        <f>E10*0.33</f>
        <v>2.31</v>
      </c>
      <c r="F13" s="53">
        <f t="shared" si="6"/>
        <v>30.492000000000004</v>
      </c>
      <c r="G13" s="46">
        <f t="shared" si="7"/>
        <v>1.5246000000000004</v>
      </c>
      <c r="H13" s="53">
        <f t="shared" si="8"/>
        <v>3.0492000000000008</v>
      </c>
      <c r="I13" s="11">
        <f>F13*$L$6+G13*$L$7+H13*$L$8</f>
        <v>1690.6594320000002</v>
      </c>
    </row>
    <row r="14" spans="1:12" x14ac:dyDescent="0.35">
      <c r="A14" s="50" t="s">
        <v>20</v>
      </c>
      <c r="B14" s="8"/>
      <c r="C14" s="8"/>
      <c r="D14" s="8"/>
      <c r="E14" s="8"/>
      <c r="F14" s="8"/>
      <c r="G14" s="8"/>
      <c r="H14" s="8"/>
      <c r="I14" s="11"/>
    </row>
    <row r="15" spans="1:12" ht="28.5" x14ac:dyDescent="0.35">
      <c r="A15" s="51" t="s">
        <v>117</v>
      </c>
      <c r="B15" s="8">
        <v>64</v>
      </c>
      <c r="C15" s="8">
        <v>1</v>
      </c>
      <c r="D15" s="8">
        <f t="shared" si="5"/>
        <v>64</v>
      </c>
      <c r="E15" s="8">
        <f>E9</f>
        <v>1</v>
      </c>
      <c r="F15" s="8">
        <f t="shared" si="6"/>
        <v>64</v>
      </c>
      <c r="G15" s="53">
        <f t="shared" si="7"/>
        <v>3.2</v>
      </c>
      <c r="H15" s="53">
        <f t="shared" si="8"/>
        <v>6.4</v>
      </c>
      <c r="I15" s="11">
        <f>F15*$L$6+G15*$L$7+H15*$L$8</f>
        <v>3548.5439999999999</v>
      </c>
    </row>
    <row r="16" spans="1:12" ht="15.5" x14ac:dyDescent="0.35">
      <c r="A16" s="51" t="s">
        <v>118</v>
      </c>
      <c r="B16" s="8">
        <v>72</v>
      </c>
      <c r="C16" s="8">
        <v>1</v>
      </c>
      <c r="D16" s="8">
        <f t="shared" si="5"/>
        <v>72</v>
      </c>
      <c r="E16" s="8">
        <f>E9</f>
        <v>1</v>
      </c>
      <c r="F16" s="8">
        <f t="shared" si="6"/>
        <v>72</v>
      </c>
      <c r="G16" s="53">
        <f t="shared" si="7"/>
        <v>3.6</v>
      </c>
      <c r="H16" s="53">
        <f t="shared" si="8"/>
        <v>7.2</v>
      </c>
      <c r="I16" s="11">
        <f>F16*$L$6+G16*$L$7+H16*$L$8</f>
        <v>3992.1119999999996</v>
      </c>
    </row>
    <row r="17" spans="1:9" ht="15.5" x14ac:dyDescent="0.35">
      <c r="A17" s="51" t="s">
        <v>155</v>
      </c>
      <c r="B17" s="8">
        <v>12</v>
      </c>
      <c r="C17" s="8">
        <v>1</v>
      </c>
      <c r="D17" s="8">
        <f t="shared" si="5"/>
        <v>12</v>
      </c>
      <c r="E17" s="8">
        <f>E10</f>
        <v>7</v>
      </c>
      <c r="F17" s="8">
        <f t="shared" si="6"/>
        <v>84</v>
      </c>
      <c r="G17" s="53">
        <f t="shared" si="7"/>
        <v>4.2</v>
      </c>
      <c r="H17" s="53">
        <f t="shared" si="8"/>
        <v>8.4</v>
      </c>
      <c r="I17" s="11">
        <f>F17*$L$6+G17*$L$7+H17*$L$8</f>
        <v>4657.4639999999999</v>
      </c>
    </row>
    <row r="18" spans="1:9" x14ac:dyDescent="0.35">
      <c r="A18" s="51" t="s">
        <v>21</v>
      </c>
      <c r="B18" s="8" t="s">
        <v>43</v>
      </c>
      <c r="C18" s="8"/>
      <c r="D18" s="8"/>
      <c r="E18" s="8"/>
      <c r="F18" s="8"/>
      <c r="G18" s="8"/>
      <c r="H18" s="8"/>
      <c r="I18" s="11"/>
    </row>
    <row r="19" spans="1:9" ht="28.5" x14ac:dyDescent="0.35">
      <c r="A19" s="51" t="s">
        <v>139</v>
      </c>
      <c r="B19" s="8">
        <v>8</v>
      </c>
      <c r="C19" s="8">
        <v>1</v>
      </c>
      <c r="D19" s="8">
        <f t="shared" si="5"/>
        <v>8</v>
      </c>
      <c r="E19" s="8">
        <f>E10</f>
        <v>7</v>
      </c>
      <c r="F19" s="8">
        <f t="shared" si="6"/>
        <v>56</v>
      </c>
      <c r="G19" s="53">
        <f t="shared" si="7"/>
        <v>2.8000000000000003</v>
      </c>
      <c r="H19" s="53">
        <f t="shared" si="8"/>
        <v>5.6000000000000005</v>
      </c>
      <c r="I19" s="11">
        <f>F19*$L$6+G19*$L$7+H19*$L$8</f>
        <v>3104.9760000000001</v>
      </c>
    </row>
    <row r="20" spans="1:9" ht="28.5" x14ac:dyDescent="0.35">
      <c r="A20" s="50" t="s">
        <v>140</v>
      </c>
      <c r="B20" s="8">
        <v>40</v>
      </c>
      <c r="C20" s="8">
        <v>1</v>
      </c>
      <c r="D20" s="8">
        <f t="shared" si="5"/>
        <v>40</v>
      </c>
      <c r="E20" s="8">
        <f>E9</f>
        <v>1</v>
      </c>
      <c r="F20" s="8">
        <f t="shared" si="6"/>
        <v>40</v>
      </c>
      <c r="G20" s="8">
        <f t="shared" si="7"/>
        <v>2</v>
      </c>
      <c r="H20" s="8">
        <f t="shared" si="8"/>
        <v>4</v>
      </c>
      <c r="I20" s="11">
        <f>F20*$L$6+G20*$L$7+H20*$L$8</f>
        <v>2217.84</v>
      </c>
    </row>
    <row r="21" spans="1:9" ht="28.5" x14ac:dyDescent="0.35">
      <c r="A21" s="50" t="s">
        <v>156</v>
      </c>
      <c r="B21" s="8">
        <v>11</v>
      </c>
      <c r="C21" s="8">
        <v>1</v>
      </c>
      <c r="D21" s="8">
        <f t="shared" si="5"/>
        <v>11</v>
      </c>
      <c r="E21" s="8">
        <f>E10</f>
        <v>7</v>
      </c>
      <c r="F21" s="8">
        <f t="shared" si="6"/>
        <v>77</v>
      </c>
      <c r="G21" s="53">
        <f t="shared" si="7"/>
        <v>3.85</v>
      </c>
      <c r="H21" s="53">
        <f t="shared" si="8"/>
        <v>7.7</v>
      </c>
      <c r="I21" s="11">
        <f>F21*$L$6+G21*$L$7+H21*$L$8</f>
        <v>4269.3419999999996</v>
      </c>
    </row>
    <row r="22" spans="1:9" x14ac:dyDescent="0.35">
      <c r="A22" s="52" t="s">
        <v>114</v>
      </c>
      <c r="B22" s="8" t="s">
        <v>42</v>
      </c>
      <c r="C22" s="8"/>
      <c r="D22" s="8"/>
      <c r="E22" s="8"/>
      <c r="F22" s="8"/>
      <c r="G22" s="8"/>
      <c r="H22" s="8"/>
      <c r="I22" s="11"/>
    </row>
    <row r="23" spans="1:9" x14ac:dyDescent="0.35">
      <c r="A23" s="52" t="s">
        <v>115</v>
      </c>
      <c r="B23" s="8" t="s">
        <v>44</v>
      </c>
      <c r="C23" s="8"/>
      <c r="D23" s="8"/>
      <c r="E23" s="8"/>
      <c r="F23" s="8"/>
      <c r="G23" s="8"/>
      <c r="H23" s="8"/>
      <c r="I23" s="11"/>
    </row>
    <row r="24" spans="1:9" x14ac:dyDescent="0.35">
      <c r="A24" s="52" t="s">
        <v>116</v>
      </c>
      <c r="B24" s="8"/>
      <c r="C24" s="8"/>
      <c r="D24" s="8"/>
      <c r="E24" s="8"/>
      <c r="F24" s="8"/>
      <c r="G24" s="8"/>
      <c r="H24" s="8"/>
      <c r="I24" s="11"/>
    </row>
    <row r="25" spans="1:9" ht="28.5" x14ac:dyDescent="0.35">
      <c r="A25" s="50" t="s">
        <v>22</v>
      </c>
      <c r="B25" s="8">
        <v>160</v>
      </c>
      <c r="C25" s="8">
        <v>1</v>
      </c>
      <c r="D25" s="8">
        <f t="shared" si="5"/>
        <v>160</v>
      </c>
      <c r="E25" s="8">
        <f>E9</f>
        <v>1</v>
      </c>
      <c r="F25" s="8">
        <f t="shared" si="6"/>
        <v>160</v>
      </c>
      <c r="G25" s="8">
        <f t="shared" si="7"/>
        <v>8</v>
      </c>
      <c r="H25" s="8">
        <f t="shared" si="8"/>
        <v>16</v>
      </c>
      <c r="I25" s="11">
        <f t="shared" ref="I25:I33" si="9">F25*$L$6+G25*$L$7+H25*$L$8</f>
        <v>8871.36</v>
      </c>
    </row>
    <row r="26" spans="1:9" ht="28.5" x14ac:dyDescent="0.35">
      <c r="A26" s="50" t="s">
        <v>141</v>
      </c>
      <c r="B26" s="8">
        <v>40</v>
      </c>
      <c r="C26" s="8">
        <v>1</v>
      </c>
      <c r="D26" s="8">
        <f t="shared" si="5"/>
        <v>40</v>
      </c>
      <c r="E26" s="8">
        <f>E9</f>
        <v>1</v>
      </c>
      <c r="F26" s="8">
        <f t="shared" si="6"/>
        <v>40</v>
      </c>
      <c r="G26" s="8">
        <f t="shared" si="7"/>
        <v>2</v>
      </c>
      <c r="H26" s="8">
        <f t="shared" si="8"/>
        <v>4</v>
      </c>
      <c r="I26" s="11">
        <f t="shared" si="9"/>
        <v>2217.84</v>
      </c>
    </row>
    <row r="27" spans="1:9" ht="15.5" x14ac:dyDescent="0.35">
      <c r="A27" s="50" t="s">
        <v>23</v>
      </c>
      <c r="B27" s="8">
        <v>2</v>
      </c>
      <c r="C27" s="8">
        <v>1</v>
      </c>
      <c r="D27" s="8">
        <f t="shared" si="5"/>
        <v>2</v>
      </c>
      <c r="E27" s="8">
        <f>E9</f>
        <v>1</v>
      </c>
      <c r="F27" s="8">
        <f t="shared" si="6"/>
        <v>2</v>
      </c>
      <c r="G27" s="8">
        <f t="shared" si="7"/>
        <v>0.1</v>
      </c>
      <c r="H27" s="8">
        <f t="shared" si="8"/>
        <v>0.2</v>
      </c>
      <c r="I27" s="11">
        <f t="shared" si="9"/>
        <v>110.892</v>
      </c>
    </row>
    <row r="28" spans="1:9" ht="15.5" x14ac:dyDescent="0.35">
      <c r="A28" s="50" t="s">
        <v>108</v>
      </c>
      <c r="B28" s="8">
        <v>2</v>
      </c>
      <c r="C28" s="8">
        <v>1</v>
      </c>
      <c r="D28" s="8">
        <f t="shared" si="5"/>
        <v>2</v>
      </c>
      <c r="E28" s="8">
        <f>E9</f>
        <v>1</v>
      </c>
      <c r="F28" s="8">
        <f t="shared" si="6"/>
        <v>2</v>
      </c>
      <c r="G28" s="8">
        <f t="shared" si="7"/>
        <v>0.1</v>
      </c>
      <c r="H28" s="8">
        <f t="shared" si="8"/>
        <v>0.2</v>
      </c>
      <c r="I28" s="11">
        <f t="shared" si="9"/>
        <v>110.892</v>
      </c>
    </row>
    <row r="29" spans="1:9" x14ac:dyDescent="0.35">
      <c r="A29" s="50" t="s">
        <v>24</v>
      </c>
      <c r="B29" s="8">
        <v>40</v>
      </c>
      <c r="C29" s="8">
        <v>1</v>
      </c>
      <c r="D29" s="8">
        <f t="shared" si="5"/>
        <v>40</v>
      </c>
      <c r="E29" s="8">
        <f>E9</f>
        <v>1</v>
      </c>
      <c r="F29" s="8">
        <f t="shared" si="6"/>
        <v>40</v>
      </c>
      <c r="G29" s="8">
        <f t="shared" si="7"/>
        <v>2</v>
      </c>
      <c r="H29" s="8">
        <f t="shared" si="8"/>
        <v>4</v>
      </c>
      <c r="I29" s="11">
        <f t="shared" si="9"/>
        <v>2217.84</v>
      </c>
    </row>
    <row r="30" spans="1:9" x14ac:dyDescent="0.35">
      <c r="A30" s="50" t="s">
        <v>25</v>
      </c>
      <c r="B30" s="8">
        <v>40</v>
      </c>
      <c r="C30" s="8">
        <v>1</v>
      </c>
      <c r="D30" s="8">
        <f t="shared" si="5"/>
        <v>40</v>
      </c>
      <c r="E30" s="8">
        <f>E10</f>
        <v>7</v>
      </c>
      <c r="F30" s="8">
        <f t="shared" si="6"/>
        <v>280</v>
      </c>
      <c r="G30" s="8">
        <f t="shared" si="7"/>
        <v>14</v>
      </c>
      <c r="H30" s="8">
        <f t="shared" si="8"/>
        <v>28</v>
      </c>
      <c r="I30" s="11">
        <f t="shared" si="9"/>
        <v>15524.88</v>
      </c>
    </row>
    <row r="31" spans="1:9" ht="28.5" x14ac:dyDescent="0.35">
      <c r="A31" s="50" t="s">
        <v>122</v>
      </c>
      <c r="B31" s="8">
        <v>8</v>
      </c>
      <c r="C31" s="8">
        <v>1</v>
      </c>
      <c r="D31" s="8">
        <f t="shared" si="5"/>
        <v>8</v>
      </c>
      <c r="E31" s="8">
        <f>(E10)*0.1</f>
        <v>0.70000000000000007</v>
      </c>
      <c r="F31" s="8">
        <f t="shared" si="6"/>
        <v>5.6000000000000005</v>
      </c>
      <c r="G31" s="46">
        <f t="shared" si="7"/>
        <v>0.28000000000000003</v>
      </c>
      <c r="H31" s="46">
        <f t="shared" si="8"/>
        <v>0.56000000000000005</v>
      </c>
      <c r="I31" s="11">
        <f t="shared" si="9"/>
        <v>310.49760000000003</v>
      </c>
    </row>
    <row r="32" spans="1:9" ht="28.5" x14ac:dyDescent="0.35">
      <c r="A32" s="50" t="s">
        <v>121</v>
      </c>
      <c r="B32" s="8">
        <v>8</v>
      </c>
      <c r="C32" s="8">
        <v>2</v>
      </c>
      <c r="D32" s="8">
        <f t="shared" si="5"/>
        <v>16</v>
      </c>
      <c r="E32" s="8">
        <f>(E10)*0.1</f>
        <v>0.70000000000000007</v>
      </c>
      <c r="F32" s="8">
        <f t="shared" si="6"/>
        <v>11.200000000000001</v>
      </c>
      <c r="G32" s="46">
        <f t="shared" si="7"/>
        <v>0.56000000000000005</v>
      </c>
      <c r="H32" s="46">
        <f t="shared" si="8"/>
        <v>1.1200000000000001</v>
      </c>
      <c r="I32" s="11">
        <f t="shared" si="9"/>
        <v>620.99520000000007</v>
      </c>
    </row>
    <row r="33" spans="1:11" ht="15.5" x14ac:dyDescent="0.35">
      <c r="A33" s="50" t="s">
        <v>120</v>
      </c>
      <c r="B33" s="8">
        <v>24</v>
      </c>
      <c r="C33" s="8">
        <v>2</v>
      </c>
      <c r="D33" s="8">
        <f t="shared" si="5"/>
        <v>48</v>
      </c>
      <c r="E33" s="8">
        <f>(E10)*0.1</f>
        <v>0.70000000000000007</v>
      </c>
      <c r="F33" s="53">
        <f t="shared" si="6"/>
        <v>33.6</v>
      </c>
      <c r="G33" s="46">
        <f t="shared" si="7"/>
        <v>1.6800000000000002</v>
      </c>
      <c r="H33" s="46">
        <f t="shared" si="8"/>
        <v>3.3600000000000003</v>
      </c>
      <c r="I33" s="11">
        <f t="shared" si="9"/>
        <v>1862.9856</v>
      </c>
    </row>
    <row r="34" spans="1:11" x14ac:dyDescent="0.35">
      <c r="A34" s="12" t="s">
        <v>26</v>
      </c>
      <c r="B34" s="8"/>
      <c r="C34" s="8"/>
      <c r="D34" s="8"/>
      <c r="E34" s="8"/>
      <c r="F34" s="111">
        <f>SUM(F8:H33)</f>
        <v>1271.7757999999999</v>
      </c>
      <c r="G34" s="112"/>
      <c r="H34" s="113"/>
      <c r="I34" s="41">
        <f>SUM(I8:I33)</f>
        <v>61317.287831999987</v>
      </c>
    </row>
    <row r="35" spans="1:11" x14ac:dyDescent="0.35">
      <c r="A35" s="6" t="s">
        <v>27</v>
      </c>
      <c r="B35" s="8"/>
      <c r="C35" s="8"/>
      <c r="D35" s="8"/>
      <c r="E35" s="8"/>
      <c r="F35" s="8"/>
      <c r="G35" s="8"/>
      <c r="H35" s="8"/>
      <c r="I35" s="11"/>
    </row>
    <row r="36" spans="1:11" x14ac:dyDescent="0.35">
      <c r="A36" s="52" t="s">
        <v>109</v>
      </c>
      <c r="B36" s="8" t="s">
        <v>43</v>
      </c>
      <c r="C36" s="8"/>
      <c r="D36" s="8"/>
      <c r="E36" s="8"/>
      <c r="F36" s="8"/>
      <c r="G36" s="8"/>
      <c r="H36" s="8"/>
      <c r="I36" s="11"/>
    </row>
    <row r="37" spans="1:11" x14ac:dyDescent="0.35">
      <c r="A37" s="52" t="s">
        <v>110</v>
      </c>
      <c r="B37" s="8" t="s">
        <v>41</v>
      </c>
      <c r="C37" s="8"/>
      <c r="D37" s="8"/>
      <c r="E37" s="8"/>
      <c r="F37" s="8"/>
      <c r="G37" s="8"/>
      <c r="H37" s="8"/>
      <c r="I37" s="11"/>
    </row>
    <row r="38" spans="1:11" x14ac:dyDescent="0.35">
      <c r="A38" s="52" t="s">
        <v>111</v>
      </c>
      <c r="B38" s="8" t="s">
        <v>41</v>
      </c>
      <c r="C38" s="8"/>
      <c r="D38" s="8"/>
      <c r="E38" s="8"/>
      <c r="F38" s="8"/>
      <c r="G38" s="8"/>
      <c r="H38" s="8"/>
      <c r="I38" s="11"/>
    </row>
    <row r="39" spans="1:11" x14ac:dyDescent="0.35">
      <c r="A39" s="52" t="s">
        <v>28</v>
      </c>
      <c r="B39" s="8" t="s">
        <v>41</v>
      </c>
      <c r="C39" s="8"/>
      <c r="D39" s="8"/>
      <c r="E39" s="8"/>
      <c r="F39" s="8"/>
      <c r="G39" s="8"/>
      <c r="H39" s="8"/>
      <c r="I39" s="11"/>
      <c r="K39" s="59"/>
    </row>
    <row r="40" spans="1:11" x14ac:dyDescent="0.35">
      <c r="A40" s="52" t="s">
        <v>29</v>
      </c>
      <c r="B40" s="8"/>
      <c r="C40" s="8"/>
      <c r="D40" s="8"/>
      <c r="E40" s="8"/>
      <c r="F40" s="8"/>
      <c r="G40" s="8"/>
      <c r="H40" s="8"/>
      <c r="I40" s="11"/>
    </row>
    <row r="41" spans="1:11" x14ac:dyDescent="0.35">
      <c r="A41" s="50" t="s">
        <v>30</v>
      </c>
      <c r="B41" s="8">
        <v>2</v>
      </c>
      <c r="C41" s="8">
        <v>52</v>
      </c>
      <c r="D41" s="8">
        <f t="shared" si="5"/>
        <v>104</v>
      </c>
      <c r="E41" s="8">
        <v>0</v>
      </c>
      <c r="F41" s="8">
        <f t="shared" si="6"/>
        <v>0</v>
      </c>
      <c r="G41" s="8">
        <f t="shared" si="7"/>
        <v>0</v>
      </c>
      <c r="H41" s="8">
        <f t="shared" si="8"/>
        <v>0</v>
      </c>
      <c r="I41" s="60">
        <f t="shared" ref="I41:I49" si="10">F41*$L$6+G41*$L$7+H41*$L$8</f>
        <v>0</v>
      </c>
    </row>
    <row r="42" spans="1:11" ht="28.5" x14ac:dyDescent="0.35">
      <c r="A42" s="50" t="s">
        <v>148</v>
      </c>
      <c r="B42" s="8">
        <v>2</v>
      </c>
      <c r="C42" s="8">
        <v>1</v>
      </c>
      <c r="D42" s="8">
        <f t="shared" si="5"/>
        <v>2</v>
      </c>
      <c r="E42" s="8">
        <f>E33</f>
        <v>0.70000000000000007</v>
      </c>
      <c r="F42" s="8">
        <f t="shared" si="6"/>
        <v>1.4000000000000001</v>
      </c>
      <c r="G42" s="8">
        <f t="shared" si="7"/>
        <v>7.0000000000000007E-2</v>
      </c>
      <c r="H42" s="8">
        <f t="shared" si="8"/>
        <v>0.14000000000000001</v>
      </c>
      <c r="I42" s="11">
        <f t="shared" si="10"/>
        <v>77.624400000000009</v>
      </c>
    </row>
    <row r="43" spans="1:11" x14ac:dyDescent="0.35">
      <c r="A43" s="50" t="s">
        <v>31</v>
      </c>
      <c r="B43" s="8">
        <v>2</v>
      </c>
      <c r="C43" s="8">
        <v>1</v>
      </c>
      <c r="D43" s="8">
        <f t="shared" si="5"/>
        <v>2</v>
      </c>
      <c r="E43" s="53">
        <f>E10</f>
        <v>7</v>
      </c>
      <c r="F43" s="53">
        <f t="shared" si="6"/>
        <v>14</v>
      </c>
      <c r="G43" s="46">
        <f t="shared" si="7"/>
        <v>0.70000000000000007</v>
      </c>
      <c r="H43" s="46">
        <f t="shared" si="8"/>
        <v>1.4000000000000001</v>
      </c>
      <c r="I43" s="11">
        <f t="shared" si="10"/>
        <v>776.24400000000003</v>
      </c>
    </row>
    <row r="44" spans="1:11" x14ac:dyDescent="0.35">
      <c r="A44" s="50" t="s">
        <v>32</v>
      </c>
      <c r="B44" s="8">
        <v>2</v>
      </c>
      <c r="C44" s="8">
        <v>1</v>
      </c>
      <c r="D44" s="8">
        <f t="shared" si="5"/>
        <v>2</v>
      </c>
      <c r="E44" s="8">
        <f>E10</f>
        <v>7</v>
      </c>
      <c r="F44" s="8">
        <f t="shared" si="6"/>
        <v>14</v>
      </c>
      <c r="G44" s="8">
        <f t="shared" si="7"/>
        <v>0.70000000000000007</v>
      </c>
      <c r="H44" s="8">
        <f t="shared" si="8"/>
        <v>1.4000000000000001</v>
      </c>
      <c r="I44" s="11">
        <f t="shared" si="10"/>
        <v>776.24400000000003</v>
      </c>
      <c r="K44" s="54"/>
    </row>
    <row r="45" spans="1:11" ht="26" x14ac:dyDescent="0.35">
      <c r="A45" s="50" t="s">
        <v>33</v>
      </c>
      <c r="B45" s="8">
        <v>2</v>
      </c>
      <c r="C45" s="8">
        <v>1</v>
      </c>
      <c r="D45" s="8">
        <f t="shared" si="5"/>
        <v>2</v>
      </c>
      <c r="E45" s="8">
        <f>E10</f>
        <v>7</v>
      </c>
      <c r="F45" s="8">
        <f t="shared" si="6"/>
        <v>14</v>
      </c>
      <c r="G45" s="8">
        <f t="shared" si="7"/>
        <v>0.70000000000000007</v>
      </c>
      <c r="H45" s="8">
        <f t="shared" si="8"/>
        <v>1.4000000000000001</v>
      </c>
      <c r="I45" s="11">
        <f t="shared" si="10"/>
        <v>776.24400000000003</v>
      </c>
      <c r="K45" s="54"/>
    </row>
    <row r="46" spans="1:11" ht="26" x14ac:dyDescent="0.35">
      <c r="A46" s="50" t="s">
        <v>34</v>
      </c>
      <c r="B46" s="8">
        <v>2</v>
      </c>
      <c r="C46" s="8">
        <v>1</v>
      </c>
      <c r="D46" s="8">
        <f t="shared" si="5"/>
        <v>2</v>
      </c>
      <c r="E46" s="8">
        <f>E10</f>
        <v>7</v>
      </c>
      <c r="F46" s="8">
        <f t="shared" si="6"/>
        <v>14</v>
      </c>
      <c r="G46" s="8">
        <f t="shared" si="7"/>
        <v>0.70000000000000007</v>
      </c>
      <c r="H46" s="8">
        <f t="shared" si="8"/>
        <v>1.4000000000000001</v>
      </c>
      <c r="I46" s="11">
        <f t="shared" si="10"/>
        <v>776.24400000000003</v>
      </c>
      <c r="K46" s="54"/>
    </row>
    <row r="47" spans="1:11" ht="26" x14ac:dyDescent="0.35">
      <c r="A47" s="50" t="s">
        <v>35</v>
      </c>
      <c r="B47" s="8">
        <v>2</v>
      </c>
      <c r="C47" s="8">
        <v>1</v>
      </c>
      <c r="D47" s="8">
        <f t="shared" si="5"/>
        <v>2</v>
      </c>
      <c r="E47" s="8">
        <f>E10</f>
        <v>7</v>
      </c>
      <c r="F47" s="8">
        <f t="shared" si="6"/>
        <v>14</v>
      </c>
      <c r="G47" s="8">
        <f t="shared" si="7"/>
        <v>0.70000000000000007</v>
      </c>
      <c r="H47" s="8">
        <f t="shared" si="8"/>
        <v>1.4000000000000001</v>
      </c>
      <c r="I47" s="11">
        <f t="shared" si="10"/>
        <v>776.24400000000003</v>
      </c>
      <c r="K47" s="54"/>
    </row>
    <row r="48" spans="1:11" x14ac:dyDescent="0.35">
      <c r="A48" s="50" t="s">
        <v>36</v>
      </c>
      <c r="B48" s="8">
        <v>2</v>
      </c>
      <c r="C48" s="8">
        <v>1</v>
      </c>
      <c r="D48" s="8">
        <f t="shared" si="5"/>
        <v>2</v>
      </c>
      <c r="E48" s="8">
        <f>E10</f>
        <v>7</v>
      </c>
      <c r="F48" s="8">
        <f t="shared" si="6"/>
        <v>14</v>
      </c>
      <c r="G48" s="8">
        <f t="shared" si="7"/>
        <v>0.70000000000000007</v>
      </c>
      <c r="H48" s="8">
        <f t="shared" si="8"/>
        <v>1.4000000000000001</v>
      </c>
      <c r="I48" s="11">
        <f t="shared" si="10"/>
        <v>776.24400000000003</v>
      </c>
      <c r="K48" s="54"/>
    </row>
    <row r="49" spans="1:12" x14ac:dyDescent="0.35">
      <c r="A49" s="50" t="s">
        <v>37</v>
      </c>
      <c r="B49" s="8">
        <v>24</v>
      </c>
      <c r="C49" s="8">
        <v>1</v>
      </c>
      <c r="D49" s="8">
        <f t="shared" si="5"/>
        <v>24</v>
      </c>
      <c r="E49" s="8">
        <f>E10</f>
        <v>7</v>
      </c>
      <c r="F49" s="8">
        <f t="shared" si="6"/>
        <v>168</v>
      </c>
      <c r="G49" s="8">
        <f t="shared" si="7"/>
        <v>8.4</v>
      </c>
      <c r="H49" s="53">
        <f t="shared" si="8"/>
        <v>16.8</v>
      </c>
      <c r="I49" s="11">
        <f t="shared" si="10"/>
        <v>9314.9279999999999</v>
      </c>
      <c r="K49" s="54"/>
    </row>
    <row r="50" spans="1:12" x14ac:dyDescent="0.35">
      <c r="A50" s="52" t="s">
        <v>38</v>
      </c>
      <c r="B50" s="8" t="s">
        <v>42</v>
      </c>
      <c r="C50" s="8"/>
      <c r="D50" s="8"/>
      <c r="E50" s="8"/>
      <c r="F50" s="8"/>
      <c r="G50" s="8"/>
      <c r="H50" s="8"/>
      <c r="I50" s="10"/>
    </row>
    <row r="51" spans="1:12" x14ac:dyDescent="0.35">
      <c r="A51" s="52" t="s">
        <v>39</v>
      </c>
      <c r="B51" s="8" t="s">
        <v>41</v>
      </c>
      <c r="C51" s="8"/>
      <c r="D51" s="8"/>
      <c r="E51" s="8"/>
      <c r="F51" s="8"/>
      <c r="G51" s="8"/>
      <c r="H51" s="8"/>
      <c r="I51" s="10"/>
    </row>
    <row r="52" spans="1:12" x14ac:dyDescent="0.35">
      <c r="A52" s="12" t="s">
        <v>40</v>
      </c>
      <c r="B52" s="8"/>
      <c r="C52" s="8"/>
      <c r="D52" s="8"/>
      <c r="E52" s="8"/>
      <c r="F52" s="114">
        <f>SUM(F41:H49)</f>
        <v>291.41000000000003</v>
      </c>
      <c r="G52" s="115"/>
      <c r="H52" s="116"/>
      <c r="I52" s="41">
        <f>SUM(I41:I49)</f>
        <v>14050.0164</v>
      </c>
    </row>
    <row r="53" spans="1:12" ht="15.75" customHeight="1" x14ac:dyDescent="0.35">
      <c r="A53" s="7" t="s">
        <v>123</v>
      </c>
      <c r="B53" s="8"/>
      <c r="C53" s="8"/>
      <c r="D53" s="8"/>
      <c r="E53" s="8"/>
      <c r="F53" s="117">
        <f>ROUND(SUM(F52,F34), -1)</f>
        <v>1560</v>
      </c>
      <c r="G53" s="118"/>
      <c r="H53" s="119"/>
      <c r="I53" s="13">
        <f>ROUND(SUM(I52,I34),-2)</f>
        <v>75400</v>
      </c>
    </row>
    <row r="54" spans="1:12" ht="17.25" customHeight="1" x14ac:dyDescent="0.35">
      <c r="A54" s="5" t="s">
        <v>149</v>
      </c>
      <c r="B54" s="8"/>
      <c r="C54" s="8"/>
      <c r="D54" s="8"/>
      <c r="E54" s="8"/>
      <c r="F54" s="8"/>
      <c r="G54" s="8"/>
      <c r="H54" s="8"/>
      <c r="I54" s="14">
        <f>'Capital and O&amp;M'!H8</f>
        <v>1050000</v>
      </c>
    </row>
    <row r="55" spans="1:12" ht="15" x14ac:dyDescent="0.35">
      <c r="A55" s="7" t="s">
        <v>124</v>
      </c>
      <c r="B55" s="8"/>
      <c r="C55" s="8"/>
      <c r="D55" s="8"/>
      <c r="E55" s="8"/>
      <c r="F55" s="106"/>
      <c r="G55" s="107"/>
      <c r="H55" s="108"/>
      <c r="I55" s="13">
        <f>ROUND(I54+I53, -4)</f>
        <v>1130000</v>
      </c>
      <c r="K55" s="48">
        <f>F53/'Capital and O&amp;M'!E38</f>
        <v>100.64516129032258</v>
      </c>
      <c r="L55" s="49" t="s">
        <v>94</v>
      </c>
    </row>
    <row r="57" spans="1:12" x14ac:dyDescent="0.35">
      <c r="A57" s="15" t="s">
        <v>45</v>
      </c>
      <c r="B57" s="16"/>
      <c r="C57" s="16"/>
      <c r="D57" s="16"/>
      <c r="E57" s="16"/>
      <c r="F57" s="16"/>
      <c r="G57" s="16"/>
      <c r="H57" s="16"/>
      <c r="I57" s="16"/>
    </row>
    <row r="58" spans="1:12" ht="32.25" customHeight="1" x14ac:dyDescent="0.35">
      <c r="A58" s="103" t="s">
        <v>143</v>
      </c>
      <c r="B58" s="103"/>
      <c r="C58" s="103"/>
      <c r="D58" s="103"/>
      <c r="E58" s="103"/>
      <c r="F58" s="103"/>
      <c r="G58" s="103"/>
      <c r="H58" s="103"/>
      <c r="I58" s="103"/>
    </row>
    <row r="59" spans="1:12" ht="44.25" customHeight="1" x14ac:dyDescent="0.35">
      <c r="A59" s="103" t="s">
        <v>144</v>
      </c>
      <c r="B59" s="103"/>
      <c r="C59" s="103"/>
      <c r="D59" s="103"/>
      <c r="E59" s="103"/>
      <c r="F59" s="103"/>
      <c r="G59" s="103"/>
      <c r="H59" s="103"/>
      <c r="I59" s="103"/>
    </row>
    <row r="60" spans="1:12" x14ac:dyDescent="0.35">
      <c r="A60" s="103" t="s">
        <v>130</v>
      </c>
      <c r="B60" s="103"/>
      <c r="C60" s="103"/>
      <c r="D60" s="103"/>
      <c r="E60" s="103"/>
      <c r="F60" s="103"/>
      <c r="G60" s="103"/>
      <c r="H60" s="103"/>
      <c r="I60" s="103"/>
    </row>
    <row r="61" spans="1:12" x14ac:dyDescent="0.35">
      <c r="A61" s="103" t="s">
        <v>151</v>
      </c>
      <c r="B61" s="103"/>
      <c r="C61" s="103"/>
      <c r="D61" s="103"/>
      <c r="E61" s="103"/>
      <c r="F61" s="103"/>
      <c r="G61" s="103"/>
      <c r="H61" s="103"/>
      <c r="I61" s="103"/>
    </row>
    <row r="62" spans="1:12" ht="30" customHeight="1" x14ac:dyDescent="0.35">
      <c r="A62" s="103" t="s">
        <v>142</v>
      </c>
      <c r="B62" s="103"/>
      <c r="C62" s="103"/>
      <c r="D62" s="103"/>
      <c r="E62" s="103"/>
      <c r="F62" s="103"/>
      <c r="G62" s="103"/>
      <c r="H62" s="103"/>
      <c r="I62" s="103"/>
    </row>
    <row r="63" spans="1:12" ht="17.25" customHeight="1" x14ac:dyDescent="0.35">
      <c r="A63" s="103" t="s">
        <v>119</v>
      </c>
      <c r="B63" s="103"/>
      <c r="C63" s="103"/>
      <c r="D63" s="103"/>
      <c r="E63" s="103"/>
      <c r="F63" s="103"/>
      <c r="G63" s="103"/>
      <c r="H63" s="103"/>
      <c r="I63" s="103"/>
    </row>
    <row r="64" spans="1:12" ht="33" customHeight="1" x14ac:dyDescent="0.35">
      <c r="A64" s="103" t="s">
        <v>147</v>
      </c>
      <c r="B64" s="103"/>
      <c r="C64" s="103"/>
      <c r="D64" s="103"/>
      <c r="E64" s="103"/>
      <c r="F64" s="103"/>
      <c r="G64" s="103"/>
      <c r="H64" s="103"/>
      <c r="I64" s="103"/>
    </row>
    <row r="65" spans="1:9" ht="18" customHeight="1" x14ac:dyDescent="0.35">
      <c r="A65" s="103" t="s">
        <v>150</v>
      </c>
      <c r="B65" s="103"/>
      <c r="C65" s="103"/>
      <c r="D65" s="103"/>
      <c r="E65" s="103"/>
      <c r="F65" s="103"/>
      <c r="G65" s="103"/>
      <c r="H65" s="103"/>
      <c r="I65" s="103"/>
    </row>
    <row r="66" spans="1:9" ht="18" customHeight="1" x14ac:dyDescent="0.35">
      <c r="A66" s="103" t="s">
        <v>104</v>
      </c>
      <c r="B66" s="103"/>
      <c r="C66" s="103"/>
      <c r="D66" s="103"/>
      <c r="E66" s="103"/>
      <c r="F66" s="103"/>
      <c r="G66" s="103"/>
      <c r="H66" s="103"/>
      <c r="I66" s="103"/>
    </row>
  </sheetData>
  <mergeCells count="16">
    <mergeCell ref="A62:I62"/>
    <mergeCell ref="A1:I1"/>
    <mergeCell ref="K5:L5"/>
    <mergeCell ref="A65:I65"/>
    <mergeCell ref="A66:I66"/>
    <mergeCell ref="A58:I58"/>
    <mergeCell ref="A59:I59"/>
    <mergeCell ref="A60:I60"/>
    <mergeCell ref="A63:I63"/>
    <mergeCell ref="A61:I61"/>
    <mergeCell ref="A64:I64"/>
    <mergeCell ref="F55:H55"/>
    <mergeCell ref="A3:A4"/>
    <mergeCell ref="F34:H34"/>
    <mergeCell ref="F52:H52"/>
    <mergeCell ref="F53:H53"/>
  </mergeCells>
  <phoneticPr fontId="26"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6"/>
  <sheetViews>
    <sheetView topLeftCell="A13" workbookViewId="0">
      <selection activeCell="A7" sqref="A7"/>
    </sheetView>
  </sheetViews>
  <sheetFormatPr defaultColWidth="9.1796875" defaultRowHeight="14.5" x14ac:dyDescent="0.35"/>
  <cols>
    <col min="1" max="1" width="30.453125" style="9" customWidth="1"/>
    <col min="2" max="2" width="13" style="9" customWidth="1"/>
    <col min="3" max="3" width="12.7265625" style="9" customWidth="1"/>
    <col min="4" max="4" width="11.7265625" style="9" customWidth="1"/>
    <col min="5" max="5" width="10.54296875" style="9" customWidth="1"/>
    <col min="6" max="6" width="9.1796875" style="9"/>
    <col min="7" max="7" width="11.1796875" style="9" customWidth="1"/>
    <col min="8" max="8" width="9.1796875" style="9"/>
    <col min="9" max="9" width="10.453125" style="9" customWidth="1"/>
    <col min="10" max="10" width="9.1796875" style="9"/>
    <col min="11" max="11" width="12" style="9" customWidth="1"/>
    <col min="12" max="12" width="9.54296875" style="9" customWidth="1"/>
    <col min="13" max="13" width="12.453125" style="9" customWidth="1"/>
    <col min="14" max="16384" width="9.1796875" style="9"/>
  </cols>
  <sheetData>
    <row r="1" spans="1:12" ht="33" customHeight="1" x14ac:dyDescent="0.35">
      <c r="A1" s="120" t="s">
        <v>158</v>
      </c>
      <c r="B1" s="120"/>
      <c r="C1" s="120"/>
      <c r="D1" s="120"/>
      <c r="E1" s="120"/>
      <c r="F1" s="120"/>
      <c r="G1" s="120"/>
      <c r="H1" s="120"/>
      <c r="I1" s="120"/>
    </row>
    <row r="2" spans="1:12" ht="15.75" customHeight="1" x14ac:dyDescent="0.35">
      <c r="A2" s="125" t="s">
        <v>0</v>
      </c>
      <c r="B2" s="1" t="s">
        <v>1</v>
      </c>
      <c r="C2" s="1" t="s">
        <v>2</v>
      </c>
      <c r="D2" s="1" t="s">
        <v>3</v>
      </c>
      <c r="E2" s="1" t="s">
        <v>4</v>
      </c>
      <c r="F2" s="1" t="s">
        <v>5</v>
      </c>
      <c r="G2" s="1" t="s">
        <v>6</v>
      </c>
      <c r="H2" s="1" t="s">
        <v>7</v>
      </c>
      <c r="I2" s="2" t="s">
        <v>8</v>
      </c>
    </row>
    <row r="3" spans="1:12" ht="78" x14ac:dyDescent="0.35">
      <c r="A3" s="126"/>
      <c r="B3" s="3" t="s">
        <v>9</v>
      </c>
      <c r="C3" s="3" t="s">
        <v>10</v>
      </c>
      <c r="D3" s="3" t="s">
        <v>11</v>
      </c>
      <c r="E3" s="3" t="s">
        <v>12</v>
      </c>
      <c r="F3" s="3" t="s">
        <v>16</v>
      </c>
      <c r="G3" s="3" t="s">
        <v>13</v>
      </c>
      <c r="H3" s="3" t="s">
        <v>14</v>
      </c>
      <c r="I3" s="4" t="s">
        <v>15</v>
      </c>
    </row>
    <row r="4" spans="1:12" x14ac:dyDescent="0.35">
      <c r="A4" s="6" t="s">
        <v>85</v>
      </c>
      <c r="B4" s="8" t="s">
        <v>41</v>
      </c>
      <c r="C4" s="8"/>
      <c r="D4" s="8"/>
      <c r="E4" s="8"/>
      <c r="F4" s="8"/>
      <c r="G4" s="8"/>
      <c r="H4" s="8"/>
      <c r="I4" s="10"/>
      <c r="K4" s="121" t="s">
        <v>103</v>
      </c>
      <c r="L4" s="122"/>
    </row>
    <row r="5" spans="1:12" x14ac:dyDescent="0.35">
      <c r="A5" s="6" t="s">
        <v>133</v>
      </c>
      <c r="B5" s="8"/>
      <c r="C5" s="8"/>
      <c r="D5" s="8"/>
      <c r="E5" s="8"/>
      <c r="F5" s="8"/>
      <c r="G5" s="8"/>
      <c r="H5" s="8"/>
      <c r="I5" s="11"/>
      <c r="K5" s="42" t="s">
        <v>96</v>
      </c>
      <c r="L5" s="44">
        <v>49.44</v>
      </c>
    </row>
    <row r="6" spans="1:12" ht="15.5" x14ac:dyDescent="0.35">
      <c r="A6" s="52" t="s">
        <v>86</v>
      </c>
      <c r="B6" s="8">
        <v>48</v>
      </c>
      <c r="C6" s="8">
        <v>1</v>
      </c>
      <c r="D6" s="8">
        <f t="shared" ref="D6:D16" si="0">B6*C6</f>
        <v>48</v>
      </c>
      <c r="E6" s="46">
        <f>(Respondents!E9+(Respondents!E10*0.33))*0.15</f>
        <v>0.4965</v>
      </c>
      <c r="F6" s="8">
        <f t="shared" ref="F6:F16" si="1">D6*E6</f>
        <v>23.832000000000001</v>
      </c>
      <c r="G6" s="8">
        <f t="shared" ref="G6:G16" si="2">F6*0.05</f>
        <v>1.1916</v>
      </c>
      <c r="H6" s="8">
        <f t="shared" ref="H6:H16" si="3">F6*0.1</f>
        <v>2.3832</v>
      </c>
      <c r="I6" s="11">
        <f>F6*$L$5+G6*$L$6+H6*$L$7</f>
        <v>1321.3890719999999</v>
      </c>
      <c r="K6" s="43" t="s">
        <v>97</v>
      </c>
      <c r="L6" s="45">
        <v>66.62</v>
      </c>
    </row>
    <row r="7" spans="1:12" ht="26" x14ac:dyDescent="0.35">
      <c r="A7" s="52" t="s">
        <v>87</v>
      </c>
      <c r="B7" s="8">
        <v>24</v>
      </c>
      <c r="C7" s="8">
        <v>1</v>
      </c>
      <c r="D7" s="8">
        <f t="shared" si="0"/>
        <v>24</v>
      </c>
      <c r="E7" s="8">
        <v>1</v>
      </c>
      <c r="F7" s="8">
        <f t="shared" si="1"/>
        <v>24</v>
      </c>
      <c r="G7" s="8">
        <f t="shared" si="2"/>
        <v>1.2000000000000002</v>
      </c>
      <c r="H7" s="8">
        <f t="shared" si="3"/>
        <v>2.4000000000000004</v>
      </c>
      <c r="I7" s="11">
        <f>F7*$L$5+G7*$L$6+H7*$L$7</f>
        <v>1330.704</v>
      </c>
      <c r="K7" s="43" t="s">
        <v>98</v>
      </c>
      <c r="L7" s="45">
        <v>26.75</v>
      </c>
    </row>
    <row r="8" spans="1:12" x14ac:dyDescent="0.35">
      <c r="A8" s="52" t="s">
        <v>88</v>
      </c>
      <c r="B8" s="8" t="s">
        <v>41</v>
      </c>
      <c r="C8" s="8"/>
      <c r="D8" s="8"/>
      <c r="E8" s="8"/>
      <c r="F8" s="8"/>
      <c r="G8" s="8"/>
      <c r="H8" s="8"/>
      <c r="I8" s="11"/>
    </row>
    <row r="9" spans="1:12" x14ac:dyDescent="0.35">
      <c r="A9" s="52" t="s">
        <v>89</v>
      </c>
      <c r="B9" s="8" t="s">
        <v>41</v>
      </c>
      <c r="C9" s="8"/>
      <c r="D9" s="8"/>
      <c r="E9" s="8"/>
      <c r="F9" s="8"/>
      <c r="G9" s="8"/>
      <c r="H9" s="8"/>
      <c r="I9" s="11"/>
    </row>
    <row r="10" spans="1:12" x14ac:dyDescent="0.35">
      <c r="A10" s="52" t="s">
        <v>90</v>
      </c>
      <c r="B10" s="8"/>
      <c r="C10" s="8"/>
      <c r="D10" s="8"/>
      <c r="E10" s="8"/>
      <c r="F10" s="8"/>
      <c r="G10" s="8"/>
      <c r="H10" s="8"/>
      <c r="I10" s="11"/>
    </row>
    <row r="11" spans="1:12" ht="15.5" x14ac:dyDescent="0.35">
      <c r="A11" s="50" t="s">
        <v>134</v>
      </c>
      <c r="B11" s="8">
        <v>40</v>
      </c>
      <c r="C11" s="8">
        <v>2</v>
      </c>
      <c r="D11" s="8">
        <f t="shared" si="0"/>
        <v>80</v>
      </c>
      <c r="E11" s="8">
        <f>Respondents!E25</f>
        <v>1</v>
      </c>
      <c r="F11" s="8">
        <f t="shared" si="1"/>
        <v>80</v>
      </c>
      <c r="G11" s="8">
        <f t="shared" si="2"/>
        <v>4</v>
      </c>
      <c r="H11" s="8">
        <f t="shared" si="3"/>
        <v>8</v>
      </c>
      <c r="I11" s="11">
        <f t="shared" ref="I11:I16" si="4">F11*$L$5+G11*$L$6+H11*$L$7</f>
        <v>4435.68</v>
      </c>
    </row>
    <row r="12" spans="1:12" x14ac:dyDescent="0.35">
      <c r="A12" s="50" t="s">
        <v>135</v>
      </c>
      <c r="B12" s="8">
        <v>40</v>
      </c>
      <c r="C12" s="8">
        <v>1</v>
      </c>
      <c r="D12" s="8">
        <f t="shared" si="0"/>
        <v>40</v>
      </c>
      <c r="E12" s="8">
        <f>Respondents!E29</f>
        <v>1</v>
      </c>
      <c r="F12" s="8">
        <f t="shared" si="1"/>
        <v>40</v>
      </c>
      <c r="G12" s="8">
        <f t="shared" si="2"/>
        <v>2</v>
      </c>
      <c r="H12" s="8">
        <f t="shared" si="3"/>
        <v>4</v>
      </c>
      <c r="I12" s="11">
        <f t="shared" si="4"/>
        <v>2217.84</v>
      </c>
    </row>
    <row r="13" spans="1:12" x14ac:dyDescent="0.35">
      <c r="A13" s="50" t="s">
        <v>136</v>
      </c>
      <c r="B13" s="8">
        <v>8</v>
      </c>
      <c r="C13" s="8">
        <v>1</v>
      </c>
      <c r="D13" s="8">
        <f t="shared" si="0"/>
        <v>8</v>
      </c>
      <c r="E13" s="8">
        <f>Respondents!E30</f>
        <v>7</v>
      </c>
      <c r="F13" s="8">
        <f t="shared" si="1"/>
        <v>56</v>
      </c>
      <c r="G13" s="8">
        <f t="shared" si="2"/>
        <v>2.8000000000000003</v>
      </c>
      <c r="H13" s="8">
        <f t="shared" si="3"/>
        <v>5.6000000000000005</v>
      </c>
      <c r="I13" s="11">
        <f t="shared" si="4"/>
        <v>3104.9760000000001</v>
      </c>
    </row>
    <row r="14" spans="1:12" ht="39" x14ac:dyDescent="0.35">
      <c r="A14" s="50" t="s">
        <v>137</v>
      </c>
      <c r="B14" s="8">
        <v>16</v>
      </c>
      <c r="C14" s="8">
        <f>Respondents!C33</f>
        <v>2</v>
      </c>
      <c r="D14" s="8">
        <f t="shared" si="0"/>
        <v>32</v>
      </c>
      <c r="E14" s="8">
        <f>Respondents!E33</f>
        <v>0.70000000000000007</v>
      </c>
      <c r="F14" s="8">
        <f t="shared" si="1"/>
        <v>22.400000000000002</v>
      </c>
      <c r="G14" s="8">
        <f t="shared" si="2"/>
        <v>1.1200000000000001</v>
      </c>
      <c r="H14" s="8">
        <f t="shared" si="3"/>
        <v>2.2400000000000002</v>
      </c>
      <c r="I14" s="11">
        <f t="shared" si="4"/>
        <v>1241.9904000000001</v>
      </c>
    </row>
    <row r="15" spans="1:12" ht="39" x14ac:dyDescent="0.35">
      <c r="A15" s="50" t="s">
        <v>138</v>
      </c>
      <c r="B15" s="8">
        <v>4</v>
      </c>
      <c r="C15" s="8">
        <v>1</v>
      </c>
      <c r="D15" s="8">
        <f t="shared" si="0"/>
        <v>4</v>
      </c>
      <c r="E15" s="8">
        <f>Respondents!E32</f>
        <v>0.70000000000000007</v>
      </c>
      <c r="F15" s="8">
        <f t="shared" si="1"/>
        <v>2.8000000000000003</v>
      </c>
      <c r="G15" s="8">
        <f t="shared" si="2"/>
        <v>0.14000000000000001</v>
      </c>
      <c r="H15" s="8">
        <f t="shared" si="3"/>
        <v>0.28000000000000003</v>
      </c>
      <c r="I15" s="11">
        <f t="shared" si="4"/>
        <v>155.24880000000002</v>
      </c>
    </row>
    <row r="16" spans="1:12" ht="15.5" x14ac:dyDescent="0.35">
      <c r="A16" s="52" t="s">
        <v>91</v>
      </c>
      <c r="B16" s="8">
        <v>4</v>
      </c>
      <c r="C16" s="8">
        <v>1</v>
      </c>
      <c r="D16" s="8">
        <f t="shared" si="0"/>
        <v>4</v>
      </c>
      <c r="E16" s="8">
        <f>Respondents!E30</f>
        <v>7</v>
      </c>
      <c r="F16" s="8">
        <f t="shared" si="1"/>
        <v>28</v>
      </c>
      <c r="G16" s="8">
        <f t="shared" si="2"/>
        <v>1.4000000000000001</v>
      </c>
      <c r="H16" s="8">
        <f t="shared" si="3"/>
        <v>2.8000000000000003</v>
      </c>
      <c r="I16" s="11">
        <f t="shared" si="4"/>
        <v>1552.4880000000001</v>
      </c>
    </row>
    <row r="17" spans="1:9" ht="15" x14ac:dyDescent="0.35">
      <c r="A17" s="7" t="s">
        <v>125</v>
      </c>
      <c r="B17" s="8"/>
      <c r="C17" s="8"/>
      <c r="D17" s="8"/>
      <c r="E17" s="8"/>
      <c r="F17" s="127">
        <f>ROUND(SUM(F5:H16),0)</f>
        <v>319</v>
      </c>
      <c r="G17" s="128"/>
      <c r="H17" s="129"/>
      <c r="I17" s="13">
        <f>ROUND(SUM(I5:I16),-2)</f>
        <v>15400</v>
      </c>
    </row>
    <row r="19" spans="1:9" x14ac:dyDescent="0.35">
      <c r="A19" s="15" t="s">
        <v>45</v>
      </c>
      <c r="B19" s="17"/>
    </row>
    <row r="20" spans="1:9" ht="43.5" customHeight="1" x14ac:dyDescent="0.35">
      <c r="A20" s="130" t="s">
        <v>143</v>
      </c>
      <c r="B20" s="130"/>
      <c r="C20" s="130"/>
      <c r="D20" s="130"/>
      <c r="E20" s="130"/>
      <c r="F20" s="130"/>
      <c r="G20" s="130"/>
      <c r="H20" s="130"/>
      <c r="I20" s="130"/>
    </row>
    <row r="21" spans="1:9" ht="42" customHeight="1" x14ac:dyDescent="0.35">
      <c r="A21" s="131" t="s">
        <v>145</v>
      </c>
      <c r="B21" s="131"/>
      <c r="C21" s="131"/>
      <c r="D21" s="131"/>
      <c r="E21" s="131"/>
      <c r="F21" s="131"/>
      <c r="G21" s="131"/>
      <c r="H21" s="131"/>
      <c r="I21" s="131"/>
    </row>
    <row r="22" spans="1:9" ht="43.5" customHeight="1" x14ac:dyDescent="0.35">
      <c r="A22" s="123" t="s">
        <v>152</v>
      </c>
      <c r="B22" s="123"/>
      <c r="C22" s="123"/>
      <c r="D22" s="123"/>
      <c r="E22" s="123"/>
      <c r="F22" s="123"/>
      <c r="G22" s="123"/>
      <c r="H22" s="123"/>
      <c r="I22" s="123"/>
    </row>
    <row r="23" spans="1:9" ht="30.75" customHeight="1" x14ac:dyDescent="0.35">
      <c r="A23" s="123" t="s">
        <v>153</v>
      </c>
      <c r="B23" s="123"/>
      <c r="C23" s="123"/>
      <c r="D23" s="123"/>
      <c r="E23" s="123"/>
      <c r="F23" s="123"/>
      <c r="G23" s="123"/>
      <c r="H23" s="123"/>
      <c r="I23" s="123"/>
    </row>
    <row r="24" spans="1:9" ht="15" customHeight="1" x14ac:dyDescent="0.35">
      <c r="A24" s="124" t="s">
        <v>146</v>
      </c>
      <c r="B24" s="124"/>
      <c r="C24" s="124"/>
      <c r="D24" s="124"/>
      <c r="E24" s="124"/>
      <c r="F24" s="124"/>
      <c r="G24" s="124"/>
      <c r="H24" s="124"/>
      <c r="I24" s="124"/>
    </row>
    <row r="25" spans="1:9" ht="16.5" customHeight="1" x14ac:dyDescent="0.35">
      <c r="A25" s="124" t="s">
        <v>105</v>
      </c>
      <c r="B25" s="124"/>
      <c r="C25" s="124"/>
      <c r="D25" s="124"/>
      <c r="E25" s="124"/>
      <c r="F25" s="124"/>
      <c r="G25" s="124"/>
      <c r="H25" s="124"/>
      <c r="I25" s="124"/>
    </row>
    <row r="26" spans="1:9" ht="15.75" customHeight="1" x14ac:dyDescent="0.35"/>
  </sheetData>
  <mergeCells count="10">
    <mergeCell ref="A1:I1"/>
    <mergeCell ref="K4:L4"/>
    <mergeCell ref="A23:I23"/>
    <mergeCell ref="A24:I24"/>
    <mergeCell ref="A25:I25"/>
    <mergeCell ref="A2:A3"/>
    <mergeCell ref="F17:H17"/>
    <mergeCell ref="A20:I20"/>
    <mergeCell ref="A21:I21"/>
    <mergeCell ref="A22:I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M41"/>
  <sheetViews>
    <sheetView tabSelected="1" topLeftCell="A5" workbookViewId="0">
      <selection activeCell="A12" sqref="A12:I12"/>
    </sheetView>
  </sheetViews>
  <sheetFormatPr defaultColWidth="9.1796875" defaultRowHeight="14.5" x14ac:dyDescent="0.35"/>
  <cols>
    <col min="1" max="1" width="25.1796875" style="9" customWidth="1"/>
    <col min="2" max="2" width="13.1796875" style="9" customWidth="1"/>
    <col min="3" max="3" width="12.1796875" style="9" customWidth="1"/>
    <col min="4" max="4" width="12.54296875" style="9" customWidth="1"/>
    <col min="5" max="5" width="12" style="9" customWidth="1"/>
    <col min="6" max="6" width="11.81640625" style="9" customWidth="1"/>
    <col min="7" max="7" width="12" style="9" customWidth="1"/>
    <col min="8" max="8" width="13.453125" style="9" customWidth="1"/>
    <col min="9" max="16384" width="9.1796875" style="9"/>
  </cols>
  <sheetData>
    <row r="2" spans="1:13" ht="15.5" x14ac:dyDescent="0.35">
      <c r="A2" s="142" t="s">
        <v>102</v>
      </c>
      <c r="B2" s="142"/>
      <c r="C2" s="142"/>
      <c r="D2" s="142"/>
      <c r="E2" s="142"/>
      <c r="F2" s="142"/>
      <c r="G2" s="142"/>
    </row>
    <row r="3" spans="1:13" x14ac:dyDescent="0.35">
      <c r="A3" s="8" t="s">
        <v>46</v>
      </c>
      <c r="B3" s="8" t="s">
        <v>47</v>
      </c>
      <c r="C3" s="8" t="s">
        <v>48</v>
      </c>
      <c r="D3" s="8" t="s">
        <v>49</v>
      </c>
      <c r="E3" s="8" t="s">
        <v>50</v>
      </c>
      <c r="F3" s="8" t="s">
        <v>51</v>
      </c>
      <c r="G3" s="8" t="s">
        <v>52</v>
      </c>
    </row>
    <row r="4" spans="1:13" ht="52" x14ac:dyDescent="0.35">
      <c r="A4" s="32" t="s">
        <v>53</v>
      </c>
      <c r="B4" s="33" t="s">
        <v>54</v>
      </c>
      <c r="C4" s="33" t="s">
        <v>55</v>
      </c>
      <c r="D4" s="33" t="s">
        <v>62</v>
      </c>
      <c r="E4" s="33" t="s">
        <v>56</v>
      </c>
      <c r="F4" s="33" t="s">
        <v>57</v>
      </c>
      <c r="G4" s="33" t="s">
        <v>58</v>
      </c>
    </row>
    <row r="5" spans="1:13" ht="16" x14ac:dyDescent="0.35">
      <c r="A5" s="34" t="s">
        <v>106</v>
      </c>
      <c r="B5" s="35">
        <f>226946*'Stack testing'!D6/'Stack testing'!D7</f>
        <v>239606.69968717414</v>
      </c>
      <c r="C5" s="36">
        <v>1</v>
      </c>
      <c r="D5" s="35">
        <f>C5*B5</f>
        <v>239606.69968717414</v>
      </c>
      <c r="E5" s="35">
        <f>81160*'Stack testing'!D6/'Stack testing'!D7</f>
        <v>85687.695516162668</v>
      </c>
      <c r="F5" s="36">
        <v>7</v>
      </c>
      <c r="G5" s="35">
        <f>F5*E5</f>
        <v>599813.86861313868</v>
      </c>
      <c r="I5" s="39"/>
    </row>
    <row r="6" spans="1:13" ht="16" x14ac:dyDescent="0.35">
      <c r="A6" s="34" t="s">
        <v>59</v>
      </c>
      <c r="B6" s="35">
        <f>'Stack testing'!F21</f>
        <v>64772.5495307612</v>
      </c>
      <c r="C6" s="36">
        <v>1</v>
      </c>
      <c r="D6" s="35">
        <f>C6*B6</f>
        <v>64772.5495307612</v>
      </c>
      <c r="E6" s="35">
        <f>B6</f>
        <v>64772.5495307612</v>
      </c>
      <c r="F6" s="57">
        <f>F5*0.33</f>
        <v>2.31</v>
      </c>
      <c r="G6" s="35">
        <f>F6*E6</f>
        <v>149624.58941605838</v>
      </c>
      <c r="I6" s="47"/>
      <c r="J6" s="39"/>
    </row>
    <row r="7" spans="1:13" ht="16" x14ac:dyDescent="0.35">
      <c r="A7" s="34" t="s">
        <v>60</v>
      </c>
      <c r="B7" s="35">
        <v>100</v>
      </c>
      <c r="C7" s="36">
        <v>1</v>
      </c>
      <c r="D7" s="35">
        <f>C7*B7</f>
        <v>100</v>
      </c>
      <c r="E7" s="35"/>
      <c r="F7" s="34"/>
      <c r="G7" s="35"/>
      <c r="H7" s="9" t="s">
        <v>92</v>
      </c>
    </row>
    <row r="8" spans="1:13" x14ac:dyDescent="0.35">
      <c r="A8" s="37" t="s">
        <v>61</v>
      </c>
      <c r="B8" s="38"/>
      <c r="C8" s="37"/>
      <c r="D8" s="38">
        <f>ROUND(SUM(D5:D7), -3)</f>
        <v>304000</v>
      </c>
      <c r="E8" s="38"/>
      <c r="F8" s="37"/>
      <c r="G8" s="38">
        <f>ROUND(SUM(G5:G6), -3)</f>
        <v>749000</v>
      </c>
      <c r="H8" s="39">
        <f>ROUND(SUM(G8,D8),-4)</f>
        <v>1050000</v>
      </c>
    </row>
    <row r="10" spans="1:13" ht="96" customHeight="1" x14ac:dyDescent="0.35">
      <c r="A10" s="130" t="s">
        <v>208</v>
      </c>
      <c r="B10" s="130"/>
      <c r="C10" s="130"/>
      <c r="D10" s="130"/>
      <c r="E10" s="130"/>
      <c r="F10" s="130"/>
      <c r="G10" s="130"/>
      <c r="H10" s="130"/>
      <c r="I10" s="130"/>
      <c r="M10" s="94"/>
    </row>
    <row r="11" spans="1:13" ht="48" customHeight="1" x14ac:dyDescent="0.35">
      <c r="A11" s="139" t="s">
        <v>206</v>
      </c>
      <c r="B11" s="139"/>
      <c r="C11" s="139"/>
      <c r="D11" s="139"/>
      <c r="E11" s="139"/>
      <c r="F11" s="139"/>
      <c r="G11" s="139"/>
      <c r="H11" s="139"/>
      <c r="I11" s="139"/>
      <c r="M11" s="94"/>
    </row>
    <row r="12" spans="1:13" ht="96" customHeight="1" x14ac:dyDescent="0.35">
      <c r="A12" s="140" t="s">
        <v>207</v>
      </c>
      <c r="B12" s="140"/>
      <c r="C12" s="140"/>
      <c r="D12" s="140"/>
      <c r="E12" s="140"/>
      <c r="F12" s="140"/>
      <c r="G12" s="140"/>
      <c r="H12" s="140"/>
      <c r="I12" s="140"/>
      <c r="M12" s="94"/>
    </row>
    <row r="13" spans="1:13" ht="16" x14ac:dyDescent="0.35">
      <c r="A13" s="141" t="s">
        <v>132</v>
      </c>
      <c r="B13" s="141"/>
      <c r="C13" s="141"/>
      <c r="D13" s="141"/>
      <c r="E13" s="141"/>
      <c r="F13" s="141"/>
      <c r="G13" s="141"/>
      <c r="H13" s="141"/>
      <c r="I13" s="141"/>
      <c r="M13" s="94"/>
    </row>
    <row r="14" spans="1:13" ht="15.5" x14ac:dyDescent="0.35">
      <c r="A14" s="58" t="s">
        <v>131</v>
      </c>
      <c r="M14" s="94"/>
    </row>
    <row r="15" spans="1:13" x14ac:dyDescent="0.35">
      <c r="M15" s="94"/>
    </row>
    <row r="16" spans="1:13" ht="15" x14ac:dyDescent="0.35">
      <c r="A16" s="135" t="s">
        <v>63</v>
      </c>
      <c r="B16" s="135"/>
      <c r="C16" s="135"/>
      <c r="D16" s="135"/>
      <c r="E16" s="135"/>
      <c r="F16" s="135"/>
      <c r="M16" s="94"/>
    </row>
    <row r="17" spans="1:13" x14ac:dyDescent="0.35">
      <c r="A17" s="18"/>
      <c r="B17" s="136" t="s">
        <v>64</v>
      </c>
      <c r="C17" s="136"/>
      <c r="D17" s="136" t="s">
        <v>65</v>
      </c>
      <c r="E17" s="136"/>
      <c r="F17" s="136"/>
      <c r="M17" s="94"/>
    </row>
    <row r="18" spans="1:13" ht="104" x14ac:dyDescent="0.35">
      <c r="A18" s="19" t="s">
        <v>66</v>
      </c>
      <c r="B18" s="19" t="s">
        <v>100</v>
      </c>
      <c r="C18" s="19" t="s">
        <v>101</v>
      </c>
      <c r="D18" s="19" t="s">
        <v>67</v>
      </c>
      <c r="E18" s="19" t="s">
        <v>68</v>
      </c>
      <c r="F18" s="19" t="s">
        <v>69</v>
      </c>
    </row>
    <row r="19" spans="1:13" x14ac:dyDescent="0.35">
      <c r="A19" s="21">
        <v>1</v>
      </c>
      <c r="B19" s="21">
        <v>1</v>
      </c>
      <c r="C19" s="21">
        <v>6</v>
      </c>
      <c r="D19" s="21">
        <v>0</v>
      </c>
      <c r="E19" s="21">
        <v>0</v>
      </c>
      <c r="F19" s="21">
        <f>SUM(B19:D19)-E19</f>
        <v>7</v>
      </c>
    </row>
    <row r="20" spans="1:13" x14ac:dyDescent="0.35">
      <c r="A20" s="21">
        <v>2</v>
      </c>
      <c r="B20" s="21">
        <v>1</v>
      </c>
      <c r="C20" s="21">
        <v>7</v>
      </c>
      <c r="D20" s="21">
        <v>0</v>
      </c>
      <c r="E20" s="21">
        <v>0</v>
      </c>
      <c r="F20" s="21">
        <f>SUM(B20:D20)-E20</f>
        <v>8</v>
      </c>
    </row>
    <row r="21" spans="1:13" x14ac:dyDescent="0.35">
      <c r="A21" s="21">
        <v>3</v>
      </c>
      <c r="B21" s="21">
        <v>1</v>
      </c>
      <c r="C21" s="21">
        <v>8</v>
      </c>
      <c r="D21" s="21">
        <v>0</v>
      </c>
      <c r="E21" s="21">
        <v>0</v>
      </c>
      <c r="F21" s="21">
        <f>SUM(B21:D21)-E21</f>
        <v>9</v>
      </c>
    </row>
    <row r="22" spans="1:13" x14ac:dyDescent="0.35">
      <c r="A22" s="26" t="s">
        <v>70</v>
      </c>
      <c r="B22" s="21">
        <f>AVERAGE(B19:B21)</f>
        <v>1</v>
      </c>
      <c r="C22" s="21">
        <f>AVERAGE(C19:C21)</f>
        <v>7</v>
      </c>
      <c r="D22" s="21">
        <f>AVERAGE(D19:D21)</f>
        <v>0</v>
      </c>
      <c r="E22" s="21">
        <f>AVERAGE(E19:E21)</f>
        <v>0</v>
      </c>
      <c r="F22" s="21">
        <f>AVERAGE(F19:F21)</f>
        <v>8</v>
      </c>
    </row>
    <row r="23" spans="1:13" ht="15.5" x14ac:dyDescent="0.35">
      <c r="A23" s="137" t="s">
        <v>154</v>
      </c>
      <c r="B23" s="137"/>
      <c r="C23" s="137"/>
      <c r="D23" s="137"/>
      <c r="E23" s="137"/>
      <c r="F23" s="137"/>
    </row>
    <row r="24" spans="1:13" x14ac:dyDescent="0.35">
      <c r="A24" s="138" t="s">
        <v>99</v>
      </c>
      <c r="B24" s="138"/>
      <c r="C24" s="138"/>
      <c r="D24" s="138"/>
      <c r="E24" s="138"/>
      <c r="F24" s="138"/>
    </row>
    <row r="27" spans="1:13" ht="15" x14ac:dyDescent="0.35">
      <c r="A27" s="134" t="s">
        <v>71</v>
      </c>
      <c r="B27" s="134"/>
      <c r="C27" s="134"/>
      <c r="D27" s="134"/>
      <c r="E27" s="134"/>
    </row>
    <row r="28" spans="1:13" ht="92" x14ac:dyDescent="0.35">
      <c r="A28" s="20" t="s">
        <v>72</v>
      </c>
      <c r="B28" s="20" t="s">
        <v>73</v>
      </c>
      <c r="C28" s="20" t="s">
        <v>74</v>
      </c>
      <c r="D28" s="20" t="s">
        <v>75</v>
      </c>
      <c r="E28" s="20" t="s">
        <v>76</v>
      </c>
    </row>
    <row r="29" spans="1:13" x14ac:dyDescent="0.35">
      <c r="A29" s="22" t="s">
        <v>77</v>
      </c>
      <c r="B29" s="23">
        <v>1</v>
      </c>
      <c r="C29" s="24">
        <v>1</v>
      </c>
      <c r="D29" s="24">
        <v>0</v>
      </c>
      <c r="E29" s="24">
        <f t="shared" ref="E29:E37" si="0">B29*C29+D29</f>
        <v>1</v>
      </c>
    </row>
    <row r="30" spans="1:13" x14ac:dyDescent="0.35">
      <c r="A30" s="25" t="s">
        <v>78</v>
      </c>
      <c r="B30" s="23">
        <v>1</v>
      </c>
      <c r="C30" s="24">
        <v>1</v>
      </c>
      <c r="D30" s="21">
        <v>0</v>
      </c>
      <c r="E30" s="24">
        <f t="shared" si="0"/>
        <v>1</v>
      </c>
    </row>
    <row r="31" spans="1:13" ht="23" x14ac:dyDescent="0.35">
      <c r="A31" s="22" t="s">
        <v>79</v>
      </c>
      <c r="B31" s="23">
        <v>1</v>
      </c>
      <c r="C31" s="24">
        <v>1</v>
      </c>
      <c r="D31" s="24">
        <v>0</v>
      </c>
      <c r="E31" s="24">
        <f t="shared" si="0"/>
        <v>1</v>
      </c>
    </row>
    <row r="32" spans="1:13" ht="23" x14ac:dyDescent="0.35">
      <c r="A32" s="22" t="s">
        <v>80</v>
      </c>
      <c r="B32" s="23">
        <v>1</v>
      </c>
      <c r="C32" s="24">
        <v>1</v>
      </c>
      <c r="D32" s="24">
        <v>0</v>
      </c>
      <c r="E32" s="24">
        <f t="shared" si="0"/>
        <v>1</v>
      </c>
    </row>
    <row r="33" spans="1:5" x14ac:dyDescent="0.35">
      <c r="A33" s="22" t="s">
        <v>81</v>
      </c>
      <c r="B33" s="23">
        <v>1</v>
      </c>
      <c r="C33" s="24">
        <v>1</v>
      </c>
      <c r="D33" s="24">
        <v>0</v>
      </c>
      <c r="E33" s="24">
        <f t="shared" si="0"/>
        <v>1</v>
      </c>
    </row>
    <row r="34" spans="1:5" x14ac:dyDescent="0.35">
      <c r="A34" s="25" t="s">
        <v>82</v>
      </c>
      <c r="B34" s="23">
        <f>Respondents!E30</f>
        <v>7</v>
      </c>
      <c r="C34" s="24">
        <v>1</v>
      </c>
      <c r="D34" s="21">
        <v>0</v>
      </c>
      <c r="E34" s="24">
        <f t="shared" si="0"/>
        <v>7</v>
      </c>
    </row>
    <row r="35" spans="1:5" ht="25.5" x14ac:dyDescent="0.35">
      <c r="A35" s="22" t="s">
        <v>83</v>
      </c>
      <c r="B35" s="29">
        <f>Respondents!E31</f>
        <v>0.70000000000000007</v>
      </c>
      <c r="C35" s="27">
        <v>1</v>
      </c>
      <c r="D35" s="21">
        <v>0</v>
      </c>
      <c r="E35" s="24">
        <f t="shared" si="0"/>
        <v>0.70000000000000007</v>
      </c>
    </row>
    <row r="36" spans="1:5" ht="37" x14ac:dyDescent="0.35">
      <c r="A36" s="22" t="s">
        <v>84</v>
      </c>
      <c r="B36" s="29">
        <f>Respondents!E32</f>
        <v>0.70000000000000007</v>
      </c>
      <c r="C36" s="27">
        <f>Respondents!C32</f>
        <v>2</v>
      </c>
      <c r="D36" s="27">
        <v>0</v>
      </c>
      <c r="E36" s="24">
        <f t="shared" si="0"/>
        <v>1.4000000000000001</v>
      </c>
    </row>
    <row r="37" spans="1:5" x14ac:dyDescent="0.35">
      <c r="A37" s="28" t="s">
        <v>159</v>
      </c>
      <c r="B37" s="29">
        <f>Respondents!E33</f>
        <v>0.70000000000000007</v>
      </c>
      <c r="C37" s="27">
        <v>2</v>
      </c>
      <c r="D37" s="27">
        <v>0</v>
      </c>
      <c r="E37" s="24">
        <f t="shared" si="0"/>
        <v>1.4000000000000001</v>
      </c>
    </row>
    <row r="38" spans="1:5" x14ac:dyDescent="0.35">
      <c r="A38" s="28"/>
      <c r="B38" s="30"/>
      <c r="C38" s="30"/>
      <c r="D38" s="31" t="s">
        <v>107</v>
      </c>
      <c r="E38" s="23">
        <f>SUM(E29:E37)</f>
        <v>15.5</v>
      </c>
    </row>
    <row r="39" spans="1:5" s="61" customFormat="1" ht="46.5" customHeight="1" x14ac:dyDescent="0.35">
      <c r="A39" s="133" t="s">
        <v>93</v>
      </c>
      <c r="B39" s="133"/>
      <c r="C39" s="133"/>
      <c r="D39" s="133"/>
      <c r="E39" s="133"/>
    </row>
    <row r="40" spans="1:5" s="61" customFormat="1" ht="47.25" customHeight="1" x14ac:dyDescent="0.35">
      <c r="A40" s="132" t="s">
        <v>160</v>
      </c>
      <c r="B40" s="132"/>
      <c r="C40" s="132"/>
      <c r="D40" s="132"/>
      <c r="E40" s="132"/>
    </row>
    <row r="41" spans="1:5" s="61" customFormat="1" ht="30.75" customHeight="1" x14ac:dyDescent="0.35">
      <c r="A41" s="132" t="s">
        <v>161</v>
      </c>
      <c r="B41" s="132"/>
      <c r="C41" s="132"/>
      <c r="D41" s="132"/>
      <c r="E41" s="132"/>
    </row>
  </sheetData>
  <mergeCells count="14">
    <mergeCell ref="A10:I10"/>
    <mergeCell ref="A11:I11"/>
    <mergeCell ref="A12:I12"/>
    <mergeCell ref="A13:I13"/>
    <mergeCell ref="A2:G2"/>
    <mergeCell ref="A40:E40"/>
    <mergeCell ref="A41:E41"/>
    <mergeCell ref="A39:E39"/>
    <mergeCell ref="A27:E27"/>
    <mergeCell ref="A16:F16"/>
    <mergeCell ref="B17:C17"/>
    <mergeCell ref="D17:F17"/>
    <mergeCell ref="A23:F23"/>
    <mergeCell ref="A24:F2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C985A-6621-46CB-B806-F2D3F14D7C23}">
  <dimension ref="A1:H35"/>
  <sheetViews>
    <sheetView topLeftCell="A9" workbookViewId="0">
      <selection activeCell="F28" sqref="F28"/>
    </sheetView>
  </sheetViews>
  <sheetFormatPr defaultRowHeight="14.5" x14ac:dyDescent="0.35"/>
  <cols>
    <col min="2" max="2" width="23.54296875" customWidth="1"/>
    <col min="3" max="3" width="36.54296875" customWidth="1"/>
    <col min="4" max="4" width="16.26953125" customWidth="1"/>
    <col min="5" max="5" width="20.1796875" customWidth="1"/>
    <col min="6" max="6" width="21.7265625" customWidth="1"/>
  </cols>
  <sheetData>
    <row r="1" spans="1:8" ht="18.5" thickBot="1" x14ac:dyDescent="0.45">
      <c r="A1" s="62" t="s">
        <v>162</v>
      </c>
      <c r="B1" s="63"/>
      <c r="C1" s="63" t="s">
        <v>200</v>
      </c>
      <c r="D1" s="63"/>
      <c r="E1" s="63"/>
      <c r="F1" s="63"/>
      <c r="G1" s="63"/>
      <c r="H1" s="63"/>
    </row>
    <row r="2" spans="1:8" ht="15" thickBot="1" x14ac:dyDescent="0.4">
      <c r="A2" s="64" t="s">
        <v>163</v>
      </c>
      <c r="B2" s="65"/>
      <c r="C2" s="66" t="s">
        <v>164</v>
      </c>
      <c r="D2" s="67" t="s">
        <v>165</v>
      </c>
      <c r="E2" s="63"/>
      <c r="F2" s="63"/>
      <c r="G2" s="63"/>
      <c r="H2" s="63"/>
    </row>
    <row r="3" spans="1:8" x14ac:dyDescent="0.35">
      <c r="A3" s="68"/>
      <c r="B3" s="69"/>
      <c r="C3" s="69"/>
      <c r="D3" s="70"/>
      <c r="E3" s="63"/>
      <c r="F3" s="63"/>
      <c r="G3" s="63"/>
      <c r="H3" s="63"/>
    </row>
    <row r="4" spans="1:8" x14ac:dyDescent="0.35">
      <c r="A4" s="71" t="s">
        <v>166</v>
      </c>
      <c r="B4" s="72"/>
      <c r="C4" s="72"/>
      <c r="D4" s="73"/>
      <c r="E4" s="63"/>
      <c r="F4" s="91"/>
      <c r="G4" s="91"/>
      <c r="H4" s="63"/>
    </row>
    <row r="5" spans="1:8" x14ac:dyDescent="0.35">
      <c r="A5" s="71"/>
      <c r="B5" s="74" t="s">
        <v>167</v>
      </c>
      <c r="C5" s="72"/>
      <c r="D5" s="73"/>
      <c r="E5" s="63"/>
      <c r="F5" s="91"/>
      <c r="G5" s="91"/>
      <c r="H5" s="63"/>
    </row>
    <row r="6" spans="1:8" x14ac:dyDescent="0.35">
      <c r="A6" s="90"/>
      <c r="B6" s="76" t="s">
        <v>201</v>
      </c>
      <c r="C6" s="72"/>
      <c r="D6" s="92">
        <v>607.5</v>
      </c>
      <c r="E6" s="63"/>
      <c r="F6" s="91"/>
      <c r="G6" s="91"/>
      <c r="H6" s="63"/>
    </row>
    <row r="7" spans="1:8" x14ac:dyDescent="0.35">
      <c r="A7" s="90"/>
      <c r="B7" s="76" t="s">
        <v>202</v>
      </c>
      <c r="C7" s="76"/>
      <c r="D7" s="77">
        <v>575.4</v>
      </c>
      <c r="E7" s="63"/>
      <c r="F7" s="63"/>
      <c r="G7" s="63"/>
      <c r="H7" s="63"/>
    </row>
    <row r="8" spans="1:8" x14ac:dyDescent="0.35">
      <c r="A8" s="93"/>
      <c r="B8" s="76" t="s">
        <v>203</v>
      </c>
      <c r="C8" s="75"/>
      <c r="D8" s="77">
        <v>358.2</v>
      </c>
      <c r="E8" s="63"/>
      <c r="F8" s="63"/>
      <c r="G8" s="63"/>
      <c r="H8" s="63"/>
    </row>
    <row r="9" spans="1:8" ht="15" thickBot="1" x14ac:dyDescent="0.4">
      <c r="A9" s="78"/>
      <c r="B9" s="72"/>
      <c r="C9" s="72"/>
      <c r="D9" s="73"/>
      <c r="E9" s="143" t="s">
        <v>209</v>
      </c>
      <c r="F9" s="144"/>
      <c r="G9" s="63"/>
      <c r="H9" s="63"/>
    </row>
    <row r="10" spans="1:8" x14ac:dyDescent="0.35">
      <c r="A10" s="71" t="s">
        <v>168</v>
      </c>
      <c r="B10" s="74"/>
      <c r="C10" s="74"/>
      <c r="D10" s="95"/>
      <c r="E10" s="98" t="s">
        <v>211</v>
      </c>
      <c r="F10" s="99" t="s">
        <v>210</v>
      </c>
      <c r="G10" s="63"/>
      <c r="H10" s="63"/>
    </row>
    <row r="11" spans="1:8" x14ac:dyDescent="0.35">
      <c r="A11" s="71"/>
      <c r="B11" s="74" t="s">
        <v>169</v>
      </c>
      <c r="C11" s="79" t="s">
        <v>170</v>
      </c>
      <c r="D11" s="96">
        <f>ROUND(8000*575.4/358.2,-3)</f>
        <v>13000</v>
      </c>
      <c r="E11" s="100">
        <f>D11*2/3</f>
        <v>8666.6666666666661</v>
      </c>
      <c r="F11" s="80">
        <f>E11*607.5/575.4</f>
        <v>9150.156412930135</v>
      </c>
      <c r="G11" s="63"/>
      <c r="H11" s="63"/>
    </row>
    <row r="12" spans="1:8" x14ac:dyDescent="0.35">
      <c r="A12" s="71"/>
      <c r="B12" s="74" t="s">
        <v>171</v>
      </c>
      <c r="C12" s="79" t="s">
        <v>172</v>
      </c>
      <c r="D12" s="96">
        <f>ROUND(1000*575.4/358.2,-3)+1500</f>
        <v>3500</v>
      </c>
      <c r="E12" s="100">
        <f t="shared" ref="E12:E18" si="0">D12*2/3</f>
        <v>2333.3333333333335</v>
      </c>
      <c r="F12" s="80">
        <f t="shared" ref="F12:F18" si="1">E12*607.5/575.4</f>
        <v>2463.5036496350367</v>
      </c>
      <c r="G12" s="63"/>
      <c r="H12" s="63"/>
    </row>
    <row r="13" spans="1:8" x14ac:dyDescent="0.35">
      <c r="A13" s="71"/>
      <c r="B13" s="74" t="s">
        <v>173</v>
      </c>
      <c r="C13" s="79" t="s">
        <v>174</v>
      </c>
      <c r="D13" s="96">
        <f>ROUND(4000*575.4/358.2,-3)+1000</f>
        <v>7000</v>
      </c>
      <c r="E13" s="100">
        <f t="shared" si="0"/>
        <v>4666.666666666667</v>
      </c>
      <c r="F13" s="80">
        <f t="shared" si="1"/>
        <v>4927.0072992700734</v>
      </c>
      <c r="G13" s="63"/>
      <c r="H13" s="63"/>
    </row>
    <row r="14" spans="1:8" x14ac:dyDescent="0.35">
      <c r="A14" s="71"/>
      <c r="B14" s="74" t="s">
        <v>175</v>
      </c>
      <c r="C14" s="79" t="s">
        <v>176</v>
      </c>
      <c r="D14" s="96">
        <f>ROUND(5000*575.4/358.2,-3)</f>
        <v>8000</v>
      </c>
      <c r="E14" s="100">
        <f t="shared" si="0"/>
        <v>5333.333333333333</v>
      </c>
      <c r="F14" s="80">
        <f t="shared" si="1"/>
        <v>5630.8654848800834</v>
      </c>
      <c r="G14" s="63"/>
      <c r="H14" s="63"/>
    </row>
    <row r="15" spans="1:8" x14ac:dyDescent="0.35">
      <c r="A15" s="71"/>
      <c r="B15" s="74" t="s">
        <v>177</v>
      </c>
      <c r="C15" s="79" t="s">
        <v>178</v>
      </c>
      <c r="D15" s="96">
        <f>ROUND(8000*575.4/358.2,-3)+2000</f>
        <v>15000</v>
      </c>
      <c r="E15" s="100">
        <f t="shared" si="0"/>
        <v>10000</v>
      </c>
      <c r="F15" s="80">
        <f t="shared" si="1"/>
        <v>10557.872784150157</v>
      </c>
    </row>
    <row r="16" spans="1:8" x14ac:dyDescent="0.35">
      <c r="A16" s="71"/>
      <c r="B16" s="74" t="s">
        <v>180</v>
      </c>
      <c r="C16" s="79" t="s">
        <v>181</v>
      </c>
      <c r="D16" s="96">
        <f>ROUND(21000*575.4/358.2,-3)-5000</f>
        <v>29000</v>
      </c>
      <c r="E16" s="100">
        <f t="shared" si="0"/>
        <v>19333.333333333332</v>
      </c>
      <c r="F16" s="80">
        <f t="shared" si="1"/>
        <v>20411.887382690304</v>
      </c>
    </row>
    <row r="17" spans="1:8" ht="15.5" x14ac:dyDescent="0.4">
      <c r="A17" s="71"/>
      <c r="B17" s="74" t="s">
        <v>182</v>
      </c>
      <c r="C17" s="79" t="s">
        <v>176</v>
      </c>
      <c r="D17" s="96">
        <f>ROUND(5000*575.4/358.2,-3)</f>
        <v>8000</v>
      </c>
      <c r="E17" s="100">
        <f t="shared" si="0"/>
        <v>5333.333333333333</v>
      </c>
      <c r="F17" s="80">
        <f t="shared" si="1"/>
        <v>5630.8654848800834</v>
      </c>
    </row>
    <row r="18" spans="1:8" ht="16" thickBot="1" x14ac:dyDescent="0.45">
      <c r="A18" s="81"/>
      <c r="B18" s="82" t="s">
        <v>184</v>
      </c>
      <c r="C18" s="83" t="s">
        <v>176</v>
      </c>
      <c r="D18" s="97">
        <f>ROUND(5000*575.4/358.2,-3)</f>
        <v>8000</v>
      </c>
      <c r="E18" s="101">
        <f t="shared" si="0"/>
        <v>5333.333333333333</v>
      </c>
      <c r="F18" s="84">
        <f t="shared" si="1"/>
        <v>5630.8654848800834</v>
      </c>
      <c r="G18" s="63"/>
      <c r="H18" s="63"/>
    </row>
    <row r="19" spans="1:8" x14ac:dyDescent="0.35">
      <c r="A19" s="63"/>
      <c r="B19" s="63"/>
      <c r="C19" s="89" t="s">
        <v>205</v>
      </c>
      <c r="D19" s="88">
        <f>SUM(D11:D18)</f>
        <v>91500</v>
      </c>
      <c r="E19" s="88">
        <f>SUM(E11:E18)</f>
        <v>61000</v>
      </c>
      <c r="F19" s="88">
        <f>SUM(F11:F18)</f>
        <v>64403.023983315943</v>
      </c>
      <c r="G19" s="85"/>
      <c r="H19" s="86"/>
    </row>
    <row r="20" spans="1:8" x14ac:dyDescent="0.35">
      <c r="A20" s="87" t="s">
        <v>185</v>
      </c>
      <c r="B20" s="63"/>
      <c r="C20" s="63"/>
      <c r="D20" s="89" t="s">
        <v>204</v>
      </c>
      <c r="E20" s="88">
        <v>350</v>
      </c>
      <c r="F20" s="88">
        <f>E20*607.5/575.4</f>
        <v>369.52554744525548</v>
      </c>
      <c r="G20" s="85"/>
      <c r="H20" s="86"/>
    </row>
    <row r="21" spans="1:8" x14ac:dyDescent="0.35">
      <c r="A21" s="63" t="s">
        <v>186</v>
      </c>
      <c r="B21" s="63"/>
      <c r="C21" s="63"/>
      <c r="D21" s="89" t="s">
        <v>61</v>
      </c>
      <c r="E21" s="88">
        <f>E19+E20</f>
        <v>61350</v>
      </c>
      <c r="F21" s="88">
        <f>F19+F20</f>
        <v>64772.5495307612</v>
      </c>
      <c r="H21" s="86"/>
    </row>
    <row r="22" spans="1:8" x14ac:dyDescent="0.35">
      <c r="A22" s="63" t="s">
        <v>187</v>
      </c>
      <c r="B22" s="63"/>
      <c r="C22" s="63"/>
      <c r="D22" s="63"/>
      <c r="E22" s="63"/>
      <c r="F22" s="63"/>
      <c r="G22" s="63"/>
      <c r="H22" s="63"/>
    </row>
    <row r="23" spans="1:8" x14ac:dyDescent="0.35">
      <c r="A23" s="63" t="s">
        <v>188</v>
      </c>
      <c r="B23" s="63"/>
      <c r="C23" s="63"/>
      <c r="D23" s="63"/>
      <c r="E23" s="63"/>
      <c r="H23" s="63"/>
    </row>
    <row r="24" spans="1:8" x14ac:dyDescent="0.35">
      <c r="A24" s="63" t="s">
        <v>189</v>
      </c>
      <c r="B24" s="63"/>
      <c r="C24" s="63"/>
      <c r="D24" s="63"/>
      <c r="E24" s="63"/>
      <c r="F24" s="63"/>
      <c r="G24" s="63"/>
      <c r="H24" s="63"/>
    </row>
    <row r="25" spans="1:8" x14ac:dyDescent="0.35">
      <c r="A25" s="63" t="s">
        <v>190</v>
      </c>
      <c r="B25" s="63"/>
      <c r="C25" s="63"/>
      <c r="D25" s="63"/>
      <c r="E25" s="63"/>
      <c r="F25" s="63" t="s">
        <v>179</v>
      </c>
      <c r="G25" s="102">
        <f>2/3*(SUM(D11:D18))</f>
        <v>61000</v>
      </c>
      <c r="H25" s="63"/>
    </row>
    <row r="26" spans="1:8" x14ac:dyDescent="0.35">
      <c r="A26" s="63" t="s">
        <v>191</v>
      </c>
      <c r="B26" s="63"/>
      <c r="C26" s="63"/>
      <c r="D26" s="63"/>
      <c r="E26" s="63"/>
      <c r="F26" s="63" t="s">
        <v>183</v>
      </c>
      <c r="G26" s="102">
        <v>21000</v>
      </c>
      <c r="H26" s="63"/>
    </row>
    <row r="27" spans="1:8" x14ac:dyDescent="0.35">
      <c r="A27" s="63"/>
      <c r="B27" s="63"/>
      <c r="C27" s="63"/>
      <c r="D27" s="63"/>
      <c r="E27" s="63"/>
      <c r="F27" s="63"/>
      <c r="G27" s="63"/>
      <c r="H27" s="63"/>
    </row>
    <row r="28" spans="1:8" x14ac:dyDescent="0.35">
      <c r="A28" s="87" t="s">
        <v>192</v>
      </c>
      <c r="B28" s="63"/>
      <c r="C28" s="63"/>
      <c r="D28" s="88"/>
      <c r="E28" s="63"/>
      <c r="F28" s="63"/>
      <c r="G28" s="63"/>
      <c r="H28" s="63"/>
    </row>
    <row r="29" spans="1:8" x14ac:dyDescent="0.35">
      <c r="A29" s="63" t="s">
        <v>193</v>
      </c>
      <c r="B29" s="63"/>
      <c r="C29" s="63"/>
      <c r="D29" s="88"/>
      <c r="E29" s="88"/>
      <c r="F29" s="63"/>
      <c r="G29" s="63"/>
      <c r="H29" s="63"/>
    </row>
    <row r="30" spans="1:8" x14ac:dyDescent="0.35">
      <c r="A30" s="63" t="s">
        <v>194</v>
      </c>
      <c r="B30" s="63"/>
      <c r="C30" s="63"/>
      <c r="D30" s="88"/>
      <c r="E30" s="63"/>
      <c r="F30" s="63"/>
      <c r="G30" s="63"/>
      <c r="H30" s="63"/>
    </row>
    <row r="31" spans="1:8" x14ac:dyDescent="0.35">
      <c r="A31" s="63" t="s">
        <v>195</v>
      </c>
      <c r="B31" s="63"/>
      <c r="C31" s="63"/>
      <c r="D31" s="88"/>
      <c r="E31" s="63"/>
      <c r="F31" s="63"/>
      <c r="G31" s="63"/>
      <c r="H31" s="63"/>
    </row>
    <row r="32" spans="1:8" x14ac:dyDescent="0.35">
      <c r="A32" s="63" t="s">
        <v>196</v>
      </c>
      <c r="B32" s="63"/>
      <c r="C32" s="63"/>
      <c r="D32" s="88"/>
      <c r="E32" s="63"/>
      <c r="F32" s="63"/>
      <c r="G32" s="63"/>
      <c r="H32" s="63"/>
    </row>
    <row r="33" spans="1:8" x14ac:dyDescent="0.35">
      <c r="A33" s="63" t="s">
        <v>197</v>
      </c>
      <c r="B33" s="63"/>
      <c r="C33" s="63"/>
      <c r="D33" s="88"/>
      <c r="E33" s="63"/>
      <c r="F33" s="63"/>
      <c r="G33" s="63"/>
      <c r="H33" s="63"/>
    </row>
    <row r="34" spans="1:8" x14ac:dyDescent="0.35">
      <c r="A34" s="63" t="s">
        <v>198</v>
      </c>
      <c r="B34" s="63"/>
      <c r="C34" s="63"/>
      <c r="D34" s="88"/>
      <c r="E34" s="63"/>
      <c r="F34" s="63"/>
      <c r="G34" s="63"/>
      <c r="H34" s="63"/>
    </row>
    <row r="35" spans="1:8" x14ac:dyDescent="0.35">
      <c r="A35" s="63" t="s">
        <v>199</v>
      </c>
      <c r="B35" s="63"/>
      <c r="C35" s="63"/>
      <c r="D35" s="88"/>
      <c r="E35" s="63"/>
      <c r="F35" s="63"/>
      <c r="G35" s="63"/>
      <c r="H35" s="63"/>
    </row>
  </sheetData>
  <mergeCells count="1">
    <mergeCell ref="E9:F9"/>
  </mergeCells>
  <phoneticPr fontId="26"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Respondents</vt:lpstr>
      <vt:lpstr>Agency</vt:lpstr>
      <vt:lpstr>Capital and O&amp;M</vt:lpstr>
      <vt:lpstr>Stack testing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Leta Kent</dc:creator>
  <cp:lastModifiedBy>Salahuddin, Diane</cp:lastModifiedBy>
  <dcterms:created xsi:type="dcterms:W3CDTF">2017-01-05T18:08:49Z</dcterms:created>
  <dcterms:modified xsi:type="dcterms:W3CDTF">2020-09-23T19:42:12Z</dcterms:modified>
</cp:coreProperties>
</file>