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CKerwin\Downloads\"/>
    </mc:Choice>
  </mc:AlternateContent>
  <xr:revisionPtr revIDLastSave="0" documentId="8_{7EC1BC38-1272-43CF-9F42-1EBF3CB8F845}" xr6:coauthVersionLast="44" xr6:coauthVersionMax="44" xr10:uidLastSave="{00000000-0000-0000-0000-000000000000}"/>
  <bookViews>
    <workbookView xWindow="-120" yWindow="-120" windowWidth="20730" windowHeight="11310" tabRatio="786" xr2:uid="{00000000-000D-0000-FFFF-FFFF00000000}"/>
  </bookViews>
  <sheets>
    <sheet name="TBL1-YR1" sheetId="1" r:id="rId1"/>
    <sheet name="TBL2-YR2" sheetId="3" r:id="rId2"/>
    <sheet name="TBL3-YR3" sheetId="4" r:id="rId3"/>
    <sheet name="TBL4-Summary" sheetId="5" r:id="rId4"/>
    <sheet name="TBL5-YR1" sheetId="2" r:id="rId5"/>
    <sheet name="TBL6-YR2" sheetId="6" r:id="rId6"/>
    <sheet name="TBL7-YR3" sheetId="7" r:id="rId7"/>
    <sheet name="TBL8-Summary" sheetId="8" r:id="rId8"/>
    <sheet name="Capital O&amp;M"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5" l="1"/>
  <c r="E7" i="5"/>
  <c r="H6" i="8"/>
  <c r="F6" i="8"/>
  <c r="H7" i="8"/>
  <c r="C12" i="5" l="1"/>
  <c r="C10" i="5" l="1"/>
  <c r="B12" i="8" l="1"/>
  <c r="G4" i="5"/>
  <c r="G3" i="5"/>
  <c r="G6" i="9"/>
  <c r="G7" i="9" s="1"/>
  <c r="B6" i="9"/>
  <c r="D6" i="9" s="1"/>
  <c r="C9" i="8"/>
  <c r="G7" i="8"/>
  <c r="G6" i="8"/>
  <c r="D12" i="7"/>
  <c r="F12" i="7" s="1"/>
  <c r="D11" i="7"/>
  <c r="F11" i="7" s="1"/>
  <c r="D10" i="7"/>
  <c r="D9" i="7"/>
  <c r="F9" i="7" s="1"/>
  <c r="H9" i="7" s="1"/>
  <c r="D8" i="7"/>
  <c r="F8" i="7" s="1"/>
  <c r="F6" i="7"/>
  <c r="G6" i="7" s="1"/>
  <c r="F5" i="7"/>
  <c r="H5" i="7" s="1"/>
  <c r="D12" i="6"/>
  <c r="F12" i="6" s="1"/>
  <c r="D11" i="6"/>
  <c r="F11" i="6" s="1"/>
  <c r="G11" i="6" s="1"/>
  <c r="D10" i="6"/>
  <c r="F10" i="6" s="1"/>
  <c r="D9" i="6"/>
  <c r="F9" i="6" s="1"/>
  <c r="D8" i="6"/>
  <c r="F8" i="6" s="1"/>
  <c r="F6" i="6"/>
  <c r="F5" i="6"/>
  <c r="G5" i="6" s="1"/>
  <c r="D10" i="2"/>
  <c r="F10" i="2" s="1"/>
  <c r="H10" i="2" s="1"/>
  <c r="D9" i="2"/>
  <c r="H6" i="7" l="1"/>
  <c r="I6" i="7" s="1"/>
  <c r="B4" i="8"/>
  <c r="B14" i="8"/>
  <c r="D7" i="9"/>
  <c r="I7" i="9" s="1"/>
  <c r="I30" i="4" s="1"/>
  <c r="G5" i="5" s="1"/>
  <c r="G7" i="5" s="1"/>
  <c r="F10" i="7"/>
  <c r="G10" i="7" s="1"/>
  <c r="B13" i="8"/>
  <c r="H11" i="7"/>
  <c r="I11" i="7" s="1"/>
  <c r="G11" i="7"/>
  <c r="H8" i="7"/>
  <c r="G8" i="7"/>
  <c r="I8" i="7" s="1"/>
  <c r="H12" i="7"/>
  <c r="G12" i="7"/>
  <c r="G9" i="7"/>
  <c r="G5" i="7"/>
  <c r="I5" i="7" s="1"/>
  <c r="G10" i="6"/>
  <c r="H10" i="6"/>
  <c r="G8" i="6"/>
  <c r="H8" i="6"/>
  <c r="I8" i="6" s="1"/>
  <c r="G9" i="6"/>
  <c r="H9" i="6"/>
  <c r="H12" i="6"/>
  <c r="G12" i="6"/>
  <c r="I12" i="6" s="1"/>
  <c r="H11" i="6"/>
  <c r="I11" i="6"/>
  <c r="H5" i="6"/>
  <c r="I5" i="6" s="1"/>
  <c r="G6" i="6"/>
  <c r="H6" i="6"/>
  <c r="G10" i="2"/>
  <c r="I10" i="2"/>
  <c r="B14" i="5"/>
  <c r="C14" i="5"/>
  <c r="D27" i="4"/>
  <c r="F27" i="4" s="1"/>
  <c r="D26" i="4"/>
  <c r="F26" i="4" s="1"/>
  <c r="H26" i="4" s="1"/>
  <c r="D25" i="4"/>
  <c r="F25" i="4" s="1"/>
  <c r="D24" i="4"/>
  <c r="F24" i="4" s="1"/>
  <c r="D23" i="4"/>
  <c r="F23" i="4" s="1"/>
  <c r="D20" i="4"/>
  <c r="F20" i="4" s="1"/>
  <c r="D19" i="4"/>
  <c r="F19" i="4" s="1"/>
  <c r="D18" i="4"/>
  <c r="F18" i="4" s="1"/>
  <c r="D16" i="4"/>
  <c r="F16" i="4" s="1"/>
  <c r="D15" i="4"/>
  <c r="F15" i="4" s="1"/>
  <c r="D14" i="4"/>
  <c r="F14" i="4" s="1"/>
  <c r="D13" i="4"/>
  <c r="F13" i="4" s="1"/>
  <c r="D12" i="4"/>
  <c r="F12" i="4" s="1"/>
  <c r="D11" i="4"/>
  <c r="F11" i="4" s="1"/>
  <c r="D10" i="4"/>
  <c r="F10" i="4" s="1"/>
  <c r="H10" i="4" s="1"/>
  <c r="D9" i="4"/>
  <c r="F9" i="4" s="1"/>
  <c r="D8" i="4"/>
  <c r="F8" i="4" s="1"/>
  <c r="D6" i="4"/>
  <c r="F6" i="4" s="1"/>
  <c r="D27" i="3"/>
  <c r="F27" i="3" s="1"/>
  <c r="D26" i="3"/>
  <c r="F26" i="3" s="1"/>
  <c r="D25" i="3"/>
  <c r="F25" i="3" s="1"/>
  <c r="D24" i="3"/>
  <c r="F24" i="3" s="1"/>
  <c r="D23" i="3"/>
  <c r="F23" i="3" s="1"/>
  <c r="D20" i="3"/>
  <c r="F20" i="3" s="1"/>
  <c r="D19" i="3"/>
  <c r="F19" i="3" s="1"/>
  <c r="D18" i="3"/>
  <c r="F18" i="3" s="1"/>
  <c r="D16" i="3"/>
  <c r="F16" i="3" s="1"/>
  <c r="G16" i="3" s="1"/>
  <c r="D15" i="3"/>
  <c r="F15" i="3" s="1"/>
  <c r="D14" i="3"/>
  <c r="F14" i="3" s="1"/>
  <c r="D13" i="3"/>
  <c r="F13" i="3" s="1"/>
  <c r="D12" i="3"/>
  <c r="F12" i="3" s="1"/>
  <c r="H12" i="3" s="1"/>
  <c r="D11" i="3"/>
  <c r="F11" i="3" s="1"/>
  <c r="D10" i="3"/>
  <c r="F10" i="3" s="1"/>
  <c r="D9" i="3"/>
  <c r="F9" i="3" s="1"/>
  <c r="D8" i="3"/>
  <c r="F8" i="3" s="1"/>
  <c r="H8" i="3" s="1"/>
  <c r="D6" i="3"/>
  <c r="F6" i="3" s="1"/>
  <c r="D24" i="1"/>
  <c r="D25" i="1"/>
  <c r="D26" i="1"/>
  <c r="F26" i="1" s="1"/>
  <c r="H26" i="1" s="1"/>
  <c r="D27" i="1"/>
  <c r="F27" i="1" s="1"/>
  <c r="D20" i="1"/>
  <c r="F20" i="1" s="1"/>
  <c r="H20" i="1" s="1"/>
  <c r="D19" i="1"/>
  <c r="F19" i="1" s="1"/>
  <c r="G19" i="1" s="1"/>
  <c r="D16" i="1"/>
  <c r="F16" i="1" s="1"/>
  <c r="H16" i="1" s="1"/>
  <c r="D15" i="1"/>
  <c r="F15" i="1" s="1"/>
  <c r="G15" i="1" s="1"/>
  <c r="I9" i="6" l="1"/>
  <c r="H10" i="7"/>
  <c r="D5" i="8" s="1"/>
  <c r="I12" i="7"/>
  <c r="I6" i="6"/>
  <c r="I10" i="6"/>
  <c r="I10" i="7"/>
  <c r="D4" i="8"/>
  <c r="I13" i="6"/>
  <c r="F4" i="8" s="1"/>
  <c r="H4" i="8" s="1"/>
  <c r="C4" i="8"/>
  <c r="F13" i="6"/>
  <c r="C11" i="8" s="1"/>
  <c r="B5" i="8"/>
  <c r="I9" i="7"/>
  <c r="C5" i="8"/>
  <c r="F13" i="7"/>
  <c r="C12" i="8" s="1"/>
  <c r="G23" i="3"/>
  <c r="H23" i="3"/>
  <c r="G14" i="3"/>
  <c r="H14" i="3"/>
  <c r="B4" i="5"/>
  <c r="G20" i="1"/>
  <c r="I20" i="1" s="1"/>
  <c r="H19" i="4"/>
  <c r="B5" i="5"/>
  <c r="G6" i="5"/>
  <c r="C13" i="5"/>
  <c r="G15" i="4"/>
  <c r="H15" i="4"/>
  <c r="G16" i="4"/>
  <c r="I16" i="4" s="1"/>
  <c r="H16" i="4"/>
  <c r="G25" i="4"/>
  <c r="H25" i="4"/>
  <c r="H18" i="4"/>
  <c r="G18" i="4"/>
  <c r="I18" i="4" s="1"/>
  <c r="H9" i="4"/>
  <c r="G9" i="4"/>
  <c r="G8" i="4"/>
  <c r="H8" i="4"/>
  <c r="G24" i="4"/>
  <c r="H24" i="4"/>
  <c r="H11" i="4"/>
  <c r="G11" i="4"/>
  <c r="H6" i="4"/>
  <c r="G6" i="4"/>
  <c r="G13" i="4"/>
  <c r="H13" i="4"/>
  <c r="H20" i="4"/>
  <c r="G20" i="4"/>
  <c r="I20" i="4" s="1"/>
  <c r="H27" i="4"/>
  <c r="G27" i="4"/>
  <c r="I27" i="4" s="1"/>
  <c r="G10" i="4"/>
  <c r="I10" i="4" s="1"/>
  <c r="G19" i="4"/>
  <c r="G26" i="4"/>
  <c r="I26" i="4" s="1"/>
  <c r="G12" i="4"/>
  <c r="H12" i="4"/>
  <c r="G14" i="4"/>
  <c r="G23" i="4"/>
  <c r="F28" i="4" s="1"/>
  <c r="H14" i="4"/>
  <c r="H23" i="4"/>
  <c r="H15" i="3"/>
  <c r="G15" i="3"/>
  <c r="H24" i="3"/>
  <c r="G24" i="3"/>
  <c r="H9" i="3"/>
  <c r="G9" i="3"/>
  <c r="H27" i="3"/>
  <c r="G27" i="3"/>
  <c r="H10" i="3"/>
  <c r="G10" i="3"/>
  <c r="H11" i="3"/>
  <c r="G11" i="3"/>
  <c r="I11" i="3" s="1"/>
  <c r="H6" i="3"/>
  <c r="G6" i="3"/>
  <c r="H18" i="3"/>
  <c r="G18" i="3"/>
  <c r="G13" i="3"/>
  <c r="H13" i="3"/>
  <c r="H19" i="3"/>
  <c r="G19" i="3"/>
  <c r="H20" i="3"/>
  <c r="G20" i="3"/>
  <c r="I20" i="3" s="1"/>
  <c r="H26" i="3"/>
  <c r="G26" i="3"/>
  <c r="G8" i="3"/>
  <c r="I14" i="3"/>
  <c r="G25" i="3"/>
  <c r="H16" i="3"/>
  <c r="I16" i="3" s="1"/>
  <c r="H25" i="3"/>
  <c r="I8" i="3"/>
  <c r="G12" i="3"/>
  <c r="I12" i="3" s="1"/>
  <c r="G27" i="1"/>
  <c r="H27" i="1"/>
  <c r="G26" i="1"/>
  <c r="I26" i="1" s="1"/>
  <c r="H19" i="1"/>
  <c r="I19" i="1" s="1"/>
  <c r="G16" i="1"/>
  <c r="I16" i="1" s="1"/>
  <c r="H15" i="1"/>
  <c r="I15" i="1" s="1"/>
  <c r="I10" i="3" l="1"/>
  <c r="I8" i="4"/>
  <c r="I27" i="3"/>
  <c r="E4" i="8"/>
  <c r="I13" i="7"/>
  <c r="F5" i="8" s="1"/>
  <c r="H5" i="8" s="1"/>
  <c r="E5" i="8"/>
  <c r="I14" i="4"/>
  <c r="F21" i="4"/>
  <c r="G29" i="4" s="1"/>
  <c r="I9" i="4"/>
  <c r="I25" i="4"/>
  <c r="I12" i="4"/>
  <c r="E12" i="5"/>
  <c r="I13" i="4"/>
  <c r="I18" i="3"/>
  <c r="I24" i="4"/>
  <c r="I15" i="4"/>
  <c r="I11" i="4"/>
  <c r="D4" i="5"/>
  <c r="I9" i="3"/>
  <c r="I25" i="3"/>
  <c r="I19" i="3"/>
  <c r="I6" i="3"/>
  <c r="C4" i="5"/>
  <c r="E4" i="5" s="1"/>
  <c r="I13" i="3"/>
  <c r="I15" i="3"/>
  <c r="I26" i="3"/>
  <c r="I23" i="3"/>
  <c r="D5" i="5"/>
  <c r="I19" i="4"/>
  <c r="C5" i="5"/>
  <c r="F28" i="3"/>
  <c r="E11" i="5" s="1"/>
  <c r="I23" i="4"/>
  <c r="I6" i="4"/>
  <c r="F21" i="3"/>
  <c r="D11" i="5" s="1"/>
  <c r="I24" i="3"/>
  <c r="I27" i="1"/>
  <c r="F11" i="5" l="1"/>
  <c r="H11" i="5" s="1"/>
  <c r="D12" i="5"/>
  <c r="F12" i="5" s="1"/>
  <c r="E5" i="5"/>
  <c r="I21" i="4"/>
  <c r="I29" i="4" s="1"/>
  <c r="I31" i="4" s="1"/>
  <c r="I28" i="4"/>
  <c r="I28" i="3"/>
  <c r="I21" i="3"/>
  <c r="G29" i="3"/>
  <c r="F5" i="5" l="1"/>
  <c r="H5" i="5" s="1"/>
  <c r="I29" i="3"/>
  <c r="G12" i="5"/>
  <c r="H12" i="5"/>
  <c r="F9" i="2"/>
  <c r="F6" i="2"/>
  <c r="H6" i="2" s="1"/>
  <c r="F5" i="2"/>
  <c r="D8" i="2"/>
  <c r="F8" i="2" s="1"/>
  <c r="D11" i="2"/>
  <c r="F11" i="2" s="1"/>
  <c r="D12" i="2"/>
  <c r="F12" i="2" s="1"/>
  <c r="F25" i="1"/>
  <c r="F24" i="1"/>
  <c r="D23" i="1"/>
  <c r="F23" i="1" s="1"/>
  <c r="D18" i="1"/>
  <c r="F18" i="1" s="1"/>
  <c r="D14" i="1"/>
  <c r="F14" i="1" s="1"/>
  <c r="D13" i="1"/>
  <c r="F13" i="1" s="1"/>
  <c r="D12" i="1"/>
  <c r="F12" i="1" s="1"/>
  <c r="D11" i="1"/>
  <c r="F11" i="1" s="1"/>
  <c r="D10" i="1"/>
  <c r="F10" i="1" s="1"/>
  <c r="D9" i="1"/>
  <c r="F9" i="1" s="1"/>
  <c r="D8" i="1"/>
  <c r="F8" i="1" s="1"/>
  <c r="D6" i="1"/>
  <c r="B3" i="8" l="1"/>
  <c r="I31" i="3"/>
  <c r="F4" i="5"/>
  <c r="H4" i="5" s="1"/>
  <c r="F6" i="1"/>
  <c r="G6" i="2"/>
  <c r="H12" i="2"/>
  <c r="G12" i="2"/>
  <c r="I6" i="2"/>
  <c r="H8" i="2"/>
  <c r="G8" i="2"/>
  <c r="I8" i="2" s="1"/>
  <c r="H9" i="2"/>
  <c r="H5" i="2"/>
  <c r="H11" i="2"/>
  <c r="G5" i="2"/>
  <c r="G11" i="2"/>
  <c r="G9" i="2"/>
  <c r="G8" i="1"/>
  <c r="H8" i="1"/>
  <c r="H12" i="1"/>
  <c r="G12" i="1"/>
  <c r="G23" i="1"/>
  <c r="H23" i="1"/>
  <c r="H11" i="1"/>
  <c r="G11" i="1"/>
  <c r="I11" i="1" s="1"/>
  <c r="H18" i="1"/>
  <c r="G18" i="1"/>
  <c r="H10" i="1"/>
  <c r="G10" i="1"/>
  <c r="G14" i="1"/>
  <c r="H14" i="1"/>
  <c r="H25" i="1"/>
  <c r="G25" i="1"/>
  <c r="H9" i="1"/>
  <c r="G9" i="1"/>
  <c r="H13" i="1"/>
  <c r="G13" i="1"/>
  <c r="H24" i="1"/>
  <c r="G24" i="1"/>
  <c r="I12" i="2" l="1"/>
  <c r="C3" i="8"/>
  <c r="F13" i="2"/>
  <c r="C10" i="8" s="1"/>
  <c r="D3" i="8"/>
  <c r="B7" i="8"/>
  <c r="B6" i="8"/>
  <c r="B3" i="5"/>
  <c r="I18" i="1"/>
  <c r="F28" i="1"/>
  <c r="H6" i="1"/>
  <c r="D3" i="5" s="1"/>
  <c r="I12" i="1"/>
  <c r="I24" i="1"/>
  <c r="G6" i="1"/>
  <c r="C3" i="5" s="1"/>
  <c r="I13" i="1"/>
  <c r="I10" i="1"/>
  <c r="I5" i="2"/>
  <c r="I25" i="1"/>
  <c r="I14" i="1"/>
  <c r="I23" i="1"/>
  <c r="I8" i="1"/>
  <c r="I11" i="2"/>
  <c r="I9" i="1"/>
  <c r="I9" i="2"/>
  <c r="E3" i="8" l="1"/>
  <c r="D6" i="8"/>
  <c r="D7" i="8"/>
  <c r="I13" i="2"/>
  <c r="F3" i="8" s="1"/>
  <c r="C14" i="8"/>
  <c r="C13" i="8"/>
  <c r="C16" i="8" s="1"/>
  <c r="C6" i="8"/>
  <c r="C7" i="8"/>
  <c r="I28" i="1"/>
  <c r="D6" i="5"/>
  <c r="D7" i="5"/>
  <c r="C6" i="5"/>
  <c r="C7" i="5"/>
  <c r="E10" i="5"/>
  <c r="F21" i="1"/>
  <c r="D10" i="5" s="1"/>
  <c r="I29" i="1"/>
  <c r="E3" i="5"/>
  <c r="B7" i="5"/>
  <c r="B6" i="5"/>
  <c r="I6" i="1"/>
  <c r="I21" i="1" s="1"/>
  <c r="H3" i="8" l="1"/>
  <c r="F7" i="8"/>
  <c r="E7" i="8"/>
  <c r="E6" i="8"/>
  <c r="F3" i="5"/>
  <c r="I31" i="1"/>
  <c r="E13" i="5"/>
  <c r="E14" i="5"/>
  <c r="F10" i="5"/>
  <c r="D13" i="5"/>
  <c r="D14" i="5"/>
  <c r="G29" i="1"/>
  <c r="E6" i="5"/>
  <c r="F6" i="5" l="1"/>
  <c r="F7" i="5"/>
  <c r="H10" i="5"/>
  <c r="H13" i="5" s="1"/>
  <c r="G10" i="5"/>
  <c r="F13" i="5"/>
  <c r="H3" i="5"/>
  <c r="H6" i="5" l="1"/>
  <c r="H7" i="5"/>
  <c r="E15" i="5" s="1"/>
  <c r="E16" i="5"/>
  <c r="E17" i="5"/>
  <c r="G14" i="5"/>
  <c r="H14" i="5"/>
</calcChain>
</file>

<file path=xl/sharedStrings.xml><?xml version="1.0" encoding="utf-8"?>
<sst xmlns="http://schemas.openxmlformats.org/spreadsheetml/2006/main" count="341" uniqueCount="133">
  <si>
    <t>Burden item</t>
  </si>
  <si>
    <t xml:space="preserve">(A) </t>
  </si>
  <si>
    <t>Person hours per occurrence</t>
  </si>
  <si>
    <t xml:space="preserve">(B) </t>
  </si>
  <si>
    <t>No. of occurrences per respondent per year</t>
  </si>
  <si>
    <t xml:space="preserve">(C) </t>
  </si>
  <si>
    <t>Person hours per respondent per year (C=AxB)</t>
  </si>
  <si>
    <t xml:space="preserve">(H) </t>
  </si>
  <si>
    <t>Subtotal for Reporting Requirements</t>
  </si>
  <si>
    <t>Subtotal for Recordkeeping Requirements</t>
  </si>
  <si>
    <t>(D)</t>
  </si>
  <si>
    <t>(E)</t>
  </si>
  <si>
    <t>Technical person- hours per year (E=CxD)</t>
  </si>
  <si>
    <t>(F)</t>
  </si>
  <si>
    <t>Management person hours per year (Ex0.05)</t>
  </si>
  <si>
    <t>(G)</t>
  </si>
  <si>
    <t>Clerical person hours per year (Ex0.1)</t>
  </si>
  <si>
    <t>Assumptions:</t>
  </si>
  <si>
    <t>1.  Initial performance and test</t>
  </si>
  <si>
    <t>N/A</t>
  </si>
  <si>
    <t>2.  Repeat performance test</t>
  </si>
  <si>
    <t xml:space="preserve">Assumptions: </t>
  </si>
  <si>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</si>
  <si>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labor rates: $65.71 for Managerial (GS-13, Step 5, $41.07 + 60%), $48.75 for Technical (GS-12, Step 1, $30.47+ 60%), and $26.38 Clerical (GS-6, Step 3, $16.49+ 60%).  These rates are from the Office of Personnel Management (OPM), 2018 General Schedule, which excludes locality rates of pay.  The rates have been increased by 60 percent to account for the benefit packages available to government employees.  </t>
    </r>
  </si>
  <si>
    <r>
      <t>c</t>
    </r>
    <r>
      <rPr>
        <sz val="10"/>
        <rFont val="Times New Roman"/>
        <family val="1"/>
      </rPr>
      <t xml:space="preserve">  We assumed that the four magnet wire facilities on average incorporate a higher number of processes that’s typical for the industry.  The burden of gathering information, monitoring, and processing compiling, and reviewing has been estimated based on comments received from NEMA.</t>
    </r>
  </si>
  <si>
    <t>Labor Rates</t>
  </si>
  <si>
    <t>Manager</t>
  </si>
  <si>
    <t>Technical</t>
  </si>
  <si>
    <t>Clerical</t>
  </si>
  <si>
    <r>
      <t>a</t>
    </r>
    <r>
      <rPr>
        <sz val="10"/>
        <color theme="1"/>
        <rFont val="Times New Roman"/>
        <family val="1"/>
      </rPr>
      <t xml:space="preserve">  There are 368 existing sources currently subject to this rule, with no additional new or reconstructed sources becoming subject to the rule over the next three years of this ICR.</t>
    </r>
  </si>
  <si>
    <t>1. Reporting Requirements</t>
  </si>
  <si>
    <t>2. Recordkeeping requirements</t>
  </si>
  <si>
    <t>A.   Familiarization with rule requirements</t>
  </si>
  <si>
    <t>B.   Required Activities</t>
  </si>
  <si>
    <t>C.   Write Reports</t>
  </si>
  <si>
    <t>Plan activities</t>
  </si>
  <si>
    <t>Training</t>
  </si>
  <si>
    <t>Create, test, and research and development</t>
  </si>
  <si>
    <t>Gather information and monitor</t>
  </si>
  <si>
    <r>
      <t xml:space="preserve">Process/Compile and Review - Magnet wire facilities </t>
    </r>
    <r>
      <rPr>
        <vertAlign val="superscript"/>
        <sz val="10"/>
        <color theme="1"/>
        <rFont val="Times New Roman"/>
        <family val="1"/>
      </rPr>
      <t>c</t>
    </r>
  </si>
  <si>
    <t>Process/Compile and Review</t>
  </si>
  <si>
    <r>
      <t xml:space="preserve">Gather information and monitor - Magnet wire facilities </t>
    </r>
    <r>
      <rPr>
        <vertAlign val="superscript"/>
        <sz val="10"/>
        <color theme="1"/>
        <rFont val="Times New Roman"/>
        <family val="1"/>
      </rPr>
      <t>c</t>
    </r>
    <r>
      <rPr>
        <sz val="10"/>
        <color theme="1"/>
        <rFont val="Times New Roman"/>
        <family val="1"/>
      </rPr>
      <t xml:space="preserve">   </t>
    </r>
  </si>
  <si>
    <r>
      <t xml:space="preserve">Add-on control performance test </t>
    </r>
    <r>
      <rPr>
        <vertAlign val="superscript"/>
        <sz val="9"/>
        <rFont val="Times New Roman"/>
        <family val="1"/>
      </rPr>
      <t>d</t>
    </r>
  </si>
  <si>
    <r>
      <t xml:space="preserve">Repeat add-on control performance test </t>
    </r>
    <r>
      <rPr>
        <vertAlign val="superscript"/>
        <sz val="9"/>
        <rFont val="Times New Roman"/>
        <family val="1"/>
      </rPr>
      <t>d</t>
    </r>
  </si>
  <si>
    <r>
      <t xml:space="preserve">Semiannual Reports </t>
    </r>
    <r>
      <rPr>
        <vertAlign val="superscript"/>
        <sz val="10"/>
        <color theme="1"/>
        <rFont val="Times New Roman"/>
        <family val="1"/>
      </rPr>
      <t>e</t>
    </r>
  </si>
  <si>
    <r>
      <t>e</t>
    </r>
    <r>
      <rPr>
        <sz val="10"/>
        <color theme="1"/>
        <rFont val="Times New Roman"/>
        <family val="1"/>
      </rPr>
      <t xml:space="preserve">  We have assumed that each respondent will take eight hours twice per year to complete the semiannual reports.</t>
    </r>
  </si>
  <si>
    <r>
      <t xml:space="preserve">Notification of performance test/re-test </t>
    </r>
    <r>
      <rPr>
        <vertAlign val="superscript"/>
        <sz val="9"/>
        <rFont val="Times New Roman"/>
        <family val="1"/>
      </rPr>
      <t>f</t>
    </r>
  </si>
  <si>
    <r>
      <t xml:space="preserve">Performance test/re-test report </t>
    </r>
    <r>
      <rPr>
        <vertAlign val="superscript"/>
        <sz val="9"/>
        <rFont val="Times New Roman"/>
        <family val="1"/>
      </rPr>
      <t>f</t>
    </r>
  </si>
  <si>
    <r>
      <t>g</t>
    </r>
    <r>
      <rPr>
        <sz val="10"/>
        <color theme="1"/>
        <rFont val="Times New Roman"/>
        <family val="1"/>
      </rPr>
      <t xml:space="preserve">  We have assumed that each respondent will take four hours twice per year to complete the task.</t>
    </r>
  </si>
  <si>
    <t>Year 1</t>
  </si>
  <si>
    <r>
      <t>Respondents per year</t>
    </r>
    <r>
      <rPr>
        <b/>
        <vertAlign val="superscript"/>
        <sz val="10"/>
        <color theme="1"/>
        <rFont val="Times New Roman"/>
        <family val="1"/>
      </rPr>
      <t>a</t>
    </r>
  </si>
  <si>
    <r>
      <t>Cost, $</t>
    </r>
    <r>
      <rPr>
        <b/>
        <vertAlign val="superscript"/>
        <sz val="10"/>
        <color theme="1"/>
        <rFont val="Times New Roman"/>
        <family val="1"/>
      </rPr>
      <t xml:space="preserve"> b</t>
    </r>
  </si>
  <si>
    <t>Year</t>
  </si>
  <si>
    <t>Technical Hours</t>
  </si>
  <si>
    <t>Management Hours</t>
  </si>
  <si>
    <t>Clerical Hours</t>
  </si>
  <si>
    <t>Total Labor Hours</t>
  </si>
  <si>
    <t>Labor Costs</t>
  </si>
  <si>
    <t>Non-Labor (Capital/Startup and O&amp;M) Costs</t>
  </si>
  <si>
    <t>Total Costs</t>
  </si>
  <si>
    <t>Total</t>
  </si>
  <si>
    <t>Average</t>
  </si>
  <si>
    <t>Number of Respondents</t>
  </si>
  <si>
    <t>Number of Responses</t>
  </si>
  <si>
    <t>Reporting Hours</t>
  </si>
  <si>
    <t>Recordkeeping Hours</t>
  </si>
  <si>
    <t>Total Hours</t>
  </si>
  <si>
    <t>Hours per Response</t>
  </si>
  <si>
    <t>Hours Per Respondent</t>
  </si>
  <si>
    <t>-</t>
  </si>
  <si>
    <t>Average annual additional costs per respondent:</t>
  </si>
  <si>
    <t>Average annual additional hours per respondent:</t>
  </si>
  <si>
    <t>Average annual additional hours per response:</t>
  </si>
  <si>
    <t>Table 4 - Summary of Annual Respondent Burden and Cost - NESHAP for Miscellaneous Metal Parts and Products (40 CFR Part 63, Subpart MMMM) (Amendments)</t>
  </si>
  <si>
    <t>Table 1: Annual Respondent Burden and Cost – NESHAP for Miscellaneous Metal Parts and Products (40 CFR Part 63, Subpart MMMM) (Amendments)</t>
  </si>
  <si>
    <t>Year 2</t>
  </si>
  <si>
    <t>Year 3</t>
  </si>
  <si>
    <t>a)  Initial notification</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</si>
  <si>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</si>
  <si>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</si>
  <si>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</si>
  <si>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</si>
  <si>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</si>
  <si>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</si>
  <si>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r>
      <t xml:space="preserve">(D)
Respondents per year </t>
    </r>
    <r>
      <rPr>
        <b/>
        <vertAlign val="superscript"/>
        <sz val="10"/>
        <color theme="1"/>
        <rFont val="Times New Roman"/>
        <family val="1"/>
      </rPr>
      <t>a</t>
    </r>
  </si>
  <si>
    <r>
      <t xml:space="preserve">(H)
Cost, $ </t>
    </r>
    <r>
      <rPr>
        <b/>
        <vertAlign val="superscript"/>
        <sz val="10"/>
        <color theme="1"/>
        <rFont val="Times New Roman"/>
        <family val="1"/>
      </rPr>
      <t>b</t>
    </r>
  </si>
  <si>
    <t>d)  Notification of compliance status</t>
  </si>
  <si>
    <t xml:space="preserve">3.  Review of Notifications/Reports </t>
  </si>
  <si>
    <t xml:space="preserve">Year 1 </t>
  </si>
  <si>
    <r>
      <t xml:space="preserve">b)  Notification of performance test </t>
    </r>
    <r>
      <rPr>
        <vertAlign val="superscript"/>
        <sz val="10"/>
        <color theme="1"/>
        <rFont val="Times New Roman"/>
        <family val="1"/>
      </rPr>
      <t>c</t>
    </r>
  </si>
  <si>
    <r>
      <t xml:space="preserve">c)  Performance test/retest report </t>
    </r>
    <r>
      <rPr>
        <vertAlign val="superscript"/>
        <sz val="10"/>
        <color theme="1"/>
        <rFont val="Times New Roman"/>
        <family val="1"/>
      </rPr>
      <t>c</t>
    </r>
  </si>
  <si>
    <r>
      <t xml:space="preserve">e)  Semiannual report </t>
    </r>
    <r>
      <rPr>
        <vertAlign val="superscript"/>
        <sz val="10"/>
        <color theme="1"/>
        <rFont val="Times New Roman"/>
        <family val="1"/>
      </rPr>
      <t>d</t>
    </r>
  </si>
  <si>
    <r>
      <t>d</t>
    </r>
    <r>
      <rPr>
        <sz val="10"/>
        <color theme="1"/>
        <rFont val="Times New Roman"/>
        <family val="1"/>
      </rPr>
      <t xml:space="preserve">  We have assumed that each respondent will take 12 hours twice a year to complete semiannual report.</t>
    </r>
  </si>
  <si>
    <t xml:space="preserve">Year 2 </t>
  </si>
  <si>
    <t xml:space="preserve">Year 3 </t>
  </si>
  <si>
    <t>Non-Labor Costs</t>
  </si>
  <si>
    <t xml:space="preserve">Average annual hours per response:  </t>
  </si>
  <si>
    <t>Table 8 - Summary of Annual Agency Burden and Cost - NESHAP for Miscellaneous Metal Parts and Products (40 CFR Part 63, Subpart MMMM) (Amendments)</t>
  </si>
  <si>
    <t>Capital/Startup vs. Operation and Maintenance (O&amp;M) Costs</t>
  </si>
  <si>
    <t>(A)</t>
  </si>
  <si>
    <t>(B)</t>
  </si>
  <si>
    <t>(C)</t>
  </si>
  <si>
    <t>Performance Testing</t>
  </si>
  <si>
    <t>Capital Startup Cost for One Performance Test</t>
  </si>
  <si>
    <t>Number of Respondents Doing Testing</t>
  </si>
  <si>
    <t>Total Capital/ Startup Cost 
(B x C)</t>
  </si>
  <si>
    <t>Annual O&amp;M Costs for One Respondent</t>
  </si>
  <si>
    <t>Number of Respondents with O&amp;M</t>
  </si>
  <si>
    <t>Total O&amp;M, 
(E x F)</t>
  </si>
  <si>
    <t>Totals (rounded)</t>
  </si>
  <si>
    <t>Table 2: Annual Respondent Burden and Cost – NESHAP for Miscellaneous Metal Parts and Products (40 CFR Part 63, Subpart MMMM) (Amendments)</t>
  </si>
  <si>
    <t>Table 3: Annual Respondent Burden and Cost – NESHAP for Miscellaneous Metal Parts and Products (40 CFR Part 63, Subpart MMMM) (Amendments)</t>
  </si>
  <si>
    <r>
      <t xml:space="preserve">Table 5: Average Annual EPA Burden and Cost – </t>
    </r>
    <r>
      <rPr>
        <b/>
        <sz val="10"/>
        <color theme="1"/>
        <rFont val="Times New Roman"/>
        <family val="1"/>
      </rPr>
      <t>NESHAP for Miscellaneous Metal Parts and Products (40 CFR Part 63, Subpart MMMM) (Amendments)</t>
    </r>
  </si>
  <si>
    <r>
      <t xml:space="preserve">Table 6: Average Annual EPA Burden and Cost – </t>
    </r>
    <r>
      <rPr>
        <b/>
        <sz val="10"/>
        <color theme="1"/>
        <rFont val="Times New Roman"/>
        <family val="1"/>
      </rPr>
      <t>NESHAP for Miscellaneous Metal Parts and Products (40 CFR Part 63, Subpart MMMM) (Amendments)</t>
    </r>
  </si>
  <si>
    <r>
      <t xml:space="preserve">Table 7: Average Annual EPA Burden and Cost – </t>
    </r>
    <r>
      <rPr>
        <b/>
        <sz val="10"/>
        <color theme="1"/>
        <rFont val="Times New Roman"/>
        <family val="1"/>
      </rPr>
      <t>NESHAP for Miscellaneous Metal Parts and Products (40 CFR Part 63, Subpart MMMM) (Amendments)</t>
    </r>
  </si>
  <si>
    <t>Note: In year 3, seven sources test one control device each at a cost of $19,000. We assume a 5% failure rate for the test. Since the fraction of re-tests (0.35) rounds down to zero, we assume no cost for re-tests. Totals have been rounded to three significant figures.</t>
  </si>
  <si>
    <r>
      <t xml:space="preserve">A. Record/disclose information </t>
    </r>
    <r>
      <rPr>
        <vertAlign val="superscript"/>
        <sz val="10"/>
        <color theme="1"/>
        <rFont val="Times New Roman"/>
        <family val="1"/>
      </rPr>
      <t>g</t>
    </r>
  </si>
  <si>
    <r>
      <t xml:space="preserve">B. Store/File information </t>
    </r>
    <r>
      <rPr>
        <vertAlign val="superscript"/>
        <sz val="10"/>
        <color theme="1"/>
        <rFont val="Times New Roman"/>
        <family val="1"/>
      </rPr>
      <t>g</t>
    </r>
  </si>
  <si>
    <t>C. LDAR reporting and recordkeeping</t>
  </si>
  <si>
    <r>
      <t>D. Revise record systems due to SSM revisions</t>
    </r>
    <r>
      <rPr>
        <vertAlign val="superscript"/>
        <sz val="10"/>
        <rFont val="Times New Roman"/>
        <family val="1"/>
      </rPr>
      <t xml:space="preserve"> h</t>
    </r>
  </si>
  <si>
    <r>
      <t xml:space="preserve">E. Become familiar with CEDRI for electronic filing of notifications and reports </t>
    </r>
    <r>
      <rPr>
        <vertAlign val="superscript"/>
        <sz val="10"/>
        <rFont val="Times New Roman"/>
        <family val="1"/>
      </rPr>
      <t>i</t>
    </r>
  </si>
  <si>
    <r>
      <t xml:space="preserve">Total Labor Burden and Cost (rounded) </t>
    </r>
    <r>
      <rPr>
        <b/>
        <vertAlign val="superscript"/>
        <sz val="10"/>
        <color theme="1"/>
        <rFont val="Times New Roman"/>
        <family val="1"/>
      </rPr>
      <t>j</t>
    </r>
  </si>
  <si>
    <r>
      <t xml:space="preserve">Total Capital/O&amp;M Costs (rounded) </t>
    </r>
    <r>
      <rPr>
        <b/>
        <vertAlign val="superscript"/>
        <sz val="10"/>
        <color theme="1"/>
        <rFont val="Times New Roman"/>
        <family val="1"/>
      </rPr>
      <t>j</t>
    </r>
  </si>
  <si>
    <r>
      <t xml:space="preserve">Grand Total (rounded) </t>
    </r>
    <r>
      <rPr>
        <b/>
        <vertAlign val="superscript"/>
        <sz val="10"/>
        <color theme="1"/>
        <rFont val="Times New Roman"/>
        <family val="1"/>
      </rPr>
      <t>j</t>
    </r>
  </si>
  <si>
    <r>
      <rPr>
        <vertAlign val="superscript"/>
        <sz val="10"/>
        <rFont val="Times New Roman"/>
        <family val="1"/>
      </rPr>
      <t>i</t>
    </r>
    <r>
      <rPr>
        <sz val="10"/>
        <rFont val="Times New Roman"/>
        <family val="1"/>
      </rPr>
      <t xml:space="preserve">  Responses in year one associated with the use of electronic reporting include becoming familiar with CEDRI and the semi-annual reporting form.</t>
    </r>
  </si>
  <si>
    <r>
      <rPr>
        <vertAlign val="superscript"/>
        <sz val="10"/>
        <color rgb="FF000000"/>
        <rFont val="Times New Roman"/>
        <family val="1"/>
      </rPr>
      <t>j</t>
    </r>
    <r>
      <rPr>
        <sz val="10"/>
        <color rgb="FF000000"/>
        <rFont val="Times New Roman"/>
        <family val="1"/>
      </rPr>
      <t xml:space="preserve">  Totals have been rounded to 3 significant figures. Figures may not add exactly due to rounding.</t>
    </r>
  </si>
  <si>
    <r>
      <t xml:space="preserve">d  </t>
    </r>
    <r>
      <rPr>
        <sz val="10"/>
        <rFont val="Times New Roman"/>
        <family val="1"/>
      </rPr>
      <t>The performance test requirement will affect 7 facilities in the third year. These are 7 facilities with add-on controls that do not already have a testing requirement in their permits. We assume a 5% failure and re-test rate (7 x 0.05 = 0.35). Since the fraction of re-tests (0.35) rounds down to zero, we assume no re-tests will be done.</t>
    </r>
  </si>
  <si>
    <r>
      <t xml:space="preserve">c. </t>
    </r>
    <r>
      <rPr>
        <sz val="10"/>
        <color theme="1"/>
        <rFont val="Times New Roman"/>
        <family val="1"/>
      </rPr>
      <t xml:space="preserve">Assumes that the 7 facilities with add-on controls but without periodic testing requirements in their permits will do performance testing in year 3. We assume a 5% failure and re-test rate (7 x 0.05 = 0.35). Since the fraction of re-tests (0.35) rounds down to zero, we assume no re-tests will be done. </t>
    </r>
  </si>
  <si>
    <r>
      <t xml:space="preserve">TOTAL (rounded) </t>
    </r>
    <r>
      <rPr>
        <b/>
        <vertAlign val="superscript"/>
        <sz val="10"/>
        <color theme="1"/>
        <rFont val="Times New Roman"/>
        <family val="1"/>
      </rPr>
      <t>e</t>
    </r>
  </si>
  <si>
    <r>
      <rPr>
        <vertAlign val="superscript"/>
        <sz val="10"/>
        <color rgb="FF000000"/>
        <rFont val="Times New Roman"/>
        <family val="1"/>
      </rPr>
      <t>e</t>
    </r>
    <r>
      <rPr>
        <sz val="10"/>
        <color rgb="FF000000"/>
        <rFont val="Times New Roman"/>
        <family val="1"/>
      </rPr>
      <t xml:space="preserve">  Totals have been rounded to 3 significant figures. Figures may not add exactly due to rounding.</t>
    </r>
  </si>
  <si>
    <r>
      <t xml:space="preserve">f </t>
    </r>
    <r>
      <rPr>
        <sz val="10"/>
        <color theme="1"/>
        <rFont val="Times New Roman"/>
        <family val="1"/>
      </rPr>
      <t xml:space="preserve">Assumes that the 7 facilities with add-on controls but without periodic testing requirements in their permits will do performance testing in year 3. We assume a 5% failure and re-test rate (7 x 0.05 = 0.35). Since the fraction of re-tests (0.35) rounds down to zero, we assume no re-tests will be done. </t>
    </r>
  </si>
  <si>
    <r>
      <t xml:space="preserve">c. </t>
    </r>
    <r>
      <rPr>
        <sz val="10"/>
        <color theme="1"/>
        <rFont val="Times New Roman"/>
        <family val="1"/>
      </rPr>
      <t xml:space="preserve">Assumes that the 7 facilities without periodic testing requirements in their permits will do performance testing in year 3. We assume a 5% failure and re-test rate (7 x 0.05 = 0.35). Since the fraction of re-tests (0.35) rounds down to zero, we assume no re-tests will be done. </t>
    </r>
  </si>
  <si>
    <r>
      <rPr>
        <vertAlign val="superscript"/>
        <sz val="10"/>
        <rFont val="Times New Roman"/>
        <family val="1"/>
      </rPr>
      <t xml:space="preserve">h </t>
    </r>
    <r>
      <rPr>
        <sz val="10"/>
        <rFont val="Times New Roman"/>
        <family val="1"/>
      </rPr>
      <t xml:space="preserve"> We assume that costs associated with elimination of the SSM exemption include time for re-evaluating previously developed SSM record systems in year 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</si>
</sst>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General_)"/>
    <numFmt numFmtId="167" formatCode="#,##0.0"/>
  </numFmts>
  <fonts count="18" x14ac:knownFonts="1">
    <font>
      <sz val="11"/>
      <color theme="1"/>
      <name val="Calibri"/>
      <family val="2"/>
      <scheme val="minor"/>
    </font>
    <font>
      <sz val="10"/>
      <color theme="1"/>
      <name val="Times New Roman"/>
      <family val="1"/>
    </font>
    <font>
      <vertAlign val="superscript"/>
      <sz val="10"/>
      <color theme="1"/>
      <name val="Times New Roman"/>
      <family val="1"/>
    </font>
    <font>
      <b/>
      <sz val="10"/>
      <color rgb="FF000000"/>
      <name val="Times New Roman"/>
      <family val="1"/>
    </font>
    <font>
      <sz val="11"/>
      <color theme="1"/>
      <name val="Calibri"/>
      <family val="2"/>
      <scheme val="minor"/>
    </font>
    <font>
      <b/>
      <sz val="10"/>
      <color theme="1"/>
      <name val="Times New Roman"/>
      <family val="1"/>
    </font>
    <font>
      <sz val="10"/>
      <color rgb="FF000000"/>
      <name val="Times New Roman"/>
      <family val="1"/>
    </font>
    <font>
      <vertAlign val="superscript"/>
      <sz val="10"/>
      <color rgb="FF000000"/>
      <name val="Times New Roman"/>
      <family val="1"/>
    </font>
    <font>
      <vertAlign val="superscript"/>
      <sz val="10"/>
      <name val="Times New Roman"/>
      <family val="1"/>
    </font>
    <font>
      <sz val="10"/>
      <name val="Times New Roman"/>
      <family val="1"/>
    </font>
    <font>
      <sz val="10"/>
      <color rgb="FFFF0000"/>
      <name val="Times New Roman"/>
      <family val="1"/>
    </font>
    <font>
      <sz val="9"/>
      <name val="Times New Roman"/>
      <family val="1"/>
    </font>
    <font>
      <vertAlign val="superscript"/>
      <sz val="9"/>
      <name val="Times New Roman"/>
      <family val="1"/>
    </font>
    <font>
      <b/>
      <vertAlign val="superscript"/>
      <sz val="10"/>
      <color theme="1"/>
      <name val="Times New Roman"/>
      <family val="1"/>
    </font>
    <font>
      <sz val="12"/>
      <color rgb="FF000000"/>
      <name val="Times New Roman"/>
      <family val="1"/>
    </font>
    <font>
      <b/>
      <sz val="10"/>
      <name val="Times New Roman"/>
      <family val="1"/>
    </font>
    <font>
      <sz val="10"/>
      <color theme="1"/>
      <name val="Calibri"/>
      <family val="2"/>
      <scheme val="minor"/>
    </font>
    <font>
      <b/>
      <sz val="12"/>
      <color theme="1"/>
      <name val="Times New Roman"/>
      <family val="1"/>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s>
  <cellStyleXfs count="2">
    <xf numFmtId="0" fontId="0" fillId="0" borderId="0"/>
    <xf numFmtId="44" fontId="4" fillId="0" borderId="0" applyFont="0" applyFill="0" applyBorder="0" applyAlignment="0" applyProtection="0"/>
  </cellStyleXfs>
  <cellXfs count="114">
    <xf numFmtId="0" fontId="0" fillId="0" borderId="0" xfId="0"/>
    <xf numFmtId="0" fontId="3" fillId="0" borderId="0" xfId="0" applyFont="1"/>
    <xf numFmtId="0" fontId="5" fillId="0" borderId="0" xfId="0" applyFont="1"/>
    <xf numFmtId="0" fontId="1" fillId="0" borderId="1" xfId="0" applyFont="1" applyBorder="1" applyAlignment="1">
      <alignment horizontal="center" wrapText="1"/>
    </xf>
    <xf numFmtId="0" fontId="1" fillId="0" borderId="1" xfId="0" applyFont="1" applyBorder="1" applyAlignment="1">
      <alignment wrapText="1"/>
    </xf>
    <xf numFmtId="0" fontId="5" fillId="0" borderId="1" xfId="0" applyFont="1" applyBorder="1"/>
    <xf numFmtId="0" fontId="5" fillId="0" borderId="1" xfId="0" applyFont="1" applyBorder="1" applyAlignment="1">
      <alignment wrapText="1"/>
    </xf>
    <xf numFmtId="3" fontId="5" fillId="0" borderId="1" xfId="0" applyNumberFormat="1" applyFont="1" applyBorder="1" applyAlignment="1">
      <alignment horizontal="center" wrapText="1"/>
    </xf>
    <xf numFmtId="0" fontId="1" fillId="0" borderId="0" xfId="0" applyFont="1"/>
    <xf numFmtId="1" fontId="1" fillId="0" borderId="0" xfId="0" applyNumberFormat="1" applyFont="1"/>
    <xf numFmtId="0" fontId="1" fillId="0" borderId="1" xfId="0" applyFont="1" applyBorder="1" applyAlignment="1">
      <alignment vertical="top" wrapText="1"/>
    </xf>
    <xf numFmtId="0" fontId="1" fillId="0" borderId="1" xfId="0" applyFont="1" applyBorder="1" applyAlignment="1">
      <alignment horizontal="center" vertical="top" wrapText="1"/>
    </xf>
    <xf numFmtId="165" fontId="1" fillId="0" borderId="1" xfId="1" applyNumberFormat="1" applyFont="1" applyBorder="1" applyAlignment="1">
      <alignment horizontal="right" vertical="top" wrapText="1"/>
    </xf>
    <xf numFmtId="3" fontId="1" fillId="0" borderId="1" xfId="0" applyNumberFormat="1" applyFont="1" applyBorder="1" applyAlignment="1">
      <alignment horizontal="center" vertical="top" wrapText="1"/>
    </xf>
    <xf numFmtId="164" fontId="1" fillId="0" borderId="1" xfId="1" applyNumberFormat="1" applyFont="1" applyBorder="1" applyAlignment="1">
      <alignment horizontal="right" vertical="top" wrapText="1"/>
    </xf>
    <xf numFmtId="6" fontId="5" fillId="0" borderId="1" xfId="0" applyNumberFormat="1" applyFont="1" applyBorder="1" applyAlignment="1">
      <alignment horizontal="right" vertical="top" wrapText="1"/>
    </xf>
    <xf numFmtId="0" fontId="9" fillId="0" borderId="1" xfId="0" applyFont="1" applyFill="1" applyBorder="1" applyAlignment="1" applyProtection="1">
      <alignment vertical="center"/>
    </xf>
    <xf numFmtId="164" fontId="1" fillId="0" borderId="1" xfId="0" applyNumberFormat="1" applyFont="1" applyBorder="1"/>
    <xf numFmtId="0" fontId="1" fillId="0" borderId="1" xfId="0" applyFont="1" applyBorder="1" applyAlignment="1">
      <alignment horizontal="left" vertical="top" wrapText="1"/>
    </xf>
    <xf numFmtId="0" fontId="1" fillId="0" borderId="1" xfId="0" applyFont="1" applyBorder="1" applyAlignment="1">
      <alignment horizontal="left" wrapText="1" indent="1"/>
    </xf>
    <xf numFmtId="0" fontId="1" fillId="0" borderId="1" xfId="0" applyFont="1" applyBorder="1" applyAlignment="1">
      <alignment horizontal="left" wrapText="1" indent="2"/>
    </xf>
    <xf numFmtId="0" fontId="9" fillId="0" borderId="1" xfId="0" applyFont="1" applyBorder="1" applyAlignment="1">
      <alignment horizontal="center"/>
    </xf>
    <xf numFmtId="0" fontId="11" fillId="0" borderId="1" xfId="0" applyFont="1" applyBorder="1" applyAlignment="1">
      <alignment horizontal="center" vertical="center"/>
    </xf>
    <xf numFmtId="0" fontId="11" fillId="0" borderId="1" xfId="0" applyFont="1" applyFill="1" applyBorder="1" applyAlignment="1">
      <alignment horizontal="left" vertical="top" wrapText="1" indent="2"/>
    </xf>
    <xf numFmtId="0" fontId="11" fillId="0" borderId="1" xfId="0" applyFont="1" applyBorder="1" applyAlignment="1">
      <alignment horizontal="left" vertical="center" indent="2"/>
    </xf>
    <xf numFmtId="164" fontId="1" fillId="0" borderId="1" xfId="0" applyNumberFormat="1" applyFont="1" applyBorder="1" applyAlignment="1">
      <alignment wrapText="1"/>
    </xf>
    <xf numFmtId="165" fontId="5" fillId="0" borderId="1" xfId="0" applyNumberFormat="1" applyFont="1" applyBorder="1" applyAlignment="1">
      <alignment wrapText="1"/>
    </xf>
    <xf numFmtId="165" fontId="5" fillId="0" borderId="1" xfId="1" applyNumberFormat="1" applyFont="1" applyBorder="1" applyAlignment="1">
      <alignment horizontal="right"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1" xfId="0" applyFont="1" applyBorder="1" applyAlignment="1">
      <alignment vertical="center" wrapText="1"/>
    </xf>
    <xf numFmtId="3"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top" wrapText="1" indent="1"/>
    </xf>
    <xf numFmtId="0" fontId="11" fillId="0" borderId="1" xfId="0" applyFont="1" applyBorder="1" applyAlignment="1">
      <alignment horizontal="center" vertical="center" wrapText="1"/>
    </xf>
    <xf numFmtId="0" fontId="5" fillId="0" borderId="1" xfId="0" applyFont="1" applyBorder="1" applyAlignment="1">
      <alignment vertical="top" wrapText="1"/>
    </xf>
    <xf numFmtId="165" fontId="1" fillId="0" borderId="1" xfId="0" applyNumberFormat="1" applyFont="1" applyBorder="1" applyAlignment="1">
      <alignment wrapText="1"/>
    </xf>
    <xf numFmtId="0" fontId="6" fillId="0" borderId="27" xfId="0" applyFont="1" applyBorder="1" applyAlignment="1">
      <alignment horizontal="center" vertical="center" wrapText="1"/>
    </xf>
    <xf numFmtId="0" fontId="0" fillId="0" borderId="28" xfId="0" applyBorder="1" applyAlignment="1">
      <alignment vertical="top" wrapText="1"/>
    </xf>
    <xf numFmtId="0" fontId="6" fillId="0" borderId="28" xfId="0" applyFont="1" applyBorder="1" applyAlignment="1">
      <alignment horizontal="center" vertical="center" wrapText="1"/>
    </xf>
    <xf numFmtId="0" fontId="6" fillId="0" borderId="11" xfId="0" applyFont="1" applyBorder="1" applyAlignment="1">
      <alignment horizontal="center" vertical="center" wrapText="1"/>
    </xf>
    <xf numFmtId="6" fontId="6" fillId="0" borderId="11" xfId="0" applyNumberFormat="1" applyFont="1" applyBorder="1" applyAlignment="1">
      <alignment horizontal="center" vertical="center" wrapText="1"/>
    </xf>
    <xf numFmtId="6" fontId="1" fillId="0" borderId="1" xfId="0" applyNumberFormat="1" applyFont="1" applyBorder="1" applyAlignment="1">
      <alignment horizontal="center" vertical="center" wrapText="1"/>
    </xf>
    <xf numFmtId="6" fontId="0" fillId="0" borderId="0" xfId="0" applyNumberFormat="1"/>
    <xf numFmtId="166" fontId="9" fillId="0" borderId="7" xfId="0" applyNumberFormat="1" applyFont="1" applyFill="1" applyBorder="1" applyAlignment="1">
      <alignment horizontal="center" vertical="center"/>
    </xf>
    <xf numFmtId="166" fontId="9" fillId="0" borderId="8" xfId="0" applyNumberFormat="1" applyFont="1" applyFill="1" applyBorder="1" applyAlignment="1">
      <alignment horizontal="center" vertical="center" wrapText="1"/>
    </xf>
    <xf numFmtId="166" fontId="9" fillId="0" borderId="9" xfId="0" applyNumberFormat="1" applyFont="1" applyFill="1" applyBorder="1" applyAlignment="1">
      <alignment horizontal="center" vertical="center" wrapText="1"/>
    </xf>
    <xf numFmtId="166" fontId="9" fillId="0" borderId="10" xfId="0" applyNumberFormat="1" applyFont="1" applyFill="1" applyBorder="1" applyAlignment="1">
      <alignment horizontal="center"/>
    </xf>
    <xf numFmtId="3" fontId="9" fillId="0" borderId="11" xfId="0" applyNumberFormat="1" applyFont="1" applyFill="1" applyBorder="1" applyAlignment="1">
      <alignment horizontal="center"/>
    </xf>
    <xf numFmtId="3" fontId="9" fillId="0" borderId="1" xfId="0" applyNumberFormat="1" applyFont="1" applyFill="1" applyBorder="1" applyAlignment="1">
      <alignment horizontal="center"/>
    </xf>
    <xf numFmtId="165" fontId="9" fillId="0" borderId="11" xfId="0" applyNumberFormat="1" applyFont="1" applyFill="1" applyBorder="1" applyAlignment="1">
      <alignment horizontal="center"/>
    </xf>
    <xf numFmtId="165" fontId="9" fillId="0" borderId="1" xfId="0" applyNumberFormat="1" applyFont="1" applyFill="1" applyBorder="1" applyAlignment="1">
      <alignment horizontal="center"/>
    </xf>
    <xf numFmtId="165" fontId="9" fillId="0" borderId="12" xfId="0" applyNumberFormat="1" applyFont="1" applyFill="1" applyBorder="1" applyAlignment="1">
      <alignment horizontal="center"/>
    </xf>
    <xf numFmtId="166" fontId="9" fillId="0" borderId="13" xfId="0" applyNumberFormat="1" applyFont="1" applyFill="1" applyBorder="1" applyAlignment="1">
      <alignment horizontal="center"/>
    </xf>
    <xf numFmtId="166" fontId="9" fillId="0" borderId="14" xfId="0" applyNumberFormat="1" applyFont="1" applyFill="1" applyBorder="1" applyAlignment="1">
      <alignment horizontal="center"/>
    </xf>
    <xf numFmtId="3" fontId="9" fillId="0" borderId="15" xfId="0" applyNumberFormat="1" applyFont="1" applyFill="1" applyBorder="1" applyAlignment="1">
      <alignment horizontal="center"/>
    </xf>
    <xf numFmtId="165" fontId="9" fillId="0" borderId="15" xfId="0" applyNumberFormat="1" applyFont="1" applyFill="1" applyBorder="1" applyAlignment="1">
      <alignment horizontal="center"/>
    </xf>
    <xf numFmtId="165" fontId="9" fillId="0" borderId="16" xfId="0" applyNumberFormat="1" applyFont="1" applyFill="1" applyBorder="1" applyAlignment="1">
      <alignment horizontal="center"/>
    </xf>
    <xf numFmtId="166" fontId="9" fillId="0" borderId="17" xfId="0" applyNumberFormat="1" applyFont="1" applyFill="1" applyBorder="1" applyAlignment="1">
      <alignment horizontal="center"/>
    </xf>
    <xf numFmtId="3" fontId="9" fillId="0" borderId="18" xfId="0" applyNumberFormat="1" applyFont="1" applyFill="1" applyBorder="1" applyAlignment="1">
      <alignment horizontal="center"/>
    </xf>
    <xf numFmtId="167" fontId="9" fillId="0" borderId="18" xfId="0" applyNumberFormat="1" applyFont="1" applyFill="1" applyBorder="1" applyAlignment="1">
      <alignment horizontal="center"/>
    </xf>
    <xf numFmtId="165" fontId="9" fillId="0" borderId="18" xfId="0" applyNumberFormat="1" applyFont="1" applyFill="1" applyBorder="1" applyAlignment="1">
      <alignment horizontal="center"/>
    </xf>
    <xf numFmtId="165" fontId="9" fillId="0" borderId="19" xfId="0" applyNumberFormat="1" applyFont="1" applyFill="1" applyBorder="1" applyAlignment="1">
      <alignment horizontal="center"/>
    </xf>
    <xf numFmtId="0" fontId="1" fillId="0" borderId="20" xfId="0" applyFont="1" applyFill="1" applyBorder="1"/>
    <xf numFmtId="0" fontId="1" fillId="0" borderId="0" xfId="0" applyFont="1" applyFill="1"/>
    <xf numFmtId="0" fontId="1" fillId="0" borderId="21" xfId="0" applyFont="1" applyFill="1" applyBorder="1"/>
    <xf numFmtId="166" fontId="9" fillId="0" borderId="7" xfId="0" applyNumberFormat="1" applyFont="1" applyFill="1" applyBorder="1" applyAlignment="1">
      <alignment horizontal="center"/>
    </xf>
    <xf numFmtId="166" fontId="9" fillId="0" borderId="8" xfId="0" applyNumberFormat="1" applyFont="1" applyFill="1" applyBorder="1" applyAlignment="1">
      <alignment horizontal="center" wrapText="1"/>
    </xf>
    <xf numFmtId="166" fontId="9" fillId="0" borderId="22" xfId="0" applyNumberFormat="1" applyFont="1" applyFill="1" applyBorder="1" applyAlignment="1">
      <alignment horizontal="center" wrapText="1"/>
    </xf>
    <xf numFmtId="3" fontId="9" fillId="0" borderId="11" xfId="0" quotePrefix="1" applyNumberFormat="1" applyFont="1" applyFill="1" applyBorder="1" applyAlignment="1">
      <alignment horizontal="center"/>
    </xf>
    <xf numFmtId="3" fontId="9" fillId="0" borderId="23" xfId="0" applyNumberFormat="1" applyFont="1" applyFill="1" applyBorder="1" applyAlignment="1">
      <alignment horizontal="center"/>
    </xf>
    <xf numFmtId="167" fontId="9" fillId="0" borderId="23" xfId="0" applyNumberFormat="1" applyFont="1" applyFill="1" applyBorder="1" applyAlignment="1">
      <alignment horizontal="center"/>
    </xf>
    <xf numFmtId="167" fontId="9" fillId="0" borderId="24" xfId="0" applyNumberFormat="1" applyFont="1" applyFill="1" applyBorder="1" applyAlignment="1">
      <alignment horizontal="center"/>
    </xf>
    <xf numFmtId="167" fontId="9" fillId="0" borderId="16" xfId="0" applyNumberFormat="1" applyFont="1" applyFill="1" applyBorder="1" applyAlignment="1">
      <alignment horizontal="center"/>
    </xf>
    <xf numFmtId="167" fontId="9" fillId="0" borderId="11" xfId="0" applyNumberFormat="1" applyFont="1" applyFill="1" applyBorder="1" applyAlignment="1">
      <alignment horizontal="center"/>
    </xf>
    <xf numFmtId="167" fontId="9" fillId="0" borderId="25" xfId="0" applyNumberFormat="1" applyFont="1" applyFill="1" applyBorder="1" applyAlignment="1">
      <alignment horizontal="center"/>
    </xf>
    <xf numFmtId="167" fontId="9" fillId="0" borderId="26" xfId="0" applyNumberFormat="1" applyFont="1" applyFill="1" applyBorder="1" applyAlignment="1">
      <alignment horizontal="center"/>
    </xf>
    <xf numFmtId="165" fontId="1" fillId="0" borderId="0" xfId="0" applyNumberFormat="1" applyFont="1" applyFill="1" applyAlignment="1">
      <alignment horizontal="center"/>
    </xf>
    <xf numFmtId="0" fontId="1" fillId="0" borderId="0" xfId="0" applyFont="1" applyFill="1" applyBorder="1"/>
    <xf numFmtId="1" fontId="9" fillId="0" borderId="12" xfId="0" applyNumberFormat="1" applyFont="1" applyFill="1" applyBorder="1" applyAlignment="1">
      <alignment horizontal="center"/>
    </xf>
    <xf numFmtId="1" fontId="9" fillId="0" borderId="16" xfId="0" applyNumberFormat="1" applyFont="1" applyFill="1" applyBorder="1" applyAlignment="1">
      <alignment horizontal="center"/>
    </xf>
    <xf numFmtId="1" fontId="9" fillId="0" borderId="23" xfId="0" applyNumberFormat="1" applyFont="1" applyFill="1" applyBorder="1" applyAlignment="1">
      <alignment horizontal="center"/>
    </xf>
    <xf numFmtId="1" fontId="9" fillId="0" borderId="24" xfId="0" applyNumberFormat="1" applyFont="1" applyFill="1" applyBorder="1" applyAlignment="1">
      <alignment horizontal="center"/>
    </xf>
    <xf numFmtId="3" fontId="9" fillId="0" borderId="19" xfId="0" applyNumberFormat="1" applyFont="1" applyFill="1" applyBorder="1" applyAlignment="1">
      <alignment horizontal="center"/>
    </xf>
    <xf numFmtId="0" fontId="16" fillId="0" borderId="0" xfId="0" applyFont="1"/>
    <xf numFmtId="0" fontId="16" fillId="0" borderId="0" xfId="0" applyFont="1" applyFill="1"/>
    <xf numFmtId="0" fontId="1" fillId="0" borderId="1" xfId="0" applyFont="1" applyFill="1" applyBorder="1" applyAlignment="1">
      <alignment horizontal="left" wrapText="1" indent="1"/>
    </xf>
    <xf numFmtId="0" fontId="1" fillId="0" borderId="1" xfId="0" applyFont="1" applyFill="1" applyBorder="1" applyAlignment="1">
      <alignment horizontal="left" wrapText="1" indent="2"/>
    </xf>
    <xf numFmtId="0" fontId="11" fillId="0" borderId="1" xfId="0" applyFont="1" applyFill="1" applyBorder="1" applyAlignment="1">
      <alignment horizontal="left" vertical="center" indent="2"/>
    </xf>
    <xf numFmtId="0" fontId="5" fillId="0" borderId="1" xfId="0" applyFont="1" applyFill="1" applyBorder="1"/>
    <xf numFmtId="0" fontId="1" fillId="0" borderId="1" xfId="0" applyFont="1" applyFill="1" applyBorder="1" applyAlignment="1">
      <alignment wrapText="1"/>
    </xf>
    <xf numFmtId="0" fontId="9" fillId="0" borderId="1" xfId="0" applyFont="1" applyFill="1" applyBorder="1" applyAlignment="1">
      <alignment horizontal="left" vertical="center" wrapText="1" indent="1"/>
    </xf>
    <xf numFmtId="0" fontId="6" fillId="0" borderId="0" xfId="0" applyFont="1" applyAlignment="1">
      <alignment horizontal="left" vertical="top" wrapText="1"/>
    </xf>
    <xf numFmtId="0" fontId="2" fillId="0" borderId="0" xfId="0" applyFont="1" applyAlignment="1">
      <alignment horizontal="left" vertical="top" wrapText="1"/>
    </xf>
    <xf numFmtId="0" fontId="8" fillId="0" borderId="0" xfId="0" applyFont="1" applyFill="1" applyAlignment="1">
      <alignment horizontal="left" vertical="top" wrapText="1"/>
    </xf>
    <xf numFmtId="0" fontId="17" fillId="0" borderId="0" xfId="0" applyFont="1" applyAlignment="1">
      <alignment horizontal="left" vertical="top" wrapText="1"/>
    </xf>
    <xf numFmtId="0" fontId="9" fillId="0" borderId="1" xfId="0" applyFont="1" applyBorder="1" applyAlignment="1">
      <alignment horizontal="center"/>
    </xf>
    <xf numFmtId="3" fontId="5" fillId="0" borderId="3" xfId="0" applyNumberFormat="1" applyFont="1" applyBorder="1" applyAlignment="1">
      <alignment horizontal="center" wrapText="1"/>
    </xf>
    <xf numFmtId="3" fontId="5" fillId="0" borderId="4" xfId="0" applyNumberFormat="1" applyFont="1" applyBorder="1" applyAlignment="1">
      <alignment horizontal="center" wrapText="1"/>
    </xf>
    <xf numFmtId="3" fontId="5" fillId="0" borderId="5" xfId="0" applyNumberFormat="1" applyFont="1" applyBorder="1" applyAlignment="1">
      <alignment horizontal="center" wrapText="1"/>
    </xf>
    <xf numFmtId="0" fontId="9" fillId="0" borderId="0" xfId="0" applyFont="1" applyFill="1" applyBorder="1" applyAlignment="1">
      <alignment horizontal="left" vertical="top" wrapText="1"/>
    </xf>
    <xf numFmtId="0" fontId="2" fillId="0" borderId="0" xfId="0" applyFont="1" applyAlignment="1">
      <alignment horizontal="left" wrapText="1"/>
    </xf>
    <xf numFmtId="0" fontId="8" fillId="0" borderId="0" xfId="0" applyFont="1" applyAlignment="1">
      <alignment horizontal="left"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left" vertical="top" wrapText="1"/>
    </xf>
    <xf numFmtId="0" fontId="3" fillId="0" borderId="0" xfId="0" applyFont="1" applyAlignment="1">
      <alignment horizontal="left"/>
    </xf>
    <xf numFmtId="3" fontId="5" fillId="0" borderId="1" xfId="0" applyNumberFormat="1" applyFont="1" applyBorder="1" applyAlignment="1">
      <alignment horizontal="center" vertical="top" wrapText="1"/>
    </xf>
    <xf numFmtId="166" fontId="15" fillId="0" borderId="0" xfId="0" applyNumberFormat="1" applyFont="1" applyFill="1" applyAlignment="1">
      <alignment horizontal="left" vertical="top" wrapText="1"/>
    </xf>
    <xf numFmtId="0" fontId="14" fillId="0" borderId="1" xfId="0" applyFont="1" applyBorder="1" applyAlignment="1">
      <alignment horizontal="center" vertical="center" wrapText="1"/>
    </xf>
    <xf numFmtId="0" fontId="6" fillId="0" borderId="29"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zoomScaleNormal="100" workbookViewId="0">
      <pane xSplit="1" ySplit="4" topLeftCell="B29" activePane="bottomRight" state="frozen"/>
      <selection pane="topRight" activeCell="B1" sqref="B1"/>
      <selection pane="bottomLeft" activeCell="A5" sqref="A5"/>
      <selection pane="bottomRight" activeCell="A41" sqref="A41:I41"/>
    </sheetView>
  </sheetViews>
  <sheetFormatPr defaultRowHeight="12.75" x14ac:dyDescent="0.2"/>
  <cols>
    <col min="1" max="1" width="35.5703125" style="8" customWidth="1"/>
    <col min="2" max="8" width="12.42578125" style="8" customWidth="1"/>
    <col min="9" max="9" width="13.42578125" style="8" customWidth="1"/>
    <col min="10" max="16384" width="9.140625" style="8"/>
  </cols>
  <sheetData>
    <row r="1" spans="1:12" ht="33" customHeight="1" x14ac:dyDescent="0.2">
      <c r="A1" s="98" t="s">
        <v>74</v>
      </c>
      <c r="B1" s="98"/>
      <c r="C1" s="98"/>
      <c r="D1" s="98"/>
      <c r="E1" s="98"/>
      <c r="F1" s="98"/>
      <c r="G1" s="98"/>
      <c r="H1" s="98"/>
      <c r="I1" s="98"/>
    </row>
    <row r="2" spans="1:12" x14ac:dyDescent="0.2">
      <c r="A2" s="2" t="s">
        <v>49</v>
      </c>
    </row>
    <row r="3" spans="1:12" ht="15" customHeight="1" x14ac:dyDescent="0.2">
      <c r="A3" s="107" t="s">
        <v>0</v>
      </c>
      <c r="B3" s="3" t="s">
        <v>1</v>
      </c>
      <c r="C3" s="3" t="s">
        <v>3</v>
      </c>
      <c r="D3" s="3" t="s">
        <v>5</v>
      </c>
      <c r="E3" s="3" t="s">
        <v>10</v>
      </c>
      <c r="F3" s="3" t="s">
        <v>11</v>
      </c>
      <c r="G3" s="3" t="s">
        <v>13</v>
      </c>
      <c r="H3" s="3" t="s">
        <v>15</v>
      </c>
      <c r="I3" s="3" t="s">
        <v>7</v>
      </c>
    </row>
    <row r="4" spans="1:12" ht="63.75" x14ac:dyDescent="0.2">
      <c r="A4" s="107"/>
      <c r="B4" s="35" t="s">
        <v>2</v>
      </c>
      <c r="C4" s="35" t="s">
        <v>4</v>
      </c>
      <c r="D4" s="35" t="s">
        <v>6</v>
      </c>
      <c r="E4" s="35" t="s">
        <v>50</v>
      </c>
      <c r="F4" s="35" t="s">
        <v>12</v>
      </c>
      <c r="G4" s="35" t="s">
        <v>14</v>
      </c>
      <c r="H4" s="35" t="s">
        <v>16</v>
      </c>
      <c r="I4" s="35" t="s">
        <v>51</v>
      </c>
    </row>
    <row r="5" spans="1:12" x14ac:dyDescent="0.2">
      <c r="A5" s="18" t="s">
        <v>30</v>
      </c>
      <c r="B5" s="3"/>
      <c r="C5" s="3"/>
      <c r="D5" s="3"/>
      <c r="E5" s="3"/>
      <c r="F5" s="3"/>
      <c r="G5" s="3"/>
      <c r="H5" s="3"/>
      <c r="I5" s="3"/>
    </row>
    <row r="6" spans="1:12" ht="16.5" customHeight="1" x14ac:dyDescent="0.2">
      <c r="A6" s="19" t="s">
        <v>32</v>
      </c>
      <c r="B6" s="28">
        <v>4</v>
      </c>
      <c r="C6" s="28">
        <v>1</v>
      </c>
      <c r="D6" s="28">
        <f>B6*C6</f>
        <v>4</v>
      </c>
      <c r="E6" s="29">
        <v>368</v>
      </c>
      <c r="F6" s="28">
        <f>D6*E6</f>
        <v>1472</v>
      </c>
      <c r="G6" s="28">
        <f>F6*0.05</f>
        <v>73.600000000000009</v>
      </c>
      <c r="H6" s="28">
        <f>F6*0.1</f>
        <v>147.20000000000002</v>
      </c>
      <c r="I6" s="25">
        <f>F6*$L$9+G6*$L$8+H6*$L$10</f>
        <v>192820.22400000002</v>
      </c>
      <c r="K6" s="99" t="s">
        <v>25</v>
      </c>
      <c r="L6" s="99"/>
    </row>
    <row r="7" spans="1:12" x14ac:dyDescent="0.2">
      <c r="A7" s="19" t="s">
        <v>33</v>
      </c>
      <c r="B7" s="28"/>
      <c r="C7" s="28"/>
      <c r="D7" s="28"/>
      <c r="E7" s="29"/>
      <c r="F7" s="28"/>
      <c r="G7" s="28"/>
      <c r="H7" s="28"/>
      <c r="I7" s="25"/>
      <c r="K7" s="21"/>
      <c r="L7" s="21"/>
    </row>
    <row r="8" spans="1:12" x14ac:dyDescent="0.2">
      <c r="A8" s="20" t="s">
        <v>35</v>
      </c>
      <c r="B8" s="28">
        <v>8</v>
      </c>
      <c r="C8" s="28">
        <v>1</v>
      </c>
      <c r="D8" s="28">
        <f t="shared" ref="D8:D16" si="0">B8*C8</f>
        <v>8</v>
      </c>
      <c r="E8" s="28">
        <v>0</v>
      </c>
      <c r="F8" s="28">
        <f t="shared" ref="F8:F18" si="1">D8*E8</f>
        <v>0</v>
      </c>
      <c r="G8" s="28">
        <f t="shared" ref="G8:G18" si="2">F8*0.05</f>
        <v>0</v>
      </c>
      <c r="H8" s="28">
        <f t="shared" ref="H8:H18" si="3">F8*0.1</f>
        <v>0</v>
      </c>
      <c r="I8" s="39">
        <f t="shared" ref="I8:I14" si="4">F8*$L$9+G8*$L$8+H8*$L$10</f>
        <v>0</v>
      </c>
      <c r="K8" s="16" t="s">
        <v>26</v>
      </c>
      <c r="L8" s="17">
        <v>147.4</v>
      </c>
    </row>
    <row r="9" spans="1:12" x14ac:dyDescent="0.2">
      <c r="A9" s="20" t="s">
        <v>36</v>
      </c>
      <c r="B9" s="28">
        <v>8</v>
      </c>
      <c r="C9" s="28">
        <v>1</v>
      </c>
      <c r="D9" s="28">
        <f t="shared" si="0"/>
        <v>8</v>
      </c>
      <c r="E9" s="28">
        <v>0</v>
      </c>
      <c r="F9" s="28">
        <f t="shared" si="1"/>
        <v>0</v>
      </c>
      <c r="G9" s="28">
        <f t="shared" si="2"/>
        <v>0</v>
      </c>
      <c r="H9" s="28">
        <f t="shared" si="3"/>
        <v>0</v>
      </c>
      <c r="I9" s="39">
        <f t="shared" si="4"/>
        <v>0</v>
      </c>
      <c r="K9" s="16" t="s">
        <v>27</v>
      </c>
      <c r="L9" s="17">
        <v>117.92</v>
      </c>
    </row>
    <row r="10" spans="1:12" ht="25.5" x14ac:dyDescent="0.2">
      <c r="A10" s="20" t="s">
        <v>37</v>
      </c>
      <c r="B10" s="28">
        <v>0</v>
      </c>
      <c r="C10" s="28">
        <v>1</v>
      </c>
      <c r="D10" s="28">
        <f t="shared" si="0"/>
        <v>0</v>
      </c>
      <c r="E10" s="28">
        <v>0</v>
      </c>
      <c r="F10" s="28">
        <f t="shared" si="1"/>
        <v>0</v>
      </c>
      <c r="G10" s="28">
        <f t="shared" si="2"/>
        <v>0</v>
      </c>
      <c r="H10" s="28">
        <f t="shared" si="3"/>
        <v>0</v>
      </c>
      <c r="I10" s="39">
        <f t="shared" si="4"/>
        <v>0</v>
      </c>
      <c r="K10" s="16" t="s">
        <v>28</v>
      </c>
      <c r="L10" s="17">
        <v>57.02</v>
      </c>
    </row>
    <row r="11" spans="1:12" x14ac:dyDescent="0.2">
      <c r="A11" s="20" t="s">
        <v>38</v>
      </c>
      <c r="B11" s="28">
        <v>18</v>
      </c>
      <c r="C11" s="28">
        <v>12</v>
      </c>
      <c r="D11" s="28">
        <f t="shared" si="0"/>
        <v>216</v>
      </c>
      <c r="E11" s="33">
        <v>0</v>
      </c>
      <c r="F11" s="28">
        <f t="shared" si="1"/>
        <v>0</v>
      </c>
      <c r="G11" s="28">
        <f t="shared" si="2"/>
        <v>0</v>
      </c>
      <c r="H11" s="28">
        <f t="shared" si="3"/>
        <v>0</v>
      </c>
      <c r="I11" s="39">
        <f t="shared" si="4"/>
        <v>0</v>
      </c>
    </row>
    <row r="12" spans="1:12" ht="28.5" x14ac:dyDescent="0.2">
      <c r="A12" s="20" t="s">
        <v>41</v>
      </c>
      <c r="B12" s="30">
        <v>36</v>
      </c>
      <c r="C12" s="30">
        <v>12</v>
      </c>
      <c r="D12" s="28">
        <f t="shared" si="0"/>
        <v>432</v>
      </c>
      <c r="E12" s="34">
        <v>0</v>
      </c>
      <c r="F12" s="28">
        <f t="shared" si="1"/>
        <v>0</v>
      </c>
      <c r="G12" s="28">
        <f t="shared" si="2"/>
        <v>0</v>
      </c>
      <c r="H12" s="28">
        <f t="shared" si="3"/>
        <v>0</v>
      </c>
      <c r="I12" s="39">
        <f t="shared" si="4"/>
        <v>0</v>
      </c>
    </row>
    <row r="13" spans="1:12" x14ac:dyDescent="0.2">
      <c r="A13" s="20" t="s">
        <v>40</v>
      </c>
      <c r="B13" s="28">
        <v>12</v>
      </c>
      <c r="C13" s="28">
        <v>12</v>
      </c>
      <c r="D13" s="28">
        <f t="shared" si="0"/>
        <v>144</v>
      </c>
      <c r="E13" s="33">
        <v>0</v>
      </c>
      <c r="F13" s="28">
        <f t="shared" si="1"/>
        <v>0</v>
      </c>
      <c r="G13" s="28">
        <f t="shared" si="2"/>
        <v>0</v>
      </c>
      <c r="H13" s="28">
        <f t="shared" si="3"/>
        <v>0</v>
      </c>
      <c r="I13" s="39">
        <f t="shared" si="4"/>
        <v>0</v>
      </c>
    </row>
    <row r="14" spans="1:12" ht="28.5" x14ac:dyDescent="0.2">
      <c r="A14" s="20" t="s">
        <v>39</v>
      </c>
      <c r="B14" s="30">
        <v>24</v>
      </c>
      <c r="C14" s="30">
        <v>12</v>
      </c>
      <c r="D14" s="28">
        <f t="shared" si="0"/>
        <v>288</v>
      </c>
      <c r="E14" s="34">
        <v>0</v>
      </c>
      <c r="F14" s="28">
        <f t="shared" si="1"/>
        <v>0</v>
      </c>
      <c r="G14" s="28">
        <f t="shared" si="2"/>
        <v>0</v>
      </c>
      <c r="H14" s="28">
        <f t="shared" si="3"/>
        <v>0</v>
      </c>
      <c r="I14" s="39">
        <f t="shared" si="4"/>
        <v>0</v>
      </c>
    </row>
    <row r="15" spans="1:12" ht="13.5" x14ac:dyDescent="0.2">
      <c r="A15" s="23" t="s">
        <v>42</v>
      </c>
      <c r="B15" s="22">
        <v>30</v>
      </c>
      <c r="C15" s="22">
        <v>1</v>
      </c>
      <c r="D15" s="22">
        <f t="shared" si="0"/>
        <v>30</v>
      </c>
      <c r="E15" s="34">
        <v>0</v>
      </c>
      <c r="F15" s="28">
        <f t="shared" ref="F15:F16" si="5">D15*E15</f>
        <v>0</v>
      </c>
      <c r="G15" s="28">
        <f t="shared" ref="G15:G16" si="6">F15*0.05</f>
        <v>0</v>
      </c>
      <c r="H15" s="28">
        <f t="shared" ref="H15:H16" si="7">F15*0.1</f>
        <v>0</v>
      </c>
      <c r="I15" s="39">
        <f t="shared" ref="I15:I16" si="8">F15*$L$9+G15*$L$8+H15*$L$10</f>
        <v>0</v>
      </c>
    </row>
    <row r="16" spans="1:12" ht="13.5" x14ac:dyDescent="0.2">
      <c r="A16" s="23" t="s">
        <v>43</v>
      </c>
      <c r="B16" s="22">
        <v>30</v>
      </c>
      <c r="C16" s="22">
        <v>1</v>
      </c>
      <c r="D16" s="22">
        <f t="shared" si="0"/>
        <v>30</v>
      </c>
      <c r="E16" s="34">
        <v>0</v>
      </c>
      <c r="F16" s="28">
        <f t="shared" si="5"/>
        <v>0</v>
      </c>
      <c r="G16" s="28">
        <f t="shared" si="6"/>
        <v>0</v>
      </c>
      <c r="H16" s="28">
        <f t="shared" si="7"/>
        <v>0</v>
      </c>
      <c r="I16" s="39">
        <f t="shared" si="8"/>
        <v>0</v>
      </c>
    </row>
    <row r="17" spans="1:10" x14ac:dyDescent="0.2">
      <c r="A17" s="89" t="s">
        <v>34</v>
      </c>
      <c r="B17" s="30"/>
      <c r="C17" s="30"/>
      <c r="D17" s="28"/>
      <c r="E17" s="31"/>
      <c r="F17" s="28"/>
      <c r="G17" s="28"/>
      <c r="H17" s="28"/>
      <c r="I17" s="39"/>
    </row>
    <row r="18" spans="1:10" ht="15.75" x14ac:dyDescent="0.2">
      <c r="A18" s="90" t="s">
        <v>44</v>
      </c>
      <c r="B18" s="28">
        <v>8</v>
      </c>
      <c r="C18" s="28">
        <v>2</v>
      </c>
      <c r="D18" s="28">
        <f>B18*C18</f>
        <v>16</v>
      </c>
      <c r="E18" s="29">
        <v>0</v>
      </c>
      <c r="F18" s="28">
        <f t="shared" si="1"/>
        <v>0</v>
      </c>
      <c r="G18" s="28">
        <f t="shared" si="2"/>
        <v>0</v>
      </c>
      <c r="H18" s="28">
        <f t="shared" si="3"/>
        <v>0</v>
      </c>
      <c r="I18" s="39">
        <f>F18*$L$9+G18*$L$8+H18*$L$10</f>
        <v>0</v>
      </c>
    </row>
    <row r="19" spans="1:10" ht="13.5" x14ac:dyDescent="0.2">
      <c r="A19" s="91" t="s">
        <v>46</v>
      </c>
      <c r="B19" s="22">
        <v>2</v>
      </c>
      <c r="C19" s="22">
        <v>1</v>
      </c>
      <c r="D19" s="22">
        <f t="shared" ref="D19:D20" si="9">B19*C19</f>
        <v>2</v>
      </c>
      <c r="E19" s="29">
        <v>0</v>
      </c>
      <c r="F19" s="28">
        <f t="shared" ref="F19:F20" si="10">D19*E19</f>
        <v>0</v>
      </c>
      <c r="G19" s="28">
        <f t="shared" ref="G19:G20" si="11">F19*0.05</f>
        <v>0</v>
      </c>
      <c r="H19" s="28">
        <f t="shared" ref="H19:H20" si="12">F19*0.1</f>
        <v>0</v>
      </c>
      <c r="I19" s="39">
        <f t="shared" ref="I19:I20" si="13">F19*$L$9+G19*$L$8+H19*$L$10</f>
        <v>0</v>
      </c>
    </row>
    <row r="20" spans="1:10" ht="13.5" x14ac:dyDescent="0.2">
      <c r="A20" s="91" t="s">
        <v>47</v>
      </c>
      <c r="B20" s="22">
        <v>10</v>
      </c>
      <c r="C20" s="22">
        <v>1</v>
      </c>
      <c r="D20" s="22">
        <f t="shared" si="9"/>
        <v>10</v>
      </c>
      <c r="E20" s="29">
        <v>0</v>
      </c>
      <c r="F20" s="28">
        <f t="shared" si="10"/>
        <v>0</v>
      </c>
      <c r="G20" s="28">
        <f t="shared" si="11"/>
        <v>0</v>
      </c>
      <c r="H20" s="28">
        <f t="shared" si="12"/>
        <v>0</v>
      </c>
      <c r="I20" s="39">
        <f t="shared" si="13"/>
        <v>0</v>
      </c>
    </row>
    <row r="21" spans="1:10" x14ac:dyDescent="0.2">
      <c r="A21" s="92" t="s">
        <v>8</v>
      </c>
      <c r="B21" s="32"/>
      <c r="C21" s="32"/>
      <c r="D21" s="32"/>
      <c r="E21" s="32"/>
      <c r="F21" s="106">
        <f>SUM(F6:H20)</f>
        <v>1692.8</v>
      </c>
      <c r="G21" s="106"/>
      <c r="H21" s="106"/>
      <c r="I21" s="26">
        <f>SUM(I6:I20)</f>
        <v>192820.22400000002</v>
      </c>
    </row>
    <row r="22" spans="1:10" x14ac:dyDescent="0.2">
      <c r="A22" s="93" t="s">
        <v>31</v>
      </c>
      <c r="B22" s="32"/>
      <c r="C22" s="32"/>
      <c r="D22" s="32"/>
      <c r="E22" s="32"/>
      <c r="F22" s="32"/>
      <c r="G22" s="32"/>
      <c r="H22" s="32"/>
      <c r="I22" s="25"/>
    </row>
    <row r="23" spans="1:10" ht="15.75" x14ac:dyDescent="0.2">
      <c r="A23" s="89" t="s">
        <v>116</v>
      </c>
      <c r="B23" s="28">
        <v>4</v>
      </c>
      <c r="C23" s="28">
        <v>2</v>
      </c>
      <c r="D23" s="28">
        <f t="shared" ref="D23:D27" si="14">B23*C23</f>
        <v>8</v>
      </c>
      <c r="E23" s="29">
        <v>0</v>
      </c>
      <c r="F23" s="28">
        <f t="shared" ref="F23:F27" si="15">D23*E23</f>
        <v>0</v>
      </c>
      <c r="G23" s="28">
        <f t="shared" ref="G23:G27" si="16">F23*0.05</f>
        <v>0</v>
      </c>
      <c r="H23" s="28">
        <f t="shared" ref="H23:H27" si="17">F23*0.1</f>
        <v>0</v>
      </c>
      <c r="I23" s="39">
        <f>F23*$L$9+G23*$L$8+H23*$L$10</f>
        <v>0</v>
      </c>
    </row>
    <row r="24" spans="1:10" ht="15.75" x14ac:dyDescent="0.2">
      <c r="A24" s="89" t="s">
        <v>117</v>
      </c>
      <c r="B24" s="28">
        <v>4</v>
      </c>
      <c r="C24" s="28">
        <v>2</v>
      </c>
      <c r="D24" s="28">
        <f t="shared" si="14"/>
        <v>8</v>
      </c>
      <c r="E24" s="29">
        <v>0</v>
      </c>
      <c r="F24" s="28">
        <f t="shared" si="15"/>
        <v>0</v>
      </c>
      <c r="G24" s="28">
        <f t="shared" si="16"/>
        <v>0</v>
      </c>
      <c r="H24" s="28">
        <f t="shared" si="17"/>
        <v>0</v>
      </c>
      <c r="I24" s="39">
        <f>F24*$L$9+G24*$L$8+H24*$L$10</f>
        <v>0</v>
      </c>
    </row>
    <row r="25" spans="1:10" x14ac:dyDescent="0.2">
      <c r="A25" s="89" t="s">
        <v>118</v>
      </c>
      <c r="B25" s="28">
        <v>0</v>
      </c>
      <c r="C25" s="28">
        <v>0</v>
      </c>
      <c r="D25" s="28">
        <f t="shared" si="14"/>
        <v>0</v>
      </c>
      <c r="E25" s="28">
        <v>0</v>
      </c>
      <c r="F25" s="28">
        <f t="shared" si="15"/>
        <v>0</v>
      </c>
      <c r="G25" s="28">
        <f t="shared" si="16"/>
        <v>0</v>
      </c>
      <c r="H25" s="28">
        <f t="shared" si="17"/>
        <v>0</v>
      </c>
      <c r="I25" s="39">
        <f>F25*$L$9+G25*$L$8+H25*$L$10</f>
        <v>0</v>
      </c>
    </row>
    <row r="26" spans="1:10" ht="28.5" x14ac:dyDescent="0.2">
      <c r="A26" s="94" t="s">
        <v>119</v>
      </c>
      <c r="B26" s="22">
        <v>8</v>
      </c>
      <c r="C26" s="22">
        <v>1</v>
      </c>
      <c r="D26" s="28">
        <f t="shared" si="14"/>
        <v>8</v>
      </c>
      <c r="E26" s="22">
        <v>368</v>
      </c>
      <c r="F26" s="28">
        <f t="shared" si="15"/>
        <v>2944</v>
      </c>
      <c r="G26" s="28">
        <f t="shared" si="16"/>
        <v>147.20000000000002</v>
      </c>
      <c r="H26" s="28">
        <f t="shared" si="17"/>
        <v>294.40000000000003</v>
      </c>
      <c r="I26" s="25">
        <f t="shared" ref="I26:I27" si="18">F26*$L$9+G26*$L$8+H26*$L$10</f>
        <v>385640.44800000003</v>
      </c>
    </row>
    <row r="27" spans="1:10" ht="39" customHeight="1" x14ac:dyDescent="0.2">
      <c r="A27" s="94" t="s">
        <v>120</v>
      </c>
      <c r="B27" s="22">
        <v>8</v>
      </c>
      <c r="C27" s="22">
        <v>1</v>
      </c>
      <c r="D27" s="28">
        <f t="shared" si="14"/>
        <v>8</v>
      </c>
      <c r="E27" s="22">
        <v>368</v>
      </c>
      <c r="F27" s="28">
        <f t="shared" si="15"/>
        <v>2944</v>
      </c>
      <c r="G27" s="28">
        <f t="shared" si="16"/>
        <v>147.20000000000002</v>
      </c>
      <c r="H27" s="28">
        <f t="shared" si="17"/>
        <v>294.40000000000003</v>
      </c>
      <c r="I27" s="25">
        <f t="shared" si="18"/>
        <v>385640.44800000003</v>
      </c>
    </row>
    <row r="28" spans="1:10" ht="15" customHeight="1" x14ac:dyDescent="0.2">
      <c r="A28" s="5" t="s">
        <v>9</v>
      </c>
      <c r="B28" s="4"/>
      <c r="C28" s="4"/>
      <c r="D28" s="4"/>
      <c r="E28" s="4"/>
      <c r="F28" s="100">
        <f>SUM(F23:H27)</f>
        <v>6771.2</v>
      </c>
      <c r="G28" s="101"/>
      <c r="H28" s="102"/>
      <c r="I28" s="26">
        <f>SUM(I23:I27)</f>
        <v>771280.89600000007</v>
      </c>
    </row>
    <row r="29" spans="1:10" ht="15.75" x14ac:dyDescent="0.2">
      <c r="A29" s="6" t="s">
        <v>121</v>
      </c>
      <c r="B29" s="4"/>
      <c r="C29" s="4"/>
      <c r="D29" s="4"/>
      <c r="E29" s="4"/>
      <c r="F29" s="4"/>
      <c r="G29" s="7">
        <f>ROUND(SUM(F28,F21), -1)</f>
        <v>8460</v>
      </c>
      <c r="H29" s="4"/>
      <c r="I29" s="27">
        <f>ROUND(SUM(I28,I21), -3)</f>
        <v>964000</v>
      </c>
    </row>
    <row r="30" spans="1:10" ht="15.75" x14ac:dyDescent="0.2">
      <c r="A30" s="6" t="s">
        <v>122</v>
      </c>
      <c r="B30" s="4"/>
      <c r="C30" s="4"/>
      <c r="D30" s="4"/>
      <c r="E30" s="4"/>
      <c r="F30" s="4"/>
      <c r="H30" s="4"/>
      <c r="I30" s="27">
        <v>0</v>
      </c>
    </row>
    <row r="31" spans="1:10" ht="15.75" x14ac:dyDescent="0.2">
      <c r="A31" s="5" t="s">
        <v>123</v>
      </c>
      <c r="B31" s="4"/>
      <c r="C31" s="4"/>
      <c r="D31" s="4"/>
      <c r="E31" s="4"/>
      <c r="F31" s="4"/>
      <c r="G31" s="7"/>
      <c r="H31" s="4"/>
      <c r="I31" s="26">
        <f>ROUND(SUM(I29:I30), -3)</f>
        <v>964000</v>
      </c>
    </row>
    <row r="32" spans="1:10" x14ac:dyDescent="0.2">
      <c r="J32" s="9"/>
    </row>
    <row r="33" spans="1:9" x14ac:dyDescent="0.2">
      <c r="A33" s="1" t="s">
        <v>17</v>
      </c>
    </row>
    <row r="34" spans="1:9" ht="20.25" customHeight="1" x14ac:dyDescent="0.2">
      <c r="A34" s="104" t="s">
        <v>29</v>
      </c>
      <c r="B34" s="104"/>
      <c r="C34" s="104"/>
      <c r="D34" s="104"/>
      <c r="E34" s="104"/>
      <c r="F34" s="104"/>
      <c r="G34" s="104"/>
      <c r="H34" s="104"/>
      <c r="I34" s="104"/>
    </row>
    <row r="35" spans="1:9" ht="53.25" customHeight="1" x14ac:dyDescent="0.2">
      <c r="A35" s="104" t="s">
        <v>22</v>
      </c>
      <c r="B35" s="104"/>
      <c r="C35" s="104"/>
      <c r="D35" s="104"/>
      <c r="E35" s="104"/>
      <c r="F35" s="104"/>
      <c r="G35" s="104"/>
      <c r="H35" s="104"/>
      <c r="I35" s="104"/>
    </row>
    <row r="36" spans="1:9" ht="28.5" customHeight="1" x14ac:dyDescent="0.2">
      <c r="A36" s="105" t="s">
        <v>24</v>
      </c>
      <c r="B36" s="105"/>
      <c r="C36" s="105"/>
      <c r="D36" s="105"/>
      <c r="E36" s="105"/>
      <c r="F36" s="105"/>
      <c r="G36" s="105"/>
      <c r="H36" s="105"/>
      <c r="I36" s="105"/>
    </row>
    <row r="37" spans="1:9" ht="35.25" customHeight="1" x14ac:dyDescent="0.2">
      <c r="A37" s="97" t="s">
        <v>126</v>
      </c>
      <c r="B37" s="97"/>
      <c r="C37" s="97"/>
      <c r="D37" s="97"/>
      <c r="E37" s="97"/>
      <c r="F37" s="97"/>
      <c r="G37" s="97"/>
      <c r="H37" s="97"/>
      <c r="I37" s="97"/>
    </row>
    <row r="38" spans="1:9" ht="15.75" x14ac:dyDescent="0.2">
      <c r="A38" s="96" t="s">
        <v>45</v>
      </c>
      <c r="B38" s="96"/>
      <c r="C38" s="96"/>
      <c r="D38" s="96"/>
      <c r="E38" s="96"/>
      <c r="F38" s="96"/>
      <c r="G38" s="96"/>
      <c r="H38" s="96"/>
      <c r="I38" s="96"/>
    </row>
    <row r="39" spans="1:9" ht="33.75" customHeight="1" x14ac:dyDescent="0.2">
      <c r="A39" s="96" t="s">
        <v>130</v>
      </c>
      <c r="B39" s="96"/>
      <c r="C39" s="96"/>
      <c r="D39" s="96"/>
      <c r="E39" s="96"/>
      <c r="F39" s="96"/>
      <c r="G39" s="96"/>
      <c r="H39" s="96"/>
      <c r="I39" s="96"/>
    </row>
    <row r="40" spans="1:9" ht="15.75" x14ac:dyDescent="0.2">
      <c r="A40" s="96" t="s">
        <v>48</v>
      </c>
      <c r="B40" s="96"/>
      <c r="C40" s="96"/>
      <c r="D40" s="96"/>
      <c r="E40" s="96"/>
      <c r="F40" s="96"/>
      <c r="G40" s="96"/>
      <c r="H40" s="96"/>
      <c r="I40" s="96"/>
    </row>
    <row r="41" spans="1:9" ht="25.5" customHeight="1" x14ac:dyDescent="0.2">
      <c r="A41" s="103" t="s">
        <v>132</v>
      </c>
      <c r="B41" s="103"/>
      <c r="C41" s="103"/>
      <c r="D41" s="103"/>
      <c r="E41" s="103"/>
      <c r="F41" s="103"/>
      <c r="G41" s="103"/>
      <c r="H41" s="103"/>
      <c r="I41" s="103"/>
    </row>
    <row r="42" spans="1:9" ht="20.25" customHeight="1" x14ac:dyDescent="0.2">
      <c r="A42" s="103" t="s">
        <v>124</v>
      </c>
      <c r="B42" s="103"/>
      <c r="C42" s="103"/>
      <c r="D42" s="103"/>
      <c r="E42" s="103"/>
      <c r="F42" s="103"/>
      <c r="G42" s="103"/>
      <c r="H42" s="103"/>
      <c r="I42" s="103"/>
    </row>
    <row r="43" spans="1:9" ht="20.25" customHeight="1" x14ac:dyDescent="0.2">
      <c r="A43" s="95" t="s">
        <v>125</v>
      </c>
      <c r="B43" s="95"/>
      <c r="C43" s="95"/>
      <c r="D43" s="95"/>
      <c r="E43" s="95"/>
      <c r="F43" s="95"/>
      <c r="G43" s="95"/>
      <c r="H43" s="95"/>
      <c r="I43" s="95"/>
    </row>
    <row r="45" spans="1:9" ht="27.75" customHeight="1" x14ac:dyDescent="0.2"/>
    <row r="46" spans="1:9" ht="21" customHeight="1" x14ac:dyDescent="0.2"/>
  </sheetData>
  <mergeCells count="15">
    <mergeCell ref="A43:I43"/>
    <mergeCell ref="A38:I38"/>
    <mergeCell ref="A37:I37"/>
    <mergeCell ref="A1:I1"/>
    <mergeCell ref="K6:L6"/>
    <mergeCell ref="F28:H28"/>
    <mergeCell ref="A41:I41"/>
    <mergeCell ref="A42:I42"/>
    <mergeCell ref="A39:I39"/>
    <mergeCell ref="A40:I40"/>
    <mergeCell ref="A35:I35"/>
    <mergeCell ref="A36:I36"/>
    <mergeCell ref="A34:I34"/>
    <mergeCell ref="F21:H21"/>
    <mergeCell ref="A3:A4"/>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zoomScaleNormal="100" workbookViewId="0">
      <pane xSplit="1" ySplit="4" topLeftCell="B28" activePane="bottomRight" state="frozen"/>
      <selection pane="topRight" activeCell="B1" sqref="B1"/>
      <selection pane="bottomLeft" activeCell="A5" sqref="A5"/>
      <selection pane="bottomRight" activeCell="A39" sqref="A39:I39"/>
    </sheetView>
  </sheetViews>
  <sheetFormatPr defaultRowHeight="12.75" x14ac:dyDescent="0.2"/>
  <cols>
    <col min="1" max="1" width="34.85546875" style="8" customWidth="1"/>
    <col min="2" max="8" width="12.42578125" style="8" customWidth="1"/>
    <col min="9" max="9" width="13.42578125" style="8" customWidth="1"/>
    <col min="10" max="16384" width="9.140625" style="8"/>
  </cols>
  <sheetData>
    <row r="1" spans="1:12" ht="28.5" customHeight="1" x14ac:dyDescent="0.2">
      <c r="A1" s="98" t="s">
        <v>110</v>
      </c>
      <c r="B1" s="98"/>
      <c r="C1" s="98"/>
      <c r="D1" s="98"/>
      <c r="E1" s="98"/>
      <c r="F1" s="98"/>
      <c r="G1" s="98"/>
      <c r="H1" s="98"/>
      <c r="I1" s="98"/>
    </row>
    <row r="2" spans="1:12" x14ac:dyDescent="0.2">
      <c r="A2" s="2" t="s">
        <v>75</v>
      </c>
    </row>
    <row r="3" spans="1:12" ht="15" customHeight="1" x14ac:dyDescent="0.2">
      <c r="A3" s="107" t="s">
        <v>0</v>
      </c>
      <c r="B3" s="3" t="s">
        <v>1</v>
      </c>
      <c r="C3" s="3" t="s">
        <v>3</v>
      </c>
      <c r="D3" s="3" t="s">
        <v>5</v>
      </c>
      <c r="E3" s="3" t="s">
        <v>10</v>
      </c>
      <c r="F3" s="3" t="s">
        <v>11</v>
      </c>
      <c r="G3" s="3" t="s">
        <v>13</v>
      </c>
      <c r="H3" s="3" t="s">
        <v>15</v>
      </c>
      <c r="I3" s="3" t="s">
        <v>7</v>
      </c>
    </row>
    <row r="4" spans="1:12" ht="63.75" x14ac:dyDescent="0.2">
      <c r="A4" s="107"/>
      <c r="B4" s="35" t="s">
        <v>2</v>
      </c>
      <c r="C4" s="35" t="s">
        <v>4</v>
      </c>
      <c r="D4" s="35" t="s">
        <v>6</v>
      </c>
      <c r="E4" s="35" t="s">
        <v>50</v>
      </c>
      <c r="F4" s="35" t="s">
        <v>12</v>
      </c>
      <c r="G4" s="35" t="s">
        <v>14</v>
      </c>
      <c r="H4" s="35" t="s">
        <v>16</v>
      </c>
      <c r="I4" s="35" t="s">
        <v>51</v>
      </c>
    </row>
    <row r="5" spans="1:12" x14ac:dyDescent="0.2">
      <c r="A5" s="18" t="s">
        <v>30</v>
      </c>
      <c r="B5" s="3"/>
      <c r="C5" s="3"/>
      <c r="D5" s="3"/>
      <c r="E5" s="3"/>
      <c r="F5" s="3"/>
      <c r="G5" s="3"/>
      <c r="H5" s="3"/>
      <c r="I5" s="3"/>
    </row>
    <row r="6" spans="1:12" ht="16.5" customHeight="1" x14ac:dyDescent="0.2">
      <c r="A6" s="19" t="s">
        <v>32</v>
      </c>
      <c r="B6" s="28">
        <v>4</v>
      </c>
      <c r="C6" s="28">
        <v>1</v>
      </c>
      <c r="D6" s="28">
        <f>B6*C6</f>
        <v>4</v>
      </c>
      <c r="E6" s="29">
        <v>0</v>
      </c>
      <c r="F6" s="28">
        <f>D6*E6</f>
        <v>0</v>
      </c>
      <c r="G6" s="28">
        <f>F6*0.05</f>
        <v>0</v>
      </c>
      <c r="H6" s="28">
        <f>F6*0.1</f>
        <v>0</v>
      </c>
      <c r="I6" s="39">
        <f>F6*$L$9+G6*$L$8+H6*$L$10</f>
        <v>0</v>
      </c>
      <c r="K6" s="99" t="s">
        <v>25</v>
      </c>
      <c r="L6" s="99"/>
    </row>
    <row r="7" spans="1:12" x14ac:dyDescent="0.2">
      <c r="A7" s="19" t="s">
        <v>33</v>
      </c>
      <c r="B7" s="28"/>
      <c r="C7" s="28"/>
      <c r="D7" s="28"/>
      <c r="E7" s="29"/>
      <c r="F7" s="28"/>
      <c r="G7" s="28"/>
      <c r="H7" s="28"/>
      <c r="I7" s="39"/>
      <c r="K7" s="21"/>
      <c r="L7" s="21"/>
    </row>
    <row r="8" spans="1:12" x14ac:dyDescent="0.2">
      <c r="A8" s="20" t="s">
        <v>35</v>
      </c>
      <c r="B8" s="28">
        <v>8</v>
      </c>
      <c r="C8" s="28">
        <v>1</v>
      </c>
      <c r="D8" s="28">
        <f t="shared" ref="D8:D16" si="0">B8*C8</f>
        <v>8</v>
      </c>
      <c r="E8" s="28">
        <v>0</v>
      </c>
      <c r="F8" s="28">
        <f t="shared" ref="F8:F20" si="1">D8*E8</f>
        <v>0</v>
      </c>
      <c r="G8" s="28">
        <f t="shared" ref="G8:G20" si="2">F8*0.05</f>
        <v>0</v>
      </c>
      <c r="H8" s="28">
        <f t="shared" ref="H8:H20" si="3">F8*0.1</f>
        <v>0</v>
      </c>
      <c r="I8" s="39">
        <f t="shared" ref="I8:I14" si="4">F8*$L$9+G8*$L$8+H8*$L$10</f>
        <v>0</v>
      </c>
      <c r="K8" s="16" t="s">
        <v>26</v>
      </c>
      <c r="L8" s="17">
        <v>147.4</v>
      </c>
    </row>
    <row r="9" spans="1:12" x14ac:dyDescent="0.2">
      <c r="A9" s="20" t="s">
        <v>36</v>
      </c>
      <c r="B9" s="28">
        <v>8</v>
      </c>
      <c r="C9" s="28">
        <v>1</v>
      </c>
      <c r="D9" s="28">
        <f t="shared" si="0"/>
        <v>8</v>
      </c>
      <c r="E9" s="28">
        <v>0</v>
      </c>
      <c r="F9" s="28">
        <f t="shared" si="1"/>
        <v>0</v>
      </c>
      <c r="G9" s="28">
        <f t="shared" si="2"/>
        <v>0</v>
      </c>
      <c r="H9" s="28">
        <f t="shared" si="3"/>
        <v>0</v>
      </c>
      <c r="I9" s="39">
        <f t="shared" si="4"/>
        <v>0</v>
      </c>
      <c r="K9" s="16" t="s">
        <v>27</v>
      </c>
      <c r="L9" s="17">
        <v>117.92</v>
      </c>
    </row>
    <row r="10" spans="1:12" ht="25.5" x14ac:dyDescent="0.2">
      <c r="A10" s="20" t="s">
        <v>37</v>
      </c>
      <c r="B10" s="28">
        <v>0</v>
      </c>
      <c r="C10" s="28">
        <v>1</v>
      </c>
      <c r="D10" s="28">
        <f t="shared" si="0"/>
        <v>0</v>
      </c>
      <c r="E10" s="28">
        <v>0</v>
      </c>
      <c r="F10" s="28">
        <f t="shared" si="1"/>
        <v>0</v>
      </c>
      <c r="G10" s="28">
        <f t="shared" si="2"/>
        <v>0</v>
      </c>
      <c r="H10" s="28">
        <f t="shared" si="3"/>
        <v>0</v>
      </c>
      <c r="I10" s="39">
        <f t="shared" si="4"/>
        <v>0</v>
      </c>
      <c r="K10" s="16" t="s">
        <v>28</v>
      </c>
      <c r="L10" s="17">
        <v>57.02</v>
      </c>
    </row>
    <row r="11" spans="1:12" x14ac:dyDescent="0.2">
      <c r="A11" s="20" t="s">
        <v>38</v>
      </c>
      <c r="B11" s="28">
        <v>18</v>
      </c>
      <c r="C11" s="28">
        <v>12</v>
      </c>
      <c r="D11" s="28">
        <f t="shared" si="0"/>
        <v>216</v>
      </c>
      <c r="E11" s="33">
        <v>0</v>
      </c>
      <c r="F11" s="28">
        <f t="shared" si="1"/>
        <v>0</v>
      </c>
      <c r="G11" s="28">
        <f t="shared" si="2"/>
        <v>0</v>
      </c>
      <c r="H11" s="28">
        <f t="shared" si="3"/>
        <v>0</v>
      </c>
      <c r="I11" s="39">
        <f t="shared" si="4"/>
        <v>0</v>
      </c>
    </row>
    <row r="12" spans="1:12" ht="28.5" x14ac:dyDescent="0.2">
      <c r="A12" s="20" t="s">
        <v>41</v>
      </c>
      <c r="B12" s="30">
        <v>36</v>
      </c>
      <c r="C12" s="30">
        <v>12</v>
      </c>
      <c r="D12" s="28">
        <f t="shared" si="0"/>
        <v>432</v>
      </c>
      <c r="E12" s="34">
        <v>0</v>
      </c>
      <c r="F12" s="28">
        <f t="shared" si="1"/>
        <v>0</v>
      </c>
      <c r="G12" s="28">
        <f t="shared" si="2"/>
        <v>0</v>
      </c>
      <c r="H12" s="28">
        <f t="shared" si="3"/>
        <v>0</v>
      </c>
      <c r="I12" s="39">
        <f t="shared" si="4"/>
        <v>0</v>
      </c>
    </row>
    <row r="13" spans="1:12" x14ac:dyDescent="0.2">
      <c r="A13" s="20" t="s">
        <v>40</v>
      </c>
      <c r="B13" s="28">
        <v>12</v>
      </c>
      <c r="C13" s="28">
        <v>12</v>
      </c>
      <c r="D13" s="28">
        <f t="shared" si="0"/>
        <v>144</v>
      </c>
      <c r="E13" s="33">
        <v>0</v>
      </c>
      <c r="F13" s="28">
        <f t="shared" si="1"/>
        <v>0</v>
      </c>
      <c r="G13" s="28">
        <f t="shared" si="2"/>
        <v>0</v>
      </c>
      <c r="H13" s="28">
        <f t="shared" si="3"/>
        <v>0</v>
      </c>
      <c r="I13" s="39">
        <f t="shared" si="4"/>
        <v>0</v>
      </c>
    </row>
    <row r="14" spans="1:12" ht="28.5" x14ac:dyDescent="0.2">
      <c r="A14" s="20" t="s">
        <v>39</v>
      </c>
      <c r="B14" s="30">
        <v>24</v>
      </c>
      <c r="C14" s="30">
        <v>12</v>
      </c>
      <c r="D14" s="28">
        <f t="shared" si="0"/>
        <v>288</v>
      </c>
      <c r="E14" s="34">
        <v>0</v>
      </c>
      <c r="F14" s="28">
        <f t="shared" si="1"/>
        <v>0</v>
      </c>
      <c r="G14" s="28">
        <f t="shared" si="2"/>
        <v>0</v>
      </c>
      <c r="H14" s="28">
        <f t="shared" si="3"/>
        <v>0</v>
      </c>
      <c r="I14" s="39">
        <f t="shared" si="4"/>
        <v>0</v>
      </c>
    </row>
    <row r="15" spans="1:12" ht="13.5" x14ac:dyDescent="0.2">
      <c r="A15" s="23" t="s">
        <v>42</v>
      </c>
      <c r="B15" s="22">
        <v>30</v>
      </c>
      <c r="C15" s="22">
        <v>1</v>
      </c>
      <c r="D15" s="22">
        <f t="shared" si="0"/>
        <v>30</v>
      </c>
      <c r="E15" s="34">
        <v>0</v>
      </c>
      <c r="F15" s="28">
        <f t="shared" si="1"/>
        <v>0</v>
      </c>
      <c r="G15" s="28">
        <f t="shared" si="2"/>
        <v>0</v>
      </c>
      <c r="H15" s="28">
        <f t="shared" si="3"/>
        <v>0</v>
      </c>
      <c r="I15" s="39">
        <f t="shared" ref="I15:I16" si="5">F15*$L$9+G15*$L$8+H15*$L$10</f>
        <v>0</v>
      </c>
    </row>
    <row r="16" spans="1:12" ht="13.5" x14ac:dyDescent="0.2">
      <c r="A16" s="23" t="s">
        <v>43</v>
      </c>
      <c r="B16" s="22">
        <v>30</v>
      </c>
      <c r="C16" s="22">
        <v>1</v>
      </c>
      <c r="D16" s="22">
        <f t="shared" si="0"/>
        <v>30</v>
      </c>
      <c r="E16" s="34">
        <v>0</v>
      </c>
      <c r="F16" s="28">
        <f t="shared" si="1"/>
        <v>0</v>
      </c>
      <c r="G16" s="28">
        <f t="shared" si="2"/>
        <v>0</v>
      </c>
      <c r="H16" s="28">
        <f t="shared" si="3"/>
        <v>0</v>
      </c>
      <c r="I16" s="39">
        <f t="shared" si="5"/>
        <v>0</v>
      </c>
    </row>
    <row r="17" spans="1:10" x14ac:dyDescent="0.2">
      <c r="A17" s="19" t="s">
        <v>34</v>
      </c>
      <c r="B17" s="30"/>
      <c r="C17" s="30"/>
      <c r="D17" s="28"/>
      <c r="E17" s="31"/>
      <c r="F17" s="28"/>
      <c r="G17" s="28"/>
      <c r="H17" s="28"/>
      <c r="I17" s="39"/>
    </row>
    <row r="18" spans="1:10" ht="15.75" x14ac:dyDescent="0.2">
      <c r="A18" s="20" t="s">
        <v>44</v>
      </c>
      <c r="B18" s="28">
        <v>8</v>
      </c>
      <c r="C18" s="28">
        <v>2</v>
      </c>
      <c r="D18" s="28">
        <f>B18*C18</f>
        <v>16</v>
      </c>
      <c r="E18" s="29">
        <v>0</v>
      </c>
      <c r="F18" s="28">
        <f t="shared" si="1"/>
        <v>0</v>
      </c>
      <c r="G18" s="28">
        <f t="shared" si="2"/>
        <v>0</v>
      </c>
      <c r="H18" s="28">
        <f t="shared" si="3"/>
        <v>0</v>
      </c>
      <c r="I18" s="39">
        <f>F18*$L$9+G18*$L$8+H18*$L$10</f>
        <v>0</v>
      </c>
    </row>
    <row r="19" spans="1:10" ht="13.5" x14ac:dyDescent="0.2">
      <c r="A19" s="24" t="s">
        <v>46</v>
      </c>
      <c r="B19" s="22">
        <v>2</v>
      </c>
      <c r="C19" s="22">
        <v>1</v>
      </c>
      <c r="D19" s="22">
        <f t="shared" ref="D19:D20" si="6">B19*C19</f>
        <v>2</v>
      </c>
      <c r="E19" s="29">
        <v>0</v>
      </c>
      <c r="F19" s="28">
        <f t="shared" si="1"/>
        <v>0</v>
      </c>
      <c r="G19" s="28">
        <f t="shared" si="2"/>
        <v>0</v>
      </c>
      <c r="H19" s="28">
        <f t="shared" si="3"/>
        <v>0</v>
      </c>
      <c r="I19" s="39">
        <f t="shared" ref="I19:I20" si="7">F19*$L$9+G19*$L$8+H19*$L$10</f>
        <v>0</v>
      </c>
    </row>
    <row r="20" spans="1:10" ht="13.5" x14ac:dyDescent="0.2">
      <c r="A20" s="24" t="s">
        <v>47</v>
      </c>
      <c r="B20" s="22">
        <v>10</v>
      </c>
      <c r="C20" s="22">
        <v>1</v>
      </c>
      <c r="D20" s="22">
        <f t="shared" si="6"/>
        <v>10</v>
      </c>
      <c r="E20" s="29">
        <v>0</v>
      </c>
      <c r="F20" s="28">
        <f t="shared" si="1"/>
        <v>0</v>
      </c>
      <c r="G20" s="28">
        <f t="shared" si="2"/>
        <v>0</v>
      </c>
      <c r="H20" s="28">
        <f t="shared" si="3"/>
        <v>0</v>
      </c>
      <c r="I20" s="39">
        <f t="shared" si="7"/>
        <v>0</v>
      </c>
    </row>
    <row r="21" spans="1:10" x14ac:dyDescent="0.2">
      <c r="A21" s="5" t="s">
        <v>8</v>
      </c>
      <c r="B21" s="32"/>
      <c r="C21" s="32"/>
      <c r="D21" s="32"/>
      <c r="E21" s="32"/>
      <c r="F21" s="106">
        <f>SUM(F6:H20)</f>
        <v>0</v>
      </c>
      <c r="G21" s="106"/>
      <c r="H21" s="106"/>
      <c r="I21" s="26">
        <f>SUM(I6:I20)</f>
        <v>0</v>
      </c>
    </row>
    <row r="22" spans="1:10" x14ac:dyDescent="0.2">
      <c r="A22" s="4" t="s">
        <v>31</v>
      </c>
      <c r="B22" s="32"/>
      <c r="C22" s="32"/>
      <c r="D22" s="32"/>
      <c r="E22" s="32"/>
      <c r="F22" s="32"/>
      <c r="G22" s="32"/>
      <c r="H22" s="32"/>
      <c r="I22" s="39"/>
    </row>
    <row r="23" spans="1:10" ht="15.75" x14ac:dyDescent="0.2">
      <c r="A23" s="19" t="s">
        <v>116</v>
      </c>
      <c r="B23" s="28">
        <v>4</v>
      </c>
      <c r="C23" s="28">
        <v>2</v>
      </c>
      <c r="D23" s="28">
        <f t="shared" ref="D23:D27" si="8">B23*C23</f>
        <v>8</v>
      </c>
      <c r="E23" s="29">
        <v>0</v>
      </c>
      <c r="F23" s="28">
        <f t="shared" ref="F23:F27" si="9">D23*E23</f>
        <v>0</v>
      </c>
      <c r="G23" s="28">
        <f t="shared" ref="G23:G27" si="10">F23*0.05</f>
        <v>0</v>
      </c>
      <c r="H23" s="28">
        <f t="shared" ref="H23:H27" si="11">F23*0.1</f>
        <v>0</v>
      </c>
      <c r="I23" s="39">
        <f>F23*$L$9+G23*$L$8+H23*$L$10</f>
        <v>0</v>
      </c>
    </row>
    <row r="24" spans="1:10" ht="15.75" x14ac:dyDescent="0.2">
      <c r="A24" s="19" t="s">
        <v>117</v>
      </c>
      <c r="B24" s="28">
        <v>4</v>
      </c>
      <c r="C24" s="28">
        <v>2</v>
      </c>
      <c r="D24" s="28">
        <f t="shared" si="8"/>
        <v>8</v>
      </c>
      <c r="E24" s="29">
        <v>0</v>
      </c>
      <c r="F24" s="28">
        <f t="shared" si="9"/>
        <v>0</v>
      </c>
      <c r="G24" s="28">
        <f t="shared" si="10"/>
        <v>0</v>
      </c>
      <c r="H24" s="28">
        <f t="shared" si="11"/>
        <v>0</v>
      </c>
      <c r="I24" s="39">
        <f>F24*$L$9+G24*$L$8+H24*$L$10</f>
        <v>0</v>
      </c>
    </row>
    <row r="25" spans="1:10" x14ac:dyDescent="0.2">
      <c r="A25" s="19" t="s">
        <v>118</v>
      </c>
      <c r="B25" s="28">
        <v>0</v>
      </c>
      <c r="C25" s="28">
        <v>0</v>
      </c>
      <c r="D25" s="28">
        <f t="shared" si="8"/>
        <v>0</v>
      </c>
      <c r="E25" s="28">
        <v>0</v>
      </c>
      <c r="F25" s="28">
        <f t="shared" si="9"/>
        <v>0</v>
      </c>
      <c r="G25" s="28">
        <f t="shared" si="10"/>
        <v>0</v>
      </c>
      <c r="H25" s="28">
        <f t="shared" si="11"/>
        <v>0</v>
      </c>
      <c r="I25" s="39">
        <f>F25*$L$9+G25*$L$8+H25*$L$10</f>
        <v>0</v>
      </c>
    </row>
    <row r="26" spans="1:10" ht="28.5" x14ac:dyDescent="0.2">
      <c r="A26" s="94" t="s">
        <v>119</v>
      </c>
      <c r="B26" s="22">
        <v>8</v>
      </c>
      <c r="C26" s="22">
        <v>1</v>
      </c>
      <c r="D26" s="28">
        <f t="shared" si="8"/>
        <v>8</v>
      </c>
      <c r="E26" s="22">
        <v>0</v>
      </c>
      <c r="F26" s="28">
        <f t="shared" si="9"/>
        <v>0</v>
      </c>
      <c r="G26" s="28">
        <f t="shared" si="10"/>
        <v>0</v>
      </c>
      <c r="H26" s="28">
        <f t="shared" si="11"/>
        <v>0</v>
      </c>
      <c r="I26" s="39">
        <f t="shared" ref="I26:I27" si="12">F26*$L$9+G26*$L$8+H26*$L$10</f>
        <v>0</v>
      </c>
    </row>
    <row r="27" spans="1:10" ht="31.5" customHeight="1" x14ac:dyDescent="0.2">
      <c r="A27" s="94" t="s">
        <v>120</v>
      </c>
      <c r="B27" s="22">
        <v>8</v>
      </c>
      <c r="C27" s="22">
        <v>1</v>
      </c>
      <c r="D27" s="28">
        <f t="shared" si="8"/>
        <v>8</v>
      </c>
      <c r="E27" s="22">
        <v>0</v>
      </c>
      <c r="F27" s="28">
        <f t="shared" si="9"/>
        <v>0</v>
      </c>
      <c r="G27" s="28">
        <f t="shared" si="10"/>
        <v>0</v>
      </c>
      <c r="H27" s="28">
        <f t="shared" si="11"/>
        <v>0</v>
      </c>
      <c r="I27" s="39">
        <f t="shared" si="12"/>
        <v>0</v>
      </c>
    </row>
    <row r="28" spans="1:10" ht="15" customHeight="1" x14ac:dyDescent="0.2">
      <c r="A28" s="5" t="s">
        <v>9</v>
      </c>
      <c r="B28" s="4"/>
      <c r="C28" s="4"/>
      <c r="D28" s="4"/>
      <c r="E28" s="4"/>
      <c r="F28" s="100">
        <f>SUM(F23:H27)</f>
        <v>0</v>
      </c>
      <c r="G28" s="101"/>
      <c r="H28" s="102"/>
      <c r="I28" s="26">
        <f>SUM(I23:I27)</f>
        <v>0</v>
      </c>
    </row>
    <row r="29" spans="1:10" ht="15.75" x14ac:dyDescent="0.2">
      <c r="A29" s="6" t="s">
        <v>121</v>
      </c>
      <c r="B29" s="4"/>
      <c r="C29" s="4"/>
      <c r="D29" s="4"/>
      <c r="E29" s="4"/>
      <c r="F29" s="4"/>
      <c r="G29" s="7">
        <f>ROUND(SUM(F28,F21), -3)</f>
        <v>0</v>
      </c>
      <c r="H29" s="4"/>
      <c r="I29" s="27">
        <f>ROUND(SUM(I28,I21), -1)</f>
        <v>0</v>
      </c>
    </row>
    <row r="30" spans="1:10" ht="15.75" x14ac:dyDescent="0.2">
      <c r="A30" s="6" t="s">
        <v>122</v>
      </c>
      <c r="B30" s="4"/>
      <c r="C30" s="4"/>
      <c r="D30" s="4"/>
      <c r="E30" s="4"/>
      <c r="F30" s="4"/>
      <c r="H30" s="4"/>
      <c r="I30" s="27">
        <v>0</v>
      </c>
    </row>
    <row r="31" spans="1:10" ht="15.75" x14ac:dyDescent="0.2">
      <c r="A31" s="5" t="s">
        <v>123</v>
      </c>
      <c r="B31" s="4"/>
      <c r="C31" s="4"/>
      <c r="D31" s="4"/>
      <c r="E31" s="4"/>
      <c r="F31" s="4"/>
      <c r="G31" s="7"/>
      <c r="H31" s="4"/>
      <c r="I31" s="26">
        <f>ROUND(SUM(I29:I30), -2)</f>
        <v>0</v>
      </c>
    </row>
    <row r="32" spans="1:10" x14ac:dyDescent="0.2">
      <c r="J32" s="9"/>
    </row>
    <row r="33" spans="1:9" x14ac:dyDescent="0.2">
      <c r="A33" s="1" t="s">
        <v>17</v>
      </c>
    </row>
    <row r="34" spans="1:9" ht="20.25" customHeight="1" x14ac:dyDescent="0.2">
      <c r="A34" s="104" t="s">
        <v>29</v>
      </c>
      <c r="B34" s="104"/>
      <c r="C34" s="104"/>
      <c r="D34" s="104"/>
      <c r="E34" s="104"/>
      <c r="F34" s="104"/>
      <c r="G34" s="104"/>
      <c r="H34" s="104"/>
      <c r="I34" s="104"/>
    </row>
    <row r="35" spans="1:9" ht="59.25" customHeight="1" x14ac:dyDescent="0.2">
      <c r="A35" s="104" t="s">
        <v>22</v>
      </c>
      <c r="B35" s="104"/>
      <c r="C35" s="104"/>
      <c r="D35" s="104"/>
      <c r="E35" s="104"/>
      <c r="F35" s="104"/>
      <c r="G35" s="104"/>
      <c r="H35" s="104"/>
      <c r="I35" s="104"/>
    </row>
    <row r="36" spans="1:9" ht="28.5" customHeight="1" x14ac:dyDescent="0.2">
      <c r="A36" s="105" t="s">
        <v>24</v>
      </c>
      <c r="B36" s="105"/>
      <c r="C36" s="105"/>
      <c r="D36" s="105"/>
      <c r="E36" s="105"/>
      <c r="F36" s="105"/>
      <c r="G36" s="105"/>
      <c r="H36" s="105"/>
      <c r="I36" s="105"/>
    </row>
    <row r="37" spans="1:9" ht="31.5" customHeight="1" x14ac:dyDescent="0.2">
      <c r="A37" s="97" t="s">
        <v>126</v>
      </c>
      <c r="B37" s="97"/>
      <c r="C37" s="97"/>
      <c r="D37" s="97"/>
      <c r="E37" s="97"/>
      <c r="F37" s="97"/>
      <c r="G37" s="97"/>
      <c r="H37" s="97"/>
      <c r="I37" s="97"/>
    </row>
    <row r="38" spans="1:9" ht="15.75" x14ac:dyDescent="0.2">
      <c r="A38" s="96" t="s">
        <v>45</v>
      </c>
      <c r="B38" s="96"/>
      <c r="C38" s="96"/>
      <c r="D38" s="96"/>
      <c r="E38" s="96"/>
      <c r="F38" s="96"/>
      <c r="G38" s="96"/>
      <c r="H38" s="96"/>
      <c r="I38" s="96"/>
    </row>
    <row r="39" spans="1:9" ht="33.75" customHeight="1" x14ac:dyDescent="0.2">
      <c r="A39" s="96" t="s">
        <v>130</v>
      </c>
      <c r="B39" s="96"/>
      <c r="C39" s="96"/>
      <c r="D39" s="96"/>
      <c r="E39" s="96"/>
      <c r="F39" s="96"/>
      <c r="G39" s="96"/>
      <c r="H39" s="96"/>
      <c r="I39" s="96"/>
    </row>
    <row r="40" spans="1:9" ht="15.75" x14ac:dyDescent="0.2">
      <c r="A40" s="96" t="s">
        <v>48</v>
      </c>
      <c r="B40" s="96"/>
      <c r="C40" s="96"/>
      <c r="D40" s="96"/>
      <c r="E40" s="96"/>
      <c r="F40" s="96"/>
      <c r="G40" s="96"/>
      <c r="H40" s="96"/>
      <c r="I40" s="96"/>
    </row>
    <row r="41" spans="1:9" ht="18" customHeight="1" x14ac:dyDescent="0.2">
      <c r="A41" s="103" t="s">
        <v>132</v>
      </c>
      <c r="B41" s="103"/>
      <c r="C41" s="103"/>
      <c r="D41" s="103"/>
      <c r="E41" s="103"/>
      <c r="F41" s="103"/>
      <c r="G41" s="103"/>
      <c r="H41" s="103"/>
      <c r="I41" s="103"/>
    </row>
    <row r="42" spans="1:9" ht="20.25" customHeight="1" x14ac:dyDescent="0.2">
      <c r="A42" s="103" t="s">
        <v>124</v>
      </c>
      <c r="B42" s="103"/>
      <c r="C42" s="103"/>
      <c r="D42" s="103"/>
      <c r="E42" s="103"/>
      <c r="F42" s="103"/>
      <c r="G42" s="103"/>
      <c r="H42" s="103"/>
      <c r="I42" s="103"/>
    </row>
    <row r="43" spans="1:9" ht="21.75" customHeight="1" x14ac:dyDescent="0.2">
      <c r="A43" s="95" t="s">
        <v>125</v>
      </c>
      <c r="B43" s="95"/>
      <c r="C43" s="95"/>
      <c r="D43" s="95"/>
      <c r="E43" s="95"/>
      <c r="F43" s="95"/>
      <c r="G43" s="95"/>
      <c r="H43" s="95"/>
      <c r="I43" s="95"/>
    </row>
    <row r="44" spans="1:9" ht="27.75" customHeight="1" x14ac:dyDescent="0.2"/>
    <row r="45" spans="1:9" ht="21" customHeight="1" x14ac:dyDescent="0.2"/>
  </sheetData>
  <mergeCells count="15">
    <mergeCell ref="A43:I43"/>
    <mergeCell ref="A41:I41"/>
    <mergeCell ref="A42:I42"/>
    <mergeCell ref="A35:I35"/>
    <mergeCell ref="A36:I36"/>
    <mergeCell ref="A37:I37"/>
    <mergeCell ref="A38:I38"/>
    <mergeCell ref="A39:I39"/>
    <mergeCell ref="A40:I40"/>
    <mergeCell ref="A34:I34"/>
    <mergeCell ref="A1:I1"/>
    <mergeCell ref="A3:A4"/>
    <mergeCell ref="K6:L6"/>
    <mergeCell ref="F21:H21"/>
    <mergeCell ref="F28:H28"/>
  </mergeCells>
  <pageMargins left="0.7" right="0.7" top="0.75" bottom="0.75" header="0.3" footer="0.3"/>
  <pageSetup orientation="portrait" horizontalDpi="4294967293"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5"/>
  <sheetViews>
    <sheetView zoomScaleNormal="100" workbookViewId="0">
      <pane xSplit="1" ySplit="4" topLeftCell="B29" activePane="bottomRight" state="frozen"/>
      <selection pane="topRight" activeCell="B1" sqref="B1"/>
      <selection pane="bottomLeft" activeCell="A5" sqref="A5"/>
      <selection pane="bottomRight" activeCell="A24" sqref="A24"/>
    </sheetView>
  </sheetViews>
  <sheetFormatPr defaultRowHeight="12.75" x14ac:dyDescent="0.2"/>
  <cols>
    <col min="1" max="1" width="34.85546875" style="8" customWidth="1"/>
    <col min="2" max="8" width="12.42578125" style="8" customWidth="1"/>
    <col min="9" max="9" width="13.42578125" style="8" customWidth="1"/>
    <col min="10" max="16384" width="9.140625" style="8"/>
  </cols>
  <sheetData>
    <row r="1" spans="1:12" ht="36" customHeight="1" x14ac:dyDescent="0.2">
      <c r="A1" s="98" t="s">
        <v>111</v>
      </c>
      <c r="B1" s="98"/>
      <c r="C1" s="98"/>
      <c r="D1" s="98"/>
      <c r="E1" s="98"/>
      <c r="F1" s="98"/>
      <c r="G1" s="98"/>
      <c r="H1" s="98"/>
      <c r="I1" s="98"/>
    </row>
    <row r="2" spans="1:12" x14ac:dyDescent="0.2">
      <c r="A2" s="2" t="s">
        <v>76</v>
      </c>
    </row>
    <row r="3" spans="1:12" ht="15" customHeight="1" x14ac:dyDescent="0.2">
      <c r="A3" s="107" t="s">
        <v>0</v>
      </c>
      <c r="B3" s="3" t="s">
        <v>1</v>
      </c>
      <c r="C3" s="3" t="s">
        <v>3</v>
      </c>
      <c r="D3" s="3" t="s">
        <v>5</v>
      </c>
      <c r="E3" s="3" t="s">
        <v>10</v>
      </c>
      <c r="F3" s="3" t="s">
        <v>11</v>
      </c>
      <c r="G3" s="3" t="s">
        <v>13</v>
      </c>
      <c r="H3" s="3" t="s">
        <v>15</v>
      </c>
      <c r="I3" s="3" t="s">
        <v>7</v>
      </c>
    </row>
    <row r="4" spans="1:12" ht="63.75" x14ac:dyDescent="0.2">
      <c r="A4" s="107"/>
      <c r="B4" s="35" t="s">
        <v>2</v>
      </c>
      <c r="C4" s="35" t="s">
        <v>4</v>
      </c>
      <c r="D4" s="35" t="s">
        <v>6</v>
      </c>
      <c r="E4" s="35" t="s">
        <v>50</v>
      </c>
      <c r="F4" s="35" t="s">
        <v>12</v>
      </c>
      <c r="G4" s="35" t="s">
        <v>14</v>
      </c>
      <c r="H4" s="35" t="s">
        <v>16</v>
      </c>
      <c r="I4" s="35" t="s">
        <v>51</v>
      </c>
    </row>
    <row r="5" spans="1:12" x14ac:dyDescent="0.2">
      <c r="A5" s="18" t="s">
        <v>30</v>
      </c>
      <c r="B5" s="3"/>
      <c r="C5" s="3"/>
      <c r="D5" s="3"/>
      <c r="E5" s="3"/>
      <c r="F5" s="3"/>
      <c r="G5" s="3"/>
      <c r="H5" s="3"/>
      <c r="I5" s="3"/>
    </row>
    <row r="6" spans="1:12" ht="16.5" customHeight="1" x14ac:dyDescent="0.2">
      <c r="A6" s="19" t="s">
        <v>32</v>
      </c>
      <c r="B6" s="28">
        <v>4</v>
      </c>
      <c r="C6" s="28">
        <v>1</v>
      </c>
      <c r="D6" s="28">
        <f>B6*C6</f>
        <v>4</v>
      </c>
      <c r="E6" s="29">
        <v>0</v>
      </c>
      <c r="F6" s="28">
        <f>D6*E6</f>
        <v>0</v>
      </c>
      <c r="G6" s="28">
        <f>F6*0.05</f>
        <v>0</v>
      </c>
      <c r="H6" s="28">
        <f>F6*0.1</f>
        <v>0</v>
      </c>
      <c r="I6" s="39">
        <f>F6*$L$9+G6*$L$8+H6*$L$10</f>
        <v>0</v>
      </c>
      <c r="K6" s="99" t="s">
        <v>25</v>
      </c>
      <c r="L6" s="99"/>
    </row>
    <row r="7" spans="1:12" x14ac:dyDescent="0.2">
      <c r="A7" s="19" t="s">
        <v>33</v>
      </c>
      <c r="B7" s="28"/>
      <c r="C7" s="28"/>
      <c r="D7" s="28"/>
      <c r="E7" s="29"/>
      <c r="F7" s="28"/>
      <c r="G7" s="28"/>
      <c r="H7" s="28"/>
      <c r="I7" s="39"/>
      <c r="K7" s="21"/>
      <c r="L7" s="21"/>
    </row>
    <row r="8" spans="1:12" x14ac:dyDescent="0.2">
      <c r="A8" s="20" t="s">
        <v>35</v>
      </c>
      <c r="B8" s="28">
        <v>8</v>
      </c>
      <c r="C8" s="28">
        <v>1</v>
      </c>
      <c r="D8" s="28">
        <f t="shared" ref="D8:D16" si="0">B8*C8</f>
        <v>8</v>
      </c>
      <c r="E8" s="28">
        <v>0</v>
      </c>
      <c r="F8" s="28">
        <f t="shared" ref="F8:F20" si="1">D8*E8</f>
        <v>0</v>
      </c>
      <c r="G8" s="28">
        <f t="shared" ref="G8:G20" si="2">F8*0.05</f>
        <v>0</v>
      </c>
      <c r="H8" s="28">
        <f t="shared" ref="H8:H20" si="3">F8*0.1</f>
        <v>0</v>
      </c>
      <c r="I8" s="39">
        <f t="shared" ref="I8:I14" si="4">F8*$L$9+G8*$L$8+H8*$L$10</f>
        <v>0</v>
      </c>
      <c r="K8" s="16" t="s">
        <v>26</v>
      </c>
      <c r="L8" s="17">
        <v>147.4</v>
      </c>
    </row>
    <row r="9" spans="1:12" x14ac:dyDescent="0.2">
      <c r="A9" s="20" t="s">
        <v>36</v>
      </c>
      <c r="B9" s="28">
        <v>8</v>
      </c>
      <c r="C9" s="28">
        <v>1</v>
      </c>
      <c r="D9" s="28">
        <f t="shared" si="0"/>
        <v>8</v>
      </c>
      <c r="E9" s="28">
        <v>0</v>
      </c>
      <c r="F9" s="28">
        <f t="shared" si="1"/>
        <v>0</v>
      </c>
      <c r="G9" s="28">
        <f t="shared" si="2"/>
        <v>0</v>
      </c>
      <c r="H9" s="28">
        <f t="shared" si="3"/>
        <v>0</v>
      </c>
      <c r="I9" s="39">
        <f t="shared" si="4"/>
        <v>0</v>
      </c>
      <c r="K9" s="16" t="s">
        <v>27</v>
      </c>
      <c r="L9" s="17">
        <v>117.92</v>
      </c>
    </row>
    <row r="10" spans="1:12" ht="28.5" customHeight="1" x14ac:dyDescent="0.2">
      <c r="A10" s="20" t="s">
        <v>37</v>
      </c>
      <c r="B10" s="28">
        <v>0</v>
      </c>
      <c r="C10" s="28">
        <v>1</v>
      </c>
      <c r="D10" s="28">
        <f t="shared" si="0"/>
        <v>0</v>
      </c>
      <c r="E10" s="28">
        <v>0</v>
      </c>
      <c r="F10" s="28">
        <f t="shared" si="1"/>
        <v>0</v>
      </c>
      <c r="G10" s="28">
        <f t="shared" si="2"/>
        <v>0</v>
      </c>
      <c r="H10" s="28">
        <f t="shared" si="3"/>
        <v>0</v>
      </c>
      <c r="I10" s="39">
        <f t="shared" si="4"/>
        <v>0</v>
      </c>
      <c r="K10" s="16" t="s">
        <v>28</v>
      </c>
      <c r="L10" s="17">
        <v>57.02</v>
      </c>
    </row>
    <row r="11" spans="1:12" x14ac:dyDescent="0.2">
      <c r="A11" s="20" t="s">
        <v>38</v>
      </c>
      <c r="B11" s="28">
        <v>18</v>
      </c>
      <c r="C11" s="28">
        <v>12</v>
      </c>
      <c r="D11" s="28">
        <f t="shared" si="0"/>
        <v>216</v>
      </c>
      <c r="E11" s="33">
        <v>0</v>
      </c>
      <c r="F11" s="28">
        <f t="shared" si="1"/>
        <v>0</v>
      </c>
      <c r="G11" s="28">
        <f t="shared" si="2"/>
        <v>0</v>
      </c>
      <c r="H11" s="28">
        <f t="shared" si="3"/>
        <v>0</v>
      </c>
      <c r="I11" s="39">
        <f t="shared" si="4"/>
        <v>0</v>
      </c>
    </row>
    <row r="12" spans="1:12" ht="28.5" x14ac:dyDescent="0.2">
      <c r="A12" s="20" t="s">
        <v>41</v>
      </c>
      <c r="B12" s="30">
        <v>36</v>
      </c>
      <c r="C12" s="30">
        <v>12</v>
      </c>
      <c r="D12" s="28">
        <f t="shared" si="0"/>
        <v>432</v>
      </c>
      <c r="E12" s="34">
        <v>0</v>
      </c>
      <c r="F12" s="28">
        <f t="shared" si="1"/>
        <v>0</v>
      </c>
      <c r="G12" s="28">
        <f t="shared" si="2"/>
        <v>0</v>
      </c>
      <c r="H12" s="28">
        <f t="shared" si="3"/>
        <v>0</v>
      </c>
      <c r="I12" s="39">
        <f t="shared" si="4"/>
        <v>0</v>
      </c>
    </row>
    <row r="13" spans="1:12" x14ac:dyDescent="0.2">
      <c r="A13" s="20" t="s">
        <v>40</v>
      </c>
      <c r="B13" s="28">
        <v>12</v>
      </c>
      <c r="C13" s="28">
        <v>12</v>
      </c>
      <c r="D13" s="28">
        <f t="shared" si="0"/>
        <v>144</v>
      </c>
      <c r="E13" s="33">
        <v>0</v>
      </c>
      <c r="F13" s="28">
        <f t="shared" si="1"/>
        <v>0</v>
      </c>
      <c r="G13" s="28">
        <f t="shared" si="2"/>
        <v>0</v>
      </c>
      <c r="H13" s="28">
        <f t="shared" si="3"/>
        <v>0</v>
      </c>
      <c r="I13" s="39">
        <f t="shared" si="4"/>
        <v>0</v>
      </c>
    </row>
    <row r="14" spans="1:12" ht="28.5" x14ac:dyDescent="0.2">
      <c r="A14" s="20" t="s">
        <v>39</v>
      </c>
      <c r="B14" s="30">
        <v>24</v>
      </c>
      <c r="C14" s="30">
        <v>12</v>
      </c>
      <c r="D14" s="28">
        <f t="shared" si="0"/>
        <v>288</v>
      </c>
      <c r="E14" s="34">
        <v>0</v>
      </c>
      <c r="F14" s="28">
        <f t="shared" si="1"/>
        <v>0</v>
      </c>
      <c r="G14" s="28">
        <f t="shared" si="2"/>
        <v>0</v>
      </c>
      <c r="H14" s="28">
        <f t="shared" si="3"/>
        <v>0</v>
      </c>
      <c r="I14" s="39">
        <f t="shared" si="4"/>
        <v>0</v>
      </c>
    </row>
    <row r="15" spans="1:12" ht="13.5" x14ac:dyDescent="0.2">
      <c r="A15" s="23" t="s">
        <v>42</v>
      </c>
      <c r="B15" s="22">
        <v>30</v>
      </c>
      <c r="C15" s="22">
        <v>1</v>
      </c>
      <c r="D15" s="22">
        <f t="shared" si="0"/>
        <v>30</v>
      </c>
      <c r="E15" s="34">
        <v>7</v>
      </c>
      <c r="F15" s="28">
        <f t="shared" si="1"/>
        <v>210</v>
      </c>
      <c r="G15" s="28">
        <f t="shared" si="2"/>
        <v>10.5</v>
      </c>
      <c r="H15" s="28">
        <f t="shared" si="3"/>
        <v>21</v>
      </c>
      <c r="I15" s="25">
        <f t="shared" ref="I15:I16" si="5">F15*$L$9+G15*$L$8+H15*$L$10</f>
        <v>27508.32</v>
      </c>
    </row>
    <row r="16" spans="1:12" ht="13.5" x14ac:dyDescent="0.2">
      <c r="A16" s="23" t="s">
        <v>43</v>
      </c>
      <c r="B16" s="22">
        <v>30</v>
      </c>
      <c r="C16" s="22">
        <v>1</v>
      </c>
      <c r="D16" s="22">
        <f t="shared" si="0"/>
        <v>30</v>
      </c>
      <c r="E16" s="34">
        <v>0</v>
      </c>
      <c r="F16" s="28">
        <f t="shared" si="1"/>
        <v>0</v>
      </c>
      <c r="G16" s="28">
        <f t="shared" si="2"/>
        <v>0</v>
      </c>
      <c r="H16" s="28">
        <f t="shared" si="3"/>
        <v>0</v>
      </c>
      <c r="I16" s="39">
        <f t="shared" si="5"/>
        <v>0</v>
      </c>
    </row>
    <row r="17" spans="1:10" x14ac:dyDescent="0.2">
      <c r="A17" s="19" t="s">
        <v>34</v>
      </c>
      <c r="B17" s="30"/>
      <c r="C17" s="30"/>
      <c r="D17" s="28"/>
      <c r="E17" s="31"/>
      <c r="F17" s="28"/>
      <c r="G17" s="28"/>
      <c r="H17" s="28"/>
      <c r="I17" s="39"/>
    </row>
    <row r="18" spans="1:10" ht="15.75" x14ac:dyDescent="0.2">
      <c r="A18" s="20" t="s">
        <v>44</v>
      </c>
      <c r="B18" s="28">
        <v>8</v>
      </c>
      <c r="C18" s="28">
        <v>2</v>
      </c>
      <c r="D18" s="28">
        <f>B18*C18</f>
        <v>16</v>
      </c>
      <c r="E18" s="29">
        <v>0</v>
      </c>
      <c r="F18" s="28">
        <f t="shared" si="1"/>
        <v>0</v>
      </c>
      <c r="G18" s="28">
        <f t="shared" si="2"/>
        <v>0</v>
      </c>
      <c r="H18" s="28">
        <f t="shared" si="3"/>
        <v>0</v>
      </c>
      <c r="I18" s="39">
        <f>F18*$L$9+G18*$L$8+H18*$L$10</f>
        <v>0</v>
      </c>
    </row>
    <row r="19" spans="1:10" ht="13.5" x14ac:dyDescent="0.2">
      <c r="A19" s="24" t="s">
        <v>46</v>
      </c>
      <c r="B19" s="22">
        <v>2</v>
      </c>
      <c r="C19" s="22">
        <v>1</v>
      </c>
      <c r="D19" s="22">
        <f t="shared" ref="D19:D20" si="6">B19*C19</f>
        <v>2</v>
      </c>
      <c r="E19" s="29">
        <v>7</v>
      </c>
      <c r="F19" s="28">
        <f t="shared" si="1"/>
        <v>14</v>
      </c>
      <c r="G19" s="28">
        <f t="shared" si="2"/>
        <v>0.70000000000000007</v>
      </c>
      <c r="H19" s="28">
        <f t="shared" si="3"/>
        <v>1.4000000000000001</v>
      </c>
      <c r="I19" s="25">
        <f t="shared" ref="I19:I20" si="7">F19*$L$9+G19*$L$8+H19*$L$10</f>
        <v>1833.8880000000001</v>
      </c>
    </row>
    <row r="20" spans="1:10" ht="13.5" x14ac:dyDescent="0.2">
      <c r="A20" s="24" t="s">
        <v>47</v>
      </c>
      <c r="B20" s="22">
        <v>10</v>
      </c>
      <c r="C20" s="22">
        <v>1</v>
      </c>
      <c r="D20" s="22">
        <f t="shared" si="6"/>
        <v>10</v>
      </c>
      <c r="E20" s="29">
        <v>7</v>
      </c>
      <c r="F20" s="28">
        <f t="shared" si="1"/>
        <v>70</v>
      </c>
      <c r="G20" s="28">
        <f t="shared" si="2"/>
        <v>3.5</v>
      </c>
      <c r="H20" s="28">
        <f t="shared" si="3"/>
        <v>7</v>
      </c>
      <c r="I20" s="25">
        <f t="shared" si="7"/>
        <v>9169.4399999999987</v>
      </c>
    </row>
    <row r="21" spans="1:10" x14ac:dyDescent="0.2">
      <c r="A21" s="5" t="s">
        <v>8</v>
      </c>
      <c r="B21" s="32"/>
      <c r="C21" s="32"/>
      <c r="D21" s="32"/>
      <c r="E21" s="32"/>
      <c r="F21" s="106">
        <f>SUM(F6:H20)</f>
        <v>338.09999999999997</v>
      </c>
      <c r="G21" s="106"/>
      <c r="H21" s="106"/>
      <c r="I21" s="26">
        <f>SUM(I6:I20)</f>
        <v>38511.648000000001</v>
      </c>
    </row>
    <row r="22" spans="1:10" x14ac:dyDescent="0.2">
      <c r="A22" s="4" t="s">
        <v>31</v>
      </c>
      <c r="B22" s="32"/>
      <c r="C22" s="32"/>
      <c r="D22" s="32"/>
      <c r="E22" s="32"/>
      <c r="F22" s="32"/>
      <c r="G22" s="32"/>
      <c r="H22" s="32"/>
      <c r="I22" s="25"/>
    </row>
    <row r="23" spans="1:10" ht="15.75" x14ac:dyDescent="0.2">
      <c r="A23" s="19" t="s">
        <v>116</v>
      </c>
      <c r="B23" s="28">
        <v>4</v>
      </c>
      <c r="C23" s="28">
        <v>2</v>
      </c>
      <c r="D23" s="28">
        <f t="shared" ref="D23:D27" si="8">B23*C23</f>
        <v>8</v>
      </c>
      <c r="E23" s="29">
        <v>0</v>
      </c>
      <c r="F23" s="28">
        <f t="shared" ref="F23:F27" si="9">D23*E23</f>
        <v>0</v>
      </c>
      <c r="G23" s="28">
        <f t="shared" ref="G23:G27" si="10">F23*0.05</f>
        <v>0</v>
      </c>
      <c r="H23" s="28">
        <f t="shared" ref="H23:H27" si="11">F23*0.1</f>
        <v>0</v>
      </c>
      <c r="I23" s="39">
        <f>F23*$L$9+G23*$L$8+H23*$L$10</f>
        <v>0</v>
      </c>
    </row>
    <row r="24" spans="1:10" ht="15.75" x14ac:dyDescent="0.2">
      <c r="A24" s="19" t="s">
        <v>117</v>
      </c>
      <c r="B24" s="28">
        <v>4</v>
      </c>
      <c r="C24" s="28">
        <v>2</v>
      </c>
      <c r="D24" s="28">
        <f t="shared" si="8"/>
        <v>8</v>
      </c>
      <c r="E24" s="29">
        <v>0</v>
      </c>
      <c r="F24" s="28">
        <f t="shared" si="9"/>
        <v>0</v>
      </c>
      <c r="G24" s="28">
        <f t="shared" si="10"/>
        <v>0</v>
      </c>
      <c r="H24" s="28">
        <f t="shared" si="11"/>
        <v>0</v>
      </c>
      <c r="I24" s="39">
        <f>F24*$L$9+G24*$L$8+H24*$L$10</f>
        <v>0</v>
      </c>
    </row>
    <row r="25" spans="1:10" x14ac:dyDescent="0.2">
      <c r="A25" s="19" t="s">
        <v>118</v>
      </c>
      <c r="B25" s="28">
        <v>0</v>
      </c>
      <c r="C25" s="28">
        <v>0</v>
      </c>
      <c r="D25" s="28">
        <f t="shared" si="8"/>
        <v>0</v>
      </c>
      <c r="E25" s="28">
        <v>0</v>
      </c>
      <c r="F25" s="28">
        <f t="shared" si="9"/>
        <v>0</v>
      </c>
      <c r="G25" s="28">
        <f t="shared" si="10"/>
        <v>0</v>
      </c>
      <c r="H25" s="28">
        <f t="shared" si="11"/>
        <v>0</v>
      </c>
      <c r="I25" s="39">
        <f>F25*$L$9+G25*$L$8+H25*$L$10</f>
        <v>0</v>
      </c>
    </row>
    <row r="26" spans="1:10" ht="28.5" x14ac:dyDescent="0.2">
      <c r="A26" s="94" t="s">
        <v>119</v>
      </c>
      <c r="B26" s="22">
        <v>8</v>
      </c>
      <c r="C26" s="22">
        <v>1</v>
      </c>
      <c r="D26" s="28">
        <f t="shared" si="8"/>
        <v>8</v>
      </c>
      <c r="E26" s="22">
        <v>0</v>
      </c>
      <c r="F26" s="28">
        <f t="shared" si="9"/>
        <v>0</v>
      </c>
      <c r="G26" s="28">
        <f t="shared" si="10"/>
        <v>0</v>
      </c>
      <c r="H26" s="28">
        <f t="shared" si="11"/>
        <v>0</v>
      </c>
      <c r="I26" s="39">
        <f t="shared" ref="I26:I27" si="12">F26*$L$9+G26*$L$8+H26*$L$10</f>
        <v>0</v>
      </c>
    </row>
    <row r="27" spans="1:10" ht="35.25" customHeight="1" x14ac:dyDescent="0.2">
      <c r="A27" s="94" t="s">
        <v>120</v>
      </c>
      <c r="B27" s="22">
        <v>8</v>
      </c>
      <c r="C27" s="22">
        <v>1</v>
      </c>
      <c r="D27" s="28">
        <f t="shared" si="8"/>
        <v>8</v>
      </c>
      <c r="E27" s="22">
        <v>0</v>
      </c>
      <c r="F27" s="28">
        <f t="shared" si="9"/>
        <v>0</v>
      </c>
      <c r="G27" s="28">
        <f t="shared" si="10"/>
        <v>0</v>
      </c>
      <c r="H27" s="28">
        <f t="shared" si="11"/>
        <v>0</v>
      </c>
      <c r="I27" s="39">
        <f t="shared" si="12"/>
        <v>0</v>
      </c>
    </row>
    <row r="28" spans="1:10" ht="15" customHeight="1" x14ac:dyDescent="0.2">
      <c r="A28" s="5" t="s">
        <v>9</v>
      </c>
      <c r="B28" s="4"/>
      <c r="C28" s="4"/>
      <c r="D28" s="4"/>
      <c r="E28" s="4"/>
      <c r="F28" s="100">
        <f>SUM(F23:H27)</f>
        <v>0</v>
      </c>
      <c r="G28" s="101"/>
      <c r="H28" s="102"/>
      <c r="I28" s="26">
        <f>SUM(I23:I27)</f>
        <v>0</v>
      </c>
    </row>
    <row r="29" spans="1:10" ht="15.75" x14ac:dyDescent="0.2">
      <c r="A29" s="6" t="s">
        <v>121</v>
      </c>
      <c r="B29" s="4"/>
      <c r="C29" s="4"/>
      <c r="D29" s="4"/>
      <c r="E29" s="4"/>
      <c r="F29" s="4"/>
      <c r="G29" s="7">
        <f>ROUND(SUM(F28,F21), 0)</f>
        <v>338</v>
      </c>
      <c r="H29" s="4"/>
      <c r="I29" s="27">
        <f>ROUND(SUM(I28,I21), -2)</f>
        <v>38500</v>
      </c>
    </row>
    <row r="30" spans="1:10" ht="15.75" x14ac:dyDescent="0.2">
      <c r="A30" s="6" t="s">
        <v>122</v>
      </c>
      <c r="B30" s="4"/>
      <c r="C30" s="4"/>
      <c r="D30" s="4"/>
      <c r="E30" s="4"/>
      <c r="F30" s="4"/>
      <c r="H30" s="4"/>
      <c r="I30" s="27">
        <f>'Capital O&amp;M'!I7</f>
        <v>133000</v>
      </c>
    </row>
    <row r="31" spans="1:10" ht="15.75" x14ac:dyDescent="0.2">
      <c r="A31" s="5" t="s">
        <v>123</v>
      </c>
      <c r="B31" s="4"/>
      <c r="C31" s="4"/>
      <c r="D31" s="4"/>
      <c r="E31" s="4"/>
      <c r="F31" s="4"/>
      <c r="G31" s="7"/>
      <c r="H31" s="4"/>
      <c r="I31" s="26">
        <f>ROUND(SUM(I29:I30), -3)</f>
        <v>172000</v>
      </c>
    </row>
    <row r="32" spans="1:10" x14ac:dyDescent="0.2">
      <c r="J32" s="9"/>
    </row>
    <row r="33" spans="1:9" x14ac:dyDescent="0.2">
      <c r="A33" s="1" t="s">
        <v>17</v>
      </c>
    </row>
    <row r="34" spans="1:9" ht="20.25" customHeight="1" x14ac:dyDescent="0.2">
      <c r="A34" s="104" t="s">
        <v>29</v>
      </c>
      <c r="B34" s="104"/>
      <c r="C34" s="104"/>
      <c r="D34" s="104"/>
      <c r="E34" s="104"/>
      <c r="F34" s="104"/>
      <c r="G34" s="104"/>
      <c r="H34" s="104"/>
      <c r="I34" s="104"/>
    </row>
    <row r="35" spans="1:9" ht="57.75" customHeight="1" x14ac:dyDescent="0.2">
      <c r="A35" s="104" t="s">
        <v>22</v>
      </c>
      <c r="B35" s="104"/>
      <c r="C35" s="104"/>
      <c r="D35" s="104"/>
      <c r="E35" s="104"/>
      <c r="F35" s="104"/>
      <c r="G35" s="104"/>
      <c r="H35" s="104"/>
      <c r="I35" s="104"/>
    </row>
    <row r="36" spans="1:9" ht="28.5" customHeight="1" x14ac:dyDescent="0.2">
      <c r="A36" s="105" t="s">
        <v>24</v>
      </c>
      <c r="B36" s="105"/>
      <c r="C36" s="105"/>
      <c r="D36" s="105"/>
      <c r="E36" s="105"/>
      <c r="F36" s="105"/>
      <c r="G36" s="105"/>
      <c r="H36" s="105"/>
      <c r="I36" s="105"/>
    </row>
    <row r="37" spans="1:9" s="67" customFormat="1" ht="36" customHeight="1" x14ac:dyDescent="0.2">
      <c r="A37" s="97" t="s">
        <v>126</v>
      </c>
      <c r="B37" s="97"/>
      <c r="C37" s="97"/>
      <c r="D37" s="97"/>
      <c r="E37" s="97"/>
      <c r="F37" s="97"/>
      <c r="G37" s="97"/>
      <c r="H37" s="97"/>
      <c r="I37" s="97"/>
    </row>
    <row r="38" spans="1:9" ht="15.75" x14ac:dyDescent="0.2">
      <c r="A38" s="96" t="s">
        <v>45</v>
      </c>
      <c r="B38" s="96"/>
      <c r="C38" s="96"/>
      <c r="D38" s="96"/>
      <c r="E38" s="96"/>
      <c r="F38" s="96"/>
      <c r="G38" s="96"/>
      <c r="H38" s="96"/>
      <c r="I38" s="96"/>
    </row>
    <row r="39" spans="1:9" ht="33" customHeight="1" x14ac:dyDescent="0.2">
      <c r="A39" s="96" t="s">
        <v>130</v>
      </c>
      <c r="B39" s="96"/>
      <c r="C39" s="96"/>
      <c r="D39" s="96"/>
      <c r="E39" s="96"/>
      <c r="F39" s="96"/>
      <c r="G39" s="96"/>
      <c r="H39" s="96"/>
      <c r="I39" s="96"/>
    </row>
    <row r="40" spans="1:9" ht="15.75" x14ac:dyDescent="0.2">
      <c r="A40" s="96" t="s">
        <v>48</v>
      </c>
      <c r="B40" s="96"/>
      <c r="C40" s="96"/>
      <c r="D40" s="96"/>
      <c r="E40" s="96"/>
      <c r="F40" s="96"/>
      <c r="G40" s="96"/>
      <c r="H40" s="96"/>
      <c r="I40" s="96"/>
    </row>
    <row r="41" spans="1:9" ht="20.25" customHeight="1" x14ac:dyDescent="0.2">
      <c r="A41" s="103" t="s">
        <v>132</v>
      </c>
      <c r="B41" s="103"/>
      <c r="C41" s="103"/>
      <c r="D41" s="103"/>
      <c r="E41" s="103"/>
      <c r="F41" s="103"/>
      <c r="G41" s="103"/>
      <c r="H41" s="103"/>
      <c r="I41" s="103"/>
    </row>
    <row r="42" spans="1:9" ht="20.25" customHeight="1" x14ac:dyDescent="0.2">
      <c r="A42" s="103" t="s">
        <v>124</v>
      </c>
      <c r="B42" s="103"/>
      <c r="C42" s="103"/>
      <c r="D42" s="103"/>
      <c r="E42" s="103"/>
      <c r="F42" s="103"/>
      <c r="G42" s="103"/>
      <c r="H42" s="103"/>
      <c r="I42" s="103"/>
    </row>
    <row r="43" spans="1:9" ht="21" customHeight="1" x14ac:dyDescent="0.2">
      <c r="A43" s="95" t="s">
        <v>125</v>
      </c>
      <c r="B43" s="95"/>
      <c r="C43" s="95"/>
      <c r="D43" s="95"/>
      <c r="E43" s="95"/>
      <c r="F43" s="95"/>
      <c r="G43" s="95"/>
      <c r="H43" s="95"/>
      <c r="I43" s="95"/>
    </row>
    <row r="44" spans="1:9" ht="27.75" customHeight="1" x14ac:dyDescent="0.2"/>
    <row r="45" spans="1:9" ht="21" customHeight="1" x14ac:dyDescent="0.2"/>
  </sheetData>
  <mergeCells count="15">
    <mergeCell ref="A43:I43"/>
    <mergeCell ref="A41:I41"/>
    <mergeCell ref="A42:I42"/>
    <mergeCell ref="A35:I35"/>
    <mergeCell ref="A36:I36"/>
    <mergeCell ref="A37:I37"/>
    <mergeCell ref="A38:I38"/>
    <mergeCell ref="A39:I39"/>
    <mergeCell ref="A40:I40"/>
    <mergeCell ref="A34:I34"/>
    <mergeCell ref="A1:I1"/>
    <mergeCell ref="A3:A4"/>
    <mergeCell ref="K6:L6"/>
    <mergeCell ref="F21:H21"/>
    <mergeCell ref="F28:H28"/>
  </mergeCells>
  <pageMargins left="0.7" right="0.7" top="0.75" bottom="0.75" header="0.3" footer="0.3"/>
  <pageSetup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zoomScaleNormal="100" workbookViewId="0">
      <selection activeCell="F17" sqref="F17"/>
    </sheetView>
  </sheetViews>
  <sheetFormatPr defaultRowHeight="12.75" x14ac:dyDescent="0.2"/>
  <cols>
    <col min="1" max="8" width="14.85546875" style="87" customWidth="1"/>
    <col min="9" max="16384" width="9.140625" style="87"/>
  </cols>
  <sheetData>
    <row r="1" spans="1:8" ht="38.25" customHeight="1" thickBot="1" x14ac:dyDescent="0.25">
      <c r="A1" s="108" t="s">
        <v>73</v>
      </c>
      <c r="B1" s="108"/>
      <c r="C1" s="108"/>
      <c r="D1" s="108"/>
      <c r="E1" s="108"/>
      <c r="F1" s="108"/>
      <c r="G1" s="108"/>
      <c r="H1" s="108"/>
    </row>
    <row r="2" spans="1:8" ht="39" thickBot="1" x14ac:dyDescent="0.25">
      <c r="A2" s="47" t="s">
        <v>52</v>
      </c>
      <c r="B2" s="48" t="s">
        <v>53</v>
      </c>
      <c r="C2" s="48" t="s">
        <v>54</v>
      </c>
      <c r="D2" s="48" t="s">
        <v>55</v>
      </c>
      <c r="E2" s="48" t="s">
        <v>56</v>
      </c>
      <c r="F2" s="48" t="s">
        <v>57</v>
      </c>
      <c r="G2" s="48" t="s">
        <v>58</v>
      </c>
      <c r="H2" s="49" t="s">
        <v>59</v>
      </c>
    </row>
    <row r="3" spans="1:8" ht="13.5" thickTop="1" x14ac:dyDescent="0.2">
      <c r="A3" s="50">
        <v>1</v>
      </c>
      <c r="B3" s="51">
        <f>SUM('TBL1-YR1'!F6:F20)+SUM('TBL1-YR1'!F23:F27)</f>
        <v>7360</v>
      </c>
      <c r="C3" s="51">
        <f>SUM('TBL1-YR1'!G6:G20)+SUM('TBL1-YR1'!G23:G27)</f>
        <v>368.00000000000006</v>
      </c>
      <c r="D3" s="51">
        <f>SUM('TBL1-YR1'!H6:H20)+SUM('TBL1-YR1'!H23:H27)</f>
        <v>736.00000000000011</v>
      </c>
      <c r="E3" s="52">
        <f>SUM(B3:D3)</f>
        <v>8464</v>
      </c>
      <c r="F3" s="53">
        <f>'TBL1-YR1'!I29</f>
        <v>964000</v>
      </c>
      <c r="G3" s="54">
        <f>'TBL1-YR1'!I30</f>
        <v>0</v>
      </c>
      <c r="H3" s="55">
        <f>F3+G3</f>
        <v>964000</v>
      </c>
    </row>
    <row r="4" spans="1:8" x14ac:dyDescent="0.2">
      <c r="A4" s="56">
        <v>2</v>
      </c>
      <c r="B4" s="52">
        <f>SUM('TBL2-YR2'!F6:F20)+SUM('TBL2-YR2'!F23:F27)</f>
        <v>0</v>
      </c>
      <c r="C4" s="52">
        <f>SUM('TBL2-YR2'!G6:G20)+SUM('TBL2-YR2'!G23:G27)</f>
        <v>0</v>
      </c>
      <c r="D4" s="52">
        <f>SUM('TBL2-YR2'!H6:H20)+SUM('TBL2-YR2'!H23:H27)</f>
        <v>0</v>
      </c>
      <c r="E4" s="52">
        <f>SUM(B4:D4)</f>
        <v>0</v>
      </c>
      <c r="F4" s="54">
        <f>'TBL2-YR2'!I29</f>
        <v>0</v>
      </c>
      <c r="G4" s="54">
        <f>'TBL2-YR2'!I30</f>
        <v>0</v>
      </c>
      <c r="H4" s="55">
        <f>F4+G4</f>
        <v>0</v>
      </c>
    </row>
    <row r="5" spans="1:8" ht="13.5" thickBot="1" x14ac:dyDescent="0.25">
      <c r="A5" s="57">
        <v>3</v>
      </c>
      <c r="B5" s="58">
        <f>SUM('TBL3-YR3'!F6:F20)+SUM('TBL3-YR3'!F23:F27)</f>
        <v>294</v>
      </c>
      <c r="C5" s="58">
        <f>SUM('TBL3-YR3'!G6:G20)+SUM('TBL3-YR3'!G23:G27)</f>
        <v>14.7</v>
      </c>
      <c r="D5" s="58">
        <f>SUM('TBL3-YR3'!H6:H20)+SUM('TBL3-YR3'!H23:H27)</f>
        <v>29.4</v>
      </c>
      <c r="E5" s="58">
        <f>SUM(B5:D5)</f>
        <v>338.09999999999997</v>
      </c>
      <c r="F5" s="59">
        <f>'TBL3-YR3'!I29</f>
        <v>38500</v>
      </c>
      <c r="G5" s="59">
        <f>'TBL3-YR3'!I30</f>
        <v>133000</v>
      </c>
      <c r="H5" s="60">
        <f>F5+G5</f>
        <v>171500</v>
      </c>
    </row>
    <row r="6" spans="1:8" ht="13.5" thickTop="1" x14ac:dyDescent="0.2">
      <c r="A6" s="50" t="s">
        <v>60</v>
      </c>
      <c r="B6" s="51">
        <f>SUM(B3:B5)</f>
        <v>7654</v>
      </c>
      <c r="C6" s="51">
        <f>SUM(C3:C5)</f>
        <v>382.70000000000005</v>
      </c>
      <c r="D6" s="51">
        <f>SUM(D3:D5)</f>
        <v>765.40000000000009</v>
      </c>
      <c r="E6" s="51">
        <f t="shared" ref="E6" si="0">SUM(E3:E5)</f>
        <v>8802.1</v>
      </c>
      <c r="F6" s="53">
        <f>ROUND(SUM(F3:F5),-4)</f>
        <v>1000000</v>
      </c>
      <c r="G6" s="53">
        <f>ROUND(SUM(G3:G5),-2)</f>
        <v>133000</v>
      </c>
      <c r="H6" s="55">
        <f>ROUND(SUM(H3:H5),-4)</f>
        <v>1140000</v>
      </c>
    </row>
    <row r="7" spans="1:8" ht="13.5" thickBot="1" x14ac:dyDescent="0.25">
      <c r="A7" s="61" t="s">
        <v>61</v>
      </c>
      <c r="B7" s="62">
        <f>AVERAGE(B3:B5)</f>
        <v>2551.3333333333335</v>
      </c>
      <c r="C7" s="62">
        <f>AVERAGE(C3:C5)</f>
        <v>127.56666666666668</v>
      </c>
      <c r="D7" s="63">
        <f>AVERAGE(D3:D5)</f>
        <v>255.13333333333335</v>
      </c>
      <c r="E7" s="62">
        <f>ROUND(AVERAGE(E3:E5),-1)</f>
        <v>2930</v>
      </c>
      <c r="F7" s="64">
        <f>ROUND(AVERAGE(F3:F5),-3)</f>
        <v>334000</v>
      </c>
      <c r="G7" s="64">
        <f>ROUND(AVERAGE(G3:G5),-3)</f>
        <v>44000</v>
      </c>
      <c r="H7" s="65">
        <f>ROUND(AVERAGE(H3:H5),-3)</f>
        <v>379000</v>
      </c>
    </row>
    <row r="8" spans="1:8" ht="13.5" thickBot="1" x14ac:dyDescent="0.25">
      <c r="A8" s="66"/>
      <c r="B8" s="67"/>
      <c r="C8" s="67"/>
      <c r="D8" s="67"/>
      <c r="E8" s="67"/>
      <c r="F8" s="67"/>
      <c r="G8" s="67"/>
      <c r="H8" s="68"/>
    </row>
    <row r="9" spans="1:8" ht="26.25" thickBot="1" x14ac:dyDescent="0.25">
      <c r="A9" s="69" t="s">
        <v>52</v>
      </c>
      <c r="B9" s="70" t="s">
        <v>62</v>
      </c>
      <c r="C9" s="70" t="s">
        <v>63</v>
      </c>
      <c r="D9" s="70" t="s">
        <v>64</v>
      </c>
      <c r="E9" s="70" t="s">
        <v>65</v>
      </c>
      <c r="F9" s="70" t="s">
        <v>66</v>
      </c>
      <c r="G9" s="70" t="s">
        <v>67</v>
      </c>
      <c r="H9" s="71" t="s">
        <v>68</v>
      </c>
    </row>
    <row r="10" spans="1:8" ht="13.5" thickTop="1" x14ac:dyDescent="0.2">
      <c r="A10" s="50">
        <v>1</v>
      </c>
      <c r="B10" s="51">
        <v>368</v>
      </c>
      <c r="C10" s="72">
        <f>'TBL1-YR1'!C6*'TBL1-YR1'!E6+'TBL1-YR1'!C26*'TBL1-YR1'!E26+'TBL1-YR1'!C27*'TBL1-YR1'!E27</f>
        <v>1104</v>
      </c>
      <c r="D10" s="51">
        <f>'TBL1-YR1'!F21</f>
        <v>1692.8</v>
      </c>
      <c r="E10" s="51">
        <f>'TBL1-YR1'!F28</f>
        <v>6771.2</v>
      </c>
      <c r="F10" s="73">
        <f>D10+E10</f>
        <v>8464</v>
      </c>
      <c r="G10" s="74">
        <f>ROUND(F10/C10,0)</f>
        <v>8</v>
      </c>
      <c r="H10" s="75">
        <f>F10/B10</f>
        <v>23</v>
      </c>
    </row>
    <row r="11" spans="1:8" x14ac:dyDescent="0.2">
      <c r="A11" s="56">
        <v>2</v>
      </c>
      <c r="B11" s="52">
        <v>368</v>
      </c>
      <c r="C11" s="72">
        <v>0</v>
      </c>
      <c r="D11" s="52">
        <f>'TBL2-YR2'!F21</f>
        <v>0</v>
      </c>
      <c r="E11" s="52">
        <f>'TBL2-YR2'!F28</f>
        <v>0</v>
      </c>
      <c r="F11" s="52">
        <f>D11+E11</f>
        <v>0</v>
      </c>
      <c r="G11" s="52" t="s">
        <v>69</v>
      </c>
      <c r="H11" s="75">
        <f>F11/B11</f>
        <v>0</v>
      </c>
    </row>
    <row r="12" spans="1:8" ht="13.5" thickBot="1" x14ac:dyDescent="0.25">
      <c r="A12" s="57">
        <v>3</v>
      </c>
      <c r="B12" s="58">
        <v>368</v>
      </c>
      <c r="C12" s="58">
        <f>'TBL3-YR3'!C15*'TBL3-YR3'!E15+'TBL3-YR3'!C19*'TBL3-YR3'!E19+'TBL3-YR3'!C20*'TBL3-YR3'!E20</f>
        <v>21</v>
      </c>
      <c r="D12" s="58">
        <f>'TBL3-YR3'!F21</f>
        <v>338.09999999999997</v>
      </c>
      <c r="E12" s="58">
        <f>'TBL3-YR3'!F28</f>
        <v>0</v>
      </c>
      <c r="F12" s="58">
        <f>D12+E12</f>
        <v>338.09999999999997</v>
      </c>
      <c r="G12" s="58">
        <f>ROUND(F12/C12,0)</f>
        <v>16</v>
      </c>
      <c r="H12" s="76">
        <f>F12/B12</f>
        <v>0.91874999999999996</v>
      </c>
    </row>
    <row r="13" spans="1:8" ht="13.5" thickTop="1" x14ac:dyDescent="0.2">
      <c r="A13" s="50" t="s">
        <v>60</v>
      </c>
      <c r="B13" s="51" t="s">
        <v>69</v>
      </c>
      <c r="C13" s="51">
        <f>SUM(C10:C12)</f>
        <v>1125</v>
      </c>
      <c r="D13" s="51">
        <f t="shared" ref="D13:F13" si="1">SUM(D10:D12)</f>
        <v>2030.8999999999999</v>
      </c>
      <c r="E13" s="51">
        <f t="shared" si="1"/>
        <v>6771.2</v>
      </c>
      <c r="F13" s="51">
        <f t="shared" si="1"/>
        <v>8802.1</v>
      </c>
      <c r="G13" s="77" t="s">
        <v>69</v>
      </c>
      <c r="H13" s="78">
        <f>SUM(H10:H12)</f>
        <v>23.918749999999999</v>
      </c>
    </row>
    <row r="14" spans="1:8" ht="13.5" thickBot="1" x14ac:dyDescent="0.25">
      <c r="A14" s="61" t="s">
        <v>61</v>
      </c>
      <c r="B14" s="62">
        <f t="shared" ref="B14:E14" si="2">AVERAGE(B10:B12)</f>
        <v>368</v>
      </c>
      <c r="C14" s="62">
        <f t="shared" si="2"/>
        <v>375</v>
      </c>
      <c r="D14" s="62">
        <f t="shared" si="2"/>
        <v>676.96666666666658</v>
      </c>
      <c r="E14" s="62">
        <f t="shared" si="2"/>
        <v>2257.0666666666666</v>
      </c>
      <c r="F14" s="62">
        <f>ROUND(AVERAGE(F10:F12),-1)</f>
        <v>2930</v>
      </c>
      <c r="G14" s="63">
        <f>F14/C14</f>
        <v>7.8133333333333335</v>
      </c>
      <c r="H14" s="79">
        <f>F14/B14</f>
        <v>7.9619565217391308</v>
      </c>
    </row>
    <row r="15" spans="1:8" x14ac:dyDescent="0.2">
      <c r="A15" s="67" t="s">
        <v>70</v>
      </c>
      <c r="B15" s="67"/>
      <c r="C15" s="67"/>
      <c r="D15" s="67"/>
      <c r="E15" s="80">
        <f>ROUND(H7/B14,-1)</f>
        <v>1030</v>
      </c>
      <c r="F15" s="67"/>
      <c r="G15" s="67"/>
      <c r="H15" s="67"/>
    </row>
    <row r="16" spans="1:8" ht="13.5" thickBot="1" x14ac:dyDescent="0.25">
      <c r="A16" s="67" t="s">
        <v>71</v>
      </c>
      <c r="B16" s="88"/>
      <c r="C16" s="88"/>
      <c r="D16" s="88"/>
      <c r="E16" s="63">
        <f>F14/B14</f>
        <v>7.9619565217391308</v>
      </c>
      <c r="F16" s="88"/>
      <c r="G16" s="88"/>
      <c r="H16" s="88"/>
    </row>
    <row r="17" spans="1:8" ht="13.5" thickBot="1" x14ac:dyDescent="0.25">
      <c r="A17" s="67" t="s">
        <v>72</v>
      </c>
      <c r="B17" s="88"/>
      <c r="C17" s="88"/>
      <c r="D17" s="88"/>
      <c r="E17" s="63">
        <f>F14/C14</f>
        <v>7.8133333333333335</v>
      </c>
      <c r="F17" s="88"/>
      <c r="G17" s="88"/>
      <c r="H17" s="88"/>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0"/>
  <sheetViews>
    <sheetView zoomScaleNormal="100" workbookViewId="0">
      <pane xSplit="1" ySplit="4" topLeftCell="B5" activePane="bottomRight" state="frozen"/>
      <selection pane="topRight" activeCell="B1" sqref="B1"/>
      <selection pane="bottomLeft" activeCell="A5" sqref="A5"/>
      <selection pane="bottomRight" activeCell="B26" sqref="B26"/>
    </sheetView>
  </sheetViews>
  <sheetFormatPr defaultRowHeight="12.75" x14ac:dyDescent="0.2"/>
  <cols>
    <col min="1" max="1" width="34.42578125" style="8" customWidth="1"/>
    <col min="2" max="2" width="11.140625" style="8" customWidth="1"/>
    <col min="3" max="3" width="11.42578125" style="8" customWidth="1"/>
    <col min="4" max="4" width="12" style="8" customWidth="1"/>
    <col min="5" max="6" width="11.7109375" style="8" customWidth="1"/>
    <col min="7" max="7" width="12.28515625" style="8" customWidth="1"/>
    <col min="8" max="8" width="10.85546875" style="8" customWidth="1"/>
    <col min="9" max="9" width="11" style="8" customWidth="1"/>
    <col min="10" max="16384" width="9.140625" style="8"/>
  </cols>
  <sheetData>
    <row r="1" spans="1:12" ht="18" customHeight="1" x14ac:dyDescent="0.2">
      <c r="A1" s="109" t="s">
        <v>112</v>
      </c>
      <c r="B1" s="109"/>
      <c r="C1" s="109"/>
      <c r="D1" s="109"/>
      <c r="E1" s="109"/>
      <c r="F1" s="109"/>
      <c r="G1" s="109"/>
      <c r="H1" s="109"/>
      <c r="I1" s="109"/>
    </row>
    <row r="2" spans="1:12" x14ac:dyDescent="0.2">
      <c r="A2" s="2" t="s">
        <v>88</v>
      </c>
    </row>
    <row r="4" spans="1:12" ht="77.25" customHeight="1" x14ac:dyDescent="0.2">
      <c r="A4" s="35" t="s">
        <v>0</v>
      </c>
      <c r="B4" s="35" t="s">
        <v>78</v>
      </c>
      <c r="C4" s="35" t="s">
        <v>79</v>
      </c>
      <c r="D4" s="35" t="s">
        <v>80</v>
      </c>
      <c r="E4" s="35" t="s">
        <v>84</v>
      </c>
      <c r="F4" s="35" t="s">
        <v>81</v>
      </c>
      <c r="G4" s="35" t="s">
        <v>82</v>
      </c>
      <c r="H4" s="35" t="s">
        <v>83</v>
      </c>
      <c r="I4" s="35" t="s">
        <v>85</v>
      </c>
    </row>
    <row r="5" spans="1:12" x14ac:dyDescent="0.2">
      <c r="A5" s="10" t="s">
        <v>18</v>
      </c>
      <c r="B5" s="11" t="s">
        <v>19</v>
      </c>
      <c r="C5" s="11">
        <v>0</v>
      </c>
      <c r="D5" s="11">
        <v>0</v>
      </c>
      <c r="E5" s="11">
        <v>0</v>
      </c>
      <c r="F5" s="11">
        <f>D5*E5</f>
        <v>0</v>
      </c>
      <c r="G5" s="11">
        <f>F5*0.05</f>
        <v>0</v>
      </c>
      <c r="H5" s="11">
        <f>F5*0.1</f>
        <v>0</v>
      </c>
      <c r="I5" s="12">
        <f>F5*$L$7+G5*$L$6+H5*$L$8</f>
        <v>0</v>
      </c>
      <c r="K5" s="99" t="s">
        <v>25</v>
      </c>
      <c r="L5" s="99"/>
    </row>
    <row r="6" spans="1:12" x14ac:dyDescent="0.2">
      <c r="A6" s="10" t="s">
        <v>20</v>
      </c>
      <c r="B6" s="11" t="s">
        <v>19</v>
      </c>
      <c r="C6" s="11">
        <v>0</v>
      </c>
      <c r="D6" s="11">
        <v>0</v>
      </c>
      <c r="E6" s="11">
        <v>0</v>
      </c>
      <c r="F6" s="11">
        <f>D6*E6</f>
        <v>0</v>
      </c>
      <c r="G6" s="11">
        <f>F6*0.05</f>
        <v>0</v>
      </c>
      <c r="H6" s="11">
        <f>F6*0.1</f>
        <v>0</v>
      </c>
      <c r="I6" s="12">
        <f>F6*$L$7+G6*$L$6+H6*$L$8</f>
        <v>0</v>
      </c>
      <c r="K6" s="16" t="s">
        <v>26</v>
      </c>
      <c r="L6" s="17">
        <v>65.709999999999994</v>
      </c>
    </row>
    <row r="7" spans="1:12" x14ac:dyDescent="0.2">
      <c r="A7" s="10" t="s">
        <v>87</v>
      </c>
      <c r="B7" s="10"/>
      <c r="C7" s="10"/>
      <c r="D7" s="11"/>
      <c r="E7" s="11"/>
      <c r="F7" s="10"/>
      <c r="G7" s="10"/>
      <c r="H7" s="10"/>
      <c r="I7" s="12"/>
      <c r="K7" s="16" t="s">
        <v>27</v>
      </c>
      <c r="L7" s="17">
        <v>48.75</v>
      </c>
    </row>
    <row r="8" spans="1:12" x14ac:dyDescent="0.2">
      <c r="A8" s="36" t="s">
        <v>77</v>
      </c>
      <c r="B8" s="11">
        <v>8</v>
      </c>
      <c r="C8" s="11">
        <v>0</v>
      </c>
      <c r="D8" s="11">
        <f>B8*C8</f>
        <v>0</v>
      </c>
      <c r="E8" s="11">
        <v>0</v>
      </c>
      <c r="F8" s="11">
        <f t="shared" ref="F8:F12" si="0">D8*E8</f>
        <v>0</v>
      </c>
      <c r="G8" s="11">
        <f t="shared" ref="G8:G12" si="1">F8*0.05</f>
        <v>0</v>
      </c>
      <c r="H8" s="11">
        <f t="shared" ref="H8:H12" si="2">F8*0.1</f>
        <v>0</v>
      </c>
      <c r="I8" s="12">
        <f t="shared" ref="I8:I12" si="3">F8*$L$7+G8*$L$6+H8*$L$8</f>
        <v>0</v>
      </c>
      <c r="K8" s="16" t="s">
        <v>28</v>
      </c>
      <c r="L8" s="17">
        <v>26.38</v>
      </c>
    </row>
    <row r="9" spans="1:12" ht="15.75" x14ac:dyDescent="0.2">
      <c r="A9" s="36" t="s">
        <v>89</v>
      </c>
      <c r="B9" s="37">
        <v>2</v>
      </c>
      <c r="C9" s="37">
        <v>1</v>
      </c>
      <c r="D9" s="37">
        <f t="shared" ref="D9:D10" si="4">B9*C9</f>
        <v>2</v>
      </c>
      <c r="E9" s="11">
        <v>0</v>
      </c>
      <c r="F9" s="11">
        <f t="shared" si="0"/>
        <v>0</v>
      </c>
      <c r="G9" s="11">
        <f t="shared" si="1"/>
        <v>0</v>
      </c>
      <c r="H9" s="11">
        <f t="shared" si="2"/>
        <v>0</v>
      </c>
      <c r="I9" s="12">
        <f t="shared" si="3"/>
        <v>0</v>
      </c>
    </row>
    <row r="10" spans="1:12" ht="15.75" x14ac:dyDescent="0.2">
      <c r="A10" s="36" t="s">
        <v>90</v>
      </c>
      <c r="B10" s="37">
        <v>8</v>
      </c>
      <c r="C10" s="37">
        <v>1</v>
      </c>
      <c r="D10" s="37">
        <f t="shared" si="4"/>
        <v>8</v>
      </c>
      <c r="E10" s="11">
        <v>0</v>
      </c>
      <c r="F10" s="11">
        <f t="shared" si="0"/>
        <v>0</v>
      </c>
      <c r="G10" s="11">
        <f t="shared" si="1"/>
        <v>0</v>
      </c>
      <c r="H10" s="11">
        <f t="shared" si="2"/>
        <v>0</v>
      </c>
      <c r="I10" s="12">
        <f t="shared" si="3"/>
        <v>0</v>
      </c>
    </row>
    <row r="11" spans="1:12" x14ac:dyDescent="0.2">
      <c r="A11" s="36" t="s">
        <v>86</v>
      </c>
      <c r="B11" s="11">
        <v>12</v>
      </c>
      <c r="C11" s="11">
        <v>0</v>
      </c>
      <c r="D11" s="11">
        <f>B11*C11</f>
        <v>0</v>
      </c>
      <c r="E11" s="11">
        <v>0</v>
      </c>
      <c r="F11" s="11">
        <f t="shared" si="0"/>
        <v>0</v>
      </c>
      <c r="G11" s="11">
        <f t="shared" si="1"/>
        <v>0</v>
      </c>
      <c r="H11" s="11">
        <f t="shared" si="2"/>
        <v>0</v>
      </c>
      <c r="I11" s="12">
        <f t="shared" si="3"/>
        <v>0</v>
      </c>
    </row>
    <row r="12" spans="1:12" ht="15.75" x14ac:dyDescent="0.2">
      <c r="A12" s="36" t="s">
        <v>91</v>
      </c>
      <c r="B12" s="11">
        <v>12</v>
      </c>
      <c r="C12" s="11">
        <v>2</v>
      </c>
      <c r="D12" s="11">
        <f>B12*C12</f>
        <v>24</v>
      </c>
      <c r="E12" s="13">
        <v>0</v>
      </c>
      <c r="F12" s="11">
        <f t="shared" si="0"/>
        <v>0</v>
      </c>
      <c r="G12" s="11">
        <f t="shared" si="1"/>
        <v>0</v>
      </c>
      <c r="H12" s="11">
        <f t="shared" si="2"/>
        <v>0</v>
      </c>
      <c r="I12" s="12">
        <f t="shared" si="3"/>
        <v>0</v>
      </c>
    </row>
    <row r="13" spans="1:12" ht="15.75" x14ac:dyDescent="0.2">
      <c r="A13" s="38" t="s">
        <v>128</v>
      </c>
      <c r="B13" s="38"/>
      <c r="C13" s="38"/>
      <c r="D13" s="38"/>
      <c r="E13" s="38"/>
      <c r="F13" s="110">
        <f>ROUND(SUM(F5:H12), -1)</f>
        <v>0</v>
      </c>
      <c r="G13" s="110"/>
      <c r="H13" s="110"/>
      <c r="I13" s="15">
        <f>ROUND(SUM(I5:I12), -2)</f>
        <v>0</v>
      </c>
    </row>
    <row r="15" spans="1:12" x14ac:dyDescent="0.2">
      <c r="A15" s="2" t="s">
        <v>21</v>
      </c>
    </row>
    <row r="16" spans="1:12" ht="31.5" customHeight="1" x14ac:dyDescent="0.2">
      <c r="A16" s="96" t="s">
        <v>29</v>
      </c>
      <c r="B16" s="96"/>
      <c r="C16" s="96"/>
      <c r="D16" s="96"/>
      <c r="E16" s="96"/>
      <c r="F16" s="96"/>
      <c r="G16" s="96"/>
      <c r="H16" s="96"/>
      <c r="I16" s="96"/>
    </row>
    <row r="17" spans="1:9" ht="50.25" customHeight="1" x14ac:dyDescent="0.2">
      <c r="A17" s="96" t="s">
        <v>23</v>
      </c>
      <c r="B17" s="96"/>
      <c r="C17" s="96"/>
      <c r="D17" s="96"/>
      <c r="E17" s="96"/>
      <c r="F17" s="96"/>
      <c r="G17" s="96"/>
      <c r="H17" s="96"/>
      <c r="I17" s="96"/>
    </row>
    <row r="18" spans="1:9" ht="37.5" customHeight="1" x14ac:dyDescent="0.2">
      <c r="A18" s="96" t="s">
        <v>127</v>
      </c>
      <c r="B18" s="96"/>
      <c r="C18" s="96"/>
      <c r="D18" s="96"/>
      <c r="E18" s="96"/>
      <c r="F18" s="96"/>
      <c r="G18" s="96"/>
      <c r="H18" s="96"/>
      <c r="I18" s="96"/>
    </row>
    <row r="19" spans="1:9" ht="15.75" x14ac:dyDescent="0.2">
      <c r="A19" s="96" t="s">
        <v>92</v>
      </c>
      <c r="B19" s="96"/>
      <c r="C19" s="96"/>
      <c r="D19" s="96"/>
      <c r="E19" s="96"/>
      <c r="F19" s="96"/>
      <c r="G19" s="96"/>
      <c r="H19" s="96"/>
      <c r="I19" s="96"/>
    </row>
    <row r="20" spans="1:9" ht="20.25" customHeight="1" x14ac:dyDescent="0.2">
      <c r="A20" s="95" t="s">
        <v>129</v>
      </c>
      <c r="B20" s="95"/>
      <c r="C20" s="95"/>
      <c r="D20" s="95"/>
      <c r="E20" s="95"/>
      <c r="F20" s="95"/>
      <c r="G20" s="95"/>
      <c r="H20" s="95"/>
      <c r="I20" s="95"/>
    </row>
  </sheetData>
  <mergeCells count="8">
    <mergeCell ref="K5:L5"/>
    <mergeCell ref="A16:I16"/>
    <mergeCell ref="A1:I1"/>
    <mergeCell ref="A19:I19"/>
    <mergeCell ref="A20:I20"/>
    <mergeCell ref="A18:I18"/>
    <mergeCell ref="A17:I17"/>
    <mergeCell ref="F13:H13"/>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0"/>
  <sheetViews>
    <sheetView zoomScaleNormal="100" workbookViewId="0">
      <pane xSplit="1" ySplit="4" topLeftCell="B5" activePane="bottomRight" state="frozen"/>
      <selection pane="topRight" activeCell="B1" sqref="B1"/>
      <selection pane="bottomLeft" activeCell="A5" sqref="A5"/>
      <selection pane="bottomRight" activeCell="A18" sqref="A18:I18"/>
    </sheetView>
  </sheetViews>
  <sheetFormatPr defaultRowHeight="12.75" x14ac:dyDescent="0.2"/>
  <cols>
    <col min="1" max="1" width="34.42578125" style="8" customWidth="1"/>
    <col min="2" max="2" width="11.140625" style="8" customWidth="1"/>
    <col min="3" max="3" width="11.42578125" style="8" customWidth="1"/>
    <col min="4" max="4" width="12" style="8" customWidth="1"/>
    <col min="5" max="6" width="11.7109375" style="8" customWidth="1"/>
    <col min="7" max="7" width="12.28515625" style="8" customWidth="1"/>
    <col min="8" max="8" width="10.85546875" style="8" customWidth="1"/>
    <col min="9" max="9" width="11" style="8" customWidth="1"/>
    <col min="10" max="16384" width="9.140625" style="8"/>
  </cols>
  <sheetData>
    <row r="1" spans="1:12" x14ac:dyDescent="0.2">
      <c r="A1" s="109" t="s">
        <v>113</v>
      </c>
      <c r="B1" s="109"/>
      <c r="C1" s="109"/>
      <c r="D1" s="109"/>
      <c r="E1" s="109"/>
      <c r="F1" s="109"/>
      <c r="G1" s="109"/>
      <c r="H1" s="109"/>
      <c r="I1" s="109"/>
    </row>
    <row r="2" spans="1:12" x14ac:dyDescent="0.2">
      <c r="A2" s="2" t="s">
        <v>93</v>
      </c>
    </row>
    <row r="4" spans="1:12" ht="77.25" customHeight="1" x14ac:dyDescent="0.2">
      <c r="A4" s="35" t="s">
        <v>0</v>
      </c>
      <c r="B4" s="35" t="s">
        <v>78</v>
      </c>
      <c r="C4" s="35" t="s">
        <v>79</v>
      </c>
      <c r="D4" s="35" t="s">
        <v>80</v>
      </c>
      <c r="E4" s="35" t="s">
        <v>84</v>
      </c>
      <c r="F4" s="35" t="s">
        <v>81</v>
      </c>
      <c r="G4" s="35" t="s">
        <v>82</v>
      </c>
      <c r="H4" s="35" t="s">
        <v>83</v>
      </c>
      <c r="I4" s="35" t="s">
        <v>85</v>
      </c>
    </row>
    <row r="5" spans="1:12" x14ac:dyDescent="0.2">
      <c r="A5" s="10" t="s">
        <v>18</v>
      </c>
      <c r="B5" s="11" t="s">
        <v>19</v>
      </c>
      <c r="C5" s="11">
        <v>0</v>
      </c>
      <c r="D5" s="11">
        <v>0</v>
      </c>
      <c r="E5" s="11">
        <v>0</v>
      </c>
      <c r="F5" s="11">
        <f>D5*E5</f>
        <v>0</v>
      </c>
      <c r="G5" s="11">
        <f>F5*0.05</f>
        <v>0</v>
      </c>
      <c r="H5" s="11">
        <f>F5*0.1</f>
        <v>0</v>
      </c>
      <c r="I5" s="12">
        <f>F5*$L$7+G5*$L$6+H5*$L$8</f>
        <v>0</v>
      </c>
      <c r="K5" s="99" t="s">
        <v>25</v>
      </c>
      <c r="L5" s="99"/>
    </row>
    <row r="6" spans="1:12" x14ac:dyDescent="0.2">
      <c r="A6" s="10" t="s">
        <v>20</v>
      </c>
      <c r="B6" s="11" t="s">
        <v>19</v>
      </c>
      <c r="C6" s="11">
        <v>0</v>
      </c>
      <c r="D6" s="11">
        <v>0</v>
      </c>
      <c r="E6" s="11">
        <v>0</v>
      </c>
      <c r="F6" s="11">
        <f>D6*E6</f>
        <v>0</v>
      </c>
      <c r="G6" s="11">
        <f>F6*0.05</f>
        <v>0</v>
      </c>
      <c r="H6" s="11">
        <f>F6*0.1</f>
        <v>0</v>
      </c>
      <c r="I6" s="12">
        <f>F6*$L$7+G6*$L$6+H6*$L$8</f>
        <v>0</v>
      </c>
      <c r="K6" s="16" t="s">
        <v>26</v>
      </c>
      <c r="L6" s="17">
        <v>65.709999999999994</v>
      </c>
    </row>
    <row r="7" spans="1:12" x14ac:dyDescent="0.2">
      <c r="A7" s="10" t="s">
        <v>87</v>
      </c>
      <c r="B7" s="10"/>
      <c r="C7" s="10"/>
      <c r="D7" s="11"/>
      <c r="E7" s="11"/>
      <c r="F7" s="10"/>
      <c r="G7" s="10"/>
      <c r="H7" s="10"/>
      <c r="I7" s="12"/>
      <c r="K7" s="16" t="s">
        <v>27</v>
      </c>
      <c r="L7" s="17">
        <v>48.75</v>
      </c>
    </row>
    <row r="8" spans="1:12" x14ac:dyDescent="0.2">
      <c r="A8" s="36" t="s">
        <v>77</v>
      </c>
      <c r="B8" s="11">
        <v>8</v>
      </c>
      <c r="C8" s="11">
        <v>0</v>
      </c>
      <c r="D8" s="11">
        <f>B8*C8</f>
        <v>0</v>
      </c>
      <c r="E8" s="11">
        <v>0</v>
      </c>
      <c r="F8" s="11">
        <f t="shared" ref="F8:F12" si="0">D8*E8</f>
        <v>0</v>
      </c>
      <c r="G8" s="11">
        <f t="shared" ref="G8:G12" si="1">F8*0.05</f>
        <v>0</v>
      </c>
      <c r="H8" s="11">
        <f t="shared" ref="H8:H12" si="2">F8*0.1</f>
        <v>0</v>
      </c>
      <c r="I8" s="12">
        <f t="shared" ref="I8:I12" si="3">F8*$L$7+G8*$L$6+H8*$L$8</f>
        <v>0</v>
      </c>
      <c r="K8" s="16" t="s">
        <v>28</v>
      </c>
      <c r="L8" s="17">
        <v>26.38</v>
      </c>
    </row>
    <row r="9" spans="1:12" ht="15.75" x14ac:dyDescent="0.2">
      <c r="A9" s="36" t="s">
        <v>89</v>
      </c>
      <c r="B9" s="37">
        <v>2</v>
      </c>
      <c r="C9" s="37">
        <v>1</v>
      </c>
      <c r="D9" s="37">
        <f t="shared" ref="D9:D10" si="4">B9*C9</f>
        <v>2</v>
      </c>
      <c r="E9" s="11">
        <v>0</v>
      </c>
      <c r="F9" s="11">
        <f t="shared" si="0"/>
        <v>0</v>
      </c>
      <c r="G9" s="11">
        <f t="shared" si="1"/>
        <v>0</v>
      </c>
      <c r="H9" s="11">
        <f t="shared" si="2"/>
        <v>0</v>
      </c>
      <c r="I9" s="12">
        <f t="shared" si="3"/>
        <v>0</v>
      </c>
    </row>
    <row r="10" spans="1:12" ht="15.75" x14ac:dyDescent="0.2">
      <c r="A10" s="36" t="s">
        <v>90</v>
      </c>
      <c r="B10" s="37">
        <v>8</v>
      </c>
      <c r="C10" s="37">
        <v>1</v>
      </c>
      <c r="D10" s="37">
        <f t="shared" si="4"/>
        <v>8</v>
      </c>
      <c r="E10" s="11">
        <v>0</v>
      </c>
      <c r="F10" s="11">
        <f t="shared" si="0"/>
        <v>0</v>
      </c>
      <c r="G10" s="11">
        <f t="shared" si="1"/>
        <v>0</v>
      </c>
      <c r="H10" s="11">
        <f t="shared" si="2"/>
        <v>0</v>
      </c>
      <c r="I10" s="12">
        <f t="shared" si="3"/>
        <v>0</v>
      </c>
    </row>
    <row r="11" spans="1:12" x14ac:dyDescent="0.2">
      <c r="A11" s="36" t="s">
        <v>86</v>
      </c>
      <c r="B11" s="11">
        <v>12</v>
      </c>
      <c r="C11" s="11">
        <v>0</v>
      </c>
      <c r="D11" s="11">
        <f>B11*C11</f>
        <v>0</v>
      </c>
      <c r="E11" s="11">
        <v>0</v>
      </c>
      <c r="F11" s="11">
        <f t="shared" si="0"/>
        <v>0</v>
      </c>
      <c r="G11" s="11">
        <f t="shared" si="1"/>
        <v>0</v>
      </c>
      <c r="H11" s="11">
        <f t="shared" si="2"/>
        <v>0</v>
      </c>
      <c r="I11" s="12">
        <f t="shared" si="3"/>
        <v>0</v>
      </c>
    </row>
    <row r="12" spans="1:12" ht="15.75" x14ac:dyDescent="0.2">
      <c r="A12" s="36" t="s">
        <v>91</v>
      </c>
      <c r="B12" s="11">
        <v>12</v>
      </c>
      <c r="C12" s="11">
        <v>2</v>
      </c>
      <c r="D12" s="11">
        <f>B12*C12</f>
        <v>24</v>
      </c>
      <c r="E12" s="13">
        <v>0</v>
      </c>
      <c r="F12" s="11">
        <f t="shared" si="0"/>
        <v>0</v>
      </c>
      <c r="G12" s="11">
        <f t="shared" si="1"/>
        <v>0</v>
      </c>
      <c r="H12" s="11">
        <f t="shared" si="2"/>
        <v>0</v>
      </c>
      <c r="I12" s="12">
        <f t="shared" si="3"/>
        <v>0</v>
      </c>
    </row>
    <row r="13" spans="1:12" ht="15.75" x14ac:dyDescent="0.2">
      <c r="A13" s="38" t="s">
        <v>128</v>
      </c>
      <c r="B13" s="38"/>
      <c r="C13" s="38"/>
      <c r="D13" s="38"/>
      <c r="E13" s="38"/>
      <c r="F13" s="110">
        <f>ROUND(SUM(F5:H12), -1)</f>
        <v>0</v>
      </c>
      <c r="G13" s="110"/>
      <c r="H13" s="110"/>
      <c r="I13" s="15">
        <f>ROUND(SUM(I5:I12), 0)</f>
        <v>0</v>
      </c>
    </row>
    <row r="15" spans="1:12" x14ac:dyDescent="0.2">
      <c r="A15" s="2" t="s">
        <v>21</v>
      </c>
    </row>
    <row r="16" spans="1:12" ht="31.5" customHeight="1" x14ac:dyDescent="0.2">
      <c r="A16" s="96" t="s">
        <v>29</v>
      </c>
      <c r="B16" s="96"/>
      <c r="C16" s="96"/>
      <c r="D16" s="96"/>
      <c r="E16" s="96"/>
      <c r="F16" s="96"/>
      <c r="G16" s="96"/>
      <c r="H16" s="96"/>
      <c r="I16" s="96"/>
    </row>
    <row r="17" spans="1:9" ht="50.25" customHeight="1" x14ac:dyDescent="0.2">
      <c r="A17" s="96" t="s">
        <v>23</v>
      </c>
      <c r="B17" s="96"/>
      <c r="C17" s="96"/>
      <c r="D17" s="96"/>
      <c r="E17" s="96"/>
      <c r="F17" s="96"/>
      <c r="G17" s="96"/>
      <c r="H17" s="96"/>
      <c r="I17" s="96"/>
    </row>
    <row r="18" spans="1:9" ht="36.75" customHeight="1" x14ac:dyDescent="0.2">
      <c r="A18" s="96" t="s">
        <v>131</v>
      </c>
      <c r="B18" s="96"/>
      <c r="C18" s="96"/>
      <c r="D18" s="96"/>
      <c r="E18" s="96"/>
      <c r="F18" s="96"/>
      <c r="G18" s="96"/>
      <c r="H18" s="96"/>
      <c r="I18" s="96"/>
    </row>
    <row r="19" spans="1:9" ht="15.75" x14ac:dyDescent="0.2">
      <c r="A19" s="96" t="s">
        <v>92</v>
      </c>
      <c r="B19" s="96"/>
      <c r="C19" s="96"/>
      <c r="D19" s="96"/>
      <c r="E19" s="96"/>
      <c r="F19" s="96"/>
      <c r="G19" s="96"/>
      <c r="H19" s="96"/>
      <c r="I19" s="96"/>
    </row>
    <row r="20" spans="1:9" ht="20.25" customHeight="1" x14ac:dyDescent="0.2">
      <c r="A20" s="95" t="s">
        <v>129</v>
      </c>
      <c r="B20" s="95"/>
      <c r="C20" s="95"/>
      <c r="D20" s="95"/>
      <c r="E20" s="95"/>
      <c r="F20" s="95"/>
      <c r="G20" s="95"/>
      <c r="H20" s="95"/>
      <c r="I20" s="95"/>
    </row>
  </sheetData>
  <mergeCells count="8">
    <mergeCell ref="A1:I1"/>
    <mergeCell ref="A20:I20"/>
    <mergeCell ref="K5:L5"/>
    <mergeCell ref="F13:H13"/>
    <mergeCell ref="A16:I16"/>
    <mergeCell ref="A17:I17"/>
    <mergeCell ref="A18:I18"/>
    <mergeCell ref="A19:I19"/>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0"/>
  <sheetViews>
    <sheetView zoomScaleNormal="100" workbookViewId="0">
      <pane xSplit="1" ySplit="4" topLeftCell="B5" activePane="bottomRight" state="frozen"/>
      <selection pane="topRight" activeCell="B1" sqref="B1"/>
      <selection pane="bottomLeft" activeCell="A5" sqref="A5"/>
      <selection pane="bottomRight" activeCell="A18" sqref="A18:I18"/>
    </sheetView>
  </sheetViews>
  <sheetFormatPr defaultRowHeight="12.75" x14ac:dyDescent="0.2"/>
  <cols>
    <col min="1" max="1" width="34.42578125" style="8" customWidth="1"/>
    <col min="2" max="2" width="11.140625" style="8" customWidth="1"/>
    <col min="3" max="3" width="11.42578125" style="8" customWidth="1"/>
    <col min="4" max="4" width="12" style="8" customWidth="1"/>
    <col min="5" max="6" width="11.7109375" style="8" customWidth="1"/>
    <col min="7" max="7" width="12.28515625" style="8" customWidth="1"/>
    <col min="8" max="8" width="10.85546875" style="8" customWidth="1"/>
    <col min="9" max="9" width="11" style="8" customWidth="1"/>
    <col min="10" max="16384" width="9.140625" style="8"/>
  </cols>
  <sheetData>
    <row r="1" spans="1:12" x14ac:dyDescent="0.2">
      <c r="A1" s="109" t="s">
        <v>114</v>
      </c>
      <c r="B1" s="109"/>
      <c r="C1" s="109"/>
      <c r="D1" s="109"/>
      <c r="E1" s="109"/>
      <c r="F1" s="109"/>
      <c r="G1" s="109"/>
      <c r="H1" s="109"/>
      <c r="I1" s="109"/>
    </row>
    <row r="2" spans="1:12" x14ac:dyDescent="0.2">
      <c r="A2" s="2" t="s">
        <v>94</v>
      </c>
    </row>
    <row r="4" spans="1:12" ht="77.25" customHeight="1" x14ac:dyDescent="0.2">
      <c r="A4" s="35" t="s">
        <v>0</v>
      </c>
      <c r="B4" s="35" t="s">
        <v>78</v>
      </c>
      <c r="C4" s="35" t="s">
        <v>79</v>
      </c>
      <c r="D4" s="35" t="s">
        <v>80</v>
      </c>
      <c r="E4" s="35" t="s">
        <v>84</v>
      </c>
      <c r="F4" s="35" t="s">
        <v>81</v>
      </c>
      <c r="G4" s="35" t="s">
        <v>82</v>
      </c>
      <c r="H4" s="35" t="s">
        <v>83</v>
      </c>
      <c r="I4" s="35" t="s">
        <v>85</v>
      </c>
    </row>
    <row r="5" spans="1:12" x14ac:dyDescent="0.2">
      <c r="A5" s="10" t="s">
        <v>18</v>
      </c>
      <c r="B5" s="11" t="s">
        <v>19</v>
      </c>
      <c r="C5" s="11">
        <v>0</v>
      </c>
      <c r="D5" s="11">
        <v>0</v>
      </c>
      <c r="E5" s="11">
        <v>0</v>
      </c>
      <c r="F5" s="11">
        <f>D5*E5</f>
        <v>0</v>
      </c>
      <c r="G5" s="11">
        <f>F5*0.05</f>
        <v>0</v>
      </c>
      <c r="H5" s="11">
        <f>F5*0.1</f>
        <v>0</v>
      </c>
      <c r="I5" s="12">
        <f>F5*$L$7+G5*$L$6+H5*$L$8</f>
        <v>0</v>
      </c>
      <c r="K5" s="99" t="s">
        <v>25</v>
      </c>
      <c r="L5" s="99"/>
    </row>
    <row r="6" spans="1:12" x14ac:dyDescent="0.2">
      <c r="A6" s="10" t="s">
        <v>20</v>
      </c>
      <c r="B6" s="11" t="s">
        <v>19</v>
      </c>
      <c r="C6" s="11">
        <v>0</v>
      </c>
      <c r="D6" s="11">
        <v>0</v>
      </c>
      <c r="E6" s="11">
        <v>0</v>
      </c>
      <c r="F6" s="11">
        <f>D6*E6</f>
        <v>0</v>
      </c>
      <c r="G6" s="11">
        <f>F6*0.05</f>
        <v>0</v>
      </c>
      <c r="H6" s="11">
        <f>F6*0.1</f>
        <v>0</v>
      </c>
      <c r="I6" s="12">
        <f>F6*$L$7+G6*$L$6+H6*$L$8</f>
        <v>0</v>
      </c>
      <c r="K6" s="16" t="s">
        <v>26</v>
      </c>
      <c r="L6" s="17">
        <v>65.709999999999994</v>
      </c>
    </row>
    <row r="7" spans="1:12" x14ac:dyDescent="0.2">
      <c r="A7" s="10" t="s">
        <v>87</v>
      </c>
      <c r="B7" s="10"/>
      <c r="C7" s="10"/>
      <c r="D7" s="11"/>
      <c r="E7" s="11"/>
      <c r="F7" s="10"/>
      <c r="G7" s="10"/>
      <c r="H7" s="10"/>
      <c r="I7" s="12"/>
      <c r="K7" s="16" t="s">
        <v>27</v>
      </c>
      <c r="L7" s="17">
        <v>48.75</v>
      </c>
    </row>
    <row r="8" spans="1:12" x14ac:dyDescent="0.2">
      <c r="A8" s="36" t="s">
        <v>77</v>
      </c>
      <c r="B8" s="11">
        <v>8</v>
      </c>
      <c r="C8" s="11">
        <v>0</v>
      </c>
      <c r="D8" s="11">
        <f>B8*C8</f>
        <v>0</v>
      </c>
      <c r="E8" s="11">
        <v>0</v>
      </c>
      <c r="F8" s="11">
        <f t="shared" ref="F8:F12" si="0">D8*E8</f>
        <v>0</v>
      </c>
      <c r="G8" s="11">
        <f t="shared" ref="G8:G12" si="1">F8*0.05</f>
        <v>0</v>
      </c>
      <c r="H8" s="11">
        <f t="shared" ref="H8:H12" si="2">F8*0.1</f>
        <v>0</v>
      </c>
      <c r="I8" s="12">
        <f t="shared" ref="I8:I12" si="3">F8*$L$7+G8*$L$6+H8*$L$8</f>
        <v>0</v>
      </c>
      <c r="K8" s="16" t="s">
        <v>28</v>
      </c>
      <c r="L8" s="17">
        <v>26.38</v>
      </c>
    </row>
    <row r="9" spans="1:12" ht="15.75" x14ac:dyDescent="0.2">
      <c r="A9" s="36" t="s">
        <v>89</v>
      </c>
      <c r="B9" s="37">
        <v>2</v>
      </c>
      <c r="C9" s="37">
        <v>1</v>
      </c>
      <c r="D9" s="37">
        <f t="shared" ref="D9:D10" si="4">B9*C9</f>
        <v>2</v>
      </c>
      <c r="E9" s="11">
        <v>7</v>
      </c>
      <c r="F9" s="11">
        <f t="shared" si="0"/>
        <v>14</v>
      </c>
      <c r="G9" s="11">
        <f t="shared" si="1"/>
        <v>0.70000000000000007</v>
      </c>
      <c r="H9" s="11">
        <f t="shared" si="2"/>
        <v>1.4000000000000001</v>
      </c>
      <c r="I9" s="14">
        <f t="shared" si="3"/>
        <v>765.42899999999997</v>
      </c>
    </row>
    <row r="10" spans="1:12" ht="15.75" x14ac:dyDescent="0.2">
      <c r="A10" s="36" t="s">
        <v>90</v>
      </c>
      <c r="B10" s="37">
        <v>8</v>
      </c>
      <c r="C10" s="37">
        <v>1</v>
      </c>
      <c r="D10" s="37">
        <f t="shared" si="4"/>
        <v>8</v>
      </c>
      <c r="E10" s="11">
        <v>7</v>
      </c>
      <c r="F10" s="11">
        <f t="shared" si="0"/>
        <v>56</v>
      </c>
      <c r="G10" s="11">
        <f t="shared" si="1"/>
        <v>2.8000000000000003</v>
      </c>
      <c r="H10" s="11">
        <f t="shared" si="2"/>
        <v>5.6000000000000005</v>
      </c>
      <c r="I10" s="14">
        <f t="shared" si="3"/>
        <v>3061.7159999999999</v>
      </c>
    </row>
    <row r="11" spans="1:12" x14ac:dyDescent="0.2">
      <c r="A11" s="36" t="s">
        <v>86</v>
      </c>
      <c r="B11" s="11">
        <v>12</v>
      </c>
      <c r="C11" s="11">
        <v>0</v>
      </c>
      <c r="D11" s="11">
        <f>B11*C11</f>
        <v>0</v>
      </c>
      <c r="E11" s="11">
        <v>0</v>
      </c>
      <c r="F11" s="11">
        <f t="shared" si="0"/>
        <v>0</v>
      </c>
      <c r="G11" s="11">
        <f t="shared" si="1"/>
        <v>0</v>
      </c>
      <c r="H11" s="11">
        <f t="shared" si="2"/>
        <v>0</v>
      </c>
      <c r="I11" s="12">
        <f t="shared" si="3"/>
        <v>0</v>
      </c>
    </row>
    <row r="12" spans="1:12" ht="15.75" x14ac:dyDescent="0.2">
      <c r="A12" s="36" t="s">
        <v>91</v>
      </c>
      <c r="B12" s="11">
        <v>12</v>
      </c>
      <c r="C12" s="11">
        <v>2</v>
      </c>
      <c r="D12" s="11">
        <f>B12*C12</f>
        <v>24</v>
      </c>
      <c r="E12" s="13">
        <v>0</v>
      </c>
      <c r="F12" s="11">
        <f t="shared" si="0"/>
        <v>0</v>
      </c>
      <c r="G12" s="11">
        <f t="shared" si="1"/>
        <v>0</v>
      </c>
      <c r="H12" s="11">
        <f t="shared" si="2"/>
        <v>0</v>
      </c>
      <c r="I12" s="12">
        <f t="shared" si="3"/>
        <v>0</v>
      </c>
    </row>
    <row r="13" spans="1:12" ht="15.75" x14ac:dyDescent="0.2">
      <c r="A13" s="38" t="s">
        <v>128</v>
      </c>
      <c r="B13" s="38"/>
      <c r="C13" s="38"/>
      <c r="D13" s="38"/>
      <c r="E13" s="38"/>
      <c r="F13" s="110">
        <f>ROUND(SUM(F5:H12), 0)</f>
        <v>81</v>
      </c>
      <c r="G13" s="110"/>
      <c r="H13" s="110"/>
      <c r="I13" s="15">
        <f>ROUND(SUM(I5:I12), -1)</f>
        <v>3830</v>
      </c>
    </row>
    <row r="15" spans="1:12" x14ac:dyDescent="0.2">
      <c r="A15" s="2" t="s">
        <v>21</v>
      </c>
    </row>
    <row r="16" spans="1:12" ht="31.5" customHeight="1" x14ac:dyDescent="0.2">
      <c r="A16" s="96" t="s">
        <v>29</v>
      </c>
      <c r="B16" s="96"/>
      <c r="C16" s="96"/>
      <c r="D16" s="96"/>
      <c r="E16" s="96"/>
      <c r="F16" s="96"/>
      <c r="G16" s="96"/>
      <c r="H16" s="96"/>
      <c r="I16" s="96"/>
    </row>
    <row r="17" spans="1:9" ht="50.25" customHeight="1" x14ac:dyDescent="0.2">
      <c r="A17" s="96" t="s">
        <v>23</v>
      </c>
      <c r="B17" s="96"/>
      <c r="C17" s="96"/>
      <c r="D17" s="96"/>
      <c r="E17" s="96"/>
      <c r="F17" s="96"/>
      <c r="G17" s="96"/>
      <c r="H17" s="96"/>
      <c r="I17" s="96"/>
    </row>
    <row r="18" spans="1:9" ht="31.5" customHeight="1" x14ac:dyDescent="0.2">
      <c r="A18" s="96" t="s">
        <v>131</v>
      </c>
      <c r="B18" s="96"/>
      <c r="C18" s="96"/>
      <c r="D18" s="96"/>
      <c r="E18" s="96"/>
      <c r="F18" s="96"/>
      <c r="G18" s="96"/>
      <c r="H18" s="96"/>
      <c r="I18" s="96"/>
    </row>
    <row r="19" spans="1:9" ht="15.75" x14ac:dyDescent="0.2">
      <c r="A19" s="96" t="s">
        <v>92</v>
      </c>
      <c r="B19" s="96"/>
      <c r="C19" s="96"/>
      <c r="D19" s="96"/>
      <c r="E19" s="96"/>
      <c r="F19" s="96"/>
      <c r="G19" s="96"/>
      <c r="H19" s="96"/>
      <c r="I19" s="96"/>
    </row>
    <row r="20" spans="1:9" ht="20.25" customHeight="1" x14ac:dyDescent="0.2">
      <c r="A20" s="95" t="s">
        <v>129</v>
      </c>
      <c r="B20" s="95"/>
      <c r="C20" s="95"/>
      <c r="D20" s="95"/>
      <c r="E20" s="95"/>
      <c r="F20" s="95"/>
      <c r="G20" s="95"/>
      <c r="H20" s="95"/>
      <c r="I20" s="95"/>
    </row>
  </sheetData>
  <mergeCells count="8">
    <mergeCell ref="A1:I1"/>
    <mergeCell ref="A20:I20"/>
    <mergeCell ref="K5:L5"/>
    <mergeCell ref="F13:H13"/>
    <mergeCell ref="A16:I16"/>
    <mergeCell ref="A17:I17"/>
    <mergeCell ref="A18:I18"/>
    <mergeCell ref="A19:I19"/>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zoomScale="115" zoomScaleNormal="115" workbookViewId="0">
      <selection activeCell="I7" sqref="I7"/>
    </sheetView>
  </sheetViews>
  <sheetFormatPr defaultRowHeight="12.75" x14ac:dyDescent="0.2"/>
  <cols>
    <col min="1" max="8" width="14.140625" style="87" customWidth="1"/>
    <col min="9" max="16384" width="9.140625" style="87"/>
  </cols>
  <sheetData>
    <row r="1" spans="1:8" ht="33.75" customHeight="1" thickBot="1" x14ac:dyDescent="0.25">
      <c r="A1" s="111" t="s">
        <v>97</v>
      </c>
      <c r="B1" s="111"/>
      <c r="C1" s="111"/>
      <c r="D1" s="111"/>
      <c r="E1" s="111"/>
      <c r="F1" s="111"/>
      <c r="G1" s="111"/>
      <c r="H1" s="111"/>
    </row>
    <row r="2" spans="1:8" ht="26.25" thickBot="1" x14ac:dyDescent="0.25">
      <c r="A2" s="47" t="s">
        <v>52</v>
      </c>
      <c r="B2" s="48" t="s">
        <v>53</v>
      </c>
      <c r="C2" s="48" t="s">
        <v>54</v>
      </c>
      <c r="D2" s="48" t="s">
        <v>55</v>
      </c>
      <c r="E2" s="48" t="s">
        <v>66</v>
      </c>
      <c r="F2" s="48" t="s">
        <v>57</v>
      </c>
      <c r="G2" s="48" t="s">
        <v>95</v>
      </c>
      <c r="H2" s="49" t="s">
        <v>59</v>
      </c>
    </row>
    <row r="3" spans="1:8" ht="13.5" thickTop="1" x14ac:dyDescent="0.2">
      <c r="A3" s="50">
        <v>1</v>
      </c>
      <c r="B3" s="51">
        <f>SUM('TBL5-YR1'!F5:F12)</f>
        <v>0</v>
      </c>
      <c r="C3" s="51">
        <f>SUM('TBL5-YR1'!G5:G12)</f>
        <v>0</v>
      </c>
      <c r="D3" s="51">
        <f>SUM('TBL5-YR1'!H5:H12)</f>
        <v>0</v>
      </c>
      <c r="E3" s="51">
        <f>SUM(B3:D3)</f>
        <v>0</v>
      </c>
      <c r="F3" s="53">
        <f>'TBL5-YR1'!I13</f>
        <v>0</v>
      </c>
      <c r="G3" s="53">
        <v>0</v>
      </c>
      <c r="H3" s="55">
        <f>+F3+G3</f>
        <v>0</v>
      </c>
    </row>
    <row r="4" spans="1:8" x14ac:dyDescent="0.2">
      <c r="A4" s="56">
        <v>2</v>
      </c>
      <c r="B4" s="52">
        <f>SUM('TBL6-YR2'!F5:F12)</f>
        <v>0</v>
      </c>
      <c r="C4" s="52">
        <f>SUM('TBL6-YR2'!G5:G12)</f>
        <v>0</v>
      </c>
      <c r="D4" s="52">
        <f>SUM('TBL6-YR2'!H5:H12)</f>
        <v>0</v>
      </c>
      <c r="E4" s="51">
        <f t="shared" ref="E4:E5" si="0">SUM(B4:D4)</f>
        <v>0</v>
      </c>
      <c r="F4" s="54">
        <f>'TBL6-YR2'!I13</f>
        <v>0</v>
      </c>
      <c r="G4" s="54">
        <v>0</v>
      </c>
      <c r="H4" s="55">
        <f>+F4+G4</f>
        <v>0</v>
      </c>
    </row>
    <row r="5" spans="1:8" ht="13.5" thickBot="1" x14ac:dyDescent="0.25">
      <c r="A5" s="57">
        <v>3</v>
      </c>
      <c r="B5" s="58">
        <f>SUM('TBL7-YR3'!F5:F12)</f>
        <v>70</v>
      </c>
      <c r="C5" s="58">
        <f>SUM('TBL7-YR3'!G5:G12)</f>
        <v>3.5000000000000004</v>
      </c>
      <c r="D5" s="58">
        <f>SUM('TBL7-YR3'!H5:H12)</f>
        <v>7.0000000000000009</v>
      </c>
      <c r="E5" s="58">
        <f t="shared" si="0"/>
        <v>80.5</v>
      </c>
      <c r="F5" s="59">
        <f>'TBL7-YR3'!I13</f>
        <v>3830</v>
      </c>
      <c r="G5" s="59">
        <v>0</v>
      </c>
      <c r="H5" s="60">
        <f>F5+G5</f>
        <v>3830</v>
      </c>
    </row>
    <row r="6" spans="1:8" ht="13.5" thickTop="1" x14ac:dyDescent="0.2">
      <c r="A6" s="50" t="s">
        <v>60</v>
      </c>
      <c r="B6" s="51">
        <f t="shared" ref="B6:G6" si="1">SUM(B3:B5)</f>
        <v>70</v>
      </c>
      <c r="C6" s="77">
        <f t="shared" si="1"/>
        <v>3.5000000000000004</v>
      </c>
      <c r="D6" s="77">
        <f t="shared" si="1"/>
        <v>7.0000000000000009</v>
      </c>
      <c r="E6" s="51">
        <f>SUM(E3:E5)</f>
        <v>80.5</v>
      </c>
      <c r="F6" s="53">
        <f>ROUND(SUM(F3:F5),-1)</f>
        <v>3830</v>
      </c>
      <c r="G6" s="53">
        <f t="shared" si="1"/>
        <v>0</v>
      </c>
      <c r="H6" s="55">
        <f>ROUND(SUM(H3:H5),-1)</f>
        <v>3830</v>
      </c>
    </row>
    <row r="7" spans="1:8" ht="13.5" thickBot="1" x14ac:dyDescent="0.25">
      <c r="A7" s="61" t="s">
        <v>61</v>
      </c>
      <c r="B7" s="63">
        <f>AVERAGE(B3:B5)</f>
        <v>23.333333333333332</v>
      </c>
      <c r="C7" s="63">
        <f>AVERAGE(C3:C5)</f>
        <v>1.1666666666666667</v>
      </c>
      <c r="D7" s="63">
        <f>AVERAGE(D3:D5)</f>
        <v>2.3333333333333335</v>
      </c>
      <c r="E7" s="62">
        <f>AVERAGE(E3:E5)</f>
        <v>26.833333333333332</v>
      </c>
      <c r="F7" s="64">
        <f>ROUND(AVERAGE(F3:F5),-1)</f>
        <v>1280</v>
      </c>
      <c r="G7" s="64">
        <f>AVERAGE(G3:G5)</f>
        <v>0</v>
      </c>
      <c r="H7" s="65">
        <f>ROUND(AVERAGE(H3:H5),-1)</f>
        <v>1280</v>
      </c>
    </row>
    <row r="8" spans="1:8" ht="13.5" thickBot="1" x14ac:dyDescent="0.25">
      <c r="A8" s="81"/>
      <c r="B8" s="67"/>
      <c r="C8" s="67"/>
      <c r="D8" s="67"/>
      <c r="E8" s="67"/>
      <c r="F8" s="67"/>
      <c r="G8" s="67"/>
      <c r="H8" s="81"/>
    </row>
    <row r="9" spans="1:8" ht="26.25" thickBot="1" x14ac:dyDescent="0.25">
      <c r="A9" s="47" t="s">
        <v>52</v>
      </c>
      <c r="B9" s="48" t="s">
        <v>63</v>
      </c>
      <c r="C9" s="49" t="str">
        <f>E2</f>
        <v>Total Hours</v>
      </c>
      <c r="D9" s="67"/>
      <c r="E9" s="67"/>
      <c r="F9" s="67"/>
      <c r="G9" s="67"/>
      <c r="H9" s="67"/>
    </row>
    <row r="10" spans="1:8" ht="13.5" thickTop="1" x14ac:dyDescent="0.2">
      <c r="A10" s="50">
        <v>1</v>
      </c>
      <c r="B10" s="51">
        <v>0</v>
      </c>
      <c r="C10" s="82">
        <f>'TBL5-YR1'!F13</f>
        <v>0</v>
      </c>
      <c r="D10" s="67"/>
      <c r="E10" s="67"/>
      <c r="F10" s="67"/>
      <c r="G10" s="67"/>
      <c r="H10" s="67"/>
    </row>
    <row r="11" spans="1:8" x14ac:dyDescent="0.2">
      <c r="A11" s="56">
        <v>2</v>
      </c>
      <c r="B11" s="52">
        <v>0</v>
      </c>
      <c r="C11" s="82">
        <f>'TBL6-YR2'!F13</f>
        <v>0</v>
      </c>
      <c r="D11" s="67"/>
      <c r="E11" s="67"/>
      <c r="F11" s="67"/>
      <c r="G11" s="67"/>
      <c r="H11" s="67"/>
    </row>
    <row r="12" spans="1:8" ht="13.5" thickBot="1" x14ac:dyDescent="0.25">
      <c r="A12" s="57">
        <v>3</v>
      </c>
      <c r="B12" s="58">
        <f>'TBL7-YR3'!C9*'TBL7-YR3'!E9+'TBL7-YR3'!C10*'TBL7-YR3'!E10</f>
        <v>14</v>
      </c>
      <c r="C12" s="83">
        <f>'TBL7-YR3'!F13</f>
        <v>81</v>
      </c>
      <c r="D12" s="67"/>
      <c r="E12" s="67"/>
      <c r="F12" s="67"/>
      <c r="G12" s="67"/>
      <c r="H12" s="67"/>
    </row>
    <row r="13" spans="1:8" ht="13.5" thickTop="1" x14ac:dyDescent="0.2">
      <c r="A13" s="50" t="s">
        <v>60</v>
      </c>
      <c r="B13" s="84">
        <f t="shared" ref="B13" si="2">SUM(B10:B12)</f>
        <v>14</v>
      </c>
      <c r="C13" s="85">
        <f>SUM(C10:C12)</f>
        <v>81</v>
      </c>
      <c r="D13" s="67"/>
      <c r="E13" s="67"/>
      <c r="F13" s="67"/>
      <c r="G13" s="67"/>
      <c r="H13" s="67"/>
    </row>
    <row r="14" spans="1:8" ht="13.5" thickBot="1" x14ac:dyDescent="0.25">
      <c r="A14" s="61" t="s">
        <v>61</v>
      </c>
      <c r="B14" s="62">
        <f>AVERAGE(B10:B12)</f>
        <v>4.666666666666667</v>
      </c>
      <c r="C14" s="86">
        <f>AVERAGE(C10:C12)</f>
        <v>27</v>
      </c>
      <c r="D14" s="67"/>
      <c r="E14" s="67"/>
      <c r="F14" s="67"/>
      <c r="G14" s="67"/>
      <c r="H14" s="67"/>
    </row>
    <row r="15" spans="1:8" x14ac:dyDescent="0.2">
      <c r="A15" s="67"/>
      <c r="B15" s="67"/>
      <c r="C15" s="67"/>
      <c r="D15" s="67"/>
      <c r="E15" s="67"/>
      <c r="F15" s="67"/>
      <c r="G15" s="67"/>
      <c r="H15" s="67"/>
    </row>
    <row r="16" spans="1:8" x14ac:dyDescent="0.2">
      <c r="A16" s="67" t="s">
        <v>96</v>
      </c>
      <c r="B16" s="67"/>
      <c r="C16" s="67">
        <f>ROUND(C13/B13,1)</f>
        <v>5.8</v>
      </c>
      <c r="D16" s="88"/>
      <c r="E16" s="67"/>
      <c r="F16" s="67"/>
      <c r="G16" s="67"/>
      <c r="H16" s="67"/>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8"/>
  <sheetViews>
    <sheetView workbookViewId="0">
      <selection activeCell="A8" sqref="A8:G8"/>
    </sheetView>
  </sheetViews>
  <sheetFormatPr defaultRowHeight="15" x14ac:dyDescent="0.25"/>
  <cols>
    <col min="1" max="7" width="14.42578125" customWidth="1"/>
  </cols>
  <sheetData>
    <row r="2" spans="1:9" ht="15.75" x14ac:dyDescent="0.25">
      <c r="A2" s="112" t="s">
        <v>98</v>
      </c>
      <c r="B2" s="112"/>
      <c r="C2" s="112"/>
      <c r="D2" s="112"/>
      <c r="E2" s="112"/>
      <c r="F2" s="112"/>
      <c r="G2" s="112"/>
    </row>
    <row r="3" spans="1:9" x14ac:dyDescent="0.25">
      <c r="A3" s="40" t="s">
        <v>99</v>
      </c>
      <c r="B3" s="40" t="s">
        <v>100</v>
      </c>
      <c r="C3" s="40" t="s">
        <v>101</v>
      </c>
      <c r="D3" s="40" t="s">
        <v>10</v>
      </c>
      <c r="E3" s="40" t="s">
        <v>11</v>
      </c>
      <c r="F3" s="40" t="s">
        <v>13</v>
      </c>
      <c r="G3" s="40" t="s">
        <v>15</v>
      </c>
    </row>
    <row r="4" spans="1:9" ht="38.25" x14ac:dyDescent="0.25">
      <c r="A4" s="40" t="s">
        <v>102</v>
      </c>
      <c r="B4" s="40" t="s">
        <v>103</v>
      </c>
      <c r="C4" s="40" t="s">
        <v>104</v>
      </c>
      <c r="D4" s="40" t="s">
        <v>105</v>
      </c>
      <c r="E4" s="40" t="s">
        <v>106</v>
      </c>
      <c r="F4" s="40" t="s">
        <v>107</v>
      </c>
      <c r="G4" s="40" t="s">
        <v>108</v>
      </c>
    </row>
    <row r="5" spans="1:9" x14ac:dyDescent="0.25">
      <c r="A5" s="41"/>
      <c r="B5" s="42"/>
      <c r="C5" s="41"/>
      <c r="D5" s="42"/>
      <c r="E5" s="41"/>
      <c r="F5" s="41"/>
      <c r="G5" s="42"/>
    </row>
    <row r="6" spans="1:9" ht="25.5" x14ac:dyDescent="0.25">
      <c r="A6" s="43" t="s">
        <v>102</v>
      </c>
      <c r="B6" s="44">
        <f>ROUND(18750,-3)</f>
        <v>19000</v>
      </c>
      <c r="C6" s="43">
        <v>7</v>
      </c>
      <c r="D6" s="44">
        <f>B6*C6</f>
        <v>133000</v>
      </c>
      <c r="E6" s="44">
        <v>0</v>
      </c>
      <c r="F6" s="43">
        <v>0</v>
      </c>
      <c r="G6" s="44">
        <f>E6*F6</f>
        <v>0</v>
      </c>
    </row>
    <row r="7" spans="1:9" x14ac:dyDescent="0.25">
      <c r="A7" s="28" t="s">
        <v>109</v>
      </c>
      <c r="B7" s="28"/>
      <c r="C7" s="32"/>
      <c r="D7" s="45">
        <f>ROUND(D6,-3)</f>
        <v>133000</v>
      </c>
      <c r="E7" s="32"/>
      <c r="F7" s="32"/>
      <c r="G7" s="45">
        <f>ROUND(SUM(G6:G6),-3)</f>
        <v>0</v>
      </c>
      <c r="H7" t="s">
        <v>60</v>
      </c>
      <c r="I7" s="46">
        <f>D7+G7</f>
        <v>133000</v>
      </c>
    </row>
    <row r="8" spans="1:9" ht="45" customHeight="1" x14ac:dyDescent="0.25">
      <c r="A8" s="113" t="s">
        <v>115</v>
      </c>
      <c r="B8" s="113"/>
      <c r="C8" s="113"/>
      <c r="D8" s="113"/>
      <c r="E8" s="113"/>
      <c r="F8" s="113"/>
      <c r="G8" s="113"/>
    </row>
  </sheetData>
  <mergeCells count="2">
    <mergeCell ref="A2:G2"/>
    <mergeCell ref="A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TBL1-YR1</vt:lpstr>
      <vt:lpstr>TBL2-YR2</vt:lpstr>
      <vt:lpstr>TBL3-YR3</vt:lpstr>
      <vt:lpstr>TBL4-Summary</vt:lpstr>
      <vt:lpstr>TBL5-YR1</vt:lpstr>
      <vt:lpstr>TBL6-YR2</vt:lpstr>
      <vt:lpstr>TBL7-YR3</vt:lpstr>
      <vt:lpstr>TBL8-Summary</vt:lpstr>
      <vt:lpstr>Capital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Courtney Kerwin</cp:lastModifiedBy>
  <dcterms:created xsi:type="dcterms:W3CDTF">2015-02-12T15:28:04Z</dcterms:created>
  <dcterms:modified xsi:type="dcterms:W3CDTF">2020-03-06T03:00:02Z</dcterms:modified>
</cp:coreProperties>
</file>