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DE0EFA7D-3A00-49EC-A6EE-EFEC3A3B57C6}"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 name="O&amp;M"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8" i="1" l="1"/>
  <c r="T5" i="3" l="1"/>
  <c r="N49" i="1"/>
  <c r="N51" i="1"/>
  <c r="N57" i="1"/>
  <c r="N42" i="1"/>
  <c r="N41" i="1" l="1"/>
  <c r="N59" i="1"/>
  <c r="F29" i="1" l="1"/>
  <c r="N36" i="1"/>
  <c r="U5" i="3" l="1"/>
  <c r="R6" i="3"/>
  <c r="R7" i="3"/>
  <c r="R5" i="3"/>
  <c r="C6" i="3"/>
  <c r="C7" i="3"/>
  <c r="C5" i="3"/>
  <c r="F38" i="1"/>
  <c r="F36" i="1"/>
  <c r="F32" i="1"/>
  <c r="F27" i="1"/>
  <c r="F26" i="1"/>
  <c r="F21" i="1"/>
  <c r="F20" i="1"/>
  <c r="F19" i="1"/>
  <c r="F9" i="1"/>
  <c r="U8" i="3" l="1"/>
  <c r="W8" i="3" s="1"/>
  <c r="R8" i="3"/>
  <c r="N61" i="1"/>
  <c r="F31" i="1" s="1"/>
  <c r="J15" i="3" s="1"/>
  <c r="M15" i="3" s="1"/>
  <c r="N60" i="1"/>
  <c r="N55" i="1"/>
  <c r="J43" i="1" l="1"/>
  <c r="N56" i="1"/>
  <c r="N62" i="1"/>
  <c r="F28" i="1" s="1"/>
  <c r="F15" i="2" s="1"/>
  <c r="S37" i="1"/>
  <c r="D6" i="3" l="1"/>
  <c r="F10" i="1"/>
  <c r="S40" i="1"/>
  <c r="R39" i="1"/>
  <c r="Q38" i="1"/>
  <c r="R38" i="1" s="1"/>
  <c r="Q37" i="1"/>
  <c r="R37" i="1" s="1"/>
  <c r="E10" i="1"/>
  <c r="G10" i="1" s="1"/>
  <c r="J14" i="3"/>
  <c r="D7" i="3" l="1"/>
  <c r="D5" i="3"/>
  <c r="R40" i="1"/>
  <c r="I10" i="1"/>
  <c r="H10" i="1"/>
  <c r="J10" i="1" l="1"/>
  <c r="D31" i="1"/>
  <c r="D32" i="1" s="1"/>
  <c r="L14" i="3"/>
  <c r="M14" i="3" s="1"/>
  <c r="E7" i="3"/>
  <c r="G7" i="3" s="1"/>
  <c r="E6" i="3"/>
  <c r="G6" i="3" s="1"/>
  <c r="E5" i="3"/>
  <c r="G5" i="3" s="1"/>
  <c r="N22" i="1"/>
  <c r="N28" i="1"/>
  <c r="W24" i="1"/>
  <c r="E14" i="2"/>
  <c r="E6" i="2"/>
  <c r="E12" i="2"/>
  <c r="E11" i="2"/>
  <c r="E10" i="2"/>
  <c r="E16" i="2"/>
  <c r="E15" i="2"/>
  <c r="E13" i="2"/>
  <c r="E8" i="2"/>
  <c r="E7" i="2"/>
  <c r="X6" i="1"/>
  <c r="X7" i="1" s="1"/>
  <c r="X9" i="1" s="1"/>
  <c r="X11" i="1" s="1"/>
  <c r="X12" i="1" s="1"/>
  <c r="X13" i="1" s="1"/>
  <c r="X14" i="1" s="1"/>
  <c r="X15" i="1" s="1"/>
  <c r="X16" i="1" s="1"/>
  <c r="X17" i="1" s="1"/>
  <c r="N12" i="1"/>
  <c r="F13" i="2" s="1"/>
  <c r="N11" i="1"/>
  <c r="Q14" i="1" s="1"/>
  <c r="F15" i="1"/>
  <c r="F14" i="1"/>
  <c r="F12" i="1"/>
  <c r="V24" i="1"/>
  <c r="V25" i="1" s="1"/>
  <c r="V26" i="1" s="1"/>
  <c r="V27" i="1" s="1"/>
  <c r="V28" i="1" s="1"/>
  <c r="V29" i="1" s="1"/>
  <c r="V30" i="1" s="1"/>
  <c r="F16" i="2" l="1"/>
  <c r="G16" i="2" s="1"/>
  <c r="H16" i="2" s="1"/>
  <c r="W25" i="1"/>
  <c r="W26" i="1" s="1"/>
  <c r="J12" i="3"/>
  <c r="M12" i="3" s="1"/>
  <c r="G13" i="2"/>
  <c r="H13" i="2" s="1"/>
  <c r="X18" i="1"/>
  <c r="N16" i="1"/>
  <c r="N17" i="1"/>
  <c r="E31" i="1"/>
  <c r="I13" i="2" l="1"/>
  <c r="J13" i="2" s="1"/>
  <c r="I16" i="2"/>
  <c r="J16" i="2" s="1"/>
  <c r="W27" i="1"/>
  <c r="G31" i="1"/>
  <c r="E29" i="1"/>
  <c r="G29" i="1" s="1"/>
  <c r="E26" i="1"/>
  <c r="G26" i="1" s="1"/>
  <c r="F23" i="1"/>
  <c r="E23" i="1"/>
  <c r="F25" i="1"/>
  <c r="E14" i="1"/>
  <c r="G14" i="1" s="1"/>
  <c r="E13" i="1"/>
  <c r="G13" i="1" s="1"/>
  <c r="E12" i="1"/>
  <c r="G12" i="1" s="1"/>
  <c r="E15" i="1"/>
  <c r="G15" i="1" s="1"/>
  <c r="E38" i="1"/>
  <c r="E36" i="1"/>
  <c r="E21" i="1"/>
  <c r="E20" i="1"/>
  <c r="E19" i="1"/>
  <c r="E24" i="1"/>
  <c r="E16" i="1"/>
  <c r="E28" i="1"/>
  <c r="G36" i="1" l="1"/>
  <c r="G20" i="1"/>
  <c r="I20" i="1" s="1"/>
  <c r="J7" i="3"/>
  <c r="M7" i="3" s="1"/>
  <c r="F8" i="2"/>
  <c r="G8" i="2" s="1"/>
  <c r="J5" i="3"/>
  <c r="M5" i="3" s="1"/>
  <c r="F6" i="2"/>
  <c r="G6" i="2" s="1"/>
  <c r="J11" i="3"/>
  <c r="M11" i="3" s="1"/>
  <c r="F12" i="2"/>
  <c r="G12" i="2" s="1"/>
  <c r="J6" i="3"/>
  <c r="M6" i="3" s="1"/>
  <c r="F7" i="2"/>
  <c r="G7" i="2" s="1"/>
  <c r="J9" i="3"/>
  <c r="M9" i="3" s="1"/>
  <c r="F10" i="2"/>
  <c r="G10" i="2" s="1"/>
  <c r="W28" i="1"/>
  <c r="J13" i="3"/>
  <c r="M13" i="3" s="1"/>
  <c r="F14" i="2"/>
  <c r="G14" i="2" s="1"/>
  <c r="G19" i="1"/>
  <c r="H19" i="1" s="1"/>
  <c r="H26" i="1"/>
  <c r="I26" i="1"/>
  <c r="G23" i="1"/>
  <c r="H14" i="1"/>
  <c r="I14" i="1"/>
  <c r="H13" i="1"/>
  <c r="I13" i="1"/>
  <c r="I12" i="1"/>
  <c r="H12" i="1"/>
  <c r="I15" i="1"/>
  <c r="H15" i="1"/>
  <c r="G21" i="1"/>
  <c r="G38" i="1"/>
  <c r="I38" i="1" s="1"/>
  <c r="H29" i="1"/>
  <c r="I29" i="1"/>
  <c r="H31" i="1"/>
  <c r="I31" i="1"/>
  <c r="E27" i="1"/>
  <c r="G27" i="1" s="1"/>
  <c r="E25" i="1"/>
  <c r="G25" i="1" s="1"/>
  <c r="E9" i="1"/>
  <c r="G9" i="1" s="1"/>
  <c r="F8" i="3"/>
  <c r="I36" i="1" l="1"/>
  <c r="J36" i="1" s="1"/>
  <c r="H36" i="1"/>
  <c r="H20" i="1"/>
  <c r="J20" i="1" s="1"/>
  <c r="I19" i="1"/>
  <c r="J19" i="1" s="1"/>
  <c r="I14" i="2"/>
  <c r="H14" i="2"/>
  <c r="I10" i="2"/>
  <c r="H10" i="2"/>
  <c r="H12" i="2"/>
  <c r="I12" i="2"/>
  <c r="H8" i="2"/>
  <c r="I8" i="2"/>
  <c r="W29" i="1"/>
  <c r="I7" i="2"/>
  <c r="H7" i="2"/>
  <c r="H6" i="2"/>
  <c r="J6" i="2" s="1"/>
  <c r="I6" i="2"/>
  <c r="J13" i="1"/>
  <c r="J26" i="1"/>
  <c r="H27" i="1"/>
  <c r="I27" i="1"/>
  <c r="H25" i="1"/>
  <c r="I25" i="1"/>
  <c r="H23" i="1"/>
  <c r="I23" i="1"/>
  <c r="J15" i="1"/>
  <c r="J12" i="1"/>
  <c r="J14" i="1"/>
  <c r="I21" i="1"/>
  <c r="H21" i="1"/>
  <c r="H9" i="1"/>
  <c r="J9" i="1" s="1"/>
  <c r="I9" i="1"/>
  <c r="H38" i="1"/>
  <c r="J38" i="1" s="1"/>
  <c r="J31" i="1"/>
  <c r="J29" i="1"/>
  <c r="E40" i="1"/>
  <c r="E39" i="1"/>
  <c r="E32" i="1"/>
  <c r="G32" i="1" s="1"/>
  <c r="C8" i="3"/>
  <c r="J14" i="2" l="1"/>
  <c r="J8" i="2"/>
  <c r="J25" i="1"/>
  <c r="J12" i="2"/>
  <c r="J7" i="2"/>
  <c r="W30" i="1"/>
  <c r="N20" i="1"/>
  <c r="J10" i="2"/>
  <c r="J23" i="1"/>
  <c r="J27" i="1"/>
  <c r="J21" i="1"/>
  <c r="I32" i="1"/>
  <c r="H32" i="1"/>
  <c r="F39" i="1" l="1"/>
  <c r="F40" i="1"/>
  <c r="G40" i="1" s="1"/>
  <c r="H40" i="1" s="1"/>
  <c r="F16" i="1"/>
  <c r="F24" i="1"/>
  <c r="D8" i="3"/>
  <c r="G39" i="1"/>
  <c r="G16" i="1"/>
  <c r="J32" i="1"/>
  <c r="I40" i="1" l="1"/>
  <c r="J40" i="1" s="1"/>
  <c r="G15" i="2"/>
  <c r="G28" i="1"/>
  <c r="F11" i="2"/>
  <c r="G11" i="2" s="1"/>
  <c r="J10" i="3"/>
  <c r="M10" i="3" s="1"/>
  <c r="M16" i="3" s="1"/>
  <c r="G24" i="1"/>
  <c r="H16" i="1"/>
  <c r="I16" i="1"/>
  <c r="I39" i="1"/>
  <c r="G41" i="1" s="1"/>
  <c r="H39" i="1"/>
  <c r="J39" i="1" l="1"/>
  <c r="J41" i="1" s="1"/>
  <c r="J16" i="1"/>
  <c r="H24" i="1"/>
  <c r="I24" i="1"/>
  <c r="I28" i="1"/>
  <c r="H28" i="1"/>
  <c r="H11" i="2"/>
  <c r="I11" i="2"/>
  <c r="I15" i="2"/>
  <c r="G17" i="2" s="1"/>
  <c r="H15" i="2"/>
  <c r="E8" i="3"/>
  <c r="G8" i="3" s="1"/>
  <c r="G33" i="1" l="1"/>
  <c r="G42" i="1" s="1"/>
  <c r="L66" i="1" s="1"/>
  <c r="J28" i="1"/>
  <c r="J11" i="2"/>
  <c r="J15" i="2"/>
  <c r="J24" i="1"/>
  <c r="J33" i="1" s="1"/>
  <c r="J42" i="1" s="1"/>
  <c r="J44" i="1" s="1"/>
  <c r="J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ERG, EV</author>
  </authors>
  <commentList>
    <comment ref="Q11" authorId="0" shapeId="0" xr:uid="{00000000-0006-0000-0100-000003000000}">
      <text>
        <r>
          <rPr>
            <b/>
            <sz val="9"/>
            <color indexed="81"/>
            <rFont val="Tahoma"/>
            <family val="2"/>
          </rPr>
          <t>ERG, EV:</t>
        </r>
        <r>
          <rPr>
            <sz val="9"/>
            <color indexed="81"/>
            <rFont val="Tahoma"/>
            <family val="2"/>
          </rPr>
          <t xml:space="preserve">
Basis: see ICR 1975.04 (p. 9)</t>
        </r>
      </text>
    </comment>
    <comment ref="N16" authorId="0" shapeId="0" xr:uid="{00000000-0006-0000-0100-000004000000}">
      <text>
        <r>
          <rPr>
            <b/>
            <sz val="9"/>
            <color indexed="81"/>
            <rFont val="Tahoma"/>
            <family val="2"/>
          </rPr>
          <t>ERG, EV:</t>
        </r>
        <r>
          <rPr>
            <sz val="9"/>
            <color indexed="81"/>
            <rFont val="Tahoma"/>
            <family val="2"/>
          </rPr>
          <t xml:space="preserve">
Basis: sum of new sources from 2005 to 2013 plus existing sources from 2005.</t>
        </r>
      </text>
    </comment>
    <comment ref="N17" authorId="0" shapeId="0" xr:uid="{00000000-0006-0000-0100-000005000000}">
      <text>
        <r>
          <rPr>
            <b/>
            <sz val="9"/>
            <color indexed="81"/>
            <rFont val="Tahoma"/>
            <family val="2"/>
          </rPr>
          <t>ERG, EV:</t>
        </r>
        <r>
          <rPr>
            <sz val="9"/>
            <color indexed="81"/>
            <rFont val="Tahoma"/>
            <family val="2"/>
          </rPr>
          <t xml:space="preserve">
Basis: 350 new sources in 2008, 360 new sources in 2009, 370 new sources in 2010, etc., until ICR midpoint (i.e., 2014) (see ICR, p. 21).</t>
        </r>
      </text>
    </comment>
    <comment ref="N20" authorId="0" shapeId="0" xr:uid="{00000000-0006-0000-0100-000006000000}">
      <text>
        <r>
          <rPr>
            <b/>
            <sz val="9"/>
            <color indexed="81"/>
            <rFont val="Tahoma"/>
            <family val="2"/>
          </rPr>
          <t>ERG, EV:</t>
        </r>
        <r>
          <rPr>
            <sz val="9"/>
            <color indexed="81"/>
            <rFont val="Tahoma"/>
            <family val="2"/>
          </rPr>
          <t xml:space="preserve">
Basis: sum of new sources from 2008 to 2013 (see ICR, p. 21).</t>
        </r>
      </text>
    </comment>
    <comment ref="M33" authorId="0" shapeId="0" xr:uid="{00000000-0006-0000-0100-000007000000}">
      <text>
        <r>
          <rPr>
            <b/>
            <sz val="9"/>
            <color indexed="81"/>
            <rFont val="Tahoma"/>
            <family val="2"/>
          </rPr>
          <t>ERG, EV:</t>
        </r>
        <r>
          <rPr>
            <sz val="9"/>
            <color indexed="81"/>
            <rFont val="Tahoma"/>
            <family val="2"/>
          </rPr>
          <t xml:space="preserve">
Link: 
www.federalregister.gov/articles/2013/01/30/2013-01288/national-emission-standards-for-hazardous-air-pollutants-for-reciprocating-internal-combustion#h-14</t>
        </r>
      </text>
    </comment>
  </commentList>
</comments>
</file>

<file path=xl/sharedStrings.xml><?xml version="1.0" encoding="utf-8"?>
<sst xmlns="http://schemas.openxmlformats.org/spreadsheetml/2006/main" count="280" uniqueCount="215">
  <si>
    <t>Burden Item</t>
  </si>
  <si>
    <t>1. Applications</t>
  </si>
  <si>
    <t>N/A</t>
  </si>
  <si>
    <t xml:space="preserve"> </t>
  </si>
  <si>
    <t>2. Surveys and Studies</t>
  </si>
  <si>
    <t>3. Reporting Requirements</t>
  </si>
  <si>
    <t>Included in 3D</t>
  </si>
  <si>
    <t>4. Recordkeeping Requirements</t>
  </si>
  <si>
    <t>Included in 3A</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</si>
  <si>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</si>
  <si>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</si>
  <si>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</si>
  <si>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</si>
  <si>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</si>
  <si>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</si>
  <si>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</si>
  <si>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</si>
  <si>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</si>
  <si>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</si>
  <si>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</si>
  <si>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</si>
  <si>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</si>
  <si>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</si>
  <si>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</si>
  <si>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t>Recordkeeping Subtotal</t>
  </si>
  <si>
    <t>Reporting Subtotal</t>
  </si>
  <si>
    <t xml:space="preserve">Report review </t>
  </si>
  <si>
    <t>Number of Respondents</t>
  </si>
  <si>
    <t>Respondents That Submit Reports</t>
  </si>
  <si>
    <t>Respondents That Do Not Submit Any Reports</t>
  </si>
  <si>
    <t>Total Annual Responses</t>
  </si>
  <si>
    <t>Year</t>
  </si>
  <si>
    <t>(D)
Number of Existing Respondents That Are Also New Respondents</t>
  </si>
  <si>
    <t>(E)
Number of Respondents (E=A+B+C-D)</t>
  </si>
  <si>
    <t>(A)
Information Collection Activity</t>
  </si>
  <si>
    <t xml:space="preserve">(B)
Average Number of Respondents  </t>
  </si>
  <si>
    <t>(C)
Number of Responses</t>
  </si>
  <si>
    <t>(D)
Number of Existing Respondents That Keep Records But Do Not Submit Reports</t>
  </si>
  <si>
    <t>Notification of construction/reconstruction</t>
  </si>
  <si>
    <t>Average</t>
  </si>
  <si>
    <t>Notification of actual startup</t>
  </si>
  <si>
    <t>Total</t>
  </si>
  <si>
    <t>Table 1: Annual Respondent Burden and Cost – NESHAP for Stationary Reciprocating Internal Combustion Engines (40 CFR Part 63, Subpart ZZZZ) (Renewal)</t>
  </si>
  <si>
    <t>Notification of anticipated startup</t>
  </si>
  <si>
    <t>Notification of performance test</t>
  </si>
  <si>
    <t>Initial notification of compliance</t>
  </si>
  <si>
    <t>Semiannual compliance report</t>
  </si>
  <si>
    <t>Existing</t>
  </si>
  <si>
    <t>New</t>
  </si>
  <si>
    <t>Affected Sources Estimates</t>
  </si>
  <si>
    <t>4-SRB - 4-Stroke Rich Burn</t>
  </si>
  <si>
    <t xml:space="preserve">  "Reporting"</t>
  </si>
  <si>
    <t xml:space="preserve">  "Monitoring"</t>
  </si>
  <si>
    <t xml:space="preserve">  "Recordkeeping"</t>
  </si>
  <si>
    <t xml:space="preserve">  Utilities</t>
  </si>
  <si>
    <t xml:space="preserve">  Curtailment Service Providers</t>
  </si>
  <si>
    <t>New Sources</t>
  </si>
  <si>
    <t>Existing Sources (see ICR, p. 22)</t>
  </si>
  <si>
    <t>Existing Sources (see 78 FR 6674)</t>
  </si>
  <si>
    <t>Existing Sources (see ICR, p. 23)</t>
  </si>
  <si>
    <t xml:space="preserve">  "Semiannual Reporters"</t>
  </si>
  <si>
    <t xml:space="preserve">  "Annual Reporters"</t>
  </si>
  <si>
    <t>No capital/startup or O&amp;M costs.</t>
  </si>
  <si>
    <t>Covers CI RICE</t>
  </si>
  <si>
    <t>Covers SI RICE</t>
  </si>
  <si>
    <t>Covers Emergency RICE</t>
  </si>
  <si>
    <t>--</t>
  </si>
  <si>
    <t>Existing Sources (see ICR, p. 21)</t>
  </si>
  <si>
    <t>Supporting Calculations for 1975.05</t>
  </si>
  <si>
    <t>Capital/Startup</t>
  </si>
  <si>
    <t>O&amp;M</t>
  </si>
  <si>
    <t>Portable CO Monitor</t>
  </si>
  <si>
    <t>Press. &amp; Temp. Monitor</t>
  </si>
  <si>
    <t>New Sources, Non-Exempt (see ICR, p. 1)</t>
  </si>
  <si>
    <t>New Sources, Exempt (see ICR, p. 1)</t>
  </si>
  <si>
    <t>Existing Sources (see ICR, p. 10)</t>
  </si>
  <si>
    <t>Supporting Calculations for 1975.04</t>
  </si>
  <si>
    <t>New (Non-Exempt)</t>
  </si>
  <si>
    <t>New (Exempt)</t>
  </si>
  <si>
    <t>Press. &amp; Temp. (Small)</t>
  </si>
  <si>
    <t>Press. &amp; Temp. (Large)</t>
  </si>
  <si>
    <t>No. Sources</t>
  </si>
  <si>
    <t>Device</t>
  </si>
  <si>
    <t>CO monitor</t>
  </si>
  <si>
    <t>Notification of Construction/Reconstruction</t>
  </si>
  <si>
    <t>Notification of Anticipated Startup</t>
  </si>
  <si>
    <t>Notification of Actual Startup</t>
  </si>
  <si>
    <t>Notification of Performance Test</t>
  </si>
  <si>
    <t>Initial Notification for Exempt RICE</t>
  </si>
  <si>
    <t>Initial Notification of Compliance</t>
  </si>
  <si>
    <t xml:space="preserve">   </t>
  </si>
  <si>
    <t xml:space="preserve">     Quarterly</t>
  </si>
  <si>
    <t xml:space="preserve">     Semiannually</t>
  </si>
  <si>
    <t xml:space="preserve">     Annually</t>
  </si>
  <si>
    <t>Initial notification for exempt RICE</t>
  </si>
  <si>
    <t>Annual compliance report</t>
  </si>
  <si>
    <t xml:space="preserve">Projection of industry growth for 2008, 009, and 2010 based on 1975.05 SS. </t>
  </si>
  <si>
    <t xml:space="preserve">The SS for 1975.04 estimates 874 new sources per year, of which 105 sources are exempt but have initial notification requirement. </t>
  </si>
  <si>
    <t>(E)
Total Annual Responses
E=(BxC)+D</t>
  </si>
  <si>
    <t>hr/response</t>
  </si>
  <si>
    <t>Table 2: Average Annual EPA Burden and Cost – NESHAP for Stationary Reciprocating Internal Combustion Engines (40 CFR Part 63, Subpart ZZZZ) (Renewal)</t>
  </si>
  <si>
    <t>New Sources, Area (see ICR, p. 21)</t>
  </si>
  <si>
    <t>Covers all sources</t>
  </si>
  <si>
    <t>Major - non-exempt</t>
  </si>
  <si>
    <t>Major - exempt</t>
  </si>
  <si>
    <t>Area</t>
  </si>
  <si>
    <t>Existing Sources</t>
  </si>
  <si>
    <t>Major</t>
  </si>
  <si>
    <t>CI engines</t>
  </si>
  <si>
    <t>SI engines</t>
  </si>
  <si>
    <t>Utilities</t>
  </si>
  <si>
    <t>*only 60,654 submit semiannual reports</t>
  </si>
  <si>
    <t xml:space="preserve">Sources that submit semiannual reports </t>
  </si>
  <si>
    <t>1975.10</t>
  </si>
  <si>
    <t>New sources</t>
  </si>
  <si>
    <t>Existing sources</t>
  </si>
  <si>
    <t>Sources with initial notification requirements (non-exempt only)</t>
  </si>
  <si>
    <t>Existing sources that only keep records</t>
  </si>
  <si>
    <t>CPMS - small</t>
  </si>
  <si>
    <t>CPMS - large</t>
  </si>
  <si>
    <t>TOTAL</t>
  </si>
  <si>
    <t>Technical</t>
  </si>
  <si>
    <t>Management</t>
  </si>
  <si>
    <t>Clerical</t>
  </si>
  <si>
    <t>2019 Labor Rates</t>
  </si>
  <si>
    <t>Assumptions:</t>
  </si>
  <si>
    <t>Labor Rates</t>
  </si>
  <si>
    <t xml:space="preserve">Assumptions: </t>
  </si>
  <si>
    <r>
      <t xml:space="preserve">Total cost per year ($) </t>
    </r>
    <r>
      <rPr>
        <b/>
        <vertAlign val="superscript"/>
        <sz val="10"/>
        <rFont val="Times New Roman"/>
        <family val="1"/>
      </rPr>
      <t>b</t>
    </r>
  </si>
  <si>
    <r>
      <t xml:space="preserve">TOTAL (rounded) </t>
    </r>
    <r>
      <rPr>
        <b/>
        <vertAlign val="superscript"/>
        <sz val="10"/>
        <color theme="1"/>
        <rFont val="Times New Roman"/>
        <family val="1"/>
      </rPr>
      <t>e</t>
    </r>
  </si>
  <si>
    <r>
      <t xml:space="preserve">Annual Compliance Report </t>
    </r>
    <r>
      <rPr>
        <vertAlign val="superscript"/>
        <sz val="10"/>
        <rFont val="Times New Roman"/>
        <family val="1"/>
      </rPr>
      <t>d</t>
    </r>
  </si>
  <si>
    <r>
      <t xml:space="preserve">Semiannual Compliance Report </t>
    </r>
    <r>
      <rPr>
        <vertAlign val="superscript"/>
        <sz val="10"/>
        <rFont val="Times New Roman"/>
        <family val="1"/>
      </rPr>
      <t>c</t>
    </r>
  </si>
  <si>
    <t>Quarterly</t>
  </si>
  <si>
    <t>Semiannually</t>
  </si>
  <si>
    <t>Annually</t>
  </si>
  <si>
    <t>A. Familiarize with rule requirement</t>
  </si>
  <si>
    <r>
      <t xml:space="preserve">B. Required Activities </t>
    </r>
    <r>
      <rPr>
        <vertAlign val="superscript"/>
        <sz val="10"/>
        <rFont val="Times New Roman"/>
        <family val="1"/>
      </rPr>
      <t>c</t>
    </r>
  </si>
  <si>
    <t>C. Gather Existing Information</t>
  </si>
  <si>
    <t>D. Write Report</t>
  </si>
  <si>
    <r>
      <t xml:space="preserve">B. Train Personnel </t>
    </r>
    <r>
      <rPr>
        <vertAlign val="superscript"/>
        <sz val="10"/>
        <rFont val="Times New Roman"/>
        <family val="1"/>
      </rPr>
      <t>d</t>
    </r>
  </si>
  <si>
    <r>
      <t xml:space="preserve">C. Continuous Monitoring </t>
    </r>
    <r>
      <rPr>
        <vertAlign val="superscript"/>
        <sz val="10"/>
        <rFont val="Times New Roman"/>
        <family val="1"/>
      </rPr>
      <t>h</t>
    </r>
  </si>
  <si>
    <t>D. Record Information</t>
  </si>
  <si>
    <t>Pressure and Temperature</t>
  </si>
  <si>
    <t>4-SRB &gt;5,000 HP (once per year)</t>
  </si>
  <si>
    <r>
      <t xml:space="preserve">4-SRB </t>
    </r>
    <r>
      <rPr>
        <sz val="10"/>
        <rFont val="Arial"/>
        <family val="2"/>
      </rPr>
      <t>≥</t>
    </r>
    <r>
      <rPr>
        <sz val="10"/>
        <rFont val="Times New Roman"/>
        <family val="1"/>
      </rPr>
      <t>5,000 HP (once per year)</t>
    </r>
  </si>
  <si>
    <t>Quarterly Performance Test (Facilities with Multiple RICE)</t>
  </si>
  <si>
    <t>Quarterly Performance Test (Facilities with One RICE)</t>
  </si>
  <si>
    <t>Semiannual Performance Test</t>
  </si>
  <si>
    <t>Anually</t>
  </si>
  <si>
    <r>
      <t xml:space="preserve">Notification of Construction/Reconstruction </t>
    </r>
    <r>
      <rPr>
        <vertAlign val="superscript"/>
        <sz val="10"/>
        <rFont val="Times New Roman"/>
        <family val="1"/>
      </rPr>
      <t>d</t>
    </r>
  </si>
  <si>
    <r>
      <t xml:space="preserve">Notification of Anticipated Startup </t>
    </r>
    <r>
      <rPr>
        <vertAlign val="superscript"/>
        <sz val="10"/>
        <rFont val="Times New Roman"/>
        <family val="1"/>
      </rPr>
      <t>d</t>
    </r>
  </si>
  <si>
    <r>
      <t xml:space="preserve">Notification of Actual Startup </t>
    </r>
    <r>
      <rPr>
        <vertAlign val="superscript"/>
        <sz val="10"/>
        <rFont val="Times New Roman"/>
        <family val="1"/>
      </rPr>
      <t>d</t>
    </r>
  </si>
  <si>
    <r>
      <t xml:space="preserve">Notification of Performance Test </t>
    </r>
    <r>
      <rPr>
        <vertAlign val="superscript"/>
        <sz val="10"/>
        <rFont val="Times New Roman"/>
        <family val="1"/>
      </rPr>
      <t>c</t>
    </r>
  </si>
  <si>
    <r>
      <t xml:space="preserve">Initial Notification of Compliance </t>
    </r>
    <r>
      <rPr>
        <vertAlign val="superscript"/>
        <sz val="10"/>
        <rFont val="Times New Roman"/>
        <family val="1"/>
      </rPr>
      <t>d</t>
    </r>
  </si>
  <si>
    <r>
      <t xml:space="preserve">Semiannual Compliance Report </t>
    </r>
    <r>
      <rPr>
        <vertAlign val="superscript"/>
        <sz val="10"/>
        <rFont val="Times New Roman"/>
        <family val="1"/>
      </rPr>
      <t>e</t>
    </r>
  </si>
  <si>
    <r>
      <t xml:space="preserve">Annual Compliance Report </t>
    </r>
    <r>
      <rPr>
        <vertAlign val="superscript"/>
        <sz val="10"/>
        <rFont val="Times New Roman"/>
        <family val="1"/>
      </rPr>
      <t>f</t>
    </r>
  </si>
  <si>
    <r>
      <t xml:space="preserve">Annual Compliance Report (Emergency RICE) </t>
    </r>
    <r>
      <rPr>
        <vertAlign val="superscript"/>
        <sz val="10"/>
        <rFont val="Times New Roman"/>
        <family val="1"/>
      </rPr>
      <t xml:space="preserve">g </t>
    </r>
  </si>
  <si>
    <t>Curtailment Service Providers</t>
  </si>
  <si>
    <t>1975.11</t>
  </si>
  <si>
    <t>Capital/Startup vs. Operation and Maintenance (O&amp;M) Costs</t>
  </si>
  <si>
    <t>(A)</t>
  </si>
  <si>
    <t>Continuous Monitoring Device</t>
  </si>
  <si>
    <t>(B)</t>
  </si>
  <si>
    <t>Capital/Startup Cost for One Respondent</t>
  </si>
  <si>
    <t>(C)</t>
  </si>
  <si>
    <t>(D)</t>
  </si>
  <si>
    <t>Total Capital/Startup Cost,  (B X C)</t>
  </si>
  <si>
    <t>(E)</t>
  </si>
  <si>
    <t>Annual O&amp;M Costs for One Respondent</t>
  </si>
  <si>
    <t>(F)</t>
  </si>
  <si>
    <t>(G)</t>
  </si>
  <si>
    <r>
      <t xml:space="preserve">Number of New Respondents </t>
    </r>
    <r>
      <rPr>
        <vertAlign val="superscript"/>
        <sz val="10"/>
        <color rgb="FF000000"/>
        <rFont val="Times New Roman"/>
        <family val="1"/>
      </rPr>
      <t>a</t>
    </r>
  </si>
  <si>
    <r>
      <t xml:space="preserve">Number of Respondents  with O&amp;M </t>
    </r>
    <r>
      <rPr>
        <vertAlign val="superscript"/>
        <sz val="10"/>
        <color rgb="FF000000"/>
        <rFont val="Times New Roman"/>
        <family val="1"/>
      </rPr>
      <t>b</t>
    </r>
  </si>
  <si>
    <t>Total O&amp;M, 
(E X F)</t>
  </si>
  <si>
    <r>
      <t xml:space="preserve">CO monitors </t>
    </r>
    <r>
      <rPr>
        <vertAlign val="superscript"/>
        <sz val="10"/>
        <color theme="1"/>
        <rFont val="Times New Roman"/>
        <family val="1"/>
      </rPr>
      <t>c</t>
    </r>
  </si>
  <si>
    <r>
      <t xml:space="preserve">CPMS - small </t>
    </r>
    <r>
      <rPr>
        <vertAlign val="superscript"/>
        <sz val="10"/>
        <color theme="1"/>
        <rFont val="Times New Roman"/>
        <family val="1"/>
      </rPr>
      <t>d</t>
    </r>
  </si>
  <si>
    <r>
      <t xml:space="preserve">CPMS - large </t>
    </r>
    <r>
      <rPr>
        <vertAlign val="superscript"/>
        <sz val="10"/>
        <color theme="1"/>
        <rFont val="Times New Roman"/>
        <family val="1"/>
      </rPr>
      <t>d, e</t>
    </r>
  </si>
  <si>
    <r>
      <t xml:space="preserve">Total </t>
    </r>
    <r>
      <rPr>
        <vertAlign val="superscript"/>
        <sz val="10"/>
        <color theme="1"/>
        <rFont val="Times New Roman"/>
        <family val="1"/>
      </rPr>
      <t>f</t>
    </r>
  </si>
  <si>
    <t>*pulled from 1975.10</t>
  </si>
  <si>
    <t>*includes new sources which are exempt but have an initial notification requirement (105 per year or 315 over 3 years).</t>
  </si>
  <si>
    <t xml:space="preserve">Existing respondents include 16,025 major source stationary RICE (&gt;500 hp), 4,710 area source stationary RICE, 86,649 CI engines, 45,633 SI engines, and 446 utilities. </t>
  </si>
  <si>
    <t xml:space="preserve">*New respondents include 769 major source non-exempt stationary RICE (&gt;500 hp), 105 major source exempt stationary RICE (&gt;500 hp), and 410 area source stationary RICE. </t>
  </si>
  <si>
    <t>*Adds existing (cellN43) to new major (non-exempt) (cellN37)*3 years</t>
  </si>
  <si>
    <t>*Adds existing (cellN44) to new area (cellN39)*3 years</t>
  </si>
  <si>
    <t>*pulled from 1975.10 - note only 60,654 submit semiannual reports, remaing 25,995 submit annual reports</t>
  </si>
  <si>
    <r>
      <t xml:space="preserve">Total cost per year </t>
    </r>
    <r>
      <rPr>
        <b/>
        <vertAlign val="superscript"/>
        <sz val="10"/>
        <rFont val="Times New Roman"/>
        <family val="1"/>
      </rPr>
      <t>b</t>
    </r>
    <r>
      <rPr>
        <b/>
        <sz val="10"/>
        <rFont val="Times New Roman"/>
        <family val="1"/>
      </rPr>
      <t xml:space="preserve"> ($)</t>
    </r>
  </si>
  <si>
    <r>
      <t xml:space="preserve">TOTAL LABOR BURDEN AND COSTS (rounded) </t>
    </r>
    <r>
      <rPr>
        <b/>
        <vertAlign val="superscript"/>
        <sz val="10"/>
        <rFont val="Times New Roman"/>
        <family val="1"/>
      </rPr>
      <t>i</t>
    </r>
  </si>
  <si>
    <r>
      <t xml:space="preserve">TOTAL CAPITAL AND O&amp;M COST (rounded) </t>
    </r>
    <r>
      <rPr>
        <b/>
        <vertAlign val="superscript"/>
        <sz val="10"/>
        <rFont val="Times New Roman"/>
        <family val="1"/>
      </rPr>
      <t>i</t>
    </r>
  </si>
  <si>
    <r>
      <t xml:space="preserve">GRAND TOTAL (rounded) </t>
    </r>
    <r>
      <rPr>
        <b/>
        <vertAlign val="superscript"/>
        <sz val="10"/>
        <rFont val="Times New Roman"/>
        <family val="1"/>
      </rPr>
      <t>i</t>
    </r>
  </si>
  <si>
    <r>
      <rPr>
        <vertAlign val="superscript"/>
        <sz val="10"/>
        <rFont val="Times New Roman"/>
        <family val="1"/>
      </rPr>
      <t>c</t>
    </r>
    <r>
      <rPr>
        <sz val="10"/>
        <rFont val="Times New Roman"/>
        <family val="1"/>
      </rPr>
      <t xml:space="preserve">  The estimated number of sources for these activities was obtained from EPA ICR Number 1975.04. </t>
    </r>
  </si>
  <si>
    <r>
      <rPr>
        <vertAlign val="superscript"/>
        <sz val="10"/>
        <rFont val="Times New Roman"/>
        <family val="1"/>
      </rPr>
      <t>e</t>
    </r>
    <r>
      <rPr>
        <sz val="10"/>
        <rFont val="Times New Roman"/>
        <family val="1"/>
      </rPr>
      <t xml:space="preserve">  We assume 127,022 existing sources have to write semiannual reports. This estimate includes 16,025 existing major source stationary RICE (&gt;500 hp), 4,710 existing area sources, 60,654 existing CI engines, and 45,633 existing SI engines.  </t>
    </r>
  </si>
  <si>
    <r>
      <rPr>
        <vertAlign val="superscript"/>
        <sz val="10"/>
        <rFont val="Times New Roman"/>
        <family val="1"/>
      </rPr>
      <t xml:space="preserve">f </t>
    </r>
    <r>
      <rPr>
        <sz val="10"/>
        <rFont val="Times New Roman"/>
        <family val="1"/>
      </rPr>
      <t xml:space="preserve"> We assume 25,995 existing CI engines have to complete annual reports. This estimate is based on EPA ICR Number 1975.07. </t>
    </r>
  </si>
  <si>
    <r>
      <rPr>
        <vertAlign val="superscript"/>
        <sz val="10"/>
        <rFont val="Times New Roman"/>
        <family val="1"/>
      </rPr>
      <t>g</t>
    </r>
    <r>
      <rPr>
        <sz val="10"/>
        <rFont val="Times New Roman"/>
        <family val="1"/>
      </rPr>
      <t xml:space="preserve">  We assume 446 local utilities and 16 hours per annual report, and 70 curtailment service providers with 1,000 hours per report.  This estimate is based on the January 2013 Final Rule amendment.  Reporting requirements for emergencies RICE will begin in 2016 which is the final year covered in this ICR. Therefore, we assume an average annual occurrence of 0.33 (once every three years) for this ICR. </t>
    </r>
  </si>
  <si>
    <r>
      <rPr>
        <vertAlign val="superscript"/>
        <sz val="10"/>
        <rFont val="Times New Roman"/>
        <family val="1"/>
      </rPr>
      <t>h</t>
    </r>
    <r>
      <rPr>
        <sz val="10"/>
        <rFont val="Times New Roman"/>
        <family val="1"/>
      </rPr>
      <t xml:space="preserve">  These estimates were obtained from EPA ICR Number 1975.04, 1975.05, 1975.07 and 1975.08. </t>
    </r>
  </si>
  <si>
    <r>
      <rPr>
        <vertAlign val="superscript"/>
        <sz val="10"/>
        <rFont val="Times New Roman"/>
        <family val="1"/>
      </rPr>
      <t>i</t>
    </r>
    <r>
      <rPr>
        <sz val="10"/>
        <rFont val="Times New Roman"/>
        <family val="1"/>
      </rPr>
      <t xml:space="preserve">  Totals have been rounded to 3 significant figures. Figures may not add exactly due to rounding. </t>
    </r>
  </si>
  <si>
    <r>
      <rPr>
        <vertAlign val="superscript"/>
        <sz val="10"/>
        <rFont val="Times New Roman"/>
        <family val="1"/>
      </rPr>
      <t>a</t>
    </r>
    <r>
      <rPr>
        <sz val="10"/>
        <rFont val="Times New Roman"/>
        <family val="1"/>
      </rPr>
      <t xml:space="preserve">  We estimate an average of 153,463 existing respondents and 1,284 new respondents will be subject to the standard per year over the three-year period of this ICR. The number of existing respondents include 16,025 major source stationary RICE (&gt;500 hp), 4,710 area source stationary RICE, 86,649 CI engines, 45,633 SI engines, and 446 utilities.  The number of new respondents includes 769 non-exempt major stationary RICE (&gt;500 hp), 105 exempt major stationary RICE (&gt;500 hp), and 410 area sources. </t>
    </r>
  </si>
  <si>
    <r>
      <rPr>
        <vertAlign val="superscript"/>
        <sz val="10"/>
        <rFont val="Times New Roman"/>
        <family val="1"/>
      </rPr>
      <t>b</t>
    </r>
    <r>
      <rPr>
        <sz val="10"/>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</si>
  <si>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d</t>
    </r>
    <r>
      <rPr>
        <sz val="10"/>
        <rFont val="Times New Roman"/>
        <family val="1"/>
      </rPr>
      <t xml:space="preserve">  We assume all non-exempt new sources have to complete these activities (1,284 new sources - 105 major exempt new sources = 1,179 sources). </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</si>
  <si>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</si>
  <si>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r>
      <rPr>
        <vertAlign val="superscript"/>
        <sz val="10"/>
        <color theme="1"/>
        <rFont val="Times New Roman"/>
        <family val="1"/>
      </rPr>
      <t>d</t>
    </r>
    <r>
      <rPr>
        <sz val="10"/>
        <color theme="1"/>
        <rFont val="Times New Roman"/>
        <family val="1"/>
      </rPr>
      <t xml:space="preserve">  We assume 25,995 existing CI engines, 446 local utilities, and 70 curtailment service providers have to complete annual reports. This estimate is based on EPA ICR Number 1975.07 and the January 2013 Final Rule amendment. </t>
    </r>
  </si>
  <si>
    <r>
      <rPr>
        <vertAlign val="superscript"/>
        <sz val="10"/>
        <color theme="1"/>
        <rFont val="Times New Roman"/>
        <family val="1"/>
      </rPr>
      <t>c</t>
    </r>
    <r>
      <rPr>
        <sz val="10"/>
        <color theme="1"/>
        <rFont val="Times New Roman"/>
        <family val="1"/>
      </rPr>
      <t xml:space="preserve">  We assume 127,022 existing sources have to write semiannual reports. This estimate includes 16,025 existing major source stationary RICE (&gt;500 hp), 4,710 existing area sources, 60,654 existing CI engines, and 45,633 existing SI engines. </t>
    </r>
  </si>
  <si>
    <r>
      <rPr>
        <vertAlign val="superscript"/>
        <sz val="10"/>
        <rFont val="Times New Roman"/>
        <family val="1"/>
      </rP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</si>
  <si>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rFont val="Times New Roman"/>
        <family val="1"/>
      </rPr>
      <t xml:space="preserve">a </t>
    </r>
    <r>
      <rPr>
        <sz val="10"/>
        <rFont val="Times New Roman"/>
        <family val="1"/>
      </rPr>
      <t xml:space="preserve"> We estimate an average of 153,463 existing respondents and 1,284 new respondents will be subject to the standard per year over the three-year period of this ICR. The number of existing respondents include 16,025 major source stationary RICE (&gt;500 hp), 4,710 area source stationary RICE, 86,649 CI engines, 45,633 SI engines, and 446 utilities.  The number of new respondents includes 769 non-exempt major stationary RICE (&gt;500 hp), 105 exempt major stationary RICE (&gt;500 hp), and 410 area sources. </t>
    </r>
  </si>
  <si>
    <r>
      <t>(A)
Number of New Respondents</t>
    </r>
    <r>
      <rPr>
        <vertAlign val="superscript"/>
        <sz val="10"/>
        <rFont val="Times New Roman"/>
        <family val="1"/>
      </rPr>
      <t>a</t>
    </r>
  </si>
  <si>
    <r>
      <t>(B)
Number of Existing Respondents</t>
    </r>
    <r>
      <rPr>
        <vertAlign val="superscript"/>
        <sz val="10"/>
        <rFont val="Times New Roman"/>
        <family val="1"/>
      </rPr>
      <t>b</t>
    </r>
  </si>
  <si>
    <r>
      <t>(C)
Number of Existing  Respondents that keep records but do not submit reports</t>
    </r>
    <r>
      <rPr>
        <vertAlign val="superscript"/>
        <sz val="10"/>
        <rFont val="Times New Roman"/>
        <family val="1"/>
      </rPr>
      <t>c</t>
    </r>
  </si>
  <si>
    <r>
      <rPr>
        <vertAlign val="superscript"/>
        <sz val="9"/>
        <rFont val="Times New Roman"/>
        <family val="1"/>
      </rPr>
      <t>b</t>
    </r>
    <r>
      <rPr>
        <sz val="9"/>
        <rFont val="Times New Roman"/>
        <family val="1"/>
      </rPr>
      <t xml:space="preserve">  Existing respondents include 16,025 major source stationary RICE (&gt;500 hp), 4,710 area source stationary RICE, 86,649 CI engines, 45,633 SI engines, and 446 utilities (153,463 respondents total).  </t>
    </r>
  </si>
  <si>
    <r>
      <rPr>
        <vertAlign val="superscript"/>
        <sz val="9"/>
        <rFont val="Times New Roman"/>
        <family val="1"/>
      </rPr>
      <t>c</t>
    </r>
    <r>
      <rPr>
        <sz val="9"/>
        <rFont val="Times New Roman"/>
        <family val="1"/>
      </rPr>
      <t xml:space="preserve">  Existing respondents that do not submit reports include 738,896 CI engines and 16,534 SI engines (738,896 + 16,534 = 755,430). </t>
    </r>
  </si>
  <si>
    <r>
      <rPr>
        <vertAlign val="superscript"/>
        <sz val="9"/>
        <rFont val="Times New Roman"/>
        <family val="1"/>
      </rPr>
      <t>a</t>
    </r>
    <r>
      <rPr>
        <sz val="9"/>
        <rFont val="Times New Roman"/>
        <family val="1"/>
      </rPr>
      <t xml:space="preserve">  New respondents include 769 major source non-exempt stationary RICE (&gt;500 hp), 105 major source exempt stationary RICE (&gt;500 hp), and 410 area source stationary RICE (1,284 respondents total). The 105 major source exempt stationary RICE submit an initial notification but do not submit reports. </t>
    </r>
  </si>
  <si>
    <r>
      <rPr>
        <vertAlign val="superscript"/>
        <sz val="10"/>
        <rFont val="Times New Roman"/>
        <family val="1"/>
      </rPr>
      <t xml:space="preserve">a </t>
    </r>
    <r>
      <rPr>
        <sz val="10"/>
        <rFont val="Times New Roman"/>
        <family val="1"/>
      </rPr>
      <t xml:space="preserve"> We estimate there 769 (non-exempt) new major source stationary RICE greater than 500 hp and 410 new area source stationary RICE per year.  We assume all non-exempt new sources will incur capital costs.  (769 + 410 = 1,179 sources) There are an additional 105 exempt new major stationary RICE sources. </t>
    </r>
  </si>
  <si>
    <r>
      <rPr>
        <vertAlign val="superscript"/>
        <sz val="10"/>
        <rFont val="Times New Roman"/>
        <family val="1"/>
      </rPr>
      <t>b</t>
    </r>
    <r>
      <rPr>
        <sz val="10"/>
        <rFont val="Times New Roman"/>
        <family val="1"/>
      </rPr>
      <t xml:space="preserve">  We estimate an average of 16,025 existing major source stationary RICE greater than 500 hp and 4,710 existing area source stationary RICE per year will have O&amp;M costs over the three-year period of this ICR. (16,025 + 4,710 = 20,735 sources)</t>
    </r>
  </si>
  <si>
    <r>
      <rPr>
        <vertAlign val="superscript"/>
        <sz val="10"/>
        <rFont val="Times New Roman"/>
        <family val="1"/>
      </rPr>
      <t xml:space="preserve">c </t>
    </r>
    <r>
      <rPr>
        <sz val="10"/>
        <rFont val="Times New Roman"/>
        <family val="1"/>
      </rPr>
      <t xml:space="preserve"> Each facility can purchase one portable CO monitor and use it for several stationary RICE.</t>
    </r>
  </si>
  <si>
    <r>
      <rPr>
        <vertAlign val="superscript"/>
        <sz val="10"/>
        <rFont val="Times New Roman"/>
        <family val="1"/>
      </rPr>
      <t>d</t>
    </r>
    <r>
      <rPr>
        <sz val="10"/>
        <rFont val="Times New Roman"/>
        <family val="1"/>
      </rPr>
      <t xml:space="preserve">  CPMS – continuous parameter monitoring system for temperature monitoring and monthly pressure drop measurement.</t>
    </r>
  </si>
  <si>
    <r>
      <rPr>
        <vertAlign val="superscript"/>
        <sz val="10"/>
        <rFont val="Times New Roman"/>
        <family val="1"/>
      </rPr>
      <t>f</t>
    </r>
    <r>
      <rPr>
        <sz val="10"/>
        <rFont val="Times New Roman"/>
        <family val="1"/>
      </rPr>
      <t xml:space="preserve">  Totals have been rounded to 3 significant figures. Figures may not add exactly due to rounding.</t>
    </r>
  </si>
  <si>
    <r>
      <rPr>
        <vertAlign val="superscript"/>
        <sz val="10"/>
        <rFont val="Times New Roman"/>
        <family val="1"/>
      </rPr>
      <t>e</t>
    </r>
    <r>
      <rPr>
        <sz val="10"/>
        <rFont val="Times New Roman"/>
        <family val="1"/>
      </rPr>
      <t xml:space="preserve">  We assume that only 366 of the 769 new (non-exempt) major source stationary RICE (&gt;500 hp) have to additionally purchase large CPMS.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</si>
</sst>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0.0"/>
    <numFmt numFmtId="166" formatCode="&quot;$&quot;#,##0"/>
    <numFmt numFmtId="167" formatCode="0.0"/>
  </numFmts>
  <fonts count="25" x14ac:knownFonts="1">
    <font>
      <sz val="10"/>
      <color theme="1"/>
      <name val="Arial"/>
      <family val="2"/>
    </font>
    <font>
      <sz val="10"/>
      <color theme="1"/>
      <name val="Times New Roman"/>
      <family val="1"/>
    </font>
    <font>
      <b/>
      <sz val="12"/>
      <color theme="1"/>
      <name val="Times New Roman"/>
      <family val="1"/>
    </font>
    <font>
      <sz val="10"/>
      <name val="Times New Roman"/>
      <family val="1"/>
    </font>
    <font>
      <b/>
      <sz val="10"/>
      <color theme="1"/>
      <name val="Times New Roman"/>
      <family val="1"/>
    </font>
    <font>
      <b/>
      <sz val="10"/>
      <name val="Times New Roman"/>
      <family val="1"/>
    </font>
    <font>
      <b/>
      <vertAlign val="superscript"/>
      <sz val="10"/>
      <name val="Times New Roman"/>
      <family val="1"/>
    </font>
    <font>
      <sz val="10"/>
      <color indexed="8"/>
      <name val="Times New Roman"/>
      <family val="1"/>
    </font>
    <font>
      <vertAlign val="superscript"/>
      <sz val="10"/>
      <name val="Times New Roman"/>
      <family val="1"/>
    </font>
    <font>
      <sz val="9"/>
      <color indexed="81"/>
      <name val="Tahoma"/>
      <family val="2"/>
    </font>
    <font>
      <b/>
      <sz val="9"/>
      <color indexed="81"/>
      <name val="Tahoma"/>
      <family val="2"/>
    </font>
    <font>
      <sz val="10"/>
      <name val="Arial"/>
      <family val="2"/>
    </font>
    <font>
      <b/>
      <sz val="12"/>
      <name val="Times New Roman"/>
      <family val="1"/>
    </font>
    <font>
      <u/>
      <sz val="10"/>
      <name val="Times New Roman"/>
      <family val="1"/>
    </font>
    <font>
      <b/>
      <i/>
      <sz val="10"/>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sz val="10"/>
      <color rgb="FF000000"/>
      <name val="Times New Roman"/>
      <family val="1"/>
    </font>
    <font>
      <sz val="10"/>
      <color rgb="FFFF0000"/>
      <name val="Times New Roman"/>
      <family val="1"/>
    </font>
    <font>
      <sz val="9"/>
      <color rgb="FFFF0000"/>
      <name val="Times New Roman"/>
      <family val="1"/>
    </font>
    <font>
      <b/>
      <sz val="10"/>
      <color rgb="FFFF0000"/>
      <name val="Times New Roman"/>
      <family val="1"/>
    </font>
    <font>
      <sz val="9"/>
      <name val="Times New Roman"/>
      <family val="1"/>
    </font>
    <font>
      <vertAlign val="superscript"/>
      <sz val="9"/>
      <name val="Times New Roman"/>
      <family val="1"/>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93">
    <xf numFmtId="0" fontId="0" fillId="0" borderId="0" xfId="0"/>
    <xf numFmtId="0" fontId="1" fillId="0" borderId="0" xfId="0" applyFont="1" applyFill="1"/>
    <xf numFmtId="0" fontId="3" fillId="0" borderId="0" xfId="0" applyNumberFormat="1" applyFont="1" applyFill="1" applyAlignment="1"/>
    <xf numFmtId="0" fontId="5" fillId="0" borderId="1"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0" fontId="3" fillId="0" borderId="0" xfId="0" applyNumberFormat="1" applyFont="1" applyFill="1" applyAlignment="1">
      <alignment wrapText="1"/>
    </xf>
    <xf numFmtId="0" fontId="5" fillId="0" borderId="1" xfId="0" applyNumberFormat="1" applyFont="1" applyFill="1" applyBorder="1" applyAlignment="1">
      <alignment horizontal="center" wrapText="1"/>
    </xf>
    <xf numFmtId="0" fontId="3" fillId="0" borderId="0" xfId="0" applyNumberFormat="1" applyFont="1" applyAlignment="1">
      <alignment wrapText="1"/>
    </xf>
    <xf numFmtId="0" fontId="1" fillId="0" borderId="1" xfId="0" applyFont="1" applyFill="1" applyBorder="1" applyAlignment="1">
      <alignment horizontal="center" vertical="top" wrapText="1"/>
    </xf>
    <xf numFmtId="0" fontId="4" fillId="0" borderId="1" xfId="0" applyFont="1" applyFill="1" applyBorder="1" applyAlignment="1">
      <alignment wrapText="1"/>
    </xf>
    <xf numFmtId="0" fontId="1" fillId="0" borderId="1" xfId="0" applyFont="1" applyFill="1" applyBorder="1" applyAlignment="1">
      <alignment vertical="top" wrapText="1"/>
    </xf>
    <xf numFmtId="0" fontId="3" fillId="0" borderId="0" xfId="0" applyFont="1"/>
    <xf numFmtId="0" fontId="3" fillId="0" borderId="0" xfId="0" applyFont="1" applyFill="1"/>
    <xf numFmtId="4" fontId="5" fillId="0" borderId="1" xfId="0" applyNumberFormat="1" applyFont="1" applyFill="1" applyBorder="1" applyAlignment="1">
      <alignment horizontal="center"/>
    </xf>
    <xf numFmtId="4" fontId="5" fillId="0" borderId="1" xfId="0" applyNumberFormat="1" applyFont="1" applyFill="1" applyBorder="1" applyAlignment="1">
      <alignment horizontal="center" wrapText="1"/>
    </xf>
    <xf numFmtId="4" fontId="3" fillId="0" borderId="0" xfId="0" applyNumberFormat="1" applyFont="1"/>
    <xf numFmtId="4" fontId="3" fillId="0" borderId="0" xfId="0" applyNumberFormat="1" applyFont="1" applyFill="1"/>
    <xf numFmtId="3" fontId="3" fillId="0" borderId="0" xfId="0" applyNumberFormat="1" applyFont="1" applyFill="1"/>
    <xf numFmtId="0" fontId="2" fillId="0" borderId="0" xfId="0" applyFont="1" applyFill="1" applyAlignment="1"/>
    <xf numFmtId="0" fontId="5" fillId="0" borderId="1" xfId="0" applyNumberFormat="1" applyFont="1" applyFill="1" applyBorder="1" applyAlignment="1">
      <alignment horizontal="center" vertical="center"/>
    </xf>
    <xf numFmtId="0" fontId="7" fillId="0" borderId="0" xfId="0" applyFont="1" applyFill="1" applyBorder="1" applyAlignment="1">
      <alignment horizontal="center"/>
    </xf>
    <xf numFmtId="0" fontId="3" fillId="0" borderId="0" xfId="0" applyNumberFormat="1" applyFont="1" applyFill="1" applyBorder="1" applyAlignment="1"/>
    <xf numFmtId="0" fontId="1" fillId="0" borderId="1" xfId="0" applyFont="1" applyFill="1" applyBorder="1" applyAlignment="1">
      <alignment horizontal="right" vertical="top" wrapText="1"/>
    </xf>
    <xf numFmtId="0" fontId="1" fillId="0" borderId="1" xfId="0" applyFont="1" applyFill="1" applyBorder="1" applyAlignment="1">
      <alignment wrapText="1"/>
    </xf>
    <xf numFmtId="0" fontId="5" fillId="0" borderId="1" xfId="0" applyNumberFormat="1" applyFont="1" applyFill="1" applyBorder="1" applyAlignment="1">
      <alignment horizontal="center" wrapText="1"/>
    </xf>
    <xf numFmtId="0" fontId="3" fillId="0" borderId="1" xfId="0" applyFont="1" applyBorder="1" applyAlignment="1">
      <alignment horizontal="center" vertical="top" wrapText="1"/>
    </xf>
    <xf numFmtId="0" fontId="1" fillId="0" borderId="0" xfId="0" applyFont="1" applyAlignment="1">
      <alignment horizontal="right"/>
    </xf>
    <xf numFmtId="3" fontId="3" fillId="0" borderId="5" xfId="0" applyNumberFormat="1" applyFont="1" applyFill="1" applyBorder="1" applyAlignment="1">
      <alignment horizontal="right" vertical="top" wrapText="1"/>
    </xf>
    <xf numFmtId="0" fontId="1" fillId="0" borderId="0" xfId="0" quotePrefix="1" applyFont="1" applyAlignment="1">
      <alignment horizontal="left"/>
    </xf>
    <xf numFmtId="0" fontId="3" fillId="0" borderId="1" xfId="0" applyFont="1" applyBorder="1"/>
    <xf numFmtId="0" fontId="3" fillId="0" borderId="1" xfId="0" applyFont="1" applyBorder="1" applyAlignment="1"/>
    <xf numFmtId="164" fontId="3" fillId="0" borderId="1" xfId="0" applyNumberFormat="1" applyFont="1" applyBorder="1" applyAlignment="1"/>
    <xf numFmtId="0" fontId="3" fillId="0" borderId="1" xfId="0" applyFont="1" applyBorder="1" applyAlignment="1">
      <alignment horizontal="center"/>
    </xf>
    <xf numFmtId="0" fontId="3" fillId="0" borderId="1" xfId="0" applyFont="1" applyFill="1" applyBorder="1" applyAlignment="1">
      <alignment horizontal="center" vertical="top" wrapText="1"/>
    </xf>
    <xf numFmtId="3" fontId="3" fillId="0" borderId="1" xfId="0" applyNumberFormat="1" applyFont="1" applyFill="1" applyBorder="1" applyAlignment="1">
      <alignment horizontal="center" vertical="top" wrapText="1"/>
    </xf>
    <xf numFmtId="0" fontId="5" fillId="0" borderId="1" xfId="0" applyFont="1" applyFill="1" applyBorder="1" applyAlignment="1">
      <alignment wrapText="1"/>
    </xf>
    <xf numFmtId="0" fontId="12" fillId="0" borderId="0" xfId="0" applyFont="1" applyFill="1"/>
    <xf numFmtId="0" fontId="5" fillId="0" borderId="0" xfId="0" applyFont="1"/>
    <xf numFmtId="3" fontId="3" fillId="0" borderId="1" xfId="0" applyNumberFormat="1" applyFont="1" applyBorder="1" applyAlignment="1">
      <alignment horizontal="right"/>
    </xf>
    <xf numFmtId="3" fontId="3" fillId="0" borderId="1" xfId="0" quotePrefix="1" applyNumberFormat="1" applyFont="1" applyBorder="1" applyAlignment="1">
      <alignment horizontal="right"/>
    </xf>
    <xf numFmtId="0" fontId="5" fillId="0" borderId="6" xfId="0" applyFont="1" applyBorder="1"/>
    <xf numFmtId="0" fontId="3" fillId="0" borderId="7" xfId="0" applyFont="1" applyBorder="1"/>
    <xf numFmtId="3" fontId="3" fillId="0" borderId="7" xfId="0" applyNumberFormat="1" applyFont="1" applyBorder="1"/>
    <xf numFmtId="0" fontId="13" fillId="0" borderId="7" xfId="0" applyFont="1" applyBorder="1" applyAlignment="1">
      <alignment horizontal="center"/>
    </xf>
    <xf numFmtId="0" fontId="13" fillId="0" borderId="8" xfId="0" applyFont="1" applyBorder="1" applyAlignment="1">
      <alignment horizontal="center"/>
    </xf>
    <xf numFmtId="0" fontId="3" fillId="0" borderId="5" xfId="0" applyFont="1" applyBorder="1"/>
    <xf numFmtId="0" fontId="3" fillId="0" borderId="0" xfId="0" applyFont="1" applyBorder="1"/>
    <xf numFmtId="3" fontId="3" fillId="0" borderId="0" xfId="0" applyNumberFormat="1" applyFont="1" applyBorder="1"/>
    <xf numFmtId="166" fontId="3" fillId="0" borderId="0" xfId="0" applyNumberFormat="1" applyFont="1" applyBorder="1"/>
    <xf numFmtId="166" fontId="3" fillId="0" borderId="9" xfId="0" quotePrefix="1" applyNumberFormat="1" applyFont="1" applyBorder="1"/>
    <xf numFmtId="166" fontId="3" fillId="0" borderId="0" xfId="0" quotePrefix="1" applyNumberFormat="1" applyFont="1" applyBorder="1"/>
    <xf numFmtId="166" fontId="3" fillId="0" borderId="9" xfId="0" applyNumberFormat="1" applyFont="1" applyBorder="1"/>
    <xf numFmtId="0" fontId="3" fillId="0" borderId="10" xfId="0" applyFont="1" applyBorder="1"/>
    <xf numFmtId="0" fontId="3" fillId="0" borderId="11" xfId="0" applyFont="1" applyBorder="1"/>
    <xf numFmtId="3" fontId="3" fillId="0" borderId="11" xfId="0" applyNumberFormat="1" applyFont="1" applyBorder="1"/>
    <xf numFmtId="0" fontId="3" fillId="0" borderId="9" xfId="0" applyFont="1" applyBorder="1"/>
    <xf numFmtId="0" fontId="13" fillId="0" borderId="0" xfId="0" applyFont="1" applyAlignment="1">
      <alignment horizontal="center"/>
    </xf>
    <xf numFmtId="0" fontId="3" fillId="2" borderId="1" xfId="0" applyFont="1" applyFill="1" applyBorder="1" applyAlignment="1">
      <alignment horizontal="center"/>
    </xf>
    <xf numFmtId="3" fontId="3" fillId="2" borderId="1" xfId="0" applyNumberFormat="1" applyFont="1" applyFill="1" applyBorder="1" applyAlignment="1">
      <alignment horizontal="right"/>
    </xf>
    <xf numFmtId="0" fontId="3" fillId="2" borderId="1" xfId="0" applyFont="1" applyFill="1" applyBorder="1"/>
    <xf numFmtId="166" fontId="3" fillId="0" borderId="11" xfId="0" applyNumberFormat="1" applyFont="1" applyBorder="1"/>
    <xf numFmtId="166" fontId="3" fillId="0" borderId="12" xfId="0" applyNumberFormat="1" applyFont="1" applyBorder="1"/>
    <xf numFmtId="0" fontId="3" fillId="0" borderId="7" xfId="0" applyFont="1" applyBorder="1" applyAlignment="1"/>
    <xf numFmtId="0" fontId="3" fillId="0" borderId="8" xfId="0" applyFont="1" applyBorder="1" applyAlignment="1"/>
    <xf numFmtId="0" fontId="3" fillId="0" borderId="0" xfId="0" applyFont="1" applyBorder="1" applyAlignment="1">
      <alignment horizontal="center"/>
    </xf>
    <xf numFmtId="0" fontId="3" fillId="0" borderId="12" xfId="0" applyFont="1" applyBorder="1"/>
    <xf numFmtId="6" fontId="3" fillId="0" borderId="0" xfId="0" applyNumberFormat="1" applyFont="1"/>
    <xf numFmtId="0" fontId="3" fillId="0" borderId="0" xfId="0" quotePrefix="1" applyFont="1"/>
    <xf numFmtId="2" fontId="3" fillId="0" borderId="1" xfId="0" applyNumberFormat="1" applyFont="1" applyBorder="1" applyAlignment="1">
      <alignment horizontal="center"/>
    </xf>
    <xf numFmtId="4" fontId="3" fillId="0" borderId="1" xfId="0" applyNumberFormat="1" applyFont="1" applyBorder="1" applyAlignment="1">
      <alignment horizontal="center"/>
    </xf>
    <xf numFmtId="3" fontId="3" fillId="0" borderId="1" xfId="0" applyNumberFormat="1" applyFont="1" applyBorder="1" applyAlignment="1">
      <alignment horizontal="center"/>
    </xf>
    <xf numFmtId="165" fontId="3" fillId="0" borderId="1" xfId="0" applyNumberFormat="1" applyFont="1" applyBorder="1" applyAlignment="1">
      <alignment horizontal="center"/>
    </xf>
    <xf numFmtId="1" fontId="3" fillId="0" borderId="1" xfId="0" applyNumberFormat="1" applyFont="1" applyBorder="1" applyAlignment="1">
      <alignment horizontal="center"/>
    </xf>
    <xf numFmtId="3" fontId="3" fillId="0" borderId="1" xfId="0" applyNumberFormat="1" applyFont="1" applyFill="1" applyBorder="1" applyAlignment="1">
      <alignment horizontal="center"/>
    </xf>
    <xf numFmtId="3" fontId="1" fillId="0" borderId="0" xfId="0" applyNumberFormat="1" applyFont="1" applyFill="1"/>
    <xf numFmtId="0" fontId="3" fillId="0" borderId="1" xfId="0" applyFont="1" applyBorder="1" applyAlignment="1">
      <alignment wrapText="1"/>
    </xf>
    <xf numFmtId="0" fontId="3" fillId="0" borderId="1" xfId="0" applyFont="1" applyFill="1" applyBorder="1" applyAlignment="1">
      <alignment horizontal="center" wrapText="1"/>
    </xf>
    <xf numFmtId="3" fontId="3" fillId="0" borderId="1" xfId="0" applyNumberFormat="1" applyFont="1" applyFill="1" applyBorder="1" applyAlignment="1">
      <alignment horizontal="center" wrapText="1"/>
    </xf>
    <xf numFmtId="0" fontId="3" fillId="0" borderId="1" xfId="0" applyFont="1" applyFill="1" applyBorder="1" applyAlignment="1">
      <alignment horizontal="left" vertical="top" wrapText="1"/>
    </xf>
    <xf numFmtId="166" fontId="5" fillId="0" borderId="12" xfId="0" applyNumberFormat="1" applyFont="1" applyBorder="1"/>
    <xf numFmtId="164" fontId="3" fillId="0" borderId="1" xfId="0" applyNumberFormat="1" applyFont="1" applyFill="1" applyBorder="1" applyAlignment="1">
      <alignment horizontal="right" wrapText="1"/>
    </xf>
    <xf numFmtId="164" fontId="3" fillId="0" borderId="1" xfId="0" applyNumberFormat="1" applyFont="1" applyFill="1" applyBorder="1" applyAlignment="1">
      <alignment horizontal="right" vertical="top" wrapText="1"/>
    </xf>
    <xf numFmtId="166" fontId="4" fillId="0" borderId="1" xfId="0" applyNumberFormat="1" applyFont="1" applyFill="1" applyBorder="1" applyAlignment="1">
      <alignment horizontal="right" wrapText="1"/>
    </xf>
    <xf numFmtId="0" fontId="5" fillId="0" borderId="6" xfId="0" quotePrefix="1" applyFont="1" applyFill="1" applyBorder="1" applyAlignment="1">
      <alignment horizontal="center"/>
    </xf>
    <xf numFmtId="0" fontId="3" fillId="0" borderId="7" xfId="0" applyFont="1" applyFill="1" applyBorder="1"/>
    <xf numFmtId="3" fontId="5" fillId="0" borderId="7" xfId="0" applyNumberFormat="1"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3" fillId="0" borderId="5" xfId="0" applyFont="1" applyFill="1" applyBorder="1"/>
    <xf numFmtId="0" fontId="3" fillId="0" borderId="0" xfId="0" applyFont="1" applyFill="1" applyBorder="1" applyAlignment="1">
      <alignment horizontal="left" indent="2"/>
    </xf>
    <xf numFmtId="3" fontId="3" fillId="0" borderId="0" xfId="0" applyNumberFormat="1" applyFont="1" applyFill="1" applyBorder="1"/>
    <xf numFmtId="0" fontId="3" fillId="0" borderId="0" xfId="0" applyFont="1" applyFill="1" applyBorder="1"/>
    <xf numFmtId="166" fontId="3" fillId="0" borderId="0" xfId="0" applyNumberFormat="1" applyFont="1" applyFill="1" applyBorder="1"/>
    <xf numFmtId="166" fontId="3" fillId="0" borderId="9" xfId="0" applyNumberFormat="1" applyFont="1" applyFill="1" applyBorder="1"/>
    <xf numFmtId="6" fontId="3" fillId="0" borderId="5" xfId="0" applyNumberFormat="1" applyFont="1" applyFill="1" applyBorder="1"/>
    <xf numFmtId="0" fontId="3" fillId="0" borderId="9" xfId="0" applyFont="1" applyFill="1" applyBorder="1"/>
    <xf numFmtId="3" fontId="5" fillId="0" borderId="0" xfId="0" applyNumberFormat="1" applyFont="1" applyFill="1" applyBorder="1"/>
    <xf numFmtId="6" fontId="3" fillId="0" borderId="10" xfId="0" applyNumberFormat="1" applyFont="1" applyFill="1" applyBorder="1"/>
    <xf numFmtId="0" fontId="3" fillId="0" borderId="11" xfId="0" applyFont="1" applyFill="1" applyBorder="1" applyAlignment="1">
      <alignment wrapText="1"/>
    </xf>
    <xf numFmtId="3" fontId="5" fillId="0" borderId="11" xfId="0" applyNumberFormat="1" applyFont="1" applyFill="1" applyBorder="1"/>
    <xf numFmtId="0" fontId="3" fillId="0" borderId="11" xfId="0" applyFont="1" applyFill="1" applyBorder="1"/>
    <xf numFmtId="0" fontId="3" fillId="0" borderId="12" xfId="0" applyFont="1" applyFill="1" applyBorder="1"/>
    <xf numFmtId="6" fontId="3" fillId="0" borderId="2" xfId="0" applyNumberFormat="1" applyFont="1" applyFill="1" applyBorder="1"/>
    <xf numFmtId="0" fontId="3" fillId="0" borderId="3" xfId="0" applyFont="1" applyFill="1" applyBorder="1"/>
    <xf numFmtId="3" fontId="3" fillId="0" borderId="3" xfId="0" applyNumberFormat="1" applyFont="1" applyFill="1" applyBorder="1"/>
    <xf numFmtId="0" fontId="3" fillId="0" borderId="4" xfId="0" applyFont="1" applyFill="1" applyBorder="1"/>
    <xf numFmtId="0" fontId="3" fillId="0" borderId="1" xfId="0" applyFont="1" applyFill="1" applyBorder="1" applyAlignment="1">
      <alignment horizontal="center"/>
    </xf>
    <xf numFmtId="0" fontId="5" fillId="0" borderId="10" xfId="0" applyFont="1" applyFill="1" applyBorder="1"/>
    <xf numFmtId="0" fontId="3" fillId="0" borderId="1" xfId="0" applyFont="1" applyFill="1" applyBorder="1" applyAlignment="1">
      <alignment horizontal="left" wrapText="1" indent="2"/>
    </xf>
    <xf numFmtId="0" fontId="5" fillId="0" borderId="2" xfId="0" applyFont="1" applyFill="1" applyBorder="1"/>
    <xf numFmtId="0" fontId="14" fillId="0" borderId="1" xfId="0" applyFont="1" applyFill="1" applyBorder="1" applyAlignment="1">
      <alignment horizontal="left" vertical="center" wrapText="1"/>
    </xf>
    <xf numFmtId="166" fontId="5" fillId="0" borderId="4" xfId="0" applyNumberFormat="1" applyFont="1" applyBorder="1"/>
    <xf numFmtId="166" fontId="5" fillId="0" borderId="1" xfId="0" applyNumberFormat="1" applyFont="1" applyFill="1" applyBorder="1" applyAlignment="1">
      <alignment horizontal="right" wrapText="1"/>
    </xf>
    <xf numFmtId="166" fontId="14" fillId="0" borderId="1" xfId="0" applyNumberFormat="1" applyFont="1" applyFill="1" applyBorder="1" applyAlignment="1">
      <alignment horizontal="right" wrapText="1"/>
    </xf>
    <xf numFmtId="4" fontId="3" fillId="0" borderId="1" xfId="0" applyNumberFormat="1" applyFont="1" applyBorder="1" applyAlignment="1">
      <alignment horizontal="right"/>
    </xf>
    <xf numFmtId="164" fontId="3" fillId="0" borderId="1" xfId="0" applyNumberFormat="1" applyFont="1" applyBorder="1" applyAlignment="1">
      <alignment horizontal="right"/>
    </xf>
    <xf numFmtId="0" fontId="5" fillId="0" borderId="0" xfId="0" applyFont="1" applyFill="1"/>
    <xf numFmtId="0" fontId="3" fillId="0" borderId="13" xfId="0" applyFont="1" applyBorder="1" applyAlignment="1"/>
    <xf numFmtId="164" fontId="7" fillId="0" borderId="1" xfId="0" applyNumberFormat="1" applyFont="1" applyFill="1" applyBorder="1" applyAlignment="1">
      <alignment horizontal="right"/>
    </xf>
    <xf numFmtId="0" fontId="4" fillId="0" borderId="0" xfId="0" applyFont="1" applyFill="1"/>
    <xf numFmtId="0" fontId="3" fillId="0" borderId="1" xfId="0" applyFont="1" applyBorder="1" applyAlignment="1">
      <alignment horizontal="left" wrapText="1" indent="1"/>
    </xf>
    <xf numFmtId="0" fontId="3" fillId="0" borderId="1" xfId="0" applyFont="1" applyFill="1" applyBorder="1" applyAlignment="1">
      <alignment horizontal="left" wrapText="1" indent="1"/>
    </xf>
    <xf numFmtId="0" fontId="3" fillId="0" borderId="1" xfId="0" applyFont="1" applyBorder="1" applyAlignment="1">
      <alignment horizontal="left" wrapText="1" indent="2"/>
    </xf>
    <xf numFmtId="0" fontId="3" fillId="0" borderId="1" xfId="0" applyFont="1" applyBorder="1" applyAlignment="1">
      <alignment horizontal="left" wrapText="1" indent="3"/>
    </xf>
    <xf numFmtId="0" fontId="3" fillId="0" borderId="1" xfId="0" applyFont="1" applyFill="1" applyBorder="1" applyAlignment="1">
      <alignment horizontal="left" wrapText="1" indent="3"/>
    </xf>
    <xf numFmtId="0" fontId="3" fillId="0" borderId="0" xfId="0" applyFont="1" applyFill="1" applyBorder="1" applyAlignment="1">
      <alignment vertical="top" wrapText="1"/>
    </xf>
    <xf numFmtId="166" fontId="14" fillId="0" borderId="1" xfId="0" applyNumberFormat="1" applyFont="1" applyFill="1" applyBorder="1" applyAlignment="1">
      <alignment horizontal="right" vertical="center" wrapText="1"/>
    </xf>
    <xf numFmtId="0" fontId="3" fillId="0" borderId="8" xfId="0" applyFont="1" applyBorder="1"/>
    <xf numFmtId="0" fontId="16" fillId="0" borderId="1" xfId="0" applyFont="1" applyBorder="1" applyAlignment="1">
      <alignment horizontal="center" vertical="center" wrapText="1"/>
    </xf>
    <xf numFmtId="0" fontId="1" fillId="0" borderId="0" xfId="0" applyFont="1"/>
    <xf numFmtId="0" fontId="1" fillId="0" borderId="1" xfId="0" applyFont="1" applyBorder="1"/>
    <xf numFmtId="6" fontId="1" fillId="0" borderId="1" xfId="0" applyNumberFormat="1" applyFont="1" applyBorder="1"/>
    <xf numFmtId="3" fontId="1" fillId="0" borderId="1" xfId="0" applyNumberFormat="1" applyFont="1" applyBorder="1"/>
    <xf numFmtId="0" fontId="19" fillId="0" borderId="1" xfId="0" applyFont="1" applyBorder="1" applyAlignment="1">
      <alignment vertical="top" wrapText="1"/>
    </xf>
    <xf numFmtId="0" fontId="1" fillId="0" borderId="1" xfId="0" applyFont="1" applyBorder="1" applyAlignment="1">
      <alignment horizontal="center" vertical="top" wrapText="1"/>
    </xf>
    <xf numFmtId="3" fontId="3" fillId="0" borderId="1" xfId="0" applyNumberFormat="1" applyFont="1" applyBorder="1" applyAlignment="1">
      <alignment horizontal="center" vertical="top" wrapText="1"/>
    </xf>
    <xf numFmtId="0" fontId="16" fillId="0" borderId="1" xfId="0" applyFont="1" applyFill="1" applyBorder="1" applyAlignment="1">
      <alignment vertical="top" wrapText="1"/>
    </xf>
    <xf numFmtId="0" fontId="20" fillId="0" borderId="1" xfId="0" applyFont="1" applyBorder="1" applyAlignment="1">
      <alignment vertical="top" wrapText="1"/>
    </xf>
    <xf numFmtId="0" fontId="20" fillId="0" borderId="0" xfId="0" applyFont="1" applyFill="1" applyBorder="1" applyAlignment="1">
      <alignment vertical="top"/>
    </xf>
    <xf numFmtId="6" fontId="1" fillId="0" borderId="0" xfId="0" applyNumberFormat="1" applyFont="1"/>
    <xf numFmtId="167" fontId="3" fillId="0" borderId="0" xfId="0" applyNumberFormat="1" applyFont="1" applyAlignment="1">
      <alignment horizontal="center"/>
    </xf>
    <xf numFmtId="0" fontId="3" fillId="0" borderId="1" xfId="0" applyFont="1" applyFill="1" applyBorder="1" applyAlignment="1">
      <alignment horizontal="left" indent="2"/>
    </xf>
    <xf numFmtId="0" fontId="5" fillId="0" borderId="1" xfId="0" applyNumberFormat="1" applyFont="1" applyFill="1" applyBorder="1" applyAlignment="1">
      <alignment horizontal="center" wrapText="1"/>
    </xf>
    <xf numFmtId="0" fontId="20" fillId="0" borderId="0" xfId="0" applyFont="1"/>
    <xf numFmtId="0" fontId="20" fillId="0" borderId="0" xfId="0" applyFont="1" applyFill="1" applyBorder="1"/>
    <xf numFmtId="0" fontId="20" fillId="0" borderId="7" xfId="0" applyFont="1" applyBorder="1"/>
    <xf numFmtId="0" fontId="20" fillId="0" borderId="0" xfId="0" applyFont="1" applyBorder="1"/>
    <xf numFmtId="3" fontId="20" fillId="0" borderId="0" xfId="0" applyNumberFormat="1" applyFont="1" applyBorder="1"/>
    <xf numFmtId="6" fontId="22" fillId="0" borderId="6" xfId="0" quotePrefix="1" applyNumberFormat="1" applyFont="1" applyBorder="1" applyAlignment="1">
      <alignment horizontal="center"/>
    </xf>
    <xf numFmtId="3" fontId="22" fillId="0" borderId="7" xfId="0" applyNumberFormat="1" applyFont="1" applyBorder="1"/>
    <xf numFmtId="6" fontId="20" fillId="0" borderId="5" xfId="0" applyNumberFormat="1" applyFont="1" applyBorder="1"/>
    <xf numFmtId="0" fontId="20" fillId="0" borderId="0" xfId="0" applyFont="1" applyBorder="1" applyAlignment="1">
      <alignment wrapText="1"/>
    </xf>
    <xf numFmtId="3" fontId="22" fillId="0" borderId="0" xfId="0" applyNumberFormat="1" applyFont="1" applyBorder="1"/>
    <xf numFmtId="6" fontId="20" fillId="0" borderId="10" xfId="0" applyNumberFormat="1" applyFont="1" applyBorder="1"/>
    <xf numFmtId="0" fontId="20" fillId="0" borderId="11" xfId="0" applyFont="1" applyBorder="1"/>
    <xf numFmtId="3" fontId="20" fillId="0" borderId="11" xfId="0" applyNumberFormat="1" applyFont="1" applyBorder="1"/>
    <xf numFmtId="3" fontId="3" fillId="0" borderId="0" xfId="0" applyNumberFormat="1" applyFont="1"/>
    <xf numFmtId="3" fontId="20" fillId="0" borderId="0" xfId="0" applyNumberFormat="1" applyFont="1" applyFill="1" applyBorder="1"/>
    <xf numFmtId="0" fontId="21"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1" fillId="0" borderId="0" xfId="0" applyFont="1" applyFill="1" applyBorder="1"/>
    <xf numFmtId="3" fontId="20" fillId="0" borderId="0" xfId="0" quotePrefix="1" applyNumberFormat="1" applyFont="1" applyFill="1" applyBorder="1"/>
    <xf numFmtId="3" fontId="21" fillId="0" borderId="0" xfId="0" applyNumberFormat="1"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1" xfId="0" applyFont="1" applyFill="1" applyBorder="1"/>
    <xf numFmtId="0" fontId="3" fillId="0" borderId="0" xfId="0" applyFont="1" applyAlignment="1">
      <alignment horizontal="left" vertical="top"/>
    </xf>
    <xf numFmtId="0" fontId="3" fillId="0" borderId="0" xfId="0" applyFont="1" applyFill="1" applyAlignment="1">
      <alignment horizontal="left" vertical="top"/>
    </xf>
    <xf numFmtId="0" fontId="5" fillId="0" borderId="2" xfId="0" applyFont="1" applyBorder="1" applyAlignment="1">
      <alignment horizontal="center"/>
    </xf>
    <xf numFmtId="0" fontId="5" fillId="0" borderId="4" xfId="0" applyFont="1" applyBorder="1" applyAlignment="1">
      <alignment horizontal="center"/>
    </xf>
    <xf numFmtId="0" fontId="3" fillId="0" borderId="0" xfId="0" applyFont="1" applyFill="1" applyAlignment="1">
      <alignment horizontal="left" vertical="top" wrapText="1"/>
    </xf>
    <xf numFmtId="2" fontId="3" fillId="0" borderId="0" xfId="0" applyNumberFormat="1" applyFont="1" applyFill="1" applyAlignment="1">
      <alignment horizontal="left" wrapText="1"/>
    </xf>
    <xf numFmtId="0" fontId="5" fillId="0" borderId="1" xfId="0" applyNumberFormat="1" applyFont="1" applyFill="1" applyBorder="1" applyAlignment="1">
      <alignment horizontal="center" wrapText="1"/>
    </xf>
    <xf numFmtId="3" fontId="14" fillId="0" borderId="2"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3" fontId="14" fillId="0" borderId="4" xfId="0" applyNumberFormat="1" applyFont="1" applyFill="1" applyBorder="1" applyAlignment="1">
      <alignment horizontal="center" vertical="center" wrapText="1"/>
    </xf>
    <xf numFmtId="3" fontId="5" fillId="0" borderId="2" xfId="0" applyNumberFormat="1" applyFont="1" applyFill="1" applyBorder="1" applyAlignment="1">
      <alignment horizontal="center" wrapText="1"/>
    </xf>
    <xf numFmtId="3" fontId="5" fillId="0" borderId="3" xfId="0" applyNumberFormat="1" applyFont="1" applyFill="1" applyBorder="1" applyAlignment="1">
      <alignment horizontal="center" wrapText="1"/>
    </xf>
    <xf numFmtId="3" fontId="5" fillId="0" borderId="4"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0" fontId="5" fillId="0" borderId="1" xfId="0" applyNumberFormat="1" applyFont="1" applyFill="1" applyBorder="1" applyAlignment="1">
      <alignment horizontal="left" wrapText="1"/>
    </xf>
    <xf numFmtId="3" fontId="4" fillId="0" borderId="1" xfId="0" applyNumberFormat="1" applyFont="1" applyFill="1" applyBorder="1" applyAlignment="1">
      <alignment horizontal="center"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1" fillId="0" borderId="0" xfId="0" applyFont="1" applyFill="1" applyAlignment="1">
      <alignment horizontal="left" vertical="top"/>
    </xf>
    <xf numFmtId="0" fontId="1" fillId="0" borderId="0" xfId="0" applyFont="1" applyAlignment="1">
      <alignment horizontal="left" vertical="top" wrapText="1"/>
    </xf>
    <xf numFmtId="3" fontId="23" fillId="0" borderId="0" xfId="0" applyNumberFormat="1" applyFont="1" applyFill="1" applyBorder="1" applyAlignment="1">
      <alignment horizontal="left" vertical="top" wrapText="1"/>
    </xf>
    <xf numFmtId="0" fontId="3" fillId="0" borderId="0" xfId="0" applyFont="1" applyAlignment="1">
      <alignment horizontal="left" vertical="center" wrapText="1"/>
    </xf>
    <xf numFmtId="0" fontId="19" fillId="0" borderId="1" xfId="0" applyFont="1" applyBorder="1" applyAlignment="1">
      <alignment horizontal="center"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19" fillId="0" borderId="1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7"/>
  <sheetViews>
    <sheetView tabSelected="1" zoomScaleNormal="100" workbookViewId="0">
      <selection activeCell="M48" sqref="M48"/>
    </sheetView>
  </sheetViews>
  <sheetFormatPr defaultColWidth="9.140625" defaultRowHeight="12.75" x14ac:dyDescent="0.2"/>
  <cols>
    <col min="1" max="1" width="0.7109375" style="12" customWidth="1"/>
    <col min="2" max="2" width="38.85546875" style="12" customWidth="1"/>
    <col min="3" max="3" width="12.7109375" style="12" customWidth="1"/>
    <col min="4" max="4" width="12.42578125" style="12" customWidth="1"/>
    <col min="5" max="5" width="13.85546875" style="12" customWidth="1"/>
    <col min="6" max="6" width="13.140625" style="12" customWidth="1"/>
    <col min="7" max="7" width="10.42578125" style="12" customWidth="1"/>
    <col min="8" max="8" width="13" style="12" customWidth="1"/>
    <col min="9" max="9" width="11.5703125" style="12" customWidth="1"/>
    <col min="10" max="10" width="14.42578125" style="16" bestFit="1" customWidth="1"/>
    <col min="11" max="11" width="1.5703125" style="12" customWidth="1"/>
    <col min="12" max="12" width="11.140625" style="12" customWidth="1"/>
    <col min="13" max="13" width="36.85546875" style="12" customWidth="1"/>
    <col min="14" max="14" width="9.140625" style="12"/>
    <col min="15" max="15" width="20.42578125" style="12" bestFit="1" customWidth="1"/>
    <col min="16" max="17" width="22.28515625" style="12" customWidth="1"/>
    <col min="18" max="18" width="13" style="12" bestFit="1" customWidth="1"/>
    <col min="19" max="19" width="10.5703125" style="12" bestFit="1" customWidth="1"/>
    <col min="20" max="20" width="3.42578125" style="12" customWidth="1"/>
    <col min="21" max="21" width="0" style="12" hidden="1" customWidth="1"/>
    <col min="22" max="22" width="16.42578125" style="12" hidden="1" customWidth="1"/>
    <col min="23" max="23" width="12.42578125" style="12" hidden="1" customWidth="1"/>
    <col min="24" max="25" width="0" style="12" hidden="1" customWidth="1"/>
    <col min="26" max="16384" width="9.140625" style="12"/>
  </cols>
  <sheetData>
    <row r="1" spans="1:24" ht="15.75" x14ac:dyDescent="0.25">
      <c r="A1" s="13"/>
      <c r="B1" s="37" t="s">
        <v>42</v>
      </c>
      <c r="C1" s="13"/>
      <c r="D1" s="13"/>
      <c r="E1" s="13"/>
      <c r="F1" s="13"/>
      <c r="G1" s="13"/>
      <c r="H1" s="13"/>
      <c r="I1" s="13"/>
      <c r="J1" s="17"/>
    </row>
    <row r="2" spans="1:24" x14ac:dyDescent="0.2">
      <c r="A2" s="13"/>
      <c r="B2" s="13"/>
      <c r="C2" s="13"/>
      <c r="D2" s="13"/>
      <c r="E2" s="13"/>
      <c r="F2" s="13"/>
      <c r="G2" s="13"/>
      <c r="H2" s="13"/>
      <c r="I2" s="13"/>
      <c r="J2" s="17"/>
      <c r="L2" s="169" t="s">
        <v>124</v>
      </c>
      <c r="M2" s="170"/>
    </row>
    <row r="3" spans="1:24" s="4" customFormat="1" x14ac:dyDescent="0.2">
      <c r="A3" s="2"/>
      <c r="B3" s="173" t="s">
        <v>0</v>
      </c>
      <c r="C3" s="3" t="s">
        <v>9</v>
      </c>
      <c r="D3" s="3" t="s">
        <v>10</v>
      </c>
      <c r="E3" s="3" t="s">
        <v>11</v>
      </c>
      <c r="F3" s="3" t="s">
        <v>12</v>
      </c>
      <c r="G3" s="3" t="s">
        <v>13</v>
      </c>
      <c r="H3" s="3" t="s">
        <v>14</v>
      </c>
      <c r="I3" s="3" t="s">
        <v>15</v>
      </c>
      <c r="J3" s="14" t="s">
        <v>16</v>
      </c>
      <c r="L3" s="31" t="s">
        <v>121</v>
      </c>
      <c r="M3" s="32">
        <v>120.27</v>
      </c>
    </row>
    <row r="4" spans="1:24" s="8" customFormat="1" ht="63.75" x14ac:dyDescent="0.2">
      <c r="A4" s="6"/>
      <c r="B4" s="173"/>
      <c r="C4" s="25" t="s">
        <v>17</v>
      </c>
      <c r="D4" s="25" t="s">
        <v>18</v>
      </c>
      <c r="E4" s="25" t="s">
        <v>19</v>
      </c>
      <c r="F4" s="143" t="s">
        <v>20</v>
      </c>
      <c r="G4" s="25" t="s">
        <v>21</v>
      </c>
      <c r="H4" s="25" t="s">
        <v>22</v>
      </c>
      <c r="I4" s="25" t="s">
        <v>23</v>
      </c>
      <c r="J4" s="15" t="s">
        <v>185</v>
      </c>
      <c r="L4" s="31" t="s">
        <v>122</v>
      </c>
      <c r="M4" s="32">
        <v>141.06</v>
      </c>
      <c r="U4" s="38" t="s">
        <v>76</v>
      </c>
      <c r="V4" s="12"/>
      <c r="W4" s="12"/>
      <c r="X4" s="12"/>
    </row>
    <row r="5" spans="1:24" x14ac:dyDescent="0.2">
      <c r="B5" s="76" t="s">
        <v>1</v>
      </c>
      <c r="C5" s="33" t="s">
        <v>2</v>
      </c>
      <c r="D5" s="33"/>
      <c r="E5" s="33"/>
      <c r="F5" s="71"/>
      <c r="G5" s="33"/>
      <c r="H5" s="33"/>
      <c r="I5" s="33"/>
      <c r="J5" s="115"/>
      <c r="L5" s="31" t="s">
        <v>123</v>
      </c>
      <c r="M5" s="32">
        <v>58.67</v>
      </c>
      <c r="N5" s="5"/>
      <c r="U5" s="33" t="s">
        <v>31</v>
      </c>
      <c r="V5" s="33" t="s">
        <v>77</v>
      </c>
      <c r="W5" s="30" t="s">
        <v>78</v>
      </c>
      <c r="X5" s="33" t="s">
        <v>47</v>
      </c>
    </row>
    <row r="6" spans="1:24" x14ac:dyDescent="0.2">
      <c r="B6" s="76" t="s">
        <v>4</v>
      </c>
      <c r="C6" s="33" t="s">
        <v>2</v>
      </c>
      <c r="D6" s="33"/>
      <c r="E6" s="33"/>
      <c r="F6" s="71"/>
      <c r="G6" s="33"/>
      <c r="H6" s="33"/>
      <c r="I6" s="33"/>
      <c r="J6" s="115"/>
      <c r="L6" s="5"/>
      <c r="M6" s="5"/>
      <c r="N6" s="5"/>
      <c r="U6" s="33">
        <v>2005</v>
      </c>
      <c r="V6" s="39">
        <v>769</v>
      </c>
      <c r="W6" s="30">
        <v>105</v>
      </c>
      <c r="X6" s="40">
        <f>3230</f>
        <v>3230</v>
      </c>
    </row>
    <row r="7" spans="1:24" x14ac:dyDescent="0.2">
      <c r="B7" s="76" t="s">
        <v>5</v>
      </c>
      <c r="C7" s="33"/>
      <c r="D7" s="33"/>
      <c r="E7" s="33"/>
      <c r="F7" s="71"/>
      <c r="G7" s="33"/>
      <c r="H7" s="33"/>
      <c r="I7" s="33"/>
      <c r="J7" s="115"/>
      <c r="U7" s="33">
        <v>2006</v>
      </c>
      <c r="V7" s="39">
        <v>769</v>
      </c>
      <c r="W7" s="30">
        <v>105</v>
      </c>
      <c r="X7" s="39">
        <f>X6+V7+W7</f>
        <v>4104</v>
      </c>
    </row>
    <row r="8" spans="1:24" x14ac:dyDescent="0.2">
      <c r="B8" s="122" t="s">
        <v>135</v>
      </c>
      <c r="C8" s="107"/>
      <c r="D8" s="107"/>
      <c r="E8" s="107"/>
      <c r="F8" s="74"/>
      <c r="G8" s="33"/>
      <c r="H8" s="33"/>
      <c r="I8" s="33"/>
      <c r="J8" s="115"/>
      <c r="U8" s="33"/>
      <c r="V8" s="39"/>
      <c r="W8" s="30"/>
      <c r="X8" s="39"/>
    </row>
    <row r="9" spans="1:24" x14ac:dyDescent="0.2">
      <c r="B9" s="142" t="s">
        <v>114</v>
      </c>
      <c r="C9" s="107">
        <v>4</v>
      </c>
      <c r="D9" s="107">
        <v>1</v>
      </c>
      <c r="E9" s="107">
        <f>C9*D9</f>
        <v>4</v>
      </c>
      <c r="F9" s="74">
        <f>N51</f>
        <v>1284</v>
      </c>
      <c r="G9" s="71">
        <f>E9*F9</f>
        <v>5136</v>
      </c>
      <c r="H9" s="71">
        <f>G9*0.05</f>
        <v>256.8</v>
      </c>
      <c r="I9" s="71">
        <f>G9*0.1</f>
        <v>513.6</v>
      </c>
      <c r="J9" s="116">
        <f>G9*$M$3+H9*$M$4+I9*$M$5</f>
        <v>684063.84</v>
      </c>
      <c r="L9" s="38" t="s">
        <v>49</v>
      </c>
      <c r="U9" s="33">
        <v>2007</v>
      </c>
      <c r="V9" s="39">
        <v>769</v>
      </c>
      <c r="W9" s="30">
        <v>105</v>
      </c>
      <c r="X9" s="39">
        <f>X7+V9+W9</f>
        <v>4978</v>
      </c>
    </row>
    <row r="10" spans="1:24" x14ac:dyDescent="0.2">
      <c r="B10" s="109" t="s">
        <v>115</v>
      </c>
      <c r="C10" s="107">
        <v>1</v>
      </c>
      <c r="D10" s="107">
        <v>1</v>
      </c>
      <c r="E10" s="107">
        <f>C10*D10</f>
        <v>1</v>
      </c>
      <c r="F10" s="74">
        <f>N56</f>
        <v>153463</v>
      </c>
      <c r="G10" s="71">
        <f>E10*F10</f>
        <v>153463</v>
      </c>
      <c r="H10" s="71">
        <f>G10*0.05</f>
        <v>7673.1500000000005</v>
      </c>
      <c r="I10" s="71">
        <f>G10*0.1</f>
        <v>15346.300000000001</v>
      </c>
      <c r="J10" s="116">
        <f>G10*$M$3+H10*$M$4+I10*$M$5</f>
        <v>20439736.969999999</v>
      </c>
      <c r="L10" s="38"/>
      <c r="U10" s="33"/>
      <c r="V10" s="39"/>
      <c r="W10" s="30"/>
      <c r="X10" s="39"/>
    </row>
    <row r="11" spans="1:24" ht="15.75" x14ac:dyDescent="0.2">
      <c r="B11" s="122" t="s">
        <v>136</v>
      </c>
      <c r="C11" s="107"/>
      <c r="D11" s="107"/>
      <c r="E11" s="107"/>
      <c r="F11" s="74"/>
      <c r="G11" s="71"/>
      <c r="H11" s="71"/>
      <c r="I11" s="33"/>
      <c r="J11" s="116"/>
      <c r="L11" s="41">
        <v>1975.04</v>
      </c>
      <c r="M11" s="42" t="s">
        <v>73</v>
      </c>
      <c r="N11" s="43">
        <f>V17</f>
        <v>769</v>
      </c>
      <c r="O11" s="42"/>
      <c r="P11" s="44" t="s">
        <v>82</v>
      </c>
      <c r="Q11" s="44" t="s">
        <v>81</v>
      </c>
      <c r="R11" s="44" t="s">
        <v>69</v>
      </c>
      <c r="S11" s="45" t="s">
        <v>70</v>
      </c>
      <c r="U11" s="33">
        <v>2008</v>
      </c>
      <c r="V11" s="39">
        <v>769</v>
      </c>
      <c r="W11" s="30">
        <v>105</v>
      </c>
      <c r="X11" s="39">
        <f>X9+V11+W11</f>
        <v>5852</v>
      </c>
    </row>
    <row r="12" spans="1:24" x14ac:dyDescent="0.2">
      <c r="B12" s="123" t="s">
        <v>143</v>
      </c>
      <c r="C12" s="33">
        <v>24</v>
      </c>
      <c r="D12" s="33">
        <v>1</v>
      </c>
      <c r="E12" s="33">
        <f>C12*D12</f>
        <v>24</v>
      </c>
      <c r="F12" s="71">
        <f>86</f>
        <v>86</v>
      </c>
      <c r="G12" s="71">
        <f>E12*F12</f>
        <v>2064</v>
      </c>
      <c r="H12" s="71">
        <f>G12*0.05</f>
        <v>103.2</v>
      </c>
      <c r="I12" s="71">
        <f>G12*0.1</f>
        <v>206.4</v>
      </c>
      <c r="J12" s="116">
        <f>G12*$M$3+H12*$M$4+I12*$M$5</f>
        <v>274904.16000000003</v>
      </c>
      <c r="L12" s="46"/>
      <c r="M12" s="47" t="s">
        <v>74</v>
      </c>
      <c r="N12" s="48">
        <f>W17</f>
        <v>105</v>
      </c>
      <c r="O12" s="47"/>
      <c r="P12" s="47" t="s">
        <v>83</v>
      </c>
      <c r="Q12" s="48">
        <v>682</v>
      </c>
      <c r="R12" s="49">
        <v>583</v>
      </c>
      <c r="S12" s="50" t="s">
        <v>66</v>
      </c>
      <c r="U12" s="33">
        <v>2009</v>
      </c>
      <c r="V12" s="39">
        <v>769</v>
      </c>
      <c r="W12" s="30">
        <v>105</v>
      </c>
      <c r="X12" s="39">
        <f t="shared" ref="X12:X18" si="0">X11+V12+W12</f>
        <v>6726</v>
      </c>
    </row>
    <row r="13" spans="1:24" x14ac:dyDescent="0.2">
      <c r="B13" s="123" t="s">
        <v>144</v>
      </c>
      <c r="C13" s="33">
        <v>8</v>
      </c>
      <c r="D13" s="33">
        <v>1</v>
      </c>
      <c r="E13" s="33">
        <f>C13*D13</f>
        <v>8</v>
      </c>
      <c r="F13" s="71">
        <v>1</v>
      </c>
      <c r="G13" s="71">
        <f>E13*F13</f>
        <v>8</v>
      </c>
      <c r="H13" s="72">
        <f>G13*0.05</f>
        <v>0.4</v>
      </c>
      <c r="I13" s="72">
        <f>G13*0.1</f>
        <v>0.8</v>
      </c>
      <c r="J13" s="116">
        <f>G13*$M$3+H13*$M$4+I13*$M$5</f>
        <v>1065.52</v>
      </c>
      <c r="L13" s="46"/>
      <c r="M13" s="47"/>
      <c r="N13" s="48"/>
      <c r="O13" s="47"/>
      <c r="P13" s="47" t="s">
        <v>83</v>
      </c>
      <c r="Q13" s="48">
        <v>3054</v>
      </c>
      <c r="R13" s="51" t="s">
        <v>66</v>
      </c>
      <c r="S13" s="52">
        <v>1873</v>
      </c>
      <c r="U13" s="33">
        <v>2010</v>
      </c>
      <c r="V13" s="39">
        <v>769</v>
      </c>
      <c r="W13" s="30">
        <v>105</v>
      </c>
      <c r="X13" s="39">
        <f t="shared" si="0"/>
        <v>7600</v>
      </c>
    </row>
    <row r="14" spans="1:24" ht="25.5" x14ac:dyDescent="0.2">
      <c r="B14" s="123" t="s">
        <v>145</v>
      </c>
      <c r="C14" s="33">
        <v>24</v>
      </c>
      <c r="D14" s="33">
        <v>4</v>
      </c>
      <c r="E14" s="33">
        <f>C14*D14</f>
        <v>96</v>
      </c>
      <c r="F14" s="71">
        <f>1605</f>
        <v>1605</v>
      </c>
      <c r="G14" s="71">
        <f t="shared" ref="G14:G15" si="1">E14*F14</f>
        <v>154080</v>
      </c>
      <c r="H14" s="71">
        <f t="shared" ref="H14:H15" si="2">G14*0.05</f>
        <v>7704</v>
      </c>
      <c r="I14" s="71">
        <f t="shared" ref="I14:I15" si="3">G14*0.1</f>
        <v>15408</v>
      </c>
      <c r="J14" s="116">
        <f t="shared" ref="J14:J15" si="4">G14*$M$3+H14*$M$4+I14*$M$5</f>
        <v>20521915.199999996</v>
      </c>
      <c r="L14" s="46"/>
      <c r="M14" s="47"/>
      <c r="N14" s="48"/>
      <c r="O14" s="47"/>
      <c r="P14" s="47" t="s">
        <v>79</v>
      </c>
      <c r="Q14" s="48">
        <f>N11</f>
        <v>769</v>
      </c>
      <c r="R14" s="49">
        <v>1708</v>
      </c>
      <c r="S14" s="52"/>
      <c r="U14" s="33">
        <v>2011</v>
      </c>
      <c r="V14" s="39">
        <v>769</v>
      </c>
      <c r="W14" s="30">
        <v>105</v>
      </c>
      <c r="X14" s="39">
        <f t="shared" si="0"/>
        <v>8474</v>
      </c>
    </row>
    <row r="15" spans="1:24" ht="25.5" x14ac:dyDescent="0.2">
      <c r="B15" s="123" t="s">
        <v>146</v>
      </c>
      <c r="C15" s="33">
        <v>6</v>
      </c>
      <c r="D15" s="33">
        <v>1</v>
      </c>
      <c r="E15" s="33">
        <f>C15*D15</f>
        <v>6</v>
      </c>
      <c r="F15" s="71">
        <f>5</f>
        <v>5</v>
      </c>
      <c r="G15" s="71">
        <f t="shared" si="1"/>
        <v>30</v>
      </c>
      <c r="H15" s="72">
        <f t="shared" si="2"/>
        <v>1.5</v>
      </c>
      <c r="I15" s="71">
        <f t="shared" si="3"/>
        <v>3</v>
      </c>
      <c r="J15" s="116">
        <f t="shared" si="4"/>
        <v>3995.7</v>
      </c>
      <c r="L15" s="46"/>
      <c r="M15" s="47"/>
      <c r="N15" s="48"/>
      <c r="O15" s="47"/>
      <c r="P15" s="47" t="s">
        <v>80</v>
      </c>
      <c r="Q15" s="48">
        <v>366</v>
      </c>
      <c r="R15" s="49">
        <v>421</v>
      </c>
      <c r="S15" s="52"/>
      <c r="U15" s="33">
        <v>2012</v>
      </c>
      <c r="V15" s="39">
        <v>769</v>
      </c>
      <c r="W15" s="30">
        <v>105</v>
      </c>
      <c r="X15" s="39">
        <f t="shared" si="0"/>
        <v>9348</v>
      </c>
    </row>
    <row r="16" spans="1:24" x14ac:dyDescent="0.2">
      <c r="B16" s="123" t="s">
        <v>147</v>
      </c>
      <c r="C16" s="33">
        <v>24</v>
      </c>
      <c r="D16" s="33">
        <v>2</v>
      </c>
      <c r="E16" s="33">
        <f>C16*D16</f>
        <v>48</v>
      </c>
      <c r="F16" s="74">
        <f>(N17+N20)+(769+1440)</f>
        <v>4869</v>
      </c>
      <c r="G16" s="71">
        <f>E16*F16</f>
        <v>233712</v>
      </c>
      <c r="H16" s="71">
        <f>G16*0.05</f>
        <v>11685.6</v>
      </c>
      <c r="I16" s="71">
        <f>G16*0.1</f>
        <v>23371.200000000001</v>
      </c>
      <c r="J16" s="116">
        <f>G16*$M$3+H16*$M$4+I16*$M$5</f>
        <v>31128101.280000001</v>
      </c>
      <c r="L16" s="53"/>
      <c r="M16" s="54" t="s">
        <v>75</v>
      </c>
      <c r="N16" s="55">
        <f>X17</f>
        <v>11096</v>
      </c>
      <c r="O16" s="54"/>
      <c r="P16" s="47"/>
      <c r="Q16" s="47"/>
      <c r="R16" s="49"/>
      <c r="S16" s="56"/>
      <c r="U16" s="33">
        <v>2013</v>
      </c>
      <c r="V16" s="39">
        <v>769</v>
      </c>
      <c r="W16" s="30">
        <v>105</v>
      </c>
      <c r="X16" s="39">
        <f t="shared" si="0"/>
        <v>10222</v>
      </c>
    </row>
    <row r="17" spans="2:24" x14ac:dyDescent="0.2">
      <c r="B17" s="121" t="s">
        <v>137</v>
      </c>
      <c r="C17" s="33" t="s">
        <v>6</v>
      </c>
      <c r="D17" s="33"/>
      <c r="E17" s="33"/>
      <c r="F17" s="71"/>
      <c r="G17" s="71"/>
      <c r="H17" s="33"/>
      <c r="I17" s="33"/>
      <c r="J17" s="116"/>
      <c r="L17" s="41">
        <v>1975.05</v>
      </c>
      <c r="M17" s="42" t="s">
        <v>101</v>
      </c>
      <c r="N17" s="43">
        <f>V29</f>
        <v>410</v>
      </c>
      <c r="O17" s="42"/>
      <c r="P17" s="44" t="s">
        <v>82</v>
      </c>
      <c r="Q17" s="44" t="s">
        <v>81</v>
      </c>
      <c r="R17" s="44" t="s">
        <v>69</v>
      </c>
      <c r="S17" s="45" t="s">
        <v>70</v>
      </c>
      <c r="T17" s="57"/>
      <c r="U17" s="58">
        <v>2014</v>
      </c>
      <c r="V17" s="59">
        <v>769</v>
      </c>
      <c r="W17" s="60">
        <v>105</v>
      </c>
      <c r="X17" s="59">
        <f t="shared" si="0"/>
        <v>11096</v>
      </c>
    </row>
    <row r="18" spans="2:24" x14ac:dyDescent="0.2">
      <c r="B18" s="121" t="s">
        <v>138</v>
      </c>
      <c r="C18" s="33"/>
      <c r="D18" s="33"/>
      <c r="E18" s="33"/>
      <c r="F18" s="71"/>
      <c r="G18" s="71"/>
      <c r="H18" s="33"/>
      <c r="I18" s="33"/>
      <c r="J18" s="116"/>
      <c r="L18" s="46"/>
      <c r="M18" s="47"/>
      <c r="N18" s="48"/>
      <c r="O18" s="47"/>
      <c r="P18" s="47" t="s">
        <v>71</v>
      </c>
      <c r="Q18" s="47">
        <v>410</v>
      </c>
      <c r="R18" s="49">
        <v>583</v>
      </c>
      <c r="S18" s="52">
        <v>1873</v>
      </c>
      <c r="T18" s="57"/>
      <c r="U18" s="33">
        <v>2015</v>
      </c>
      <c r="V18" s="39">
        <v>769</v>
      </c>
      <c r="W18" s="30">
        <v>105</v>
      </c>
      <c r="X18" s="39">
        <f t="shared" si="0"/>
        <v>11970</v>
      </c>
    </row>
    <row r="19" spans="2:24" ht="28.5" x14ac:dyDescent="0.2">
      <c r="B19" s="123" t="s">
        <v>149</v>
      </c>
      <c r="C19" s="33">
        <v>2</v>
      </c>
      <c r="D19" s="33">
        <v>1</v>
      </c>
      <c r="E19" s="33">
        <f t="shared" ref="E19:E21" si="5">C19*D19</f>
        <v>2</v>
      </c>
      <c r="F19" s="71">
        <f>N41</f>
        <v>1179</v>
      </c>
      <c r="G19" s="71">
        <f t="shared" ref="G19:G21" si="6">E19*F19</f>
        <v>2358</v>
      </c>
      <c r="H19" s="71">
        <f t="shared" ref="H19:H27" si="7">G19*0.05</f>
        <v>117.9</v>
      </c>
      <c r="I19" s="71">
        <f t="shared" ref="I19:I21" si="8">G19*0.1</f>
        <v>235.8</v>
      </c>
      <c r="J19" s="116">
        <f t="shared" ref="J19:J21" si="9">G19*$M$3+H19*$M$4+I19*$M$5</f>
        <v>314062.01999999996</v>
      </c>
      <c r="L19" s="46"/>
      <c r="M19" s="47"/>
      <c r="N19" s="48"/>
      <c r="O19" s="47"/>
      <c r="P19" s="47" t="s">
        <v>72</v>
      </c>
      <c r="Q19" s="47">
        <v>410</v>
      </c>
      <c r="R19" s="49">
        <v>1708</v>
      </c>
      <c r="S19" s="56"/>
      <c r="U19" s="12" t="s">
        <v>97</v>
      </c>
    </row>
    <row r="20" spans="2:24" ht="15.75" x14ac:dyDescent="0.2">
      <c r="B20" s="123" t="s">
        <v>150</v>
      </c>
      <c r="C20" s="33">
        <v>2</v>
      </c>
      <c r="D20" s="33">
        <v>1</v>
      </c>
      <c r="E20" s="33">
        <f t="shared" si="5"/>
        <v>2</v>
      </c>
      <c r="F20" s="71">
        <f>N41</f>
        <v>1179</v>
      </c>
      <c r="G20" s="71">
        <f t="shared" si="6"/>
        <v>2358</v>
      </c>
      <c r="H20" s="71">
        <f t="shared" si="7"/>
        <v>117.9</v>
      </c>
      <c r="I20" s="71">
        <f t="shared" si="8"/>
        <v>235.8</v>
      </c>
      <c r="J20" s="116">
        <f t="shared" si="9"/>
        <v>314062.01999999996</v>
      </c>
      <c r="L20" s="53"/>
      <c r="M20" s="54" t="s">
        <v>67</v>
      </c>
      <c r="N20" s="55">
        <f>W29</f>
        <v>2250</v>
      </c>
      <c r="O20" s="54"/>
      <c r="P20" s="54"/>
      <c r="Q20" s="54"/>
      <c r="R20" s="61"/>
      <c r="S20" s="62"/>
    </row>
    <row r="21" spans="2:24" ht="15.75" x14ac:dyDescent="0.2">
      <c r="B21" s="123" t="s">
        <v>151</v>
      </c>
      <c r="C21" s="33">
        <v>2</v>
      </c>
      <c r="D21" s="33">
        <v>1</v>
      </c>
      <c r="E21" s="33">
        <f t="shared" si="5"/>
        <v>2</v>
      </c>
      <c r="F21" s="71">
        <f>N41</f>
        <v>1179</v>
      </c>
      <c r="G21" s="71">
        <f t="shared" si="6"/>
        <v>2358</v>
      </c>
      <c r="H21" s="71">
        <f t="shared" si="7"/>
        <v>117.9</v>
      </c>
      <c r="I21" s="71">
        <f t="shared" si="8"/>
        <v>235.8</v>
      </c>
      <c r="J21" s="116">
        <f t="shared" si="9"/>
        <v>314062.01999999996</v>
      </c>
      <c r="L21" s="41">
        <v>1975.07</v>
      </c>
      <c r="M21" s="42" t="s">
        <v>56</v>
      </c>
      <c r="N21" s="43">
        <v>0</v>
      </c>
      <c r="O21" s="42" t="s">
        <v>63</v>
      </c>
      <c r="P21" s="63" t="s">
        <v>62</v>
      </c>
      <c r="Q21" s="63"/>
      <c r="R21" s="63"/>
      <c r="S21" s="64"/>
      <c r="T21" s="65"/>
      <c r="U21" s="38" t="s">
        <v>68</v>
      </c>
    </row>
    <row r="22" spans="2:24" ht="15.75" x14ac:dyDescent="0.2">
      <c r="B22" s="123" t="s">
        <v>152</v>
      </c>
      <c r="C22" s="33"/>
      <c r="D22" s="33"/>
      <c r="E22" s="33"/>
      <c r="F22" s="71"/>
      <c r="G22" s="71"/>
      <c r="H22" s="71"/>
      <c r="I22" s="71"/>
      <c r="J22" s="116"/>
      <c r="L22" s="46"/>
      <c r="M22" s="47" t="s">
        <v>59</v>
      </c>
      <c r="N22" s="48">
        <f>N23+N24+N26</f>
        <v>825545</v>
      </c>
      <c r="O22" s="47"/>
      <c r="P22" s="47"/>
      <c r="Q22" s="47"/>
      <c r="R22" s="47"/>
      <c r="S22" s="56"/>
      <c r="T22" s="47"/>
      <c r="U22" s="33" t="s">
        <v>31</v>
      </c>
      <c r="V22" s="33" t="s">
        <v>48</v>
      </c>
      <c r="W22" s="33" t="s">
        <v>47</v>
      </c>
    </row>
    <row r="23" spans="2:24" x14ac:dyDescent="0.2">
      <c r="B23" s="124" t="s">
        <v>132</v>
      </c>
      <c r="C23" s="33">
        <v>2</v>
      </c>
      <c r="D23" s="33">
        <v>4</v>
      </c>
      <c r="E23" s="33">
        <f t="shared" ref="E23:E29" si="10">C23*D23</f>
        <v>8</v>
      </c>
      <c r="F23" s="71">
        <f>1605</f>
        <v>1605</v>
      </c>
      <c r="G23" s="71">
        <f t="shared" ref="G23:G27" si="11">E23*F23</f>
        <v>12840</v>
      </c>
      <c r="H23" s="71">
        <f t="shared" si="7"/>
        <v>642</v>
      </c>
      <c r="I23" s="71">
        <f t="shared" ref="I23:I27" si="12">G23*0.1</f>
        <v>1284</v>
      </c>
      <c r="J23" s="116">
        <f t="shared" ref="J23:J27" si="13">G23*$M$3+H23*$M$4+I23*$M$5</f>
        <v>1710159.6</v>
      </c>
      <c r="L23" s="46"/>
      <c r="M23" s="47" t="s">
        <v>60</v>
      </c>
      <c r="N23" s="48">
        <v>60654</v>
      </c>
      <c r="O23" s="47"/>
      <c r="P23" s="47"/>
      <c r="Q23" s="47"/>
      <c r="R23" s="47"/>
      <c r="S23" s="56"/>
      <c r="T23" s="47"/>
      <c r="U23" s="33">
        <v>2008</v>
      </c>
      <c r="V23" s="39">
        <v>350</v>
      </c>
      <c r="W23" s="40">
        <v>0</v>
      </c>
    </row>
    <row r="24" spans="2:24" x14ac:dyDescent="0.2">
      <c r="B24" s="124" t="s">
        <v>133</v>
      </c>
      <c r="C24" s="33">
        <v>2</v>
      </c>
      <c r="D24" s="33">
        <v>2</v>
      </c>
      <c r="E24" s="33">
        <f t="shared" si="10"/>
        <v>4</v>
      </c>
      <c r="F24" s="74">
        <f>(N17+N20)+(1440+360)</f>
        <v>4460</v>
      </c>
      <c r="G24" s="71">
        <f t="shared" si="11"/>
        <v>17840</v>
      </c>
      <c r="H24" s="71">
        <f t="shared" si="7"/>
        <v>892</v>
      </c>
      <c r="I24" s="71">
        <f t="shared" si="12"/>
        <v>1784</v>
      </c>
      <c r="J24" s="116">
        <f t="shared" si="13"/>
        <v>2376109.5999999996</v>
      </c>
      <c r="L24" s="46"/>
      <c r="M24" s="47" t="s">
        <v>61</v>
      </c>
      <c r="N24" s="48">
        <v>25995</v>
      </c>
      <c r="O24" s="47"/>
      <c r="P24" s="47"/>
      <c r="Q24" s="47"/>
      <c r="R24" s="47"/>
      <c r="S24" s="56"/>
      <c r="T24" s="47"/>
      <c r="U24" s="33">
        <v>2009</v>
      </c>
      <c r="V24" s="39">
        <f>V23+10</f>
        <v>360</v>
      </c>
      <c r="W24" s="39">
        <f t="shared" ref="W24:W30" si="14">V23+W23</f>
        <v>350</v>
      </c>
    </row>
    <row r="25" spans="2:24" x14ac:dyDescent="0.2">
      <c r="B25" s="124" t="s">
        <v>148</v>
      </c>
      <c r="C25" s="33">
        <v>2</v>
      </c>
      <c r="D25" s="33">
        <v>1</v>
      </c>
      <c r="E25" s="33">
        <f t="shared" si="10"/>
        <v>2</v>
      </c>
      <c r="F25" s="71">
        <f>87</f>
        <v>87</v>
      </c>
      <c r="G25" s="71">
        <f t="shared" si="11"/>
        <v>174</v>
      </c>
      <c r="H25" s="72">
        <f t="shared" si="7"/>
        <v>8.7000000000000011</v>
      </c>
      <c r="I25" s="71">
        <f t="shared" si="12"/>
        <v>17.400000000000002</v>
      </c>
      <c r="J25" s="116">
        <f t="shared" si="13"/>
        <v>23175.06</v>
      </c>
      <c r="L25" s="46"/>
      <c r="M25" s="47" t="s">
        <v>52</v>
      </c>
      <c r="N25" s="48">
        <v>19678</v>
      </c>
      <c r="O25" s="47"/>
      <c r="P25" s="47"/>
      <c r="Q25" s="47"/>
      <c r="R25" s="47"/>
      <c r="S25" s="56"/>
      <c r="T25" s="47"/>
      <c r="U25" s="33">
        <v>2010</v>
      </c>
      <c r="V25" s="39">
        <f t="shared" ref="V25:V30" si="15">V24+10</f>
        <v>370</v>
      </c>
      <c r="W25" s="39">
        <f t="shared" si="14"/>
        <v>710</v>
      </c>
    </row>
    <row r="26" spans="2:24" x14ac:dyDescent="0.2">
      <c r="B26" s="123" t="s">
        <v>88</v>
      </c>
      <c r="C26" s="33">
        <v>2</v>
      </c>
      <c r="D26" s="33">
        <v>1</v>
      </c>
      <c r="E26" s="33">
        <f t="shared" si="10"/>
        <v>2</v>
      </c>
      <c r="F26" s="71">
        <f>N53</f>
        <v>105</v>
      </c>
      <c r="G26" s="71">
        <f t="shared" si="11"/>
        <v>210</v>
      </c>
      <c r="H26" s="72">
        <f t="shared" si="7"/>
        <v>10.5</v>
      </c>
      <c r="I26" s="71">
        <f t="shared" si="12"/>
        <v>21</v>
      </c>
      <c r="J26" s="116">
        <f t="shared" si="13"/>
        <v>27969.9</v>
      </c>
      <c r="L26" s="53"/>
      <c r="M26" s="54" t="s">
        <v>53</v>
      </c>
      <c r="N26" s="55">
        <v>738896</v>
      </c>
      <c r="O26" s="54"/>
      <c r="P26" s="54"/>
      <c r="Q26" s="54"/>
      <c r="R26" s="54"/>
      <c r="S26" s="66"/>
      <c r="T26" s="47"/>
      <c r="U26" s="33">
        <v>2011</v>
      </c>
      <c r="V26" s="39">
        <f t="shared" si="15"/>
        <v>380</v>
      </c>
      <c r="W26" s="39">
        <f>V25+W25</f>
        <v>1080</v>
      </c>
    </row>
    <row r="27" spans="2:24" ht="15.75" x14ac:dyDescent="0.2">
      <c r="B27" s="123" t="s">
        <v>153</v>
      </c>
      <c r="C27" s="33">
        <v>2</v>
      </c>
      <c r="D27" s="33">
        <v>1</v>
      </c>
      <c r="E27" s="33">
        <f t="shared" si="10"/>
        <v>2</v>
      </c>
      <c r="F27" s="71">
        <f>N41</f>
        <v>1179</v>
      </c>
      <c r="G27" s="71">
        <f t="shared" si="11"/>
        <v>2358</v>
      </c>
      <c r="H27" s="71">
        <f t="shared" si="7"/>
        <v>117.9</v>
      </c>
      <c r="I27" s="71">
        <f t="shared" si="12"/>
        <v>235.8</v>
      </c>
      <c r="J27" s="116">
        <f t="shared" si="13"/>
        <v>314062.01999999996</v>
      </c>
      <c r="L27" s="41">
        <v>1975.08</v>
      </c>
      <c r="M27" s="42" t="s">
        <v>56</v>
      </c>
      <c r="N27" s="43">
        <v>0</v>
      </c>
      <c r="O27" s="42" t="s">
        <v>64</v>
      </c>
      <c r="P27" s="63" t="s">
        <v>62</v>
      </c>
      <c r="Q27" s="63"/>
      <c r="R27" s="63"/>
      <c r="S27" s="64"/>
      <c r="T27" s="65"/>
      <c r="U27" s="33">
        <v>2012</v>
      </c>
      <c r="V27" s="39">
        <f t="shared" si="15"/>
        <v>390</v>
      </c>
      <c r="W27" s="39">
        <f t="shared" si="14"/>
        <v>1460</v>
      </c>
    </row>
    <row r="28" spans="2:24" ht="15.75" x14ac:dyDescent="0.2">
      <c r="B28" s="123" t="s">
        <v>154</v>
      </c>
      <c r="C28" s="33">
        <v>1</v>
      </c>
      <c r="D28" s="33">
        <v>2</v>
      </c>
      <c r="E28" s="33">
        <f t="shared" si="10"/>
        <v>2</v>
      </c>
      <c r="F28" s="74">
        <f>N62</f>
        <v>127022</v>
      </c>
      <c r="G28" s="71">
        <f>E28*F28</f>
        <v>254044</v>
      </c>
      <c r="H28" s="71">
        <f>G28*0.05</f>
        <v>12702.2</v>
      </c>
      <c r="I28" s="71">
        <f>G28*0.1</f>
        <v>25404.400000000001</v>
      </c>
      <c r="J28" s="116">
        <f>G28*$M$3+H28*$M$4+I28*$M$5</f>
        <v>33836120.359999999</v>
      </c>
      <c r="L28" s="46"/>
      <c r="M28" s="47" t="s">
        <v>57</v>
      </c>
      <c r="N28" s="48">
        <f>N29+N31</f>
        <v>62167</v>
      </c>
      <c r="O28" s="47"/>
      <c r="P28" s="47"/>
      <c r="Q28" s="47"/>
      <c r="R28" s="47"/>
      <c r="S28" s="56"/>
      <c r="T28" s="47"/>
      <c r="U28" s="33">
        <v>2013</v>
      </c>
      <c r="V28" s="39">
        <f t="shared" si="15"/>
        <v>400</v>
      </c>
      <c r="W28" s="39">
        <f t="shared" si="14"/>
        <v>1850</v>
      </c>
    </row>
    <row r="29" spans="2:24" ht="15.75" x14ac:dyDescent="0.2">
      <c r="B29" s="123" t="s">
        <v>155</v>
      </c>
      <c r="C29" s="33">
        <v>1</v>
      </c>
      <c r="D29" s="33">
        <v>1</v>
      </c>
      <c r="E29" s="33">
        <f t="shared" si="10"/>
        <v>1</v>
      </c>
      <c r="F29" s="71">
        <f>N24</f>
        <v>25995</v>
      </c>
      <c r="G29" s="71">
        <f>E29*F29</f>
        <v>25995</v>
      </c>
      <c r="H29" s="71">
        <f>G29*0.05</f>
        <v>1299.75</v>
      </c>
      <c r="I29" s="71">
        <f>G29*0.1</f>
        <v>2599.5</v>
      </c>
      <c r="J29" s="116">
        <f>G29*$M$3+H29*$M$4+I29*$M$5</f>
        <v>3462274.05</v>
      </c>
      <c r="L29" s="46"/>
      <c r="M29" s="47" t="s">
        <v>51</v>
      </c>
      <c r="N29" s="48">
        <v>45633</v>
      </c>
      <c r="O29" s="47"/>
      <c r="P29" s="47"/>
      <c r="Q29" s="47"/>
      <c r="R29" s="47"/>
      <c r="S29" s="56"/>
      <c r="T29" s="47"/>
      <c r="U29" s="58">
        <v>2014</v>
      </c>
      <c r="V29" s="59">
        <f t="shared" si="15"/>
        <v>410</v>
      </c>
      <c r="W29" s="59">
        <f t="shared" si="14"/>
        <v>2250</v>
      </c>
    </row>
    <row r="30" spans="2:24" ht="28.5" x14ac:dyDescent="0.2">
      <c r="B30" s="123" t="s">
        <v>156</v>
      </c>
      <c r="C30" s="33"/>
      <c r="D30" s="33"/>
      <c r="E30" s="33"/>
      <c r="F30" s="71"/>
      <c r="G30" s="71"/>
      <c r="H30" s="70"/>
      <c r="I30" s="70"/>
      <c r="J30" s="116"/>
      <c r="L30" s="46"/>
      <c r="M30" s="47" t="s">
        <v>52</v>
      </c>
      <c r="N30" s="48">
        <v>15299</v>
      </c>
      <c r="O30" s="47"/>
      <c r="P30" s="47"/>
      <c r="Q30" s="47"/>
      <c r="R30" s="47"/>
      <c r="S30" s="56"/>
      <c r="T30" s="47"/>
      <c r="U30" s="33">
        <v>2015</v>
      </c>
      <c r="V30" s="39">
        <f t="shared" si="15"/>
        <v>420</v>
      </c>
      <c r="W30" s="39">
        <f t="shared" si="14"/>
        <v>2660</v>
      </c>
    </row>
    <row r="31" spans="2:24" x14ac:dyDescent="0.2">
      <c r="B31" s="125" t="s">
        <v>110</v>
      </c>
      <c r="C31" s="73">
        <v>16</v>
      </c>
      <c r="D31" s="69">
        <f>1/3</f>
        <v>0.33333333333333331</v>
      </c>
      <c r="E31" s="70">
        <f>C31*D31</f>
        <v>5.333333333333333</v>
      </c>
      <c r="F31" s="71">
        <f>N61</f>
        <v>446</v>
      </c>
      <c r="G31" s="71">
        <f>E31*F31</f>
        <v>2378.6666666666665</v>
      </c>
      <c r="H31" s="71">
        <f>G31*0.05</f>
        <v>118.93333333333334</v>
      </c>
      <c r="I31" s="71">
        <f>G31*0.1</f>
        <v>237.86666666666667</v>
      </c>
      <c r="J31" s="116">
        <f>G31*$M$3+H31*$M$4+I31*$M$5</f>
        <v>316814.61333333328</v>
      </c>
      <c r="L31" s="53" t="s">
        <v>3</v>
      </c>
      <c r="M31" s="54" t="s">
        <v>53</v>
      </c>
      <c r="N31" s="55">
        <v>16534</v>
      </c>
      <c r="O31" s="55"/>
      <c r="P31" s="54"/>
      <c r="Q31" s="54"/>
      <c r="R31" s="54"/>
      <c r="S31" s="66"/>
      <c r="T31" s="47"/>
      <c r="U31" s="12" t="s">
        <v>96</v>
      </c>
    </row>
    <row r="32" spans="2:24" x14ac:dyDescent="0.2">
      <c r="B32" s="125" t="s">
        <v>157</v>
      </c>
      <c r="C32" s="74">
        <v>1000</v>
      </c>
      <c r="D32" s="69">
        <f>D31</f>
        <v>0.33333333333333331</v>
      </c>
      <c r="E32" s="70">
        <f>C32*D32</f>
        <v>333.33333333333331</v>
      </c>
      <c r="F32" s="71">
        <f>N35</f>
        <v>70</v>
      </c>
      <c r="G32" s="71">
        <f>E32*F32</f>
        <v>23333.333333333332</v>
      </c>
      <c r="H32" s="71">
        <f>G32*0.05</f>
        <v>1166.6666666666667</v>
      </c>
      <c r="I32" s="71">
        <f>G32*0.1</f>
        <v>2333.3333333333335</v>
      </c>
      <c r="J32" s="116">
        <f>G32*$M$3+H32*$M$4+I32*$M$5</f>
        <v>3107766.666666666</v>
      </c>
      <c r="L32" s="41">
        <v>1975.09</v>
      </c>
      <c r="M32" s="42" t="s">
        <v>56</v>
      </c>
      <c r="N32" s="43">
        <v>0</v>
      </c>
      <c r="O32" s="42" t="s">
        <v>65</v>
      </c>
      <c r="P32" s="63" t="s">
        <v>62</v>
      </c>
      <c r="Q32" s="63"/>
      <c r="R32" s="63"/>
      <c r="S32" s="64"/>
      <c r="T32" s="65"/>
    </row>
    <row r="33" spans="2:20" ht="13.5" x14ac:dyDescent="0.25">
      <c r="B33" s="111" t="s">
        <v>25</v>
      </c>
      <c r="C33" s="77"/>
      <c r="D33" s="77"/>
      <c r="E33" s="77"/>
      <c r="F33" s="78"/>
      <c r="G33" s="180">
        <f>SUM(G5:I32)</f>
        <v>1028951.0000000001</v>
      </c>
      <c r="H33" s="180"/>
      <c r="I33" s="180"/>
      <c r="J33" s="114">
        <f>SUM(J5:J32)</f>
        <v>119170420.59999998</v>
      </c>
      <c r="L33" s="46"/>
      <c r="M33" s="47" t="s">
        <v>58</v>
      </c>
      <c r="N33" s="48">
        <v>446</v>
      </c>
      <c r="O33" s="47"/>
      <c r="P33" s="47"/>
      <c r="Q33" s="47"/>
      <c r="R33" s="47"/>
      <c r="S33" s="56"/>
      <c r="T33" s="47"/>
    </row>
    <row r="34" spans="2:20" x14ac:dyDescent="0.2">
      <c r="B34" s="76" t="s">
        <v>7</v>
      </c>
      <c r="C34" s="33"/>
      <c r="D34" s="33"/>
      <c r="E34" s="33"/>
      <c r="F34" s="71"/>
      <c r="G34" s="71"/>
      <c r="H34" s="33"/>
      <c r="I34" s="33"/>
      <c r="J34" s="116"/>
      <c r="L34" s="46"/>
      <c r="M34" s="47" t="s">
        <v>54</v>
      </c>
      <c r="N34" s="48">
        <v>446</v>
      </c>
      <c r="O34" s="47"/>
      <c r="P34" s="47"/>
      <c r="Q34" s="47"/>
      <c r="R34" s="47"/>
      <c r="S34" s="56"/>
      <c r="T34" s="47"/>
    </row>
    <row r="35" spans="2:20" x14ac:dyDescent="0.2">
      <c r="B35" s="122" t="s">
        <v>135</v>
      </c>
      <c r="C35" s="107" t="s">
        <v>8</v>
      </c>
      <c r="D35" s="107"/>
      <c r="E35" s="107"/>
      <c r="F35" s="74"/>
      <c r="G35" s="71"/>
      <c r="H35" s="33"/>
      <c r="I35" s="33"/>
      <c r="J35" s="116"/>
      <c r="L35" s="53"/>
      <c r="M35" s="54" t="s">
        <v>55</v>
      </c>
      <c r="N35" s="55">
        <v>70</v>
      </c>
      <c r="O35" s="54"/>
      <c r="P35" s="54"/>
      <c r="Q35" s="54"/>
      <c r="R35" s="54"/>
      <c r="S35" s="66"/>
      <c r="T35" s="47"/>
    </row>
    <row r="36" spans="2:20" ht="15.75" x14ac:dyDescent="0.2">
      <c r="B36" s="122" t="s">
        <v>139</v>
      </c>
      <c r="C36" s="107">
        <v>16</v>
      </c>
      <c r="D36" s="107">
        <v>1</v>
      </c>
      <c r="E36" s="107">
        <f>C36*D36</f>
        <v>16</v>
      </c>
      <c r="F36" s="74">
        <f>N41</f>
        <v>1179</v>
      </c>
      <c r="G36" s="71">
        <f>E36*F36</f>
        <v>18864</v>
      </c>
      <c r="H36" s="71">
        <f>G36*0.05</f>
        <v>943.2</v>
      </c>
      <c r="I36" s="71">
        <f>G36*0.1</f>
        <v>1886.4</v>
      </c>
      <c r="J36" s="116">
        <f>G36*$M$3+H36*$M$4+I36*$M$5</f>
        <v>2512496.1599999997</v>
      </c>
      <c r="L36" s="84" t="s">
        <v>113</v>
      </c>
      <c r="M36" s="85" t="s">
        <v>56</v>
      </c>
      <c r="N36" s="86">
        <f>SUM(N37:N39)</f>
        <v>1284</v>
      </c>
      <c r="O36" s="85" t="s">
        <v>102</v>
      </c>
      <c r="P36" s="87" t="s">
        <v>82</v>
      </c>
      <c r="Q36" s="87" t="s">
        <v>81</v>
      </c>
      <c r="R36" s="87" t="s">
        <v>69</v>
      </c>
      <c r="S36" s="88" t="s">
        <v>70</v>
      </c>
    </row>
    <row r="37" spans="2:20" ht="15.75" x14ac:dyDescent="0.2">
      <c r="B37" s="122" t="s">
        <v>140</v>
      </c>
      <c r="C37" s="107"/>
      <c r="D37" s="107"/>
      <c r="E37" s="107"/>
      <c r="F37" s="74"/>
      <c r="G37" s="71"/>
      <c r="H37" s="33"/>
      <c r="I37" s="33"/>
      <c r="J37" s="116"/>
      <c r="L37" s="89"/>
      <c r="M37" s="90" t="s">
        <v>103</v>
      </c>
      <c r="N37" s="91">
        <v>769</v>
      </c>
      <c r="O37" s="91"/>
      <c r="P37" s="92" t="s">
        <v>83</v>
      </c>
      <c r="Q37" s="91">
        <f>N41</f>
        <v>1179</v>
      </c>
      <c r="R37" s="93">
        <f>583*Q37</f>
        <v>687357</v>
      </c>
      <c r="S37" s="94">
        <f>1873*(N43+N44)</f>
        <v>32211854</v>
      </c>
    </row>
    <row r="38" spans="2:20" x14ac:dyDescent="0.2">
      <c r="B38" s="109" t="s">
        <v>71</v>
      </c>
      <c r="C38" s="107">
        <v>40</v>
      </c>
      <c r="D38" s="107">
        <v>1</v>
      </c>
      <c r="E38" s="107">
        <f t="shared" ref="E38" si="16">C38*D38</f>
        <v>40</v>
      </c>
      <c r="F38" s="74">
        <f>N54</f>
        <v>410</v>
      </c>
      <c r="G38" s="71">
        <f>E38*F38</f>
        <v>16400</v>
      </c>
      <c r="H38" s="71">
        <f>G38*0.05</f>
        <v>820</v>
      </c>
      <c r="I38" s="71">
        <f>G38*0.1</f>
        <v>1640</v>
      </c>
      <c r="J38" s="116">
        <f>G38*$M$3+H38*$M$4+I38*$M$5</f>
        <v>2184316</v>
      </c>
      <c r="L38" s="89"/>
      <c r="M38" s="90" t="s">
        <v>104</v>
      </c>
      <c r="N38" s="91">
        <v>105</v>
      </c>
      <c r="O38" s="92"/>
      <c r="P38" s="92" t="s">
        <v>118</v>
      </c>
      <c r="Q38" s="91">
        <f>N41</f>
        <v>1179</v>
      </c>
      <c r="R38" s="93">
        <f>1708*Q38</f>
        <v>2013732</v>
      </c>
      <c r="S38" s="94"/>
    </row>
    <row r="39" spans="2:20" x14ac:dyDescent="0.2">
      <c r="B39" s="109" t="s">
        <v>142</v>
      </c>
      <c r="C39" s="107">
        <v>30</v>
      </c>
      <c r="D39" s="107">
        <v>1</v>
      </c>
      <c r="E39" s="107">
        <f>C39*D39</f>
        <v>30</v>
      </c>
      <c r="F39" s="74">
        <f>N30+N25+N20+N16</f>
        <v>48323</v>
      </c>
      <c r="G39" s="71">
        <f>E39*F39</f>
        <v>1449690</v>
      </c>
      <c r="H39" s="71">
        <f>G39*0.05</f>
        <v>72484.5</v>
      </c>
      <c r="I39" s="71">
        <f>G39*0.1</f>
        <v>144969</v>
      </c>
      <c r="J39" s="116">
        <f>G39*$M$3+H39*$M$4+I39*$M$5</f>
        <v>193084211.09999996</v>
      </c>
      <c r="L39" s="89"/>
      <c r="M39" s="90" t="s">
        <v>105</v>
      </c>
      <c r="N39" s="91">
        <v>410</v>
      </c>
      <c r="O39" s="92"/>
      <c r="P39" s="92" t="s">
        <v>119</v>
      </c>
      <c r="Q39" s="92">
        <v>366</v>
      </c>
      <c r="R39" s="93">
        <f>427*Q39</f>
        <v>156282</v>
      </c>
      <c r="S39" s="94"/>
    </row>
    <row r="40" spans="2:20" x14ac:dyDescent="0.2">
      <c r="B40" s="122" t="s">
        <v>141</v>
      </c>
      <c r="C40" s="107">
        <v>1</v>
      </c>
      <c r="D40" s="107">
        <v>1</v>
      </c>
      <c r="E40" s="107">
        <f>C40*D40</f>
        <v>1</v>
      </c>
      <c r="F40" s="74">
        <f>N31+N26+(N20)+N16</f>
        <v>768776</v>
      </c>
      <c r="G40" s="71">
        <f>E40*F40</f>
        <v>768776</v>
      </c>
      <c r="H40" s="71">
        <f>G40*0.05</f>
        <v>38438.800000000003</v>
      </c>
      <c r="I40" s="71">
        <f>G40*0.1</f>
        <v>76877.600000000006</v>
      </c>
      <c r="J40" s="116">
        <f>G40*$M$3+H40*$M$4+I40*$M$5</f>
        <v>102393275.44</v>
      </c>
      <c r="L40" s="95"/>
      <c r="M40" s="92"/>
      <c r="N40" s="91"/>
      <c r="O40" s="92"/>
      <c r="P40" s="92" t="s">
        <v>120</v>
      </c>
      <c r="Q40" s="92"/>
      <c r="R40" s="93">
        <f>SUM(R37:R39)</f>
        <v>2857371</v>
      </c>
      <c r="S40" s="94">
        <f>S37</f>
        <v>32211854</v>
      </c>
    </row>
    <row r="41" spans="2:20" ht="16.5" customHeight="1" x14ac:dyDescent="0.2">
      <c r="B41" s="111" t="s">
        <v>24</v>
      </c>
      <c r="C41" s="77"/>
      <c r="D41" s="77"/>
      <c r="E41" s="77"/>
      <c r="F41" s="77"/>
      <c r="G41" s="174">
        <f>SUM(G34:I40)</f>
        <v>2591789.5</v>
      </c>
      <c r="H41" s="175"/>
      <c r="I41" s="176"/>
      <c r="J41" s="127">
        <f>SUM(J34:J40)</f>
        <v>300174298.69999993</v>
      </c>
      <c r="L41" s="95"/>
      <c r="M41" s="126" t="s">
        <v>116</v>
      </c>
      <c r="N41" s="91">
        <f>N37+N39</f>
        <v>1179</v>
      </c>
      <c r="O41" s="92"/>
      <c r="P41" s="92"/>
      <c r="Q41" s="92"/>
      <c r="R41" s="92"/>
      <c r="S41" s="96"/>
    </row>
    <row r="42" spans="2:20" ht="28.5" x14ac:dyDescent="0.2">
      <c r="B42" s="36" t="s">
        <v>186</v>
      </c>
      <c r="C42" s="77"/>
      <c r="D42" s="77"/>
      <c r="E42" s="77"/>
      <c r="F42" s="77"/>
      <c r="G42" s="177">
        <f>ROUND(G33+G41,-4)</f>
        <v>3620000</v>
      </c>
      <c r="H42" s="178"/>
      <c r="I42" s="179"/>
      <c r="J42" s="113">
        <f>ROUND(J33+J41,-6)</f>
        <v>419000000</v>
      </c>
      <c r="K42" s="68"/>
      <c r="L42" s="89"/>
      <c r="M42" s="92" t="s">
        <v>106</v>
      </c>
      <c r="N42" s="97">
        <f>SUM(N43:N47)</f>
        <v>149926</v>
      </c>
      <c r="O42" s="92"/>
      <c r="P42" s="92"/>
      <c r="Q42" s="92"/>
      <c r="R42" s="92"/>
      <c r="S42" s="96"/>
    </row>
    <row r="43" spans="2:20" ht="15.75" x14ac:dyDescent="0.2">
      <c r="B43" s="110" t="s">
        <v>187</v>
      </c>
      <c r="C43" s="166"/>
      <c r="D43" s="166"/>
      <c r="E43" s="166"/>
      <c r="F43" s="166"/>
      <c r="G43" s="30"/>
      <c r="H43" s="30"/>
      <c r="I43" s="30"/>
      <c r="J43" s="112">
        <f>ROUND('O&amp;M'!R8+'O&amp;M'!U8, -5)</f>
        <v>41700000</v>
      </c>
      <c r="L43" s="89"/>
      <c r="M43" s="90" t="s">
        <v>107</v>
      </c>
      <c r="N43" s="91">
        <v>13718</v>
      </c>
      <c r="O43" s="130"/>
      <c r="P43" s="92"/>
      <c r="Q43" s="92"/>
      <c r="R43" s="92"/>
      <c r="S43" s="96"/>
    </row>
    <row r="44" spans="2:20" ht="15.75" x14ac:dyDescent="0.2">
      <c r="B44" s="108" t="s">
        <v>188</v>
      </c>
      <c r="C44" s="166"/>
      <c r="D44" s="166"/>
      <c r="E44" s="166"/>
      <c r="F44" s="166"/>
      <c r="G44" s="30"/>
      <c r="H44" s="30"/>
      <c r="I44" s="30"/>
      <c r="J44" s="80">
        <f>ROUND(J42+J43, -6)</f>
        <v>461000000</v>
      </c>
      <c r="L44" s="89"/>
      <c r="M44" s="90" t="s">
        <v>105</v>
      </c>
      <c r="N44" s="91">
        <v>3480</v>
      </c>
      <c r="O44" s="92"/>
      <c r="P44" s="92"/>
      <c r="Q44" s="92"/>
      <c r="R44" s="92"/>
      <c r="S44" s="96"/>
    </row>
    <row r="45" spans="2:20" x14ac:dyDescent="0.2">
      <c r="J45" s="12"/>
      <c r="L45" s="89"/>
      <c r="M45" s="90" t="s">
        <v>108</v>
      </c>
      <c r="N45" s="91">
        <v>86649</v>
      </c>
      <c r="O45" s="92" t="s">
        <v>111</v>
      </c>
      <c r="P45" s="92"/>
      <c r="Q45" s="92"/>
      <c r="R45" s="92"/>
      <c r="S45" s="96"/>
    </row>
    <row r="46" spans="2:20" x14ac:dyDescent="0.2">
      <c r="B46" s="117" t="s">
        <v>125</v>
      </c>
      <c r="C46" s="13"/>
      <c r="D46" s="13"/>
      <c r="E46" s="13"/>
      <c r="F46" s="13"/>
      <c r="G46" s="18"/>
      <c r="H46" s="18"/>
      <c r="I46" s="18"/>
      <c r="J46" s="17"/>
      <c r="L46" s="89"/>
      <c r="M46" s="90" t="s">
        <v>109</v>
      </c>
      <c r="N46" s="91">
        <v>45633</v>
      </c>
      <c r="O46" s="92"/>
      <c r="P46" s="92"/>
      <c r="Q46" s="92"/>
      <c r="R46" s="92"/>
      <c r="S46" s="96"/>
    </row>
    <row r="47" spans="2:20" ht="45.6" customHeight="1" x14ac:dyDescent="0.2">
      <c r="B47" s="171" t="s">
        <v>195</v>
      </c>
      <c r="C47" s="171"/>
      <c r="D47" s="171"/>
      <c r="E47" s="171"/>
      <c r="F47" s="171"/>
      <c r="G47" s="171"/>
      <c r="H47" s="171"/>
      <c r="I47" s="171"/>
      <c r="J47" s="171"/>
      <c r="L47" s="89"/>
      <c r="M47" s="90" t="s">
        <v>110</v>
      </c>
      <c r="N47" s="91">
        <v>446</v>
      </c>
      <c r="O47" s="92"/>
      <c r="P47" s="92"/>
      <c r="Q47" s="92"/>
      <c r="R47" s="92"/>
      <c r="S47" s="96"/>
    </row>
    <row r="48" spans="2:20" ht="42" customHeight="1" x14ac:dyDescent="0.2">
      <c r="B48" s="172" t="s">
        <v>196</v>
      </c>
      <c r="C48" s="172"/>
      <c r="D48" s="172"/>
      <c r="E48" s="172"/>
      <c r="F48" s="172"/>
      <c r="G48" s="172"/>
      <c r="H48" s="172"/>
      <c r="I48" s="172"/>
      <c r="J48" s="172"/>
      <c r="L48" s="89"/>
      <c r="M48" s="92"/>
      <c r="N48" s="91"/>
      <c r="O48" s="92"/>
      <c r="P48" s="92"/>
      <c r="Q48" s="92"/>
      <c r="R48" s="92"/>
      <c r="S48" s="96"/>
    </row>
    <row r="49" spans="2:19" ht="16.5" customHeight="1" x14ac:dyDescent="0.2">
      <c r="B49" s="168" t="s">
        <v>189</v>
      </c>
      <c r="C49" s="168"/>
      <c r="D49" s="168"/>
      <c r="E49" s="168"/>
      <c r="F49" s="168"/>
      <c r="G49" s="168"/>
      <c r="H49" s="168"/>
      <c r="I49" s="168"/>
      <c r="J49" s="168"/>
      <c r="L49" s="98"/>
      <c r="M49" s="99" t="s">
        <v>112</v>
      </c>
      <c r="N49" s="100">
        <f>N43+N44+60654+N46</f>
        <v>123485</v>
      </c>
      <c r="O49" s="101"/>
      <c r="P49" s="101"/>
      <c r="Q49" s="101"/>
      <c r="R49" s="101"/>
      <c r="S49" s="102"/>
    </row>
    <row r="50" spans="2:19" ht="18" customHeight="1" x14ac:dyDescent="0.2">
      <c r="B50" s="168" t="s">
        <v>197</v>
      </c>
      <c r="C50" s="168"/>
      <c r="D50" s="168"/>
      <c r="E50" s="168"/>
      <c r="F50" s="168"/>
      <c r="G50" s="168"/>
      <c r="H50" s="168"/>
      <c r="I50" s="168"/>
      <c r="J50" s="168"/>
      <c r="L50" s="103"/>
      <c r="M50" s="104" t="s">
        <v>117</v>
      </c>
      <c r="N50" s="105">
        <v>755430</v>
      </c>
      <c r="O50" s="105"/>
      <c r="P50" s="104"/>
      <c r="Q50" s="104"/>
      <c r="R50" s="104"/>
      <c r="S50" s="106"/>
    </row>
    <row r="51" spans="2:19" ht="28.5" customHeight="1" x14ac:dyDescent="0.2">
      <c r="B51" s="171" t="s">
        <v>190</v>
      </c>
      <c r="C51" s="171"/>
      <c r="D51" s="171"/>
      <c r="E51" s="171"/>
      <c r="F51" s="171"/>
      <c r="G51" s="171"/>
      <c r="H51" s="171"/>
      <c r="I51" s="171"/>
      <c r="J51" s="171"/>
      <c r="L51" s="149" t="s">
        <v>158</v>
      </c>
      <c r="M51" s="146" t="s">
        <v>56</v>
      </c>
      <c r="N51" s="150">
        <f>SUM(N52:N54)</f>
        <v>1284</v>
      </c>
      <c r="O51" s="146" t="s">
        <v>181</v>
      </c>
      <c r="P51" s="42"/>
      <c r="Q51" s="42"/>
      <c r="R51" s="42"/>
      <c r="S51" s="128"/>
    </row>
    <row r="52" spans="2:19" ht="15.75" customHeight="1" x14ac:dyDescent="0.2">
      <c r="B52" s="168" t="s">
        <v>191</v>
      </c>
      <c r="C52" s="168"/>
      <c r="D52" s="168"/>
      <c r="E52" s="168"/>
      <c r="F52" s="168"/>
      <c r="G52" s="168"/>
      <c r="H52" s="168"/>
      <c r="I52" s="168"/>
      <c r="J52" s="168"/>
      <c r="L52" s="151"/>
      <c r="M52" s="147" t="s">
        <v>103</v>
      </c>
      <c r="N52" s="148">
        <v>769</v>
      </c>
      <c r="O52" s="48"/>
      <c r="P52" s="47"/>
      <c r="Q52" s="47"/>
      <c r="R52" s="47"/>
      <c r="S52" s="56"/>
    </row>
    <row r="53" spans="2:19" ht="40.5" customHeight="1" x14ac:dyDescent="0.2">
      <c r="B53" s="171" t="s">
        <v>192</v>
      </c>
      <c r="C53" s="171"/>
      <c r="D53" s="171"/>
      <c r="E53" s="171"/>
      <c r="F53" s="171"/>
      <c r="G53" s="171"/>
      <c r="H53" s="171"/>
      <c r="I53" s="171"/>
      <c r="J53" s="171"/>
      <c r="L53" s="151"/>
      <c r="M53" s="147" t="s">
        <v>104</v>
      </c>
      <c r="N53" s="148">
        <v>105</v>
      </c>
      <c r="O53" s="148" t="s">
        <v>179</v>
      </c>
      <c r="P53" s="47"/>
      <c r="Q53" s="47"/>
      <c r="R53" s="47"/>
      <c r="S53" s="56"/>
    </row>
    <row r="54" spans="2:19" ht="15.75" x14ac:dyDescent="0.2">
      <c r="B54" s="168" t="s">
        <v>193</v>
      </c>
      <c r="C54" s="168"/>
      <c r="D54" s="168"/>
      <c r="E54" s="168"/>
      <c r="F54" s="168"/>
      <c r="G54" s="168"/>
      <c r="H54" s="168"/>
      <c r="I54" s="168"/>
      <c r="J54" s="168"/>
      <c r="L54" s="151"/>
      <c r="M54" s="147" t="s">
        <v>105</v>
      </c>
      <c r="N54" s="148">
        <v>410</v>
      </c>
      <c r="O54" s="47"/>
      <c r="P54" s="47"/>
      <c r="Q54" s="47"/>
      <c r="R54" s="47"/>
      <c r="S54" s="56"/>
    </row>
    <row r="55" spans="2:19" ht="25.5" x14ac:dyDescent="0.2">
      <c r="B55" s="167" t="s">
        <v>194</v>
      </c>
      <c r="C55" s="167"/>
      <c r="D55" s="167"/>
      <c r="E55" s="167"/>
      <c r="F55" s="167"/>
      <c r="G55" s="167"/>
      <c r="H55" s="167"/>
      <c r="I55" s="167"/>
      <c r="J55" s="167"/>
      <c r="L55" s="151"/>
      <c r="M55" s="152" t="s">
        <v>116</v>
      </c>
      <c r="N55" s="148">
        <f>N52+N54</f>
        <v>1179</v>
      </c>
      <c r="O55" s="47"/>
      <c r="P55" s="47"/>
      <c r="Q55" s="47"/>
      <c r="R55" s="47"/>
      <c r="S55" s="56"/>
    </row>
    <row r="56" spans="2:19" ht="23.25" customHeight="1" x14ac:dyDescent="0.2">
      <c r="L56" s="151"/>
      <c r="M56" s="147" t="s">
        <v>106</v>
      </c>
      <c r="N56" s="153">
        <f>SUM(N57:N61)</f>
        <v>153463</v>
      </c>
      <c r="O56" s="144" t="s">
        <v>180</v>
      </c>
      <c r="P56" s="48"/>
      <c r="Q56" s="47"/>
      <c r="R56" s="47"/>
      <c r="S56" s="56"/>
    </row>
    <row r="57" spans="2:19" x14ac:dyDescent="0.2">
      <c r="B57" s="12" t="s">
        <v>50</v>
      </c>
      <c r="L57" s="151"/>
      <c r="M57" s="147" t="s">
        <v>107</v>
      </c>
      <c r="N57" s="148">
        <f>N43+3*N37</f>
        <v>16025</v>
      </c>
      <c r="O57" s="147" t="s">
        <v>182</v>
      </c>
      <c r="P57" s="47"/>
      <c r="Q57" s="47"/>
      <c r="R57" s="47"/>
      <c r="S57" s="56"/>
    </row>
    <row r="58" spans="2:19" x14ac:dyDescent="0.2">
      <c r="L58" s="151"/>
      <c r="M58" s="147" t="s">
        <v>105</v>
      </c>
      <c r="N58" s="148">
        <f>N44+3*N39</f>
        <v>4710</v>
      </c>
      <c r="O58" s="147" t="s">
        <v>183</v>
      </c>
      <c r="P58" s="47"/>
      <c r="Q58" s="47"/>
      <c r="R58" s="47"/>
      <c r="S58" s="56"/>
    </row>
    <row r="59" spans="2:19" x14ac:dyDescent="0.2">
      <c r="L59" s="151"/>
      <c r="M59" s="147" t="s">
        <v>108</v>
      </c>
      <c r="N59" s="148">
        <f>N45</f>
        <v>86649</v>
      </c>
      <c r="O59" s="145" t="s">
        <v>184</v>
      </c>
      <c r="P59" s="47"/>
      <c r="Q59" s="47"/>
      <c r="R59" s="47"/>
      <c r="S59" s="56"/>
    </row>
    <row r="60" spans="2:19" x14ac:dyDescent="0.2">
      <c r="L60" s="151"/>
      <c r="M60" s="147" t="s">
        <v>109</v>
      </c>
      <c r="N60" s="148">
        <f>N46</f>
        <v>45633</v>
      </c>
      <c r="O60" s="147" t="s">
        <v>178</v>
      </c>
      <c r="P60" s="48"/>
      <c r="Q60" s="47"/>
      <c r="R60" s="47"/>
      <c r="S60" s="56"/>
    </row>
    <row r="61" spans="2:19" x14ac:dyDescent="0.2">
      <c r="L61" s="151"/>
      <c r="M61" s="147" t="s">
        <v>110</v>
      </c>
      <c r="N61" s="148">
        <f>N47</f>
        <v>446</v>
      </c>
      <c r="O61" s="47"/>
      <c r="P61" s="47"/>
      <c r="Q61" s="47"/>
      <c r="R61" s="47"/>
      <c r="S61" s="56"/>
    </row>
    <row r="62" spans="2:19" x14ac:dyDescent="0.2">
      <c r="L62" s="151"/>
      <c r="M62" s="147" t="s">
        <v>112</v>
      </c>
      <c r="N62" s="148">
        <f>N57+N58+N60+N23</f>
        <v>127022</v>
      </c>
      <c r="O62" s="47"/>
      <c r="P62" s="47"/>
      <c r="Q62" s="47"/>
      <c r="R62" s="47"/>
      <c r="S62" s="56"/>
    </row>
    <row r="63" spans="2:19" x14ac:dyDescent="0.2">
      <c r="L63" s="154"/>
      <c r="M63" s="155" t="s">
        <v>117</v>
      </c>
      <c r="N63" s="156">
        <v>755430</v>
      </c>
      <c r="O63" s="54"/>
      <c r="P63" s="54"/>
      <c r="Q63" s="54"/>
      <c r="R63" s="54"/>
      <c r="S63" s="66"/>
    </row>
    <row r="64" spans="2:19" x14ac:dyDescent="0.2">
      <c r="L64" s="67"/>
    </row>
    <row r="65" spans="12:14" x14ac:dyDescent="0.2">
      <c r="L65" s="67"/>
      <c r="N65" s="157"/>
    </row>
    <row r="66" spans="12:14" x14ac:dyDescent="0.2">
      <c r="L66" s="141">
        <f>G42/'O&amp;M'!M16</f>
        <v>3.4272740957724288</v>
      </c>
      <c r="M66" s="12" t="s">
        <v>99</v>
      </c>
    </row>
    <row r="67" spans="12:14" x14ac:dyDescent="0.2">
      <c r="L67" s="67"/>
    </row>
  </sheetData>
  <mergeCells count="14">
    <mergeCell ref="B55:J55"/>
    <mergeCell ref="B54:J54"/>
    <mergeCell ref="L2:M2"/>
    <mergeCell ref="B47:J47"/>
    <mergeCell ref="B53:J53"/>
    <mergeCell ref="B51:J51"/>
    <mergeCell ref="B49:J49"/>
    <mergeCell ref="B50:J50"/>
    <mergeCell ref="B52:J52"/>
    <mergeCell ref="B48:J48"/>
    <mergeCell ref="B3:B4"/>
    <mergeCell ref="G41:I41"/>
    <mergeCell ref="G42:I42"/>
    <mergeCell ref="G33:I3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5"/>
  <sheetViews>
    <sheetView zoomScaleNormal="100" workbookViewId="0">
      <selection activeCell="B23" sqref="B23:J23"/>
    </sheetView>
  </sheetViews>
  <sheetFormatPr defaultColWidth="9.140625" defaultRowHeight="12.75" x14ac:dyDescent="0.2"/>
  <cols>
    <col min="1" max="1" width="0.85546875" style="1" customWidth="1"/>
    <col min="2" max="2" width="33.7109375" style="1" customWidth="1"/>
    <col min="3" max="3" width="12.85546875" style="1" customWidth="1"/>
    <col min="4" max="4" width="13.140625" style="1" customWidth="1"/>
    <col min="5" max="5" width="13.5703125" style="1" customWidth="1"/>
    <col min="6" max="6" width="11.28515625" style="1" customWidth="1"/>
    <col min="7" max="7" width="11.42578125" style="1" bestFit="1" customWidth="1"/>
    <col min="8" max="8" width="13.85546875" style="1" customWidth="1"/>
    <col min="9" max="9" width="12" style="1" customWidth="1"/>
    <col min="10" max="10" width="15.42578125" style="1" bestFit="1" customWidth="1"/>
    <col min="11" max="11" width="1.5703125" style="1" customWidth="1"/>
    <col min="12" max="12" width="17.140625" style="1" customWidth="1"/>
    <col min="13" max="13" width="15.42578125" style="1" customWidth="1"/>
    <col min="14" max="14" width="3" style="1" bestFit="1" customWidth="1"/>
    <col min="15" max="16384" width="9.140625" style="1"/>
  </cols>
  <sheetData>
    <row r="1" spans="2:13" ht="15.75" x14ac:dyDescent="0.25">
      <c r="B1" s="19" t="s">
        <v>100</v>
      </c>
      <c r="C1" s="19"/>
    </row>
    <row r="2" spans="2:13" x14ac:dyDescent="0.2">
      <c r="L2" s="183" t="s">
        <v>126</v>
      </c>
      <c r="M2" s="184"/>
    </row>
    <row r="3" spans="2:13" s="2" customFormat="1" ht="12.75" customHeight="1" x14ac:dyDescent="0.2">
      <c r="B3" s="181" t="s">
        <v>0</v>
      </c>
      <c r="C3" s="20" t="s">
        <v>9</v>
      </c>
      <c r="D3" s="20" t="s">
        <v>10</v>
      </c>
      <c r="E3" s="20" t="s">
        <v>11</v>
      </c>
      <c r="F3" s="20" t="s">
        <v>12</v>
      </c>
      <c r="G3" s="20" t="s">
        <v>13</v>
      </c>
      <c r="H3" s="20" t="s">
        <v>14</v>
      </c>
      <c r="I3" s="20" t="s">
        <v>15</v>
      </c>
      <c r="J3" s="20" t="s">
        <v>16</v>
      </c>
      <c r="K3" s="21"/>
      <c r="L3" s="118" t="s">
        <v>121</v>
      </c>
      <c r="M3" s="119">
        <v>49.44</v>
      </c>
    </row>
    <row r="4" spans="2:13" s="6" customFormat="1" ht="51" x14ac:dyDescent="0.2">
      <c r="B4" s="181"/>
      <c r="C4" s="7" t="s">
        <v>17</v>
      </c>
      <c r="D4" s="7" t="s">
        <v>18</v>
      </c>
      <c r="E4" s="7" t="s">
        <v>19</v>
      </c>
      <c r="F4" s="7" t="s">
        <v>20</v>
      </c>
      <c r="G4" s="7" t="s">
        <v>21</v>
      </c>
      <c r="H4" s="7" t="s">
        <v>22</v>
      </c>
      <c r="I4" s="7" t="s">
        <v>23</v>
      </c>
      <c r="J4" s="7" t="s">
        <v>128</v>
      </c>
      <c r="K4" s="22"/>
      <c r="L4" s="31" t="s">
        <v>122</v>
      </c>
      <c r="M4" s="119">
        <v>66.62</v>
      </c>
    </row>
    <row r="5" spans="2:13" x14ac:dyDescent="0.2">
      <c r="B5" s="11" t="s">
        <v>26</v>
      </c>
      <c r="C5" s="9"/>
      <c r="D5" s="9"/>
      <c r="E5" s="9"/>
      <c r="F5" s="9"/>
      <c r="G5" s="9"/>
      <c r="H5" s="9"/>
      <c r="I5" s="9"/>
      <c r="J5" s="23"/>
      <c r="L5" s="31" t="s">
        <v>123</v>
      </c>
      <c r="M5" s="119">
        <v>26.75</v>
      </c>
    </row>
    <row r="6" spans="2:13" ht="25.5" x14ac:dyDescent="0.2">
      <c r="B6" s="79" t="s">
        <v>84</v>
      </c>
      <c r="C6" s="77">
        <v>1</v>
      </c>
      <c r="D6" s="78">
        <v>1</v>
      </c>
      <c r="E6" s="78">
        <f>C6*D6</f>
        <v>1</v>
      </c>
      <c r="F6" s="78">
        <f>'Table 1'!F19</f>
        <v>1179</v>
      </c>
      <c r="G6" s="78">
        <f>E6*F6</f>
        <v>1179</v>
      </c>
      <c r="H6" s="78">
        <f>G6*0.05</f>
        <v>58.95</v>
      </c>
      <c r="I6" s="78">
        <f>G6*0.1</f>
        <v>117.9</v>
      </c>
      <c r="J6" s="81">
        <f>G6*$M$3+H6*$M$4+I6*$M$5</f>
        <v>65370.833999999995</v>
      </c>
    </row>
    <row r="7" spans="2:13" x14ac:dyDescent="0.2">
      <c r="B7" s="79" t="s">
        <v>85</v>
      </c>
      <c r="C7" s="34">
        <v>1</v>
      </c>
      <c r="D7" s="35">
        <v>1</v>
      </c>
      <c r="E7" s="35">
        <f>C7*D7</f>
        <v>1</v>
      </c>
      <c r="F7" s="35">
        <f>'Table 1'!F20</f>
        <v>1179</v>
      </c>
      <c r="G7" s="35">
        <f t="shared" ref="G7:G8" si="0">E7*F7</f>
        <v>1179</v>
      </c>
      <c r="H7" s="35">
        <f t="shared" ref="H7:H8" si="1">G7*0.05</f>
        <v>58.95</v>
      </c>
      <c r="I7" s="35">
        <f t="shared" ref="I7:I8" si="2">G7*0.1</f>
        <v>117.9</v>
      </c>
      <c r="J7" s="82">
        <f t="shared" ref="J7:J8" si="3">G7*$M$3+H7*$M$4+I7*$M$5</f>
        <v>65370.833999999995</v>
      </c>
    </row>
    <row r="8" spans="2:13" x14ac:dyDescent="0.2">
      <c r="B8" s="79" t="s">
        <v>86</v>
      </c>
      <c r="C8" s="34">
        <v>1</v>
      </c>
      <c r="D8" s="35">
        <v>1</v>
      </c>
      <c r="E8" s="35">
        <f>C8*D8</f>
        <v>1</v>
      </c>
      <c r="F8" s="35">
        <f>'Table 1'!F21</f>
        <v>1179</v>
      </c>
      <c r="G8" s="35">
        <f t="shared" si="0"/>
        <v>1179</v>
      </c>
      <c r="H8" s="35">
        <f t="shared" si="1"/>
        <v>58.95</v>
      </c>
      <c r="I8" s="35">
        <f t="shared" si="2"/>
        <v>117.9</v>
      </c>
      <c r="J8" s="82">
        <f t="shared" si="3"/>
        <v>65370.833999999995</v>
      </c>
    </row>
    <row r="9" spans="2:13" x14ac:dyDescent="0.2">
      <c r="B9" s="79" t="s">
        <v>87</v>
      </c>
      <c r="C9" s="34"/>
      <c r="D9" s="35"/>
      <c r="E9" s="35"/>
      <c r="F9" s="35"/>
      <c r="G9" s="35"/>
      <c r="H9" s="35"/>
      <c r="I9" s="35"/>
      <c r="J9" s="82"/>
    </row>
    <row r="10" spans="2:13" x14ac:dyDescent="0.2">
      <c r="B10" s="121" t="s">
        <v>132</v>
      </c>
      <c r="C10" s="34">
        <v>1</v>
      </c>
      <c r="D10" s="35">
        <v>4</v>
      </c>
      <c r="E10" s="35">
        <f t="shared" ref="E10:E16" si="4">C10*D10</f>
        <v>4</v>
      </c>
      <c r="F10" s="35">
        <f>'Table 1'!F23</f>
        <v>1605</v>
      </c>
      <c r="G10" s="35">
        <f t="shared" ref="G10:G16" si="5">E10*F10</f>
        <v>6420</v>
      </c>
      <c r="H10" s="35">
        <f t="shared" ref="H10:H16" si="6">G10*0.05</f>
        <v>321</v>
      </c>
      <c r="I10" s="35">
        <f t="shared" ref="I10:I16" si="7">G10*0.1</f>
        <v>642</v>
      </c>
      <c r="J10" s="82">
        <f t="shared" ref="J10:J16" si="8">G10*$M$3+H10*$M$4+I10*$M$5</f>
        <v>355963.32</v>
      </c>
    </row>
    <row r="11" spans="2:13" x14ac:dyDescent="0.2">
      <c r="B11" s="121" t="s">
        <v>133</v>
      </c>
      <c r="C11" s="34">
        <v>1</v>
      </c>
      <c r="D11" s="35">
        <v>2</v>
      </c>
      <c r="E11" s="35">
        <f t="shared" si="4"/>
        <v>2</v>
      </c>
      <c r="F11" s="35">
        <f>'Table 1'!F24</f>
        <v>4460</v>
      </c>
      <c r="G11" s="35">
        <f t="shared" si="5"/>
        <v>8920</v>
      </c>
      <c r="H11" s="35">
        <f t="shared" si="6"/>
        <v>446</v>
      </c>
      <c r="I11" s="35">
        <f t="shared" si="7"/>
        <v>892</v>
      </c>
      <c r="J11" s="82">
        <f t="shared" si="8"/>
        <v>494578.32</v>
      </c>
    </row>
    <row r="12" spans="2:13" x14ac:dyDescent="0.2">
      <c r="B12" s="121" t="s">
        <v>134</v>
      </c>
      <c r="C12" s="34">
        <v>1</v>
      </c>
      <c r="D12" s="35">
        <v>1</v>
      </c>
      <c r="E12" s="35">
        <f t="shared" si="4"/>
        <v>1</v>
      </c>
      <c r="F12" s="35">
        <f>'Table 1'!F25</f>
        <v>87</v>
      </c>
      <c r="G12" s="35">
        <f t="shared" si="5"/>
        <v>87</v>
      </c>
      <c r="H12" s="35">
        <f t="shared" si="6"/>
        <v>4.3500000000000005</v>
      </c>
      <c r="I12" s="35">
        <f t="shared" si="7"/>
        <v>8.7000000000000011</v>
      </c>
      <c r="J12" s="82">
        <f t="shared" si="8"/>
        <v>4823.8020000000006</v>
      </c>
    </row>
    <row r="13" spans="2:13" x14ac:dyDescent="0.2">
      <c r="B13" s="79" t="s">
        <v>88</v>
      </c>
      <c r="C13" s="34">
        <v>1</v>
      </c>
      <c r="D13" s="35">
        <v>1</v>
      </c>
      <c r="E13" s="35">
        <f t="shared" si="4"/>
        <v>1</v>
      </c>
      <c r="F13" s="35">
        <f>'Table 1'!F26</f>
        <v>105</v>
      </c>
      <c r="G13" s="35">
        <f t="shared" si="5"/>
        <v>105</v>
      </c>
      <c r="H13" s="35">
        <f t="shared" si="6"/>
        <v>5.25</v>
      </c>
      <c r="I13" s="35">
        <f t="shared" si="7"/>
        <v>10.5</v>
      </c>
      <c r="J13" s="82">
        <f t="shared" si="8"/>
        <v>5821.83</v>
      </c>
    </row>
    <row r="14" spans="2:13" x14ac:dyDescent="0.2">
      <c r="B14" s="79" t="s">
        <v>89</v>
      </c>
      <c r="C14" s="34">
        <v>2</v>
      </c>
      <c r="D14" s="35">
        <v>1</v>
      </c>
      <c r="E14" s="35">
        <f t="shared" si="4"/>
        <v>2</v>
      </c>
      <c r="F14" s="35">
        <f>'Table 1'!F27</f>
        <v>1179</v>
      </c>
      <c r="G14" s="35">
        <f t="shared" si="5"/>
        <v>2358</v>
      </c>
      <c r="H14" s="35">
        <f t="shared" si="6"/>
        <v>117.9</v>
      </c>
      <c r="I14" s="35">
        <f t="shared" si="7"/>
        <v>235.8</v>
      </c>
      <c r="J14" s="82">
        <f t="shared" si="8"/>
        <v>130741.66799999999</v>
      </c>
    </row>
    <row r="15" spans="2:13" ht="15.75" x14ac:dyDescent="0.2">
      <c r="B15" s="79" t="s">
        <v>131</v>
      </c>
      <c r="C15" s="34">
        <v>2</v>
      </c>
      <c r="D15" s="35">
        <v>2</v>
      </c>
      <c r="E15" s="35">
        <f t="shared" si="4"/>
        <v>4</v>
      </c>
      <c r="F15" s="35">
        <f>'Table 1'!F28</f>
        <v>127022</v>
      </c>
      <c r="G15" s="35">
        <f t="shared" si="5"/>
        <v>508088</v>
      </c>
      <c r="H15" s="35">
        <f t="shared" si="6"/>
        <v>25404.400000000001</v>
      </c>
      <c r="I15" s="35">
        <f t="shared" si="7"/>
        <v>50808.800000000003</v>
      </c>
      <c r="J15" s="82">
        <f t="shared" si="8"/>
        <v>28171447.247999996</v>
      </c>
    </row>
    <row r="16" spans="2:13" ht="15.75" x14ac:dyDescent="0.2">
      <c r="B16" s="79" t="s">
        <v>130</v>
      </c>
      <c r="C16" s="34">
        <v>2</v>
      </c>
      <c r="D16" s="35">
        <v>2</v>
      </c>
      <c r="E16" s="35">
        <f t="shared" si="4"/>
        <v>4</v>
      </c>
      <c r="F16" s="35">
        <f>'Table 1'!F29+'Table 1'!F31+'Table 1'!F32</f>
        <v>26511</v>
      </c>
      <c r="G16" s="35">
        <f t="shared" si="5"/>
        <v>106044</v>
      </c>
      <c r="H16" s="35">
        <f t="shared" si="6"/>
        <v>5302.2000000000007</v>
      </c>
      <c r="I16" s="35">
        <f t="shared" si="7"/>
        <v>10604.400000000001</v>
      </c>
      <c r="J16" s="82">
        <f t="shared" si="8"/>
        <v>5879715.6239999998</v>
      </c>
    </row>
    <row r="17" spans="2:10" ht="15.75" x14ac:dyDescent="0.2">
      <c r="B17" s="10" t="s">
        <v>129</v>
      </c>
      <c r="C17" s="24"/>
      <c r="D17" s="24"/>
      <c r="E17" s="24"/>
      <c r="F17" s="24"/>
      <c r="G17" s="182">
        <f>ROUND(SUM(G5:I16),-3)</f>
        <v>731000</v>
      </c>
      <c r="H17" s="182"/>
      <c r="I17" s="182"/>
      <c r="J17" s="83">
        <f>ROUND(SUM(J5:J16),-5)</f>
        <v>35200000</v>
      </c>
    </row>
    <row r="19" spans="2:10" x14ac:dyDescent="0.2">
      <c r="B19" s="120" t="s">
        <v>127</v>
      </c>
      <c r="F19" s="75"/>
    </row>
    <row r="20" spans="2:10" ht="43.5" customHeight="1" x14ac:dyDescent="0.2">
      <c r="B20" s="171" t="s">
        <v>202</v>
      </c>
      <c r="C20" s="171"/>
      <c r="D20" s="171"/>
      <c r="E20" s="171"/>
      <c r="F20" s="171"/>
      <c r="G20" s="171"/>
      <c r="H20" s="171"/>
      <c r="I20" s="171"/>
      <c r="J20" s="171"/>
    </row>
    <row r="21" spans="2:10" ht="36.75" customHeight="1" x14ac:dyDescent="0.2">
      <c r="B21" s="171" t="s">
        <v>201</v>
      </c>
      <c r="C21" s="171"/>
      <c r="D21" s="171"/>
      <c r="E21" s="171"/>
      <c r="F21" s="171"/>
      <c r="G21" s="171"/>
      <c r="H21" s="171"/>
      <c r="I21" s="171"/>
      <c r="J21" s="171"/>
    </row>
    <row r="22" spans="2:10" ht="27.75" customHeight="1" x14ac:dyDescent="0.2">
      <c r="B22" s="186" t="s">
        <v>200</v>
      </c>
      <c r="C22" s="186"/>
      <c r="D22" s="186"/>
      <c r="E22" s="186"/>
      <c r="F22" s="186"/>
      <c r="G22" s="186"/>
      <c r="H22" s="186"/>
      <c r="I22" s="186"/>
      <c r="J22" s="186"/>
    </row>
    <row r="23" spans="2:10" ht="27.75" customHeight="1" x14ac:dyDescent="0.2">
      <c r="B23" s="186" t="s">
        <v>199</v>
      </c>
      <c r="C23" s="186"/>
      <c r="D23" s="186"/>
      <c r="E23" s="186"/>
      <c r="F23" s="186"/>
      <c r="G23" s="186"/>
      <c r="H23" s="186"/>
      <c r="I23" s="186"/>
      <c r="J23" s="186"/>
    </row>
    <row r="24" spans="2:10" ht="18.75" customHeight="1" x14ac:dyDescent="0.2">
      <c r="B24" s="185" t="s">
        <v>198</v>
      </c>
      <c r="C24" s="185"/>
      <c r="D24" s="185"/>
      <c r="E24" s="185"/>
      <c r="F24" s="185"/>
      <c r="G24" s="185"/>
      <c r="H24" s="185"/>
      <c r="I24" s="185"/>
      <c r="J24" s="185"/>
    </row>
    <row r="25" spans="2:10" x14ac:dyDescent="0.2">
      <c r="B25" s="185"/>
      <c r="C25" s="185"/>
      <c r="D25" s="185"/>
      <c r="E25" s="185"/>
      <c r="F25" s="185"/>
      <c r="G25" s="185"/>
      <c r="H25" s="185"/>
      <c r="I25" s="185"/>
      <c r="J25" s="185"/>
    </row>
  </sheetData>
  <mergeCells count="9">
    <mergeCell ref="B3:B4"/>
    <mergeCell ref="G17:I17"/>
    <mergeCell ref="B20:J20"/>
    <mergeCell ref="L2:M2"/>
    <mergeCell ref="B25:J25"/>
    <mergeCell ref="B21:J21"/>
    <mergeCell ref="B22:J22"/>
    <mergeCell ref="B23:J23"/>
    <mergeCell ref="B24:J2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22"/>
  <sheetViews>
    <sheetView topLeftCell="J5" workbookViewId="0">
      <selection activeCell="K22" sqref="K22"/>
    </sheetView>
  </sheetViews>
  <sheetFormatPr defaultColWidth="9.140625" defaultRowHeight="12.75" x14ac:dyDescent="0.2"/>
  <cols>
    <col min="1" max="1" width="0.7109375" style="130" customWidth="1"/>
    <col min="2" max="2" width="9.42578125" style="130" customWidth="1"/>
    <col min="3" max="3" width="11.85546875" style="130" customWidth="1"/>
    <col min="4" max="7" width="13.42578125" style="130" customWidth="1"/>
    <col min="8" max="8" width="3.42578125" style="130" customWidth="1"/>
    <col min="9" max="9" width="31.28515625" style="130" customWidth="1"/>
    <col min="10" max="11" width="10" style="130" customWidth="1"/>
    <col min="12" max="12" width="12.28515625" style="130" customWidth="1"/>
    <col min="13" max="13" width="12.140625" style="130" customWidth="1"/>
    <col min="14" max="14" width="9.28515625" style="130" customWidth="1"/>
    <col min="15" max="15" width="16" style="130" customWidth="1"/>
    <col min="16" max="17" width="9.140625" style="130"/>
    <col min="18" max="18" width="10.42578125" style="130" customWidth="1"/>
    <col min="19" max="20" width="9.140625" style="130"/>
    <col min="21" max="21" width="12.42578125" style="130" customWidth="1"/>
    <col min="22" max="22" width="9.140625" style="130"/>
    <col min="23" max="23" width="12" style="130" customWidth="1"/>
    <col min="24" max="16384" width="9.140625" style="130"/>
  </cols>
  <sheetData>
    <row r="2" spans="1:24" ht="21" customHeight="1" x14ac:dyDescent="0.2">
      <c r="B2" s="189" t="s">
        <v>27</v>
      </c>
      <c r="C2" s="189"/>
      <c r="D2" s="189"/>
      <c r="E2" s="189"/>
      <c r="F2" s="189"/>
      <c r="G2" s="189"/>
      <c r="O2" s="192" t="s">
        <v>159</v>
      </c>
      <c r="P2" s="192"/>
      <c r="Q2" s="192"/>
      <c r="R2" s="192"/>
      <c r="S2" s="192"/>
      <c r="T2" s="192"/>
      <c r="U2" s="192"/>
    </row>
    <row r="3" spans="1:24" x14ac:dyDescent="0.2">
      <c r="B3" s="134"/>
      <c r="C3" s="190" t="s">
        <v>28</v>
      </c>
      <c r="D3" s="190"/>
      <c r="E3" s="191" t="s">
        <v>29</v>
      </c>
      <c r="F3" s="191"/>
      <c r="G3" s="191"/>
      <c r="I3" s="189" t="s">
        <v>30</v>
      </c>
      <c r="J3" s="189"/>
      <c r="K3" s="189"/>
      <c r="L3" s="189"/>
      <c r="M3" s="189"/>
      <c r="O3" s="129" t="s">
        <v>160</v>
      </c>
      <c r="P3" s="129" t="s">
        <v>162</v>
      </c>
      <c r="Q3" s="129" t="s">
        <v>164</v>
      </c>
      <c r="R3" s="129" t="s">
        <v>165</v>
      </c>
      <c r="S3" s="129" t="s">
        <v>167</v>
      </c>
      <c r="T3" s="129" t="s">
        <v>169</v>
      </c>
      <c r="U3" s="129" t="s">
        <v>170</v>
      </c>
    </row>
    <row r="4" spans="1:24" ht="105" x14ac:dyDescent="0.2">
      <c r="B4" s="26" t="s">
        <v>31</v>
      </c>
      <c r="C4" s="26" t="s">
        <v>203</v>
      </c>
      <c r="D4" s="26" t="s">
        <v>204</v>
      </c>
      <c r="E4" s="26" t="s">
        <v>205</v>
      </c>
      <c r="F4" s="26" t="s">
        <v>32</v>
      </c>
      <c r="G4" s="26" t="s">
        <v>33</v>
      </c>
      <c r="I4" s="9" t="s">
        <v>34</v>
      </c>
      <c r="J4" s="26" t="s">
        <v>35</v>
      </c>
      <c r="K4" s="26" t="s">
        <v>36</v>
      </c>
      <c r="L4" s="135" t="s">
        <v>37</v>
      </c>
      <c r="M4" s="135" t="s">
        <v>98</v>
      </c>
      <c r="O4" s="129" t="s">
        <v>161</v>
      </c>
      <c r="P4" s="129" t="s">
        <v>163</v>
      </c>
      <c r="Q4" s="129" t="s">
        <v>171</v>
      </c>
      <c r="R4" s="129" t="s">
        <v>166</v>
      </c>
      <c r="S4" s="129" t="s">
        <v>168</v>
      </c>
      <c r="T4" s="129" t="s">
        <v>172</v>
      </c>
      <c r="U4" s="129" t="s">
        <v>173</v>
      </c>
    </row>
    <row r="5" spans="1:24" ht="25.5" x14ac:dyDescent="0.2">
      <c r="B5" s="26">
        <v>1</v>
      </c>
      <c r="C5" s="35">
        <f>'Table 1'!$N$51</f>
        <v>1284</v>
      </c>
      <c r="D5" s="35">
        <f>D6-C6</f>
        <v>152179</v>
      </c>
      <c r="E5" s="136">
        <f>'Table 1'!N31+'Table 1'!N26</f>
        <v>755430</v>
      </c>
      <c r="F5" s="136">
        <v>0</v>
      </c>
      <c r="G5" s="136">
        <f>C5+D5+E5-F5</f>
        <v>908893</v>
      </c>
      <c r="I5" s="137" t="s">
        <v>38</v>
      </c>
      <c r="J5" s="136">
        <f>'Table 1'!F19</f>
        <v>1179</v>
      </c>
      <c r="K5" s="136">
        <v>1</v>
      </c>
      <c r="L5" s="136">
        <v>0</v>
      </c>
      <c r="M5" s="136">
        <f>J5*K5+L5</f>
        <v>1179</v>
      </c>
      <c r="O5" s="131" t="s">
        <v>174</v>
      </c>
      <c r="P5" s="132">
        <v>583</v>
      </c>
      <c r="Q5" s="133">
        <v>1179</v>
      </c>
      <c r="R5" s="132">
        <f>P5*Q5</f>
        <v>687357</v>
      </c>
      <c r="S5" s="132">
        <v>1873</v>
      </c>
      <c r="T5" s="133">
        <f>'Table 1'!N57+'Table 1'!N58</f>
        <v>20735</v>
      </c>
      <c r="U5" s="132">
        <f>S5*T5</f>
        <v>38836655</v>
      </c>
    </row>
    <row r="6" spans="1:24" ht="15.75" x14ac:dyDescent="0.2">
      <c r="B6" s="26">
        <v>2</v>
      </c>
      <c r="C6" s="35">
        <f>'Table 1'!$N$51</f>
        <v>1284</v>
      </c>
      <c r="D6" s="35">
        <f>'Table 1'!N56</f>
        <v>153463</v>
      </c>
      <c r="E6" s="136">
        <f>'Table 1'!N31+'Table 1'!N26</f>
        <v>755430</v>
      </c>
      <c r="F6" s="136">
        <v>0</v>
      </c>
      <c r="G6" s="136">
        <f>C6+D6+E6-F6</f>
        <v>910177</v>
      </c>
      <c r="I6" s="137" t="s">
        <v>43</v>
      </c>
      <c r="J6" s="136">
        <f>'Table 1'!F20</f>
        <v>1179</v>
      </c>
      <c r="K6" s="136">
        <v>1</v>
      </c>
      <c r="L6" s="136">
        <v>0</v>
      </c>
      <c r="M6" s="136">
        <f t="shared" ref="M6:M13" si="0">J6*K6+L6</f>
        <v>1179</v>
      </c>
      <c r="O6" s="131" t="s">
        <v>175</v>
      </c>
      <c r="P6" s="132">
        <v>1708</v>
      </c>
      <c r="Q6" s="133">
        <v>1179</v>
      </c>
      <c r="R6" s="132">
        <f t="shared" ref="R6:R7" si="1">P6*Q6</f>
        <v>2013732</v>
      </c>
      <c r="S6" s="131" t="s">
        <v>2</v>
      </c>
      <c r="T6" s="131" t="s">
        <v>2</v>
      </c>
      <c r="U6" s="131"/>
    </row>
    <row r="7" spans="1:24" ht="15.75" x14ac:dyDescent="0.2">
      <c r="B7" s="26">
        <v>3</v>
      </c>
      <c r="C7" s="35">
        <f>'Table 1'!$N$51</f>
        <v>1284</v>
      </c>
      <c r="D7" s="35">
        <f>D6+C6</f>
        <v>154747</v>
      </c>
      <c r="E7" s="136">
        <f>'Table 1'!N31+'Table 1'!N26</f>
        <v>755430</v>
      </c>
      <c r="F7" s="136">
        <v>0</v>
      </c>
      <c r="G7" s="136">
        <f>C7+D7+E7-F7</f>
        <v>911461</v>
      </c>
      <c r="I7" s="137" t="s">
        <v>40</v>
      </c>
      <c r="J7" s="136">
        <f>'Table 1'!F21</f>
        <v>1179</v>
      </c>
      <c r="K7" s="136">
        <v>1</v>
      </c>
      <c r="L7" s="136">
        <v>0</v>
      </c>
      <c r="M7" s="136">
        <f t="shared" si="0"/>
        <v>1179</v>
      </c>
      <c r="N7" s="27"/>
      <c r="O7" s="131" t="s">
        <v>176</v>
      </c>
      <c r="P7" s="132">
        <v>427</v>
      </c>
      <c r="Q7" s="131">
        <v>366</v>
      </c>
      <c r="R7" s="132">
        <f t="shared" si="1"/>
        <v>156282</v>
      </c>
      <c r="S7" s="131" t="s">
        <v>2</v>
      </c>
      <c r="T7" s="131" t="s">
        <v>2</v>
      </c>
      <c r="U7" s="131"/>
    </row>
    <row r="8" spans="1:24" ht="15.75" x14ac:dyDescent="0.2">
      <c r="B8" s="26" t="s">
        <v>39</v>
      </c>
      <c r="C8" s="136">
        <f>AVERAGE(C5:C7)</f>
        <v>1284</v>
      </c>
      <c r="D8" s="136">
        <f t="shared" ref="D8:E8" si="2">AVERAGE(D5:D7)</f>
        <v>153463</v>
      </c>
      <c r="E8" s="136">
        <f t="shared" si="2"/>
        <v>755430</v>
      </c>
      <c r="F8" s="136">
        <f>AVERAGE(F5:F7)</f>
        <v>0</v>
      </c>
      <c r="G8" s="136">
        <f>C8+D8+E8-F8</f>
        <v>910177</v>
      </c>
      <c r="I8" s="137" t="s">
        <v>44</v>
      </c>
      <c r="J8" s="136"/>
      <c r="K8" s="136"/>
      <c r="L8" s="136"/>
      <c r="M8" s="136"/>
      <c r="N8" s="27"/>
      <c r="O8" s="131" t="s">
        <v>177</v>
      </c>
      <c r="P8" s="131"/>
      <c r="Q8" s="131"/>
      <c r="R8" s="132">
        <f>ROUND(SUM(R5:R7),-4)</f>
        <v>2860000</v>
      </c>
      <c r="S8" s="131"/>
      <c r="T8" s="131"/>
      <c r="U8" s="132">
        <f>ROUND(SUM(U5:U7),-5)</f>
        <v>38800000</v>
      </c>
      <c r="W8" s="140">
        <f>ROUND(U8+R8,-5)</f>
        <v>41700000</v>
      </c>
    </row>
    <row r="9" spans="1:24" x14ac:dyDescent="0.2">
      <c r="A9" s="130" t="s">
        <v>90</v>
      </c>
      <c r="B9" s="145"/>
      <c r="C9" s="145"/>
      <c r="D9" s="158"/>
      <c r="E9" s="158"/>
      <c r="F9" s="145"/>
      <c r="G9" s="145"/>
      <c r="I9" s="137" t="s">
        <v>91</v>
      </c>
      <c r="J9" s="136">
        <f>'Table 1'!F23</f>
        <v>1605</v>
      </c>
      <c r="K9" s="136">
        <v>4</v>
      </c>
      <c r="L9" s="136">
        <v>0</v>
      </c>
      <c r="M9" s="136">
        <f t="shared" si="0"/>
        <v>6420</v>
      </c>
      <c r="N9" s="27"/>
    </row>
    <row r="10" spans="1:24" ht="38.450000000000003" customHeight="1" x14ac:dyDescent="0.2">
      <c r="B10" s="187" t="s">
        <v>208</v>
      </c>
      <c r="C10" s="187"/>
      <c r="D10" s="187"/>
      <c r="E10" s="187"/>
      <c r="F10" s="187"/>
      <c r="G10" s="187"/>
      <c r="I10" s="137" t="s">
        <v>92</v>
      </c>
      <c r="J10" s="136">
        <f>'Table 1'!F24</f>
        <v>4460</v>
      </c>
      <c r="K10" s="136">
        <v>2</v>
      </c>
      <c r="L10" s="136">
        <v>0</v>
      </c>
      <c r="M10" s="136">
        <f t="shared" si="0"/>
        <v>8920</v>
      </c>
      <c r="N10" s="27"/>
      <c r="O10" s="188" t="s">
        <v>209</v>
      </c>
      <c r="P10" s="188"/>
      <c r="Q10" s="188"/>
      <c r="R10" s="188"/>
      <c r="S10" s="188"/>
      <c r="T10" s="188"/>
      <c r="U10" s="188"/>
      <c r="V10" s="188"/>
      <c r="W10" s="188"/>
      <c r="X10" s="188"/>
    </row>
    <row r="11" spans="1:24" ht="36.6" customHeight="1" x14ac:dyDescent="0.2">
      <c r="B11" s="187" t="s">
        <v>206</v>
      </c>
      <c r="C11" s="187"/>
      <c r="D11" s="187"/>
      <c r="E11" s="187"/>
      <c r="F11" s="187"/>
      <c r="G11" s="187"/>
      <c r="I11" s="137" t="s">
        <v>93</v>
      </c>
      <c r="J11" s="136">
        <f>'Table 1'!F25</f>
        <v>87</v>
      </c>
      <c r="K11" s="136">
        <v>1</v>
      </c>
      <c r="L11" s="136">
        <v>0</v>
      </c>
      <c r="M11" s="136">
        <f t="shared" si="0"/>
        <v>87</v>
      </c>
      <c r="N11" s="27"/>
      <c r="O11" s="188" t="s">
        <v>210</v>
      </c>
      <c r="P11" s="188"/>
      <c r="Q11" s="188"/>
      <c r="R11" s="188"/>
      <c r="S11" s="188"/>
      <c r="T11" s="188"/>
      <c r="U11" s="188"/>
      <c r="V11" s="188"/>
      <c r="W11" s="188"/>
      <c r="X11" s="188"/>
    </row>
    <row r="12" spans="1:24" ht="25.5" customHeight="1" x14ac:dyDescent="0.2">
      <c r="B12" s="187" t="s">
        <v>207</v>
      </c>
      <c r="C12" s="187"/>
      <c r="D12" s="187"/>
      <c r="E12" s="187"/>
      <c r="F12" s="187"/>
      <c r="G12" s="187"/>
      <c r="I12" s="137" t="s">
        <v>94</v>
      </c>
      <c r="J12" s="136">
        <f>'Table 1'!F26</f>
        <v>105</v>
      </c>
      <c r="K12" s="136">
        <v>1</v>
      </c>
      <c r="L12" s="136">
        <v>0</v>
      </c>
      <c r="M12" s="136">
        <f t="shared" si="0"/>
        <v>105</v>
      </c>
      <c r="N12" s="27"/>
      <c r="O12" s="164" t="s">
        <v>211</v>
      </c>
    </row>
    <row r="13" spans="1:24" ht="15.75" x14ac:dyDescent="0.2">
      <c r="B13" s="159"/>
      <c r="C13" s="163"/>
      <c r="D13" s="163"/>
      <c r="E13" s="163"/>
      <c r="F13" s="160"/>
      <c r="G13" s="163"/>
      <c r="I13" s="137" t="s">
        <v>45</v>
      </c>
      <c r="J13" s="136">
        <f>'Table 1'!F27</f>
        <v>1179</v>
      </c>
      <c r="K13" s="136">
        <v>1</v>
      </c>
      <c r="L13" s="136">
        <v>0</v>
      </c>
      <c r="M13" s="136">
        <f t="shared" si="0"/>
        <v>1179</v>
      </c>
      <c r="N13" s="28"/>
      <c r="O13" s="165" t="s">
        <v>212</v>
      </c>
    </row>
    <row r="14" spans="1:24" ht="15.75" x14ac:dyDescent="0.2">
      <c r="B14" s="160"/>
      <c r="C14" s="163"/>
      <c r="D14" s="163"/>
      <c r="E14" s="163"/>
      <c r="F14" s="160"/>
      <c r="G14" s="163"/>
      <c r="I14" s="137" t="s">
        <v>46</v>
      </c>
      <c r="J14" s="35">
        <f>'Table 1'!F28</f>
        <v>127022</v>
      </c>
      <c r="K14" s="136">
        <v>2</v>
      </c>
      <c r="L14" s="136">
        <f>'Table 1'!N31+'Table 1'!N26</f>
        <v>755430</v>
      </c>
      <c r="M14" s="136">
        <f>J14*K14+L14</f>
        <v>1009474</v>
      </c>
      <c r="N14" s="27"/>
      <c r="O14" s="165" t="s">
        <v>214</v>
      </c>
    </row>
    <row r="15" spans="1:24" ht="15.75" x14ac:dyDescent="0.2">
      <c r="B15" s="159"/>
      <c r="C15" s="163"/>
      <c r="D15" s="163"/>
      <c r="E15" s="163"/>
      <c r="F15" s="160"/>
      <c r="G15" s="163"/>
      <c r="I15" s="137" t="s">
        <v>95</v>
      </c>
      <c r="J15" s="136">
        <f>'Table 1'!F29+'Table 1'!F31+'Table 1'!F32</f>
        <v>26511</v>
      </c>
      <c r="K15" s="136">
        <v>1</v>
      </c>
      <c r="L15" s="136">
        <v>0</v>
      </c>
      <c r="M15" s="136">
        <f>J15*K15+L15</f>
        <v>26511</v>
      </c>
      <c r="N15" s="27"/>
      <c r="O15" s="164" t="s">
        <v>213</v>
      </c>
    </row>
    <row r="16" spans="1:24" x14ac:dyDescent="0.2">
      <c r="B16" s="160"/>
      <c r="C16" s="163"/>
      <c r="D16" s="163"/>
      <c r="E16" s="163"/>
      <c r="F16" s="160"/>
      <c r="G16" s="163"/>
      <c r="I16" s="137"/>
      <c r="J16" s="138"/>
      <c r="K16" s="138"/>
      <c r="L16" s="26" t="s">
        <v>41</v>
      </c>
      <c r="M16" s="136">
        <f>SUM(M5:M15)</f>
        <v>1056233</v>
      </c>
      <c r="N16" s="29"/>
    </row>
    <row r="17" spans="2:14" x14ac:dyDescent="0.2">
      <c r="B17" s="159"/>
      <c r="C17" s="163"/>
      <c r="D17" s="163"/>
      <c r="E17" s="163"/>
      <c r="F17" s="160"/>
      <c r="G17" s="163"/>
      <c r="I17" s="139"/>
      <c r="N17" s="27"/>
    </row>
    <row r="18" spans="2:14" x14ac:dyDescent="0.2">
      <c r="B18" s="161"/>
      <c r="C18" s="161"/>
      <c r="D18" s="145"/>
      <c r="E18" s="161"/>
      <c r="F18" s="161"/>
      <c r="G18" s="161"/>
      <c r="I18" s="139"/>
    </row>
    <row r="19" spans="2:14" x14ac:dyDescent="0.2">
      <c r="B19" s="161"/>
      <c r="C19" s="161"/>
      <c r="D19" s="162"/>
      <c r="E19" s="161"/>
      <c r="F19" s="161"/>
      <c r="G19" s="161"/>
    </row>
    <row r="20" spans="2:14" ht="42" customHeight="1" x14ac:dyDescent="0.2"/>
    <row r="21" spans="2:14" ht="25.5" customHeight="1" x14ac:dyDescent="0.2"/>
    <row r="22" spans="2:14" ht="25.5" customHeight="1" x14ac:dyDescent="0.2"/>
  </sheetData>
  <mergeCells count="10">
    <mergeCell ref="B2:G2"/>
    <mergeCell ref="C3:D3"/>
    <mergeCell ref="E3:G3"/>
    <mergeCell ref="I3:M3"/>
    <mergeCell ref="O2:U2"/>
    <mergeCell ref="B10:G10"/>
    <mergeCell ref="B11:G11"/>
    <mergeCell ref="B12:G12"/>
    <mergeCell ref="O10:X10"/>
    <mergeCell ref="O11:X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wwrigley</cp:lastModifiedBy>
  <dcterms:created xsi:type="dcterms:W3CDTF">2013-07-15T20:11:44Z</dcterms:created>
  <dcterms:modified xsi:type="dcterms:W3CDTF">2020-02-03T15:12:44Z</dcterms:modified>
</cp:coreProperties>
</file>