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9D49D82E-772A-4AC0-8A83-9057EF5BA48B}" xr6:coauthVersionLast="41" xr6:coauthVersionMax="41" xr10:uidLastSave="{00000000-0000-0000-0000-000000000000}"/>
  <bookViews>
    <workbookView xWindow="-120" yWindow="-120" windowWidth="15600" windowHeight="11160" xr2:uid="{96DE058B-D098-4CE9-9E14-B8F7844C5F75}"/>
  </bookViews>
  <sheets>
    <sheet name="Table 1" sheetId="4" r:id="rId1"/>
    <sheet name="Table 2" sheetId="2" r:id="rId2"/>
    <sheet name="O&amp;M"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2" l="1"/>
  <c r="I29" i="2"/>
  <c r="E25" i="5" l="1"/>
  <c r="G49" i="5"/>
  <c r="B21" i="5" l="1"/>
  <c r="B22" i="5"/>
  <c r="B23" i="5"/>
  <c r="B20" i="5"/>
  <c r="E33" i="4"/>
  <c r="E34" i="4"/>
  <c r="E32" i="4"/>
  <c r="E31" i="4"/>
  <c r="E29" i="4"/>
  <c r="E28" i="4"/>
  <c r="E27" i="4"/>
  <c r="E44" i="4" s="1"/>
  <c r="E26" i="4"/>
  <c r="E25" i="4"/>
  <c r="E24" i="2" l="1"/>
  <c r="E25" i="2" l="1"/>
  <c r="E26" i="2"/>
  <c r="E27" i="2"/>
  <c r="E28" i="2"/>
  <c r="E19" i="2"/>
  <c r="E20" i="2"/>
  <c r="E21" i="2"/>
  <c r="E22" i="2"/>
  <c r="E18" i="2"/>
  <c r="E12" i="2"/>
  <c r="E13" i="2"/>
  <c r="E11" i="2"/>
  <c r="E8" i="2"/>
  <c r="E9" i="2"/>
  <c r="E10" i="2"/>
  <c r="E7" i="2"/>
  <c r="E5" i="2"/>
  <c r="B24" i="5"/>
  <c r="E24" i="5" s="1"/>
  <c r="B18" i="5"/>
  <c r="E18" i="5" s="1"/>
  <c r="B19" i="5"/>
  <c r="B17" i="5"/>
  <c r="B16" i="5"/>
  <c r="B15" i="5"/>
  <c r="B14" i="5"/>
  <c r="B13" i="5"/>
  <c r="B12" i="5"/>
  <c r="B11" i="5"/>
  <c r="B10" i="5"/>
  <c r="B7" i="5"/>
  <c r="B8" i="5"/>
  <c r="B9" i="5"/>
  <c r="B6" i="5"/>
  <c r="G48" i="5"/>
  <c r="G47" i="5"/>
  <c r="D47" i="5"/>
  <c r="D48" i="5" s="1"/>
  <c r="I57" i="4" s="1"/>
  <c r="G46" i="5"/>
  <c r="D46" i="5"/>
  <c r="F45" i="5"/>
  <c r="G45" i="5"/>
  <c r="D45" i="5"/>
  <c r="C62" i="5"/>
  <c r="B62" i="5"/>
  <c r="E61" i="5"/>
  <c r="E60" i="5"/>
  <c r="E58" i="5"/>
  <c r="E56" i="5"/>
  <c r="D5" i="2" l="1"/>
  <c r="F5" i="2" s="1"/>
  <c r="H5" i="2" l="1"/>
  <c r="G5" i="2"/>
  <c r="D7" i="2"/>
  <c r="F7" i="2" s="1"/>
  <c r="D8" i="2"/>
  <c r="F8" i="2" s="1"/>
  <c r="G8" i="2" s="1"/>
  <c r="D9" i="2"/>
  <c r="F9" i="2" s="1"/>
  <c r="D10" i="2"/>
  <c r="F10" i="2" s="1"/>
  <c r="G10" i="2" s="1"/>
  <c r="D11" i="2"/>
  <c r="F11" i="2" s="1"/>
  <c r="D12" i="2"/>
  <c r="F12" i="2" s="1"/>
  <c r="G12" i="2" s="1"/>
  <c r="D13" i="2"/>
  <c r="F13" i="2" s="1"/>
  <c r="D15" i="2"/>
  <c r="F15" i="2" s="1"/>
  <c r="D16" i="2"/>
  <c r="F16" i="2" s="1"/>
  <c r="G16" i="2" s="1"/>
  <c r="D18" i="2"/>
  <c r="F18" i="2" s="1"/>
  <c r="G18" i="2" s="1"/>
  <c r="D19" i="2"/>
  <c r="F19" i="2" s="1"/>
  <c r="D20" i="2"/>
  <c r="F20" i="2" s="1"/>
  <c r="G20" i="2" s="1"/>
  <c r="D21" i="2"/>
  <c r="F21" i="2" s="1"/>
  <c r="G21" i="2" s="1"/>
  <c r="D22" i="2"/>
  <c r="F22" i="2" s="1"/>
  <c r="G22" i="2" s="1"/>
  <c r="D24" i="2"/>
  <c r="F24" i="2" s="1"/>
  <c r="G24" i="2" s="1"/>
  <c r="D25" i="2"/>
  <c r="F25" i="2" s="1"/>
  <c r="D26" i="2"/>
  <c r="D27" i="2"/>
  <c r="F27" i="2" s="1"/>
  <c r="G27" i="2" s="1"/>
  <c r="D28" i="2"/>
  <c r="D53" i="4"/>
  <c r="D52" i="4"/>
  <c r="D51" i="4"/>
  <c r="D48" i="4"/>
  <c r="D47" i="4"/>
  <c r="F47" i="4" s="1"/>
  <c r="G47" i="4" s="1"/>
  <c r="D46" i="4"/>
  <c r="D44" i="4"/>
  <c r="D42" i="4"/>
  <c r="D41" i="4"/>
  <c r="D14" i="4"/>
  <c r="D15" i="4"/>
  <c r="F15" i="4" s="1"/>
  <c r="H15" i="4" s="1"/>
  <c r="D16" i="4"/>
  <c r="D17" i="4"/>
  <c r="D18" i="4"/>
  <c r="F18" i="4" s="1"/>
  <c r="G18" i="4" s="1"/>
  <c r="D19" i="4"/>
  <c r="F19" i="4" s="1"/>
  <c r="G19" i="4" s="1"/>
  <c r="D20" i="4"/>
  <c r="F20" i="4" s="1"/>
  <c r="D22" i="4"/>
  <c r="F22" i="4" s="1"/>
  <c r="G22" i="4" s="1"/>
  <c r="D23" i="4"/>
  <c r="F23" i="4" s="1"/>
  <c r="G23" i="4" s="1"/>
  <c r="D25" i="4"/>
  <c r="F25" i="4" s="1"/>
  <c r="G25" i="4" s="1"/>
  <c r="D26" i="4"/>
  <c r="F26" i="4" s="1"/>
  <c r="G26" i="4" s="1"/>
  <c r="D27" i="4"/>
  <c r="F27" i="4" s="1"/>
  <c r="G27" i="4" s="1"/>
  <c r="D28" i="4"/>
  <c r="F28" i="4" s="1"/>
  <c r="G28" i="4" s="1"/>
  <c r="D29" i="4"/>
  <c r="F29" i="4" s="1"/>
  <c r="G29" i="4" s="1"/>
  <c r="D31" i="4"/>
  <c r="F31" i="4" s="1"/>
  <c r="G31" i="4" s="1"/>
  <c r="D32" i="4"/>
  <c r="F32" i="4" s="1"/>
  <c r="G32" i="4" s="1"/>
  <c r="D33" i="4"/>
  <c r="F33" i="4" s="1"/>
  <c r="G33" i="4" s="1"/>
  <c r="D34" i="4"/>
  <c r="F34" i="4" s="1"/>
  <c r="G34" i="4" s="1"/>
  <c r="D35" i="4"/>
  <c r="F35" i="4" s="1"/>
  <c r="G35" i="4" s="1"/>
  <c r="D9" i="4"/>
  <c r="E20" i="5"/>
  <c r="E7" i="5"/>
  <c r="E8" i="5"/>
  <c r="E9" i="5"/>
  <c r="E10" i="5"/>
  <c r="E11" i="5"/>
  <c r="E12" i="5"/>
  <c r="E13" i="5"/>
  <c r="E14" i="5"/>
  <c r="E15" i="5"/>
  <c r="E16" i="5"/>
  <c r="E17" i="5"/>
  <c r="E19" i="5"/>
  <c r="E21" i="5"/>
  <c r="E22" i="5"/>
  <c r="E23" i="5"/>
  <c r="E6" i="5"/>
  <c r="G20" i="4" l="1"/>
  <c r="H21" i="2"/>
  <c r="I5" i="2"/>
  <c r="G15" i="2"/>
  <c r="H15" i="2"/>
  <c r="F28" i="2"/>
  <c r="G28" i="2" s="1"/>
  <c r="F26" i="2"/>
  <c r="H26" i="2" s="1"/>
  <c r="G9" i="2"/>
  <c r="H9" i="2"/>
  <c r="G13" i="2"/>
  <c r="H13" i="2"/>
  <c r="G11" i="2"/>
  <c r="H11" i="2"/>
  <c r="G19" i="2"/>
  <c r="H19" i="2"/>
  <c r="G25" i="2"/>
  <c r="H25" i="2"/>
  <c r="I21" i="2"/>
  <c r="H24" i="2"/>
  <c r="I24" i="2" s="1"/>
  <c r="H27" i="2"/>
  <c r="I27" i="2" s="1"/>
  <c r="I10" i="2"/>
  <c r="H22" i="2"/>
  <c r="I22" i="2" s="1"/>
  <c r="H20" i="2"/>
  <c r="I20" i="2" s="1"/>
  <c r="H18" i="2"/>
  <c r="I18" i="2" s="1"/>
  <c r="H16" i="2"/>
  <c r="I16" i="2" s="1"/>
  <c r="H12" i="2"/>
  <c r="I12" i="2" s="1"/>
  <c r="H10" i="2"/>
  <c r="H8" i="2"/>
  <c r="I8" i="2" s="1"/>
  <c r="H47" i="4"/>
  <c r="I47" i="4" s="1"/>
  <c r="G15" i="4"/>
  <c r="I15" i="4" s="1"/>
  <c r="H27" i="4"/>
  <c r="I27" i="4" s="1"/>
  <c r="H35" i="4"/>
  <c r="I35" i="4" s="1"/>
  <c r="H33" i="4"/>
  <c r="I33" i="4" s="1"/>
  <c r="H31" i="4"/>
  <c r="I31" i="4" s="1"/>
  <c r="H29" i="4"/>
  <c r="I29" i="4" s="1"/>
  <c r="H25" i="4"/>
  <c r="I25" i="4" s="1"/>
  <c r="H23" i="4"/>
  <c r="I23" i="4" s="1"/>
  <c r="H19" i="4"/>
  <c r="I19" i="4" s="1"/>
  <c r="H34" i="4"/>
  <c r="I34" i="4" s="1"/>
  <c r="H32" i="4"/>
  <c r="I32" i="4" s="1"/>
  <c r="H28" i="4"/>
  <c r="I28" i="4" s="1"/>
  <c r="H26" i="4"/>
  <c r="I26" i="4" s="1"/>
  <c r="H22" i="4"/>
  <c r="I22" i="4" s="1"/>
  <c r="H20" i="4"/>
  <c r="I20" i="4" s="1"/>
  <c r="H18" i="4"/>
  <c r="I18" i="4" s="1"/>
  <c r="I36" i="4" l="1"/>
  <c r="F36" i="4"/>
  <c r="I15" i="2"/>
  <c r="G26" i="2"/>
  <c r="I26" i="2" s="1"/>
  <c r="H28" i="2"/>
  <c r="I28" i="2" s="1"/>
  <c r="I11" i="2"/>
  <c r="I25" i="2"/>
  <c r="I13" i="2"/>
  <c r="I9" i="2"/>
  <c r="I19" i="2"/>
  <c r="F42" i="4"/>
  <c r="F44" i="4"/>
  <c r="H44" i="4" s="1"/>
  <c r="F46" i="4"/>
  <c r="H46" i="4" s="1"/>
  <c r="F48" i="4"/>
  <c r="H48" i="4" s="1"/>
  <c r="F51" i="4"/>
  <c r="G51" i="4" s="1"/>
  <c r="F52" i="4"/>
  <c r="H52" i="4" s="1"/>
  <c r="F53" i="4"/>
  <c r="G53" i="4" s="1"/>
  <c r="F41" i="4"/>
  <c r="G7" i="2"/>
  <c r="H42" i="4" l="1"/>
  <c r="G41" i="4"/>
  <c r="G52" i="4"/>
  <c r="I52" i="4" s="1"/>
  <c r="G44" i="4"/>
  <c r="I44" i="4" s="1"/>
  <c r="G42" i="4"/>
  <c r="I42" i="4" s="1"/>
  <c r="G48" i="4"/>
  <c r="I48" i="4" s="1"/>
  <c r="G46" i="4"/>
  <c r="I46" i="4" s="1"/>
  <c r="H53" i="4"/>
  <c r="I53" i="4" s="1"/>
  <c r="H51" i="4"/>
  <c r="I51" i="4" s="1"/>
  <c r="H41" i="4"/>
  <c r="H7" i="2"/>
  <c r="I7" i="2" s="1"/>
  <c r="F55" i="4" l="1"/>
  <c r="F56" i="4" s="1"/>
  <c r="I41" i="4"/>
  <c r="I55" i="4" s="1"/>
  <c r="F17" i="4" l="1"/>
  <c r="G17" i="4" l="1"/>
  <c r="H17" i="4"/>
  <c r="I17" i="4" l="1"/>
  <c r="F16" i="4" l="1"/>
  <c r="F14" i="4"/>
  <c r="F9" i="4"/>
  <c r="G9" i="4" s="1"/>
  <c r="H9" i="4" l="1"/>
  <c r="I9" i="4" s="1"/>
  <c r="H16" i="4"/>
  <c r="G16" i="4"/>
  <c r="H14" i="4"/>
  <c r="G14" i="4"/>
  <c r="H25" i="5" l="1"/>
  <c r="H26" i="5" s="1"/>
  <c r="I16" i="4"/>
  <c r="I14" i="4"/>
  <c r="I56" i="4" l="1"/>
  <c r="I58" i="4" s="1"/>
</calcChain>
</file>

<file path=xl/sharedStrings.xml><?xml version="1.0" encoding="utf-8"?>
<sst xmlns="http://schemas.openxmlformats.org/spreadsheetml/2006/main" count="264" uniqueCount="221">
  <si>
    <t>(A)</t>
  </si>
  <si>
    <t>Information Collection Activity</t>
  </si>
  <si>
    <t>(B)</t>
  </si>
  <si>
    <t>Number of Respondents</t>
  </si>
  <si>
    <t>(C)</t>
  </si>
  <si>
    <t>Number of Responses</t>
  </si>
  <si>
    <t>(D)</t>
  </si>
  <si>
    <t>(E)</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</si>
  <si>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</si>
  <si>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</si>
  <si>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</si>
  <si>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</si>
  <si>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</si>
  <si>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</si>
  <si>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</si>
  <si>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Continuous Monitoring Device</t>
  </si>
  <si>
    <t xml:space="preserve">Number of New Respondents </t>
  </si>
  <si>
    <t>Total Capital/Startup Cost, (B X C)</t>
  </si>
  <si>
    <t>(F)</t>
  </si>
  <si>
    <t>Number of Respondents with O&amp;M</t>
  </si>
  <si>
    <t>(G)</t>
  </si>
  <si>
    <t>Burden Item</t>
  </si>
  <si>
    <t>N/A</t>
  </si>
  <si>
    <t>(H)</t>
  </si>
  <si>
    <t>Assumptions:</t>
  </si>
  <si>
    <t>Subtotal for Reporting Requirements</t>
  </si>
  <si>
    <t>See 3A</t>
  </si>
  <si>
    <t>Subtotal for Recordkeeping Requirements</t>
  </si>
  <si>
    <t>Labor Rates</t>
  </si>
  <si>
    <t>Management</t>
  </si>
  <si>
    <t>Technical</t>
  </si>
  <si>
    <t>Clerical</t>
  </si>
  <si>
    <t>Annual O&amp;M Costs for One Respondent</t>
  </si>
  <si>
    <t xml:space="preserve">(A) </t>
  </si>
  <si>
    <t xml:space="preserve">(B) </t>
  </si>
  <si>
    <t xml:space="preserve">(C) </t>
  </si>
  <si>
    <t xml:space="preserve">(D) </t>
  </si>
  <si>
    <t xml:space="preserve">(E) </t>
  </si>
  <si>
    <t xml:space="preserve">(F) </t>
  </si>
  <si>
    <t xml:space="preserve">(G) </t>
  </si>
  <si>
    <t>Number of Occurrences Per Respondent Per Year</t>
  </si>
  <si>
    <t>Management Hours Per Year 
(F=Ex0.05)</t>
  </si>
  <si>
    <t>Clerical Hours Per Year 
(G=Ex0.1)</t>
  </si>
  <si>
    <t xml:space="preserve">(H) </t>
  </si>
  <si>
    <t>EPA Hours per Occurrence</t>
  </si>
  <si>
    <t>EPA Hours Per Respondent Per Year 
(C=AxB)</t>
  </si>
  <si>
    <t>Technical Hours Per Year 
(E=CXD)</t>
  </si>
  <si>
    <t>Capital/Startup vs. Operation and Maintenance (O&amp;M) Costs</t>
  </si>
  <si>
    <t>Technical person-hours per occurrence</t>
  </si>
  <si>
    <t>No. of occurrences per respondent per year</t>
  </si>
  <si>
    <t>Technical person-hours per respondent per year</t>
  </si>
  <si>
    <r>
      <t xml:space="preserve">Respondents per year </t>
    </r>
    <r>
      <rPr>
        <b/>
        <vertAlign val="superscript"/>
        <sz val="10"/>
        <color rgb="FF000000"/>
        <rFont val="Times New Roman"/>
        <family val="1"/>
      </rPr>
      <t>a</t>
    </r>
  </si>
  <si>
    <t>Technical hours per year (E=CxD)</t>
  </si>
  <si>
    <t xml:space="preserve">Management hours per year  </t>
  </si>
  <si>
    <t xml:space="preserve">Clerical hours per year </t>
  </si>
  <si>
    <r>
      <t xml:space="preserve">Total cost per year ($) </t>
    </r>
    <r>
      <rPr>
        <b/>
        <vertAlign val="superscript"/>
        <sz val="10"/>
        <color rgb="FF000000"/>
        <rFont val="Times New Roman"/>
        <family val="1"/>
      </rPr>
      <t>b</t>
    </r>
  </si>
  <si>
    <t>(C=AxB)</t>
  </si>
  <si>
    <t>(F=Ex0.05)</t>
  </si>
  <si>
    <t>(G=Ex0.10)</t>
  </si>
  <si>
    <t>Total Annual Responses</t>
  </si>
  <si>
    <t>1.  Applications</t>
  </si>
  <si>
    <t>Number of Existing Respondents That Keep Records But Do Not Submit Reports</t>
  </si>
  <si>
    <t>Total</t>
  </si>
  <si>
    <t>Total Annual Responses
E=(BxC)+D</t>
  </si>
  <si>
    <r>
      <t xml:space="preserve">Number of New Respondents </t>
    </r>
    <r>
      <rPr>
        <vertAlign val="superscript"/>
        <sz val="10"/>
        <color rgb="FF000000"/>
        <rFont val="Times New Roman"/>
        <family val="1"/>
      </rPr>
      <t>a</t>
    </r>
  </si>
  <si>
    <t>Number of Respondents
(E=A+B+C-D)</t>
  </si>
  <si>
    <t>Capital/Startup Cost for One Respondent</t>
  </si>
  <si>
    <t>Total O&amp;M
(E X F)</t>
  </si>
  <si>
    <r>
      <t xml:space="preserve">Number of Respondents Per Year </t>
    </r>
    <r>
      <rPr>
        <b/>
        <vertAlign val="superscript"/>
        <sz val="10"/>
        <color theme="1"/>
        <rFont val="Times New Roman"/>
        <family val="1"/>
      </rPr>
      <t>a</t>
    </r>
  </si>
  <si>
    <r>
      <t xml:space="preserve">Total Costs, $ </t>
    </r>
    <r>
      <rPr>
        <b/>
        <vertAlign val="superscript"/>
        <sz val="10"/>
        <color theme="1"/>
        <rFont val="Times New Roman"/>
        <family val="1"/>
      </rPr>
      <t>b</t>
    </r>
  </si>
  <si>
    <t>hours</t>
  </si>
  <si>
    <t>hr/response</t>
  </si>
  <si>
    <r>
      <t>c</t>
    </r>
    <r>
      <rPr>
        <sz val="10"/>
        <color theme="1"/>
        <rFont val="Times New Roman"/>
        <family val="1"/>
      </rPr>
      <t xml:space="preserve">  This ICR assumes that all respondents will have to familiarize with the regulatory requirements each year.</t>
    </r>
  </si>
  <si>
    <r>
      <t xml:space="preserve">Continuous monitoring system </t>
    </r>
    <r>
      <rPr>
        <vertAlign val="superscript"/>
        <sz val="10"/>
        <color theme="1"/>
        <rFont val="Times New Roman"/>
        <family val="1"/>
      </rPr>
      <t>a</t>
    </r>
  </si>
  <si>
    <t>Notification of construction/reconstruction</t>
  </si>
  <si>
    <t>Notification of anticipated startup</t>
  </si>
  <si>
    <t>Notification of actual startup</t>
  </si>
  <si>
    <t>Notification of applicability of standard</t>
  </si>
  <si>
    <t>Emissions averaging plan</t>
  </si>
  <si>
    <t>Notification of initial performance test</t>
  </si>
  <si>
    <t>Notification of compliance status with performance test</t>
  </si>
  <si>
    <t>Notification of compliance status without performance test</t>
  </si>
  <si>
    <t>Initial compliance report with no deviations</t>
  </si>
  <si>
    <t>Initial compliance report with deviations</t>
  </si>
  <si>
    <t>Initial compliance startup, shutdown, malfunction report</t>
  </si>
  <si>
    <t>Initial compliance emissions averaging report</t>
  </si>
  <si>
    <t>Semiannual report with no deviations</t>
  </si>
  <si>
    <t>Semiannual report with deviations</t>
  </si>
  <si>
    <t>Semiannual startup, shutdown, malfunction report</t>
  </si>
  <si>
    <t>Semiannual control system maintenance report</t>
  </si>
  <si>
    <t>Semiannual emissions averaging report</t>
  </si>
  <si>
    <t>2.  Surveys and studies</t>
  </si>
  <si>
    <t>3.  Reporting requirements</t>
  </si>
  <si>
    <r>
      <t xml:space="preserve">A.  Familiarize with regulatory requirements </t>
    </r>
    <r>
      <rPr>
        <vertAlign val="superscript"/>
        <sz val="10"/>
        <color rgb="FF000000"/>
        <rFont val="Times New Roman"/>
        <family val="1"/>
      </rPr>
      <t>c</t>
    </r>
  </si>
  <si>
    <t xml:space="preserve">B.  Required activities </t>
  </si>
  <si>
    <t>C.  Create information</t>
  </si>
  <si>
    <t>See 3E</t>
  </si>
  <si>
    <t>D.  Gather existing information</t>
  </si>
  <si>
    <t>E.  Write report</t>
  </si>
  <si>
    <t>8)  Notification of compliance status</t>
  </si>
  <si>
    <t>4.  Recordkeeping requirements</t>
  </si>
  <si>
    <t>B.  Plan activities</t>
  </si>
  <si>
    <t>C.  Implement activities</t>
  </si>
  <si>
    <t>F.  Time to enter information</t>
  </si>
  <si>
    <t>a.  Record parameters /information</t>
  </si>
  <si>
    <t>b.  Compile data</t>
  </si>
  <si>
    <t>c.  Enter/verify information for semiannual reports</t>
  </si>
  <si>
    <t>3)  Records of control system maintenance</t>
  </si>
  <si>
    <t>4)  Records of emissions averaging credit/debts</t>
  </si>
  <si>
    <t>J.  Time for audits</t>
  </si>
  <si>
    <t xml:space="preserve">Table 1: Annual Respondent Burden and Cost – NESHAP for Plywood and Composite Products (40 CFR Part 63, Subpart DDDD) (Renewal) </t>
  </si>
  <si>
    <t xml:space="preserve">Table 2: Average Annual EPA Burden and Cost – NESHAP for Plywood and Composite Products (40 CFR Part 63, Subpart DDDD) (Renewal)
</t>
  </si>
  <si>
    <t>H. Notification of compliance status</t>
  </si>
  <si>
    <t>J.  Review of semiannual compliance report</t>
  </si>
  <si>
    <r>
      <t>b</t>
    </r>
    <r>
      <rPr>
        <sz val="10"/>
        <color theme="1"/>
        <rFont val="Times New Roman"/>
        <family val="1"/>
      </rPr>
      <t xml:space="preserve">  This ICR uses the following labor rates:  $148.97 per hour for managerial labor; $119.03 per hour for technical labor, and $57.62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t>
    </r>
  </si>
  <si>
    <r>
      <t>b</t>
    </r>
    <r>
      <rPr>
        <sz val="10"/>
        <color rgb="FF000000"/>
        <rFont val="Times New Roman"/>
        <family val="1"/>
      </rPr>
      <t xml:space="preserve">  This cost is based on the following labor rates which incorporates a 1.6 benefits multiplication factor to account for government overhead expenses: $65.71 Managerial rate (GS-13, Step 5, $41.07 x 1.6), $48.75 Technical rate (GS-12, Step 1, $30.47 x 1.6), and $26.38 Clerical rate (GS-6, Step 3, $16.49 x 1.6).  These rates are from the Office of Personnel Management (OPM) 2018 General Schedule which excludes locality rates of pay.</t>
    </r>
  </si>
  <si>
    <t>2.  Report review</t>
  </si>
  <si>
    <r>
      <t xml:space="preserve">1. Attend performance test </t>
    </r>
    <r>
      <rPr>
        <vertAlign val="superscript"/>
        <sz val="10"/>
        <rFont val="Times New Roman"/>
        <family val="1"/>
      </rPr>
      <t>c</t>
    </r>
  </si>
  <si>
    <r>
      <t xml:space="preserve">A.  Notification of construction/reconstruction </t>
    </r>
    <r>
      <rPr>
        <vertAlign val="superscript"/>
        <sz val="10"/>
        <rFont val="Times New Roman"/>
        <family val="1"/>
      </rPr>
      <t>d</t>
    </r>
  </si>
  <si>
    <r>
      <t xml:space="preserve">B.  Notification of anticipated startup </t>
    </r>
    <r>
      <rPr>
        <vertAlign val="superscript"/>
        <sz val="10"/>
        <rFont val="Times New Roman"/>
        <family val="1"/>
      </rPr>
      <t>d</t>
    </r>
  </si>
  <si>
    <r>
      <t>C.  Notification of actual startup</t>
    </r>
    <r>
      <rPr>
        <vertAlign val="superscript"/>
        <sz val="10"/>
        <rFont val="Times New Roman"/>
        <family val="1"/>
      </rPr>
      <t xml:space="preserve"> d</t>
    </r>
  </si>
  <si>
    <r>
      <t xml:space="preserve">D. Notification of applicability of standard (initial notification) </t>
    </r>
    <r>
      <rPr>
        <vertAlign val="superscript"/>
        <sz val="10"/>
        <rFont val="Times New Roman"/>
        <family val="1"/>
      </rPr>
      <t>d</t>
    </r>
  </si>
  <si>
    <r>
      <t xml:space="preserve">E.  Review of emissions averaging plan </t>
    </r>
    <r>
      <rPr>
        <vertAlign val="superscript"/>
        <sz val="10"/>
        <rFont val="Times New Roman"/>
        <family val="1"/>
      </rPr>
      <t>e</t>
    </r>
  </si>
  <si>
    <r>
      <t xml:space="preserve">F.  Review of request for routine control system maintenance exemption </t>
    </r>
    <r>
      <rPr>
        <vertAlign val="superscript"/>
        <sz val="10"/>
        <rFont val="Times New Roman"/>
        <family val="1"/>
      </rPr>
      <t>f</t>
    </r>
  </si>
  <si>
    <r>
      <t xml:space="preserve">G. Notification of performance test </t>
    </r>
    <r>
      <rPr>
        <vertAlign val="superscript"/>
        <sz val="10"/>
        <rFont val="Times New Roman"/>
        <family val="1"/>
      </rPr>
      <t>g</t>
    </r>
  </si>
  <si>
    <r>
      <t xml:space="preserve">1)  With performance test </t>
    </r>
    <r>
      <rPr>
        <vertAlign val="superscript"/>
        <sz val="10"/>
        <rFont val="Times New Roman"/>
        <family val="1"/>
      </rPr>
      <t>h</t>
    </r>
  </si>
  <si>
    <r>
      <t xml:space="preserve">2)  Without performance test </t>
    </r>
    <r>
      <rPr>
        <vertAlign val="superscript"/>
        <sz val="10"/>
        <rFont val="Times New Roman"/>
        <family val="1"/>
      </rPr>
      <t>i</t>
    </r>
  </si>
  <si>
    <r>
      <t xml:space="preserve">I.  Review of initial compliance report </t>
    </r>
    <r>
      <rPr>
        <vertAlign val="superscript"/>
        <sz val="10"/>
        <rFont val="Times New Roman"/>
        <family val="1"/>
      </rPr>
      <t>j</t>
    </r>
  </si>
  <si>
    <r>
      <t xml:space="preserve">1)  No deviations </t>
    </r>
    <r>
      <rPr>
        <vertAlign val="superscript"/>
        <sz val="10"/>
        <rFont val="Times New Roman"/>
        <family val="1"/>
      </rPr>
      <t>k</t>
    </r>
  </si>
  <si>
    <r>
      <t xml:space="preserve">2)  Deviations </t>
    </r>
    <r>
      <rPr>
        <vertAlign val="superscript"/>
        <sz val="10"/>
        <rFont val="Times New Roman"/>
        <family val="1"/>
      </rPr>
      <t>k</t>
    </r>
  </si>
  <si>
    <r>
      <t xml:space="preserve">5)  Emissions averaging report </t>
    </r>
    <r>
      <rPr>
        <vertAlign val="superscript"/>
        <sz val="10"/>
        <rFont val="Times New Roman"/>
        <family val="1"/>
      </rPr>
      <t>e</t>
    </r>
  </si>
  <si>
    <r>
      <t xml:space="preserve">3)  Startup, shutdown, malfunction report </t>
    </r>
    <r>
      <rPr>
        <vertAlign val="superscript"/>
        <sz val="10"/>
        <color rgb="FF000000"/>
        <rFont val="Times New Roman"/>
        <family val="1"/>
      </rPr>
      <t>l</t>
    </r>
  </si>
  <si>
    <r>
      <t xml:space="preserve">4)  Control system maintenance report </t>
    </r>
    <r>
      <rPr>
        <vertAlign val="superscript"/>
        <sz val="10"/>
        <rFont val="Times New Roman"/>
        <family val="1"/>
      </rPr>
      <t>m</t>
    </r>
  </si>
  <si>
    <r>
      <t xml:space="preserve">TOTAL ANNUAL BURDEN AND COST(rounded) </t>
    </r>
    <r>
      <rPr>
        <b/>
        <vertAlign val="superscript"/>
        <sz val="10"/>
        <rFont val="Times New Roman"/>
        <family val="1"/>
      </rPr>
      <t>n</t>
    </r>
  </si>
  <si>
    <r>
      <t>f</t>
    </r>
    <r>
      <rPr>
        <sz val="10"/>
        <color rgb="FF000000"/>
        <rFont val="Times New Roman"/>
        <family val="1"/>
      </rPr>
      <t xml:space="preserve">  We have assumed that all new facilities will have submitted a request for routine control system maintenance exemption.</t>
    </r>
  </si>
  <si>
    <r>
      <t>g</t>
    </r>
    <r>
      <rPr>
        <sz val="10"/>
        <color rgb="FF000000"/>
        <rFont val="Times New Roman"/>
        <family val="1"/>
      </rPr>
      <t xml:space="preserve"> We have assumed that it will take one hour to review the notification of initial performance test.</t>
    </r>
  </si>
  <si>
    <r>
      <t>h</t>
    </r>
    <r>
      <rPr>
        <sz val="10"/>
        <color rgb="FF000000"/>
        <rFont val="Times New Roman"/>
        <family val="1"/>
      </rPr>
      <t xml:space="preserve">  We have assumed that all new facilities will conduct an initial performance test(s) and submit a notification of compliance status that includes the report of the performance test(s).</t>
    </r>
  </si>
  <si>
    <r>
      <t>j</t>
    </r>
    <r>
      <rPr>
        <sz val="10"/>
        <color rgb="FF000000"/>
        <rFont val="Times New Roman"/>
        <family val="1"/>
      </rPr>
      <t xml:space="preserve">  We have assumed that the facilities compliance date is in the first half of the year, so facilities will submit one compliance report the first year that they start complying with the rule and two compliance reports the years that follow.</t>
    </r>
  </si>
  <si>
    <r>
      <t>l</t>
    </r>
    <r>
      <rPr>
        <sz val="10"/>
        <color rgb="FF000000"/>
        <rFont val="Times New Roman"/>
        <family val="1"/>
      </rPr>
      <t xml:space="preserve">  We have assumed the 10 percent of sources with deviations will report any action taken during a startup, shutdown, or malfunction that are consistent with the SSMP.</t>
    </r>
  </si>
  <si>
    <r>
      <t>m</t>
    </r>
    <r>
      <rPr>
        <sz val="10"/>
        <color rgb="FF000000"/>
        <rFont val="Times New Roman"/>
        <family val="1"/>
      </rPr>
      <t xml:space="preserve">  We have assumed the 10 percent of sources with deviations will prepare a control system maintenance report. </t>
    </r>
  </si>
  <si>
    <r>
      <t>n</t>
    </r>
    <r>
      <rPr>
        <sz val="10"/>
        <color rgb="FF000000"/>
        <rFont val="Times New Roman"/>
        <family val="1"/>
      </rPr>
      <t xml:space="preserve">  Totals have been rounded to 3 significant figures. Figures may not add exactly due to rounding.</t>
    </r>
  </si>
  <si>
    <r>
      <t>k</t>
    </r>
    <r>
      <rPr>
        <sz val="10"/>
        <color rgb="FF000000"/>
        <rFont val="Times New Roman"/>
        <family val="1"/>
      </rPr>
      <t xml:space="preserve">  We have assumed that 90 percent of facilities (113 existing PCWP facilities x 0.9 = 102) will have no deviations, and 10 percent (113 x 0.1 = 11) will have deviations</t>
    </r>
  </si>
  <si>
    <r>
      <t>d</t>
    </r>
    <r>
      <rPr>
        <sz val="10"/>
        <color theme="1"/>
        <rFont val="Times New Roman"/>
        <family val="1"/>
      </rPr>
      <t xml:space="preserve">  One-time activity for new sources projected to commence construction over the 3-year ICR period, including 2 new PCWP mills, 5 new PCWP process lines at existing PCPW mills, and 39 new lumber kilns at existing sawmills, for an average of 15 affected sources per year. [(2 + 5 + 39) /3 = 15]</t>
    </r>
  </si>
  <si>
    <r>
      <t xml:space="preserve">1)  Notification of construction /reconstruction </t>
    </r>
    <r>
      <rPr>
        <vertAlign val="superscript"/>
        <sz val="10"/>
        <color rgb="FF000000"/>
        <rFont val="Times New Roman"/>
        <family val="1"/>
      </rPr>
      <t>d</t>
    </r>
  </si>
  <si>
    <r>
      <t xml:space="preserve">2)  Notification of anticipated startup </t>
    </r>
    <r>
      <rPr>
        <vertAlign val="superscript"/>
        <sz val="10"/>
        <color rgb="FF000000"/>
        <rFont val="Times New Roman"/>
        <family val="1"/>
      </rPr>
      <t>d</t>
    </r>
  </si>
  <si>
    <r>
      <t xml:space="preserve">3)  Notification of actual startup </t>
    </r>
    <r>
      <rPr>
        <vertAlign val="superscript"/>
        <sz val="10"/>
        <color rgb="FF000000"/>
        <rFont val="Times New Roman"/>
        <family val="1"/>
      </rPr>
      <t>d</t>
    </r>
  </si>
  <si>
    <r>
      <t xml:space="preserve">4)  Notification of applicability of standard </t>
    </r>
    <r>
      <rPr>
        <vertAlign val="superscript"/>
        <sz val="10"/>
        <color rgb="FF000000"/>
        <rFont val="Times New Roman"/>
        <family val="1"/>
      </rPr>
      <t>d</t>
    </r>
  </si>
  <si>
    <r>
      <t>t</t>
    </r>
    <r>
      <rPr>
        <sz val="10"/>
        <color theme="1"/>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</si>
  <si>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t</t>
    </r>
  </si>
  <si>
    <r>
      <t xml:space="preserve">Total Capital and O&amp;M Cost (rounded) </t>
    </r>
    <r>
      <rPr>
        <b/>
        <vertAlign val="superscript"/>
        <sz val="10"/>
        <color rgb="FF000000"/>
        <rFont val="Times New Roman"/>
        <family val="1"/>
      </rPr>
      <t>t</t>
    </r>
  </si>
  <si>
    <r>
      <t xml:space="preserve">Total Labor Burden and Costs (rounded) </t>
    </r>
    <r>
      <rPr>
        <b/>
        <vertAlign val="superscript"/>
        <sz val="10"/>
        <color rgb="FF000000"/>
        <rFont val="Times New Roman"/>
        <family val="1"/>
      </rPr>
      <t>t</t>
    </r>
  </si>
  <si>
    <r>
      <t xml:space="preserve">I.  Time to refresher training for personnel </t>
    </r>
    <r>
      <rPr>
        <vertAlign val="superscript"/>
        <sz val="10"/>
        <color rgb="FF000000"/>
        <rFont val="Times New Roman"/>
        <family val="1"/>
      </rPr>
      <t>s</t>
    </r>
  </si>
  <si>
    <r>
      <t xml:space="preserve">H.  Time to train personnel </t>
    </r>
    <r>
      <rPr>
        <vertAlign val="superscript"/>
        <sz val="10"/>
        <color rgb="FF000000"/>
        <rFont val="Times New Roman"/>
        <family val="1"/>
      </rPr>
      <t>r</t>
    </r>
  </si>
  <si>
    <r>
      <t>r</t>
    </r>
    <r>
      <rPr>
        <sz val="10"/>
        <color theme="1"/>
        <rFont val="Times New Roman"/>
        <family val="1"/>
      </rPr>
      <t xml:space="preserve">  We have assumed that it will take 40 hours for each new personnel to be trained. [(2 new mills + 5 new process lines) / 3 = 2] </t>
    </r>
  </si>
  <si>
    <r>
      <t>q</t>
    </r>
    <r>
      <rPr>
        <sz val="10"/>
        <color theme="1"/>
        <rFont val="Times New Roman"/>
        <family val="1"/>
      </rPr>
      <t xml:space="preserve">  We have assumed that calibration of the CMS will require eight hours per year for each monitor, assuming two CMS per facility for a total of 16 hours per year.</t>
    </r>
  </si>
  <si>
    <r>
      <t xml:space="preserve">G.  Calibration of CMS </t>
    </r>
    <r>
      <rPr>
        <vertAlign val="superscript"/>
        <sz val="10"/>
        <color rgb="FF000000"/>
        <rFont val="Times New Roman"/>
        <family val="1"/>
      </rPr>
      <t>q</t>
    </r>
  </si>
  <si>
    <r>
      <t xml:space="preserve">2)  Records of continuous compliance for PCWP facilities </t>
    </r>
    <r>
      <rPr>
        <vertAlign val="superscript"/>
        <sz val="10"/>
        <color rgb="FF000000"/>
        <rFont val="Times New Roman"/>
        <family val="1"/>
      </rPr>
      <t>p</t>
    </r>
  </si>
  <si>
    <r>
      <t xml:space="preserve">E.  Develop startup, shutdown, malfunction plan </t>
    </r>
    <r>
      <rPr>
        <vertAlign val="superscript"/>
        <sz val="10"/>
        <color rgb="FF000000"/>
        <rFont val="Times New Roman"/>
        <family val="1"/>
      </rPr>
      <t>o</t>
    </r>
  </si>
  <si>
    <r>
      <t>n</t>
    </r>
    <r>
      <rPr>
        <sz val="10"/>
        <color theme="1"/>
        <rFont val="Times New Roman"/>
        <family val="1"/>
      </rPr>
      <t xml:space="preserve">  We have assumed that it will take each new PCWP respondent 40 hours to develop a record system for recording parameter monitoring information. [(2 new mills + 5 new process lines) / 3 = 2]</t>
    </r>
  </si>
  <si>
    <r>
      <t xml:space="preserve">D.  Develop record system </t>
    </r>
    <r>
      <rPr>
        <vertAlign val="superscript"/>
        <sz val="10"/>
        <color rgb="FF000000"/>
        <rFont val="Times New Roman"/>
        <family val="1"/>
      </rPr>
      <t>n</t>
    </r>
  </si>
  <si>
    <r>
      <t xml:space="preserve">e.  Emissions averaging report </t>
    </r>
    <r>
      <rPr>
        <vertAlign val="superscript"/>
        <sz val="10"/>
        <color rgb="FF000000"/>
        <rFont val="Times New Roman"/>
        <family val="1"/>
      </rPr>
      <t>m</t>
    </r>
  </si>
  <si>
    <r>
      <t xml:space="preserve">d.  Control system maintenance report </t>
    </r>
    <r>
      <rPr>
        <vertAlign val="superscript"/>
        <sz val="10"/>
        <color rgb="FF000000"/>
        <rFont val="Times New Roman"/>
        <family val="1"/>
      </rPr>
      <t>l</t>
    </r>
  </si>
  <si>
    <r>
      <t xml:space="preserve">c.  Startup, shutdown, malfunction report </t>
    </r>
    <r>
      <rPr>
        <vertAlign val="superscript"/>
        <sz val="10"/>
        <color rgb="FF000000"/>
        <rFont val="Times New Roman"/>
        <family val="1"/>
      </rPr>
      <t>k</t>
    </r>
  </si>
  <si>
    <r>
      <t xml:space="preserve">b.  Deviation </t>
    </r>
    <r>
      <rPr>
        <vertAlign val="superscript"/>
        <sz val="10"/>
        <color rgb="FF000000"/>
        <rFont val="Times New Roman"/>
        <family val="1"/>
      </rPr>
      <t>j</t>
    </r>
  </si>
  <si>
    <r>
      <t xml:space="preserve">a.  No deviations </t>
    </r>
    <r>
      <rPr>
        <vertAlign val="superscript"/>
        <sz val="10"/>
        <color rgb="FF000000"/>
        <rFont val="Times New Roman"/>
        <family val="1"/>
      </rPr>
      <t>j</t>
    </r>
  </si>
  <si>
    <r>
      <t xml:space="preserve">b.  Deviations </t>
    </r>
    <r>
      <rPr>
        <vertAlign val="superscript"/>
        <sz val="10"/>
        <color rgb="FF000000"/>
        <rFont val="Times New Roman"/>
        <family val="1"/>
      </rPr>
      <t>j</t>
    </r>
  </si>
  <si>
    <r>
      <t xml:space="preserve">9)  Initial compliance report </t>
    </r>
    <r>
      <rPr>
        <vertAlign val="superscript"/>
        <sz val="10"/>
        <color rgb="FF000000"/>
        <rFont val="Times New Roman"/>
        <family val="1"/>
      </rPr>
      <t>i</t>
    </r>
  </si>
  <si>
    <r>
      <t xml:space="preserve">b.  Without performance test </t>
    </r>
    <r>
      <rPr>
        <vertAlign val="superscript"/>
        <sz val="10"/>
        <color rgb="FF000000"/>
        <rFont val="Times New Roman"/>
        <family val="1"/>
      </rPr>
      <t>h</t>
    </r>
  </si>
  <si>
    <r>
      <t xml:space="preserve">g </t>
    </r>
    <r>
      <rPr>
        <sz val="10"/>
        <color theme="1"/>
        <rFont val="Times New Roman"/>
        <family val="1"/>
      </rPr>
      <t xml:space="preserve"> We have assumed that each new PCWP facility will comply by conducting performance tests. Two new PCWP mills and 5 new process lines are projected over the 3-year ICR period for an average of (2 + 5) / 3 = 2 new PCWP respondents per year. The notification of compliance status includes the report of the performance tests. Lumber mills are not required to conduct performance tests.</t>
    </r>
  </si>
  <si>
    <r>
      <t xml:space="preserve">a.  With performance test </t>
    </r>
    <r>
      <rPr>
        <vertAlign val="superscript"/>
        <sz val="10"/>
        <color rgb="FF000000"/>
        <rFont val="Times New Roman"/>
        <family val="1"/>
      </rPr>
      <t>g</t>
    </r>
  </si>
  <si>
    <r>
      <t xml:space="preserve">7)  Notification of initial performance test </t>
    </r>
    <r>
      <rPr>
        <vertAlign val="superscript"/>
        <sz val="10"/>
        <color rgb="FF000000"/>
        <rFont val="Times New Roman"/>
        <family val="1"/>
      </rPr>
      <t>g</t>
    </r>
  </si>
  <si>
    <r>
      <t>f</t>
    </r>
    <r>
      <rPr>
        <sz val="10"/>
        <color theme="1"/>
        <rFont val="Times New Roman"/>
        <family val="1"/>
      </rPr>
      <t xml:space="preserve">  We have assumed that each new PCPW mill respondent will submit a request for routine control device maintenance exemption. Note, this is a one-time activity for each respondent. Two new PCWP mills and 5 new process lines are projected over the 3-year ICR period for an average of (2 + 5) / 3 = 2 new PCWP respondents per year.</t>
    </r>
  </si>
  <si>
    <r>
      <t xml:space="preserve">6)  Request for routine control system maintenance exemption </t>
    </r>
    <r>
      <rPr>
        <vertAlign val="superscript"/>
        <sz val="10"/>
        <color rgb="FF000000"/>
        <rFont val="Times New Roman"/>
        <family val="1"/>
      </rPr>
      <t>f</t>
    </r>
  </si>
  <si>
    <r>
      <t xml:space="preserve">5)  Emissions averaging plan </t>
    </r>
    <r>
      <rPr>
        <vertAlign val="superscript"/>
        <sz val="10"/>
        <color rgb="FF000000"/>
        <rFont val="Times New Roman"/>
        <family val="1"/>
      </rPr>
      <t>e</t>
    </r>
  </si>
  <si>
    <t>No. of major sources</t>
  </si>
  <si>
    <t>Existing</t>
  </si>
  <si>
    <t>Under construction (existing for ICR purposes)</t>
  </si>
  <si>
    <t>Projected over next 5 years</t>
  </si>
  <si>
    <t>Projected over 3-year ICR period</t>
  </si>
  <si>
    <t>Notes</t>
  </si>
  <si>
    <t>No. PCWP mills</t>
  </si>
  <si>
    <t>2 new OSB mills are projected, assuming 2 RTOs each</t>
  </si>
  <si>
    <t xml:space="preserve">      PCWP mills also making lumber</t>
  </si>
  <si>
    <t>Projected PCWP lines added at exising mills</t>
  </si>
  <si>
    <t>Projected line additions: MDF, PB, LVL, 2 SPW, 2 mills with SW veneer dryers. 7 RTOs projected.</t>
  </si>
  <si>
    <t>No. sawmills with lumber kilns</t>
  </si>
  <si>
    <t>Projected batch kilns added at existing sawmills</t>
  </si>
  <si>
    <t>Projected Continuous Drying Kilns added at existing sawmills</t>
  </si>
  <si>
    <t>Data source</t>
  </si>
  <si>
    <t>ICR</t>
  </si>
  <si>
    <t>New source projections memo</t>
  </si>
  <si>
    <r>
      <t>c</t>
    </r>
    <r>
      <rPr>
        <sz val="10"/>
        <color theme="1"/>
        <rFont val="Times New Roman"/>
        <family val="1"/>
      </rPr>
      <t xml:space="preserve">  Totals have been rounded to 3 significant figures. Figures may not add exactly due to rounding.</t>
    </r>
  </si>
  <si>
    <r>
      <t xml:space="preserve">Total </t>
    </r>
    <r>
      <rPr>
        <b/>
        <vertAlign val="superscript"/>
        <sz val="10"/>
        <color rgb="FF000000"/>
        <rFont val="Times New Roman"/>
        <family val="1"/>
      </rPr>
      <t>c</t>
    </r>
  </si>
  <si>
    <r>
      <t xml:space="preserve">Initial tests at new mills (inlet/outlet) </t>
    </r>
    <r>
      <rPr>
        <vertAlign val="superscript"/>
        <sz val="10"/>
        <color theme="1"/>
        <rFont val="Times New Roman"/>
        <family val="1"/>
      </rPr>
      <t>b</t>
    </r>
  </si>
  <si>
    <r>
      <t xml:space="preserve">Initial tests on new process lines at existing mills (inlet/outlet) </t>
    </r>
    <r>
      <rPr>
        <vertAlign val="superscript"/>
        <sz val="10"/>
        <color theme="1"/>
        <rFont val="Times New Roman"/>
        <family val="1"/>
      </rPr>
      <t>b</t>
    </r>
  </si>
  <si>
    <r>
      <rPr>
        <vertAlign val="superscript"/>
        <sz val="10"/>
        <rFont val="Times New Roman"/>
        <family val="1"/>
      </rPr>
      <t xml:space="preserve">d </t>
    </r>
    <r>
      <rPr>
        <sz val="10"/>
        <rFont val="Times New Roman"/>
        <family val="1"/>
      </rPr>
      <t>Calculated as the column D total cost divided by 3 years plus the column G total annual cost.</t>
    </r>
  </si>
  <si>
    <r>
      <t xml:space="preserve">Average capital/ startup + O&amp;M cost for 3-year period </t>
    </r>
    <r>
      <rPr>
        <b/>
        <vertAlign val="superscript"/>
        <sz val="10"/>
        <color rgb="FF000000"/>
        <rFont val="Times New Roman"/>
        <family val="1"/>
      </rPr>
      <t>c, d</t>
    </r>
  </si>
  <si>
    <t>Request for routine control system maintenance exemption</t>
  </si>
  <si>
    <t>Initial compliance control system maintenance report</t>
  </si>
  <si>
    <r>
      <t>d</t>
    </r>
    <r>
      <rPr>
        <sz val="10"/>
        <color rgb="FF000000"/>
        <rFont val="Times New Roman"/>
        <family val="1"/>
      </rPr>
      <t xml:space="preserve">  One-time activity for new sources projected to commence construction over the 3-year ICR period, including 2 new PCWP mills, 5 new PCWP process lines, and 39 new lumber kilns at existing sawmills, for an average of 15 affected sources per year. [(2 + 5 + 39) /3 = 15]</t>
    </r>
  </si>
  <si>
    <r>
      <t>c</t>
    </r>
    <r>
      <rPr>
        <sz val="10"/>
        <color rgb="FF000000"/>
        <rFont val="Times New Roman"/>
        <family val="1"/>
      </rPr>
      <t xml:space="preserve">  We estimate that it will take EPA personnel 24 hours to attend performance tests at new facilities (2 new PCWP mills, 5 new PCWP process lines) required to test during the three-year period of this ICR (7 facilities/3 years = 2).</t>
    </r>
  </si>
  <si>
    <r>
      <t>a</t>
    </r>
    <r>
      <rPr>
        <sz val="10"/>
        <color rgb="FF000000"/>
        <rFont val="Times New Roman"/>
        <family val="1"/>
      </rPr>
      <t xml:space="preserve"> New respondents include sources with constructed, reconstructed and modified affected facilities. The 7 new respondents in year 3 consist of 2 new greenfield PCWP facilities and 5 new process lines  to be installed at existing PCWP facilities. </t>
    </r>
  </si>
  <si>
    <r>
      <rPr>
        <vertAlign val="superscript"/>
        <sz val="10"/>
        <color theme="1"/>
        <rFont val="Times New Roman"/>
        <family val="1"/>
      </rPr>
      <t>a</t>
    </r>
    <r>
      <rPr>
        <sz val="10"/>
        <color theme="1"/>
        <rFont val="Times New Roman"/>
        <family val="1"/>
      </rPr>
      <t xml:space="preserve"> Based on average number of PCWP facility respondents over the 3-year period (113 + 113 + (113+2)) / 3 = 114.  Annual O&amp;M costs are not currently required in the rule for lumber mills. </t>
    </r>
  </si>
  <si>
    <r>
      <t>a</t>
    </r>
    <r>
      <rPr>
        <sz val="10"/>
        <color rgb="FF000000"/>
        <rFont val="Times New Roman"/>
        <family val="1"/>
      </rPr>
      <t xml:space="preserve">  The average number of respondents that will be subject to this rule over the next 3 years of this ICR is 244, including 243 existing respondents in years 1-3, plus 2 new respondents projected to become subject to the rule in year 3 for and average of 244 = [243 (yr 1)+ 243 (yr 2) + 245 (yr 3)]/3. There are 113 existing PCWP facilities and 130 existing lumber mills subject to the PCWP NESHAP. During the three-year period of this ICR, an average of 1 new PCWP facility will become subject each year (2/3=1 (rounded)). Therefore, there will be an average of 114 PCWP facilities (113 existing + 1 new = 114). Although subject to the rule, lumber mills are only required to submit an initial notification.</t>
    </r>
  </si>
  <si>
    <r>
      <t>s</t>
    </r>
    <r>
      <rPr>
        <sz val="10"/>
        <color theme="1"/>
        <rFont val="Times New Roman"/>
        <family val="1"/>
      </rPr>
      <t xml:space="preserve">  We have assumed that it will take 16 hours for personnel to complete refresher training and that 20 percent of the existing PCWP facilities will participate [114 x 0.2 = 23].</t>
    </r>
  </si>
  <si>
    <r>
      <t>b</t>
    </r>
    <r>
      <rPr>
        <sz val="10"/>
        <color theme="1"/>
        <rFont val="Times New Roman"/>
        <family val="1"/>
      </rPr>
      <t xml:space="preserve"> Estimated based on a test cost of $30,000 for each inlet/outlet test for 2 emission points at each facility for a total of $60,000 per facility (except 1 emission point is assumed for new process lines at existing facilities for a testing cost of $30,000).  </t>
    </r>
  </si>
  <si>
    <r>
      <t>p</t>
    </r>
    <r>
      <rPr>
        <sz val="10"/>
        <color theme="1"/>
        <rFont val="Times New Roman"/>
        <family val="1"/>
      </rPr>
      <t xml:space="preserve">  Records of continuous compliance includes, records of CMS data for emission limitations and various records for work practice standards. There are 113 existing PCWP and 2 new PCWP facilities during the three-year period of this ICR [(113 (yr 1)+ 113 (yr 2) + 115 (yr 3))/3 = 114 (rounded)].</t>
    </r>
  </si>
  <si>
    <t xml:space="preserve">Assumptions:  </t>
  </si>
  <si>
    <r>
      <t>a</t>
    </r>
    <r>
      <rPr>
        <sz val="10"/>
        <color theme="1"/>
        <rFont val="Times New Roman"/>
        <family val="1"/>
      </rPr>
      <t xml:space="preserve">  The average number of respondents that will be subject to this rule over the next 3 years of this ICR is 244, including 243 existing respondents in years 1-3, plus 2 new respondents projected to become subject to the rule in year 3 for an average of 244 = [243 (yr 1)+ 243 (yr 2) + 245 (yr 3)]/3. There are 113 existing PCWP facilities and 130 existing lumber mills subject to the PCWP NESHAP. During the three-year period of this ICR, an average of 1 new PCWP facility will become subject each year (2/3=1 (rounded)). Therefore, there will be an average of 114 PCWP facilities (113 existing + 1 new = 114). Although subject to the rule, lumber mills are only required to submit an initial notification.</t>
    </r>
  </si>
  <si>
    <r>
      <t>m</t>
    </r>
    <r>
      <rPr>
        <sz val="10"/>
        <color theme="1"/>
        <rFont val="Times New Roman"/>
        <family val="1"/>
      </rPr>
      <t xml:space="preserve">  We have assumed that one existing PCWP facility uses the emissions averaging compliance option. New PCWP facilities are not allowed to use emissions averaging.</t>
    </r>
  </si>
  <si>
    <r>
      <t>o</t>
    </r>
    <r>
      <rPr>
        <sz val="10"/>
        <color theme="1"/>
        <rFont val="Times New Roman"/>
        <family val="1"/>
      </rPr>
      <t xml:space="preserve">  We have assumed that it will take each new PCWP respondent 80 hours to draft the startup, shutdown, malfunction plan, and another 20 hours to review/revisions, for a total of 100 hours.</t>
    </r>
  </si>
  <si>
    <r>
      <t xml:space="preserve">1)  Records of startup, shutdown, and malfunction </t>
    </r>
    <r>
      <rPr>
        <vertAlign val="superscript"/>
        <sz val="10"/>
        <color rgb="FF000000"/>
        <rFont val="Times New Roman"/>
        <family val="1"/>
      </rPr>
      <t>k</t>
    </r>
  </si>
  <si>
    <r>
      <t xml:space="preserve">10)  Semiannual compliance reports </t>
    </r>
    <r>
      <rPr>
        <vertAlign val="superscript"/>
        <sz val="10"/>
        <color rgb="FF000000"/>
        <rFont val="Times New Roman"/>
        <family val="1"/>
      </rPr>
      <t>i</t>
    </r>
  </si>
  <si>
    <r>
      <t>i</t>
    </r>
    <r>
      <rPr>
        <sz val="10"/>
        <color theme="1"/>
        <rFont val="Times New Roman"/>
        <family val="1"/>
      </rPr>
      <t xml:space="preserve">  We have assumed that the respondents’ compliance date is in the first half of the year, so respondents will submit one compliance report (initial compliance report) the first year that they start complying with the rule and two compliance reports (semiannual compliance reports) the following year.</t>
    </r>
  </si>
  <si>
    <r>
      <t>k</t>
    </r>
    <r>
      <rPr>
        <sz val="10"/>
        <color theme="1"/>
        <rFont val="Times New Roman"/>
        <family val="1"/>
      </rPr>
      <t xml:space="preserve">  We have assumed that 10 percent of the PCWP facilities will report an action taken during startup, shutdown, malfunction that are not consistent with the SSMP.</t>
    </r>
  </si>
  <si>
    <r>
      <t>l</t>
    </r>
    <r>
      <rPr>
        <sz val="10"/>
        <color theme="1"/>
        <rFont val="Times New Roman"/>
        <family val="1"/>
      </rPr>
      <t xml:space="preserve">  We have assumed that 10 percent of the PCWP facilities will submit control system maintenance report.</t>
    </r>
  </si>
  <si>
    <r>
      <t>j</t>
    </r>
    <r>
      <rPr>
        <sz val="10"/>
        <color theme="1"/>
        <rFont val="Times New Roman"/>
        <family val="1"/>
      </rPr>
      <t xml:space="preserve">  We have assumed that 90 percent of new and existing PCWP facilities will have no deviations, and 10 percent will have deviations. [0.9 x 2 new PCWP mills = 2] and [0.1 x 2 new PCWP mills = 0] and [0.9 x 113 existing PCWP mills = 102] and [0.1 x 113 existing PCWP mills = 11]</t>
    </r>
  </si>
  <si>
    <r>
      <t>e</t>
    </r>
    <r>
      <rPr>
        <sz val="10"/>
        <color rgb="FF000000"/>
        <rFont val="Times New Roman"/>
        <family val="1"/>
      </rPr>
      <t xml:space="preserve">  We have assumed that one existing PCWP facility uses the emission averaging plan. New facilities are not allowed to use emissions averaging.</t>
    </r>
  </si>
  <si>
    <r>
      <t>e</t>
    </r>
    <r>
      <rPr>
        <sz val="10"/>
        <color theme="1"/>
        <rFont val="Times New Roman"/>
        <family val="1"/>
      </rPr>
      <t xml:space="preserve">  The one existing PCWP facility using the emissions averaging compliance option has already written and submitted its emissions averaging plan. New PCWP facilities are not allowed to use emissions averaging.</t>
    </r>
  </si>
  <si>
    <r>
      <t>h</t>
    </r>
    <r>
      <rPr>
        <sz val="10"/>
        <color theme="1"/>
        <rFont val="Times New Roman"/>
        <family val="1"/>
      </rPr>
      <t xml:space="preserve">  We have assumed that each new facility will comply by conducting performance test(s).  The notification of compliance status includes the report of the performance test(s).</t>
    </r>
  </si>
  <si>
    <r>
      <t>i</t>
    </r>
    <r>
      <rPr>
        <sz val="10"/>
        <color rgb="FF000000"/>
        <rFont val="Times New Roman"/>
        <family val="1"/>
      </rPr>
      <t xml:space="preserve">  We have assumed that each new facility will comply by conducting performance test(s).  The notification of compliance status includes the report of the performance test(s).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</si>
</sst>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0.0"/>
  </numFmts>
  <fonts count="26" x14ac:knownFonts="1">
    <font>
      <sz val="11"/>
      <color theme="1"/>
      <name val="Calibri"/>
      <family val="2"/>
      <scheme val="minor"/>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i/>
      <sz val="10"/>
      <color rgb="FF000000"/>
      <name val="Times New Roman"/>
      <family val="1"/>
    </font>
    <font>
      <sz val="10"/>
      <color rgb="FFFF0000"/>
      <name val="Times New Roman"/>
      <family val="1"/>
    </font>
    <font>
      <sz val="12"/>
      <color rgb="FF000000"/>
      <name val="Times New Roman"/>
      <family val="1"/>
    </font>
    <font>
      <sz val="12"/>
      <color rgb="FFFF0000"/>
      <name val="Times New Roman"/>
      <family val="1"/>
    </font>
    <font>
      <sz val="11"/>
      <color theme="1"/>
      <name val="Times New Roman"/>
      <family val="1"/>
    </font>
    <font>
      <b/>
      <sz val="12"/>
      <color theme="1"/>
      <name val="Times New Roman"/>
      <family val="1"/>
    </font>
    <font>
      <b/>
      <vertAlign val="superscript"/>
      <sz val="10"/>
      <color theme="1"/>
      <name val="Times New Roman"/>
      <family val="1"/>
    </font>
    <font>
      <b/>
      <sz val="10"/>
      <color rgb="FF0000FF"/>
      <name val="Times New Roman"/>
      <family val="1"/>
    </font>
    <font>
      <vertAlign val="superscript"/>
      <sz val="10"/>
      <name val="Times New Roman"/>
      <family val="1"/>
    </font>
    <font>
      <b/>
      <sz val="10"/>
      <name val="Times New Roman"/>
      <family val="1"/>
    </font>
    <font>
      <b/>
      <vertAlign val="superscript"/>
      <sz val="10"/>
      <name val="Times New Roman"/>
      <family val="1"/>
    </font>
    <font>
      <b/>
      <sz val="11"/>
      <color theme="1"/>
      <name val="Calibri"/>
      <family val="2"/>
      <scheme val="minor"/>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41">
    <xf numFmtId="0" fontId="0" fillId="0" borderId="0" xfId="0"/>
    <xf numFmtId="0" fontId="5" fillId="0" borderId="0" xfId="0" applyFont="1"/>
    <xf numFmtId="0" fontId="5" fillId="0" borderId="1" xfId="0" applyFont="1" applyBorder="1" applyAlignment="1">
      <alignment vertical="center" wrapText="1"/>
    </xf>
    <xf numFmtId="0" fontId="2" fillId="0" borderId="0" xfId="0" applyFont="1"/>
    <xf numFmtId="0" fontId="7" fillId="0" borderId="0" xfId="0" applyFont="1" applyAlignment="1">
      <alignment vertical="center"/>
    </xf>
    <xf numFmtId="0" fontId="7" fillId="0" borderId="1" xfId="0" applyFont="1" applyBorder="1" applyAlignment="1">
      <alignment vertical="center" wrapText="1"/>
    </xf>
    <xf numFmtId="0" fontId="12" fillId="0" borderId="1" xfId="0" applyFont="1" applyBorder="1" applyAlignment="1">
      <alignment vertical="center"/>
    </xf>
    <xf numFmtId="164" fontId="5" fillId="0" borderId="1" xfId="0" applyNumberFormat="1" applyFont="1" applyBorder="1"/>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5" fillId="0" borderId="2" xfId="0" applyFont="1" applyBorder="1" applyAlignment="1">
      <alignment vertical="center" wrapText="1"/>
    </xf>
    <xf numFmtId="0" fontId="5" fillId="0" borderId="13" xfId="0" applyFont="1" applyBorder="1" applyAlignment="1">
      <alignment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14" xfId="0"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6"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6" fontId="11" fillId="0" borderId="1" xfId="0" applyNumberFormat="1" applyFont="1" applyBorder="1" applyAlignment="1">
      <alignment horizontal="right" vertical="center" wrapText="1"/>
    </xf>
    <xf numFmtId="6" fontId="7" fillId="0" borderId="1" xfId="0" applyNumberFormat="1" applyFont="1" applyBorder="1" applyAlignment="1">
      <alignment horizontal="right" vertical="center" wrapText="1"/>
    </xf>
    <xf numFmtId="0" fontId="14" fillId="0" borderId="0" xfId="0" applyFont="1" applyAlignment="1">
      <alignment vertical="center"/>
    </xf>
    <xf numFmtId="0" fontId="10" fillId="0" borderId="0" xfId="0" applyFont="1" applyAlignment="1">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6" fontId="5" fillId="0" borderId="0" xfId="0" applyNumberFormat="1" applyFont="1" applyBorder="1" applyAlignment="1">
      <alignment horizontal="right" vertical="center" wrapText="1"/>
    </xf>
    <xf numFmtId="0" fontId="0" fillId="0" borderId="0" xfId="0" applyBorder="1"/>
    <xf numFmtId="0" fontId="5" fillId="0" borderId="0" xfId="0" applyFont="1" applyBorder="1" applyAlignment="1">
      <alignment horizontal="right" vertical="center" wrapText="1"/>
    </xf>
    <xf numFmtId="8" fontId="5" fillId="0" borderId="0" xfId="0" applyNumberFormat="1" applyFont="1" applyBorder="1" applyAlignment="1">
      <alignment horizontal="right" vertical="center" wrapText="1"/>
    </xf>
    <xf numFmtId="6" fontId="7" fillId="0" borderId="0" xfId="0" applyNumberFormat="1" applyFont="1" applyBorder="1" applyAlignment="1">
      <alignment horizontal="right" vertical="center" wrapText="1"/>
    </xf>
    <xf numFmtId="0" fontId="15" fillId="0" borderId="0" xfId="0" applyFont="1" applyBorder="1" applyAlignment="1">
      <alignment vertical="center"/>
    </xf>
    <xf numFmtId="0" fontId="5" fillId="0" borderId="0" xfId="0" applyFont="1" applyBorder="1" applyAlignment="1">
      <alignment vertical="center" wrapText="1"/>
    </xf>
    <xf numFmtId="3" fontId="5" fillId="0" borderId="0" xfId="0" applyNumberFormat="1" applyFont="1" applyBorder="1" applyAlignment="1">
      <alignment horizontal="center" vertical="center" wrapText="1"/>
    </xf>
    <xf numFmtId="0" fontId="16" fillId="0" borderId="0" xfId="0"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0" fillId="0" borderId="1" xfId="0" applyBorder="1" applyAlignment="1">
      <alignment vertical="top" wrapText="1"/>
    </xf>
    <xf numFmtId="3" fontId="7" fillId="0" borderId="0" xfId="0" applyNumberFormat="1" applyFont="1" applyBorder="1" applyAlignment="1">
      <alignment vertical="center" wrapText="1"/>
    </xf>
    <xf numFmtId="0" fontId="17"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6" fontId="2" fillId="0" borderId="1" xfId="0" applyNumberFormat="1" applyFont="1" applyBorder="1" applyAlignment="1">
      <alignment horizontal="right" vertical="center"/>
    </xf>
    <xf numFmtId="0" fontId="20" fillId="0" borderId="1" xfId="0" applyFont="1" applyBorder="1" applyAlignment="1">
      <alignment horizontal="center" vertical="center"/>
    </xf>
    <xf numFmtId="0" fontId="7" fillId="0" borderId="1" xfId="0" applyFont="1" applyBorder="1" applyAlignment="1">
      <alignment vertical="center"/>
    </xf>
    <xf numFmtId="6" fontId="10"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14" fillId="0" borderId="0" xfId="0" applyFont="1"/>
    <xf numFmtId="1" fontId="5" fillId="0" borderId="1" xfId="0" applyNumberFormat="1" applyFont="1" applyFill="1" applyBorder="1" applyAlignment="1">
      <alignment horizontal="center" vertical="center" wrapText="1"/>
    </xf>
    <xf numFmtId="8" fontId="5" fillId="0" borderId="1" xfId="0" applyNumberFormat="1" applyFont="1" applyFill="1" applyBorder="1" applyAlignment="1">
      <alignment horizontal="right" vertical="center" wrapText="1"/>
    </xf>
    <xf numFmtId="6" fontId="12" fillId="0" borderId="1" xfId="0" applyNumberFormat="1" applyFont="1" applyBorder="1" applyAlignment="1">
      <alignment horizontal="right" vertical="center" wrapText="1"/>
    </xf>
    <xf numFmtId="8" fontId="12" fillId="0" borderId="1" xfId="0" applyNumberFormat="1" applyFont="1" applyBorder="1" applyAlignment="1">
      <alignment horizontal="righ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2" fillId="0" borderId="4" xfId="0" applyFont="1" applyBorder="1" applyAlignment="1">
      <alignment horizontal="center" vertical="center" wrapText="1"/>
    </xf>
    <xf numFmtId="0" fontId="6" fillId="0" borderId="0" xfId="0" applyFont="1" applyAlignment="1">
      <alignment vertical="center"/>
    </xf>
    <xf numFmtId="3" fontId="5" fillId="0" borderId="4" xfId="0" applyNumberFormat="1" applyFont="1" applyBorder="1" applyAlignment="1">
      <alignment horizontal="center" vertical="center" wrapText="1"/>
    </xf>
    <xf numFmtId="0" fontId="7" fillId="0" borderId="2" xfId="0" applyFont="1" applyBorder="1" applyAlignment="1">
      <alignment vertical="center" wrapText="1"/>
    </xf>
    <xf numFmtId="1" fontId="5" fillId="0" borderId="4" xfId="0" applyNumberFormat="1" applyFont="1" applyFill="1" applyBorder="1" applyAlignment="1">
      <alignment horizontal="center" vertical="center" wrapText="1"/>
    </xf>
    <xf numFmtId="0" fontId="11" fillId="0" borderId="2" xfId="0" applyFont="1" applyBorder="1" applyAlignment="1">
      <alignment vertical="center" wrapText="1"/>
    </xf>
    <xf numFmtId="0" fontId="13" fillId="0" borderId="2" xfId="0" applyFont="1" applyBorder="1" applyAlignment="1">
      <alignment vertical="center" wrapText="1"/>
    </xf>
    <xf numFmtId="0" fontId="9" fillId="0" borderId="0" xfId="0" applyFont="1" applyAlignment="1">
      <alignment vertical="center"/>
    </xf>
    <xf numFmtId="6" fontId="7" fillId="0" borderId="1" xfId="0" applyNumberFormat="1"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left" vertical="center" indent="2"/>
    </xf>
    <xf numFmtId="0" fontId="5" fillId="0" borderId="1" xfId="0" applyFont="1" applyBorder="1" applyAlignment="1">
      <alignment horizontal="left" vertical="center" indent="3"/>
    </xf>
    <xf numFmtId="0" fontId="10" fillId="0" borderId="2" xfId="0" applyFont="1" applyBorder="1" applyAlignment="1">
      <alignment horizontal="center" vertical="center"/>
    </xf>
    <xf numFmtId="8" fontId="2" fillId="0" borderId="1" xfId="0" applyNumberFormat="1" applyFont="1" applyBorder="1" applyAlignment="1">
      <alignment horizontal="right" vertical="center"/>
    </xf>
    <xf numFmtId="0" fontId="12" fillId="0" borderId="1" xfId="0" applyFont="1" applyBorder="1" applyAlignment="1">
      <alignment horizontal="left" vertical="center" indent="1"/>
    </xf>
    <xf numFmtId="0" fontId="12" fillId="0" borderId="1" xfId="0" applyFont="1" applyBorder="1" applyAlignment="1">
      <alignment horizontal="left" vertical="center" wrapText="1" indent="1"/>
    </xf>
    <xf numFmtId="0" fontId="12" fillId="0" borderId="1" xfId="0" applyFont="1" applyBorder="1" applyAlignment="1">
      <alignment horizontal="left" vertical="center" indent="2"/>
    </xf>
    <xf numFmtId="0" fontId="22" fillId="0" borderId="1" xfId="0" applyFont="1" applyBorder="1" applyAlignment="1">
      <alignment vertical="center"/>
    </xf>
    <xf numFmtId="0" fontId="5" fillId="0" borderId="1" xfId="0" applyFont="1" applyBorder="1" applyAlignment="1">
      <alignment horizontal="left" vertical="center" wrapText="1" indent="2"/>
    </xf>
    <xf numFmtId="0" fontId="5" fillId="0" borderId="1" xfId="0" applyFont="1" applyBorder="1" applyAlignment="1">
      <alignment horizontal="left" vertical="center" wrapText="1" indent="3"/>
    </xf>
    <xf numFmtId="0" fontId="5" fillId="0" borderId="1" xfId="0" applyFont="1" applyFill="1" applyBorder="1" applyAlignment="1">
      <alignment horizontal="left" vertical="center" indent="2"/>
    </xf>
    <xf numFmtId="0" fontId="24" fillId="0" borderId="1" xfId="0" applyFont="1" applyBorder="1"/>
    <xf numFmtId="0" fontId="24" fillId="0" borderId="1" xfId="0" applyFont="1" applyBorder="1" applyAlignment="1">
      <alignment wrapText="1"/>
    </xf>
    <xf numFmtId="0" fontId="0" fillId="0" borderId="1" xfId="0" applyBorder="1"/>
    <xf numFmtId="1" fontId="0" fillId="0" borderId="1" xfId="0" applyNumberFormat="1" applyBorder="1"/>
    <xf numFmtId="0" fontId="2" fillId="0" borderId="1" xfId="0" applyFont="1" applyBorder="1" applyAlignment="1">
      <alignment vertical="center"/>
    </xf>
    <xf numFmtId="1" fontId="2" fillId="0" borderId="1" xfId="0" applyNumberFormat="1" applyFont="1" applyBorder="1" applyAlignment="1">
      <alignment horizontal="center" vertical="center" wrapText="1"/>
    </xf>
    <xf numFmtId="0" fontId="0" fillId="0" borderId="3" xfId="0" applyBorder="1"/>
    <xf numFmtId="0" fontId="0" fillId="0" borderId="0" xfId="0" applyBorder="1" applyAlignment="1">
      <alignment vertical="top"/>
    </xf>
    <xf numFmtId="0" fontId="0" fillId="0" borderId="1" xfId="0" applyFill="1" applyBorder="1"/>
    <xf numFmtId="0" fontId="0" fillId="0" borderId="1" xfId="0" applyBorder="1" applyAlignment="1"/>
    <xf numFmtId="1" fontId="5" fillId="0" borderId="4" xfId="0" applyNumberFormat="1" applyFont="1" applyBorder="1" applyAlignment="1">
      <alignment horizontal="center" vertical="center"/>
    </xf>
    <xf numFmtId="0" fontId="5" fillId="0" borderId="1" xfId="0" applyFont="1" applyFill="1" applyBorder="1" applyAlignment="1">
      <alignment horizontal="center" vertical="center"/>
    </xf>
    <xf numFmtId="0" fontId="25" fillId="0" borderId="0" xfId="0" applyFont="1"/>
    <xf numFmtId="0" fontId="14" fillId="0" borderId="0" xfId="0" applyFont="1" applyBorder="1" applyAlignment="1">
      <alignment vertical="center"/>
    </xf>
    <xf numFmtId="165"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Fill="1" applyBorder="1" applyAlignment="1">
      <alignment horizontal="left" vertical="center" indent="3"/>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12" fillId="0" borderId="1" xfId="0" applyFont="1" applyFill="1" applyBorder="1" applyAlignment="1">
      <alignment horizontal="left" vertical="center" indent="2"/>
    </xf>
    <xf numFmtId="0" fontId="2" fillId="0" borderId="4"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Fill="1" applyAlignment="1">
      <alignment horizontal="left" vertical="top" wrapText="1"/>
    </xf>
    <xf numFmtId="3" fontId="7" fillId="0" borderId="1" xfId="0" applyNumberFormat="1" applyFont="1" applyBorder="1" applyAlignment="1">
      <alignment horizontal="center" vertical="center" wrapText="1"/>
    </xf>
    <xf numFmtId="0" fontId="12" fillId="0" borderId="1" xfId="0" applyFont="1" applyBorder="1" applyAlignment="1">
      <alignment horizontal="center"/>
    </xf>
    <xf numFmtId="0" fontId="1" fillId="0" borderId="0" xfId="0" applyFont="1" applyAlignment="1">
      <alignment horizontal="left" vertical="top"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6" fillId="0" borderId="0" xfId="0" applyFont="1" applyAlignment="1">
      <alignment horizontal="left" vertical="top" wrapText="1"/>
    </xf>
    <xf numFmtId="0" fontId="6" fillId="2" borderId="0" xfId="0" applyFont="1" applyFill="1" applyAlignment="1">
      <alignment horizontal="left" vertical="top" wrapText="1"/>
    </xf>
    <xf numFmtId="0" fontId="18" fillId="0" borderId="0" xfId="0" applyFont="1" applyAlignment="1">
      <alignment horizontal="left" vertical="top" wrapText="1"/>
    </xf>
    <xf numFmtId="3" fontId="10" fillId="0" borderId="1" xfId="0" applyNumberFormat="1" applyFont="1" applyBorder="1" applyAlignment="1">
      <alignment horizontal="center" vertical="center"/>
    </xf>
    <xf numFmtId="0" fontId="6" fillId="0" borderId="0" xfId="0" applyFont="1" applyFill="1" applyAlignment="1">
      <alignment horizontal="left" vertical="top" wrapText="1"/>
    </xf>
    <xf numFmtId="0" fontId="10" fillId="0" borderId="1" xfId="0" applyFont="1" applyBorder="1" applyAlignment="1">
      <alignment horizontal="center" vertical="center" wrapText="1"/>
    </xf>
    <xf numFmtId="0" fontId="12" fillId="0" borderId="3" xfId="0" applyFont="1" applyBorder="1" applyAlignment="1">
      <alignment horizontal="center"/>
    </xf>
    <xf numFmtId="0" fontId="12" fillId="0" borderId="4" xfId="0" applyFont="1" applyBorder="1" applyAlignment="1">
      <alignment horizontal="center"/>
    </xf>
    <xf numFmtId="0" fontId="0" fillId="0" borderId="0" xfId="0" applyBorder="1" applyAlignment="1">
      <alignment horizontal="left" vertical="top" wrapText="1"/>
    </xf>
    <xf numFmtId="0" fontId="9" fillId="0" borderId="0" xfId="0" applyFont="1" applyAlignment="1">
      <alignment vertical="center" wrapText="1"/>
    </xf>
    <xf numFmtId="0" fontId="12" fillId="0" borderId="0" xfId="0" applyFont="1" applyBorder="1" applyAlignment="1">
      <alignment horizontal="left" vertical="top" wrapText="1"/>
    </xf>
    <xf numFmtId="0" fontId="24" fillId="0" borderId="0" xfId="0" applyFont="1" applyBorder="1" applyAlignment="1">
      <alignment horizontal="center"/>
    </xf>
    <xf numFmtId="0" fontId="1"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9" fillId="0" borderId="0" xfId="0" applyFont="1" applyAlignment="1">
      <alignment horizontal="left" vertical="top"/>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7" xfId="0" applyFont="1" applyBorder="1" applyAlignment="1">
      <alignment horizontal="left" vertical="top" wrapText="1"/>
    </xf>
    <xf numFmtId="0" fontId="6"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67B-C317-4F21-ABE0-2A85EB1BB591}">
  <dimension ref="A1:L80"/>
  <sheetViews>
    <sheetView tabSelected="1" zoomScaleNormal="100" workbookViewId="0">
      <selection activeCell="A68" sqref="A68:I68"/>
    </sheetView>
  </sheetViews>
  <sheetFormatPr defaultColWidth="9.140625" defaultRowHeight="15" x14ac:dyDescent="0.25"/>
  <cols>
    <col min="1" max="1" width="39.5703125" style="49" customWidth="1"/>
    <col min="2" max="8" width="12" style="49" customWidth="1"/>
    <col min="9" max="9" width="13.5703125" style="49" customWidth="1"/>
    <col min="10" max="10" width="4.85546875" style="49" customWidth="1"/>
    <col min="11" max="11" width="11.5703125" style="49" customWidth="1"/>
    <col min="12" max="16384" width="9.140625" style="49"/>
  </cols>
  <sheetData>
    <row r="1" spans="1:12" ht="37.5" customHeight="1" x14ac:dyDescent="0.25">
      <c r="A1" s="116" t="s">
        <v>110</v>
      </c>
      <c r="B1" s="116"/>
      <c r="C1" s="116"/>
      <c r="D1" s="116"/>
      <c r="E1" s="116"/>
      <c r="F1" s="116"/>
      <c r="G1" s="116"/>
      <c r="H1" s="116"/>
      <c r="I1" s="116"/>
    </row>
    <row r="2" spans="1:12" x14ac:dyDescent="0.25">
      <c r="A2" s="1"/>
      <c r="B2" s="1"/>
      <c r="C2" s="1"/>
      <c r="D2" s="1"/>
      <c r="E2" s="1"/>
      <c r="F2" s="1"/>
      <c r="G2" s="1"/>
      <c r="H2" s="1"/>
      <c r="I2" s="1"/>
    </row>
    <row r="3" spans="1:12" x14ac:dyDescent="0.25">
      <c r="A3" s="117" t="s">
        <v>21</v>
      </c>
      <c r="B3" s="9" t="s">
        <v>0</v>
      </c>
      <c r="C3" s="10" t="s">
        <v>2</v>
      </c>
      <c r="D3" s="9" t="s">
        <v>4</v>
      </c>
      <c r="E3" s="10" t="s">
        <v>6</v>
      </c>
      <c r="F3" s="9" t="s">
        <v>7</v>
      </c>
      <c r="G3" s="10" t="s">
        <v>18</v>
      </c>
      <c r="H3" s="9" t="s">
        <v>20</v>
      </c>
      <c r="I3" s="11" t="s">
        <v>23</v>
      </c>
      <c r="J3" s="3"/>
      <c r="K3" s="3"/>
      <c r="L3" s="3"/>
    </row>
    <row r="4" spans="1:12" ht="63.75" x14ac:dyDescent="0.25">
      <c r="A4" s="118"/>
      <c r="B4" s="12" t="s">
        <v>48</v>
      </c>
      <c r="C4" s="13" t="s">
        <v>49</v>
      </c>
      <c r="D4" s="12" t="s">
        <v>50</v>
      </c>
      <c r="E4" s="13" t="s">
        <v>51</v>
      </c>
      <c r="F4" s="12" t="s">
        <v>52</v>
      </c>
      <c r="G4" s="13" t="s">
        <v>53</v>
      </c>
      <c r="H4" s="12" t="s">
        <v>54</v>
      </c>
      <c r="I4" s="14" t="s">
        <v>55</v>
      </c>
      <c r="J4" s="3"/>
      <c r="K4" s="3"/>
      <c r="L4" s="3"/>
    </row>
    <row r="5" spans="1:12" x14ac:dyDescent="0.25">
      <c r="A5" s="119"/>
      <c r="B5" s="15"/>
      <c r="C5" s="16"/>
      <c r="D5" s="17" t="s">
        <v>56</v>
      </c>
      <c r="E5" s="16"/>
      <c r="F5" s="15"/>
      <c r="G5" s="18" t="s">
        <v>57</v>
      </c>
      <c r="H5" s="17" t="s">
        <v>58</v>
      </c>
      <c r="I5" s="19"/>
      <c r="J5" s="3"/>
      <c r="K5" s="3"/>
      <c r="L5" s="3"/>
    </row>
    <row r="6" spans="1:12" x14ac:dyDescent="0.25">
      <c r="A6" s="64" t="s">
        <v>60</v>
      </c>
      <c r="B6" s="65" t="s">
        <v>22</v>
      </c>
      <c r="C6" s="65"/>
      <c r="D6" s="78"/>
      <c r="E6" s="65"/>
      <c r="F6" s="63"/>
      <c r="G6" s="31"/>
      <c r="H6" s="31"/>
      <c r="I6" s="20"/>
      <c r="J6" s="3"/>
      <c r="K6" s="115" t="s">
        <v>28</v>
      </c>
      <c r="L6" s="115"/>
    </row>
    <row r="7" spans="1:12" x14ac:dyDescent="0.25">
      <c r="A7" s="64" t="s">
        <v>91</v>
      </c>
      <c r="B7" s="65" t="s">
        <v>22</v>
      </c>
      <c r="C7" s="65"/>
      <c r="D7" s="78"/>
      <c r="E7" s="65"/>
      <c r="F7" s="63"/>
      <c r="G7" s="31"/>
      <c r="H7" s="31"/>
      <c r="I7" s="20"/>
      <c r="J7" s="3"/>
      <c r="K7" s="6" t="s">
        <v>29</v>
      </c>
      <c r="L7" s="7">
        <v>148.97</v>
      </c>
    </row>
    <row r="8" spans="1:12" x14ac:dyDescent="0.25">
      <c r="A8" s="64" t="s">
        <v>92</v>
      </c>
      <c r="B8" s="65"/>
      <c r="C8" s="65"/>
      <c r="D8" s="78"/>
      <c r="E8" s="65"/>
      <c r="F8" s="63"/>
      <c r="G8" s="31"/>
      <c r="H8" s="31"/>
      <c r="I8" s="20"/>
      <c r="J8" s="3"/>
      <c r="K8" s="6" t="s">
        <v>30</v>
      </c>
      <c r="L8" s="7">
        <v>119.03</v>
      </c>
    </row>
    <row r="9" spans="1:12" ht="15.75" x14ac:dyDescent="0.25">
      <c r="A9" s="66" t="s">
        <v>93</v>
      </c>
      <c r="B9" s="65">
        <v>1</v>
      </c>
      <c r="C9" s="65">
        <v>1</v>
      </c>
      <c r="D9" s="78">
        <f>B9*C9</f>
        <v>1</v>
      </c>
      <c r="E9" s="65">
        <v>244</v>
      </c>
      <c r="F9" s="69">
        <f>D9*E9</f>
        <v>244</v>
      </c>
      <c r="G9" s="23">
        <f>F9*0.05</f>
        <v>12.200000000000001</v>
      </c>
      <c r="H9" s="23">
        <f>F9*0.1</f>
        <v>24.400000000000002</v>
      </c>
      <c r="I9" s="21">
        <f>G9*L$7+F9*L$8+H9*L$9</f>
        <v>32266.682000000001</v>
      </c>
      <c r="J9" s="3"/>
      <c r="K9" s="6" t="s">
        <v>31</v>
      </c>
      <c r="L9" s="7">
        <v>57.62</v>
      </c>
    </row>
    <row r="10" spans="1:12" x14ac:dyDescent="0.25">
      <c r="A10" s="66" t="s">
        <v>94</v>
      </c>
      <c r="B10" s="65" t="s">
        <v>22</v>
      </c>
      <c r="C10" s="65"/>
      <c r="D10" s="78"/>
      <c r="E10" s="65"/>
      <c r="F10" s="69"/>
      <c r="G10" s="23"/>
      <c r="H10" s="23"/>
      <c r="I10" s="21"/>
      <c r="J10" s="3"/>
      <c r="K10" s="3"/>
      <c r="L10" s="3"/>
    </row>
    <row r="11" spans="1:12" x14ac:dyDescent="0.25">
      <c r="A11" s="66" t="s">
        <v>95</v>
      </c>
      <c r="B11" s="65" t="s">
        <v>96</v>
      </c>
      <c r="C11" s="65"/>
      <c r="D11" s="78"/>
      <c r="E11" s="65"/>
      <c r="F11" s="69"/>
      <c r="G11" s="23"/>
      <c r="H11" s="23"/>
      <c r="I11" s="21"/>
      <c r="J11" s="3"/>
      <c r="K11" s="3"/>
      <c r="L11" s="3"/>
    </row>
    <row r="12" spans="1:12" x14ac:dyDescent="0.25">
      <c r="A12" s="66" t="s">
        <v>97</v>
      </c>
      <c r="B12" s="65" t="s">
        <v>96</v>
      </c>
      <c r="C12" s="65"/>
      <c r="D12" s="78"/>
      <c r="E12" s="65"/>
      <c r="F12" s="69"/>
      <c r="G12" s="23"/>
      <c r="H12" s="23"/>
      <c r="I12" s="21"/>
      <c r="J12" s="3"/>
      <c r="K12" s="3"/>
      <c r="L12" s="3"/>
    </row>
    <row r="13" spans="1:12" x14ac:dyDescent="0.25">
      <c r="A13" s="66" t="s">
        <v>98</v>
      </c>
      <c r="B13" s="65"/>
      <c r="C13" s="65"/>
      <c r="D13" s="78"/>
      <c r="E13" s="65"/>
      <c r="F13" s="69"/>
      <c r="G13" s="23"/>
      <c r="H13" s="23"/>
      <c r="I13" s="21"/>
      <c r="J13" s="3"/>
      <c r="K13" s="3"/>
      <c r="L13" s="3"/>
    </row>
    <row r="14" spans="1:12" ht="15.75" x14ac:dyDescent="0.25">
      <c r="A14" s="89" t="s">
        <v>143</v>
      </c>
      <c r="B14" s="65">
        <v>2</v>
      </c>
      <c r="C14" s="65">
        <v>1</v>
      </c>
      <c r="D14" s="78">
        <f t="shared" ref="D14:D35" si="0">B14*C14</f>
        <v>2</v>
      </c>
      <c r="E14" s="65">
        <v>15</v>
      </c>
      <c r="F14" s="69">
        <f t="shared" ref="F14:F16" si="1">D14*E14</f>
        <v>30</v>
      </c>
      <c r="G14" s="23">
        <f t="shared" ref="G14:G16" si="2">F14*0.05</f>
        <v>1.5</v>
      </c>
      <c r="H14" s="23">
        <f t="shared" ref="H14:H16" si="3">F14*0.1</f>
        <v>3</v>
      </c>
      <c r="I14" s="21">
        <f t="shared" ref="I14:I16" si="4">G14*L$7+F14*L$8+H14*L$9</f>
        <v>3967.2150000000001</v>
      </c>
      <c r="J14" s="3"/>
      <c r="K14" s="3"/>
      <c r="L14" s="3"/>
    </row>
    <row r="15" spans="1:12" ht="15.75" x14ac:dyDescent="0.25">
      <c r="A15" s="89" t="s">
        <v>144</v>
      </c>
      <c r="B15" s="65">
        <v>2</v>
      </c>
      <c r="C15" s="65">
        <v>1</v>
      </c>
      <c r="D15" s="78">
        <f t="shared" si="0"/>
        <v>2</v>
      </c>
      <c r="E15" s="65">
        <v>15</v>
      </c>
      <c r="F15" s="69">
        <f t="shared" ref="F15" si="5">D15*E15</f>
        <v>30</v>
      </c>
      <c r="G15" s="23">
        <f t="shared" ref="G15" si="6">F15*0.05</f>
        <v>1.5</v>
      </c>
      <c r="H15" s="23">
        <f t="shared" ref="H15" si="7">F15*0.1</f>
        <v>3</v>
      </c>
      <c r="I15" s="21">
        <f t="shared" ref="I15" si="8">G15*L$7+F15*L$8+H15*L$9</f>
        <v>3967.2150000000001</v>
      </c>
      <c r="J15" s="3"/>
      <c r="K15" s="3"/>
      <c r="L15" s="3"/>
    </row>
    <row r="16" spans="1:12" ht="15.75" x14ac:dyDescent="0.25">
      <c r="A16" s="89" t="s">
        <v>145</v>
      </c>
      <c r="B16" s="65">
        <v>2</v>
      </c>
      <c r="C16" s="65">
        <v>1</v>
      </c>
      <c r="D16" s="78">
        <f t="shared" si="0"/>
        <v>2</v>
      </c>
      <c r="E16" s="65">
        <v>15</v>
      </c>
      <c r="F16" s="63">
        <f t="shared" si="1"/>
        <v>30</v>
      </c>
      <c r="G16" s="31">
        <f t="shared" si="2"/>
        <v>1.5</v>
      </c>
      <c r="H16" s="31">
        <f t="shared" si="3"/>
        <v>3</v>
      </c>
      <c r="I16" s="21">
        <f t="shared" si="4"/>
        <v>3967.2150000000001</v>
      </c>
      <c r="J16" s="3"/>
      <c r="K16" s="3"/>
      <c r="L16" s="3"/>
    </row>
    <row r="17" spans="1:12" ht="15.75" x14ac:dyDescent="0.25">
      <c r="A17" s="89" t="s">
        <v>146</v>
      </c>
      <c r="B17" s="65">
        <v>2</v>
      </c>
      <c r="C17" s="65">
        <v>1</v>
      </c>
      <c r="D17" s="78">
        <f t="shared" si="0"/>
        <v>2</v>
      </c>
      <c r="E17" s="65">
        <v>15</v>
      </c>
      <c r="F17" s="69">
        <f t="shared" ref="F17" si="9">D17*E17</f>
        <v>30</v>
      </c>
      <c r="G17" s="23">
        <f t="shared" ref="G17" si="10">F17*0.05</f>
        <v>1.5</v>
      </c>
      <c r="H17" s="30">
        <f t="shared" ref="H17" si="11">F17*0.1</f>
        <v>3</v>
      </c>
      <c r="I17" s="21">
        <f>G17*L$7+F17*L$8+H17*L$9</f>
        <v>3967.2150000000001</v>
      </c>
      <c r="J17" s="3"/>
      <c r="K17" s="3"/>
      <c r="L17" s="3"/>
    </row>
    <row r="18" spans="1:12" ht="15.75" x14ac:dyDescent="0.25">
      <c r="A18" s="79" t="s">
        <v>173</v>
      </c>
      <c r="B18" s="65">
        <v>120</v>
      </c>
      <c r="C18" s="65">
        <v>1</v>
      </c>
      <c r="D18" s="78">
        <f t="shared" si="0"/>
        <v>120</v>
      </c>
      <c r="E18" s="101">
        <v>0</v>
      </c>
      <c r="F18" s="69">
        <f t="shared" ref="F18:F35" si="12">D18*E18</f>
        <v>0</v>
      </c>
      <c r="G18" s="23">
        <f t="shared" ref="G18:G35" si="13">F18*0.05</f>
        <v>0</v>
      </c>
      <c r="H18" s="30">
        <f t="shared" ref="H18:H35" si="14">F18*0.1</f>
        <v>0</v>
      </c>
      <c r="I18" s="22">
        <f t="shared" ref="I18:I35" si="15">G18*L$7+F18*L$8+H18*L$9</f>
        <v>0</v>
      </c>
      <c r="J18" s="3"/>
      <c r="K18" s="3"/>
      <c r="L18" s="3"/>
    </row>
    <row r="19" spans="1:12" ht="28.5" x14ac:dyDescent="0.25">
      <c r="A19" s="87" t="s">
        <v>172</v>
      </c>
      <c r="B19" s="65">
        <v>2</v>
      </c>
      <c r="C19" s="65">
        <v>1</v>
      </c>
      <c r="D19" s="78">
        <f t="shared" si="0"/>
        <v>2</v>
      </c>
      <c r="E19" s="65">
        <v>2</v>
      </c>
      <c r="F19" s="69">
        <f t="shared" si="12"/>
        <v>4</v>
      </c>
      <c r="G19" s="23">
        <f t="shared" si="13"/>
        <v>0.2</v>
      </c>
      <c r="H19" s="30">
        <f t="shared" si="14"/>
        <v>0.4</v>
      </c>
      <c r="I19" s="21">
        <f t="shared" si="15"/>
        <v>528.96199999999999</v>
      </c>
      <c r="J19" s="3"/>
      <c r="K19" s="3"/>
      <c r="L19" s="3"/>
    </row>
    <row r="20" spans="1:12" ht="15.75" x14ac:dyDescent="0.25">
      <c r="A20" s="79" t="s">
        <v>170</v>
      </c>
      <c r="B20" s="65">
        <v>2</v>
      </c>
      <c r="C20" s="65">
        <v>1</v>
      </c>
      <c r="D20" s="78">
        <f t="shared" si="0"/>
        <v>2</v>
      </c>
      <c r="E20" s="65">
        <v>2</v>
      </c>
      <c r="F20" s="69">
        <f t="shared" si="12"/>
        <v>4</v>
      </c>
      <c r="G20" s="23">
        <f t="shared" si="13"/>
        <v>0.2</v>
      </c>
      <c r="H20" s="30">
        <f t="shared" si="14"/>
        <v>0.4</v>
      </c>
      <c r="I20" s="21">
        <f t="shared" si="15"/>
        <v>528.96199999999999</v>
      </c>
      <c r="J20" s="3"/>
      <c r="K20" s="3"/>
      <c r="L20" s="3"/>
    </row>
    <row r="21" spans="1:12" x14ac:dyDescent="0.25">
      <c r="A21" s="79" t="s">
        <v>99</v>
      </c>
      <c r="B21" s="65"/>
      <c r="C21" s="65"/>
      <c r="D21" s="78"/>
      <c r="E21" s="65"/>
      <c r="F21" s="69"/>
      <c r="G21" s="23"/>
      <c r="H21" s="30"/>
      <c r="I21" s="22"/>
      <c r="J21" s="3"/>
      <c r="K21" s="3"/>
      <c r="L21" s="3"/>
    </row>
    <row r="22" spans="1:12" ht="15.75" x14ac:dyDescent="0.25">
      <c r="A22" s="106" t="s">
        <v>169</v>
      </c>
      <c r="B22" s="101">
        <v>80</v>
      </c>
      <c r="C22" s="101">
        <v>1</v>
      </c>
      <c r="D22" s="109">
        <f t="shared" si="0"/>
        <v>80</v>
      </c>
      <c r="E22" s="101">
        <v>2</v>
      </c>
      <c r="F22" s="69">
        <f t="shared" si="12"/>
        <v>160</v>
      </c>
      <c r="G22" s="23">
        <f t="shared" si="13"/>
        <v>8</v>
      </c>
      <c r="H22" s="30">
        <f t="shared" si="14"/>
        <v>16</v>
      </c>
      <c r="I22" s="21">
        <f t="shared" si="15"/>
        <v>21158.479999999996</v>
      </c>
      <c r="J22" s="3"/>
      <c r="K22" s="57"/>
      <c r="L22" s="3"/>
    </row>
    <row r="23" spans="1:12" ht="15.75" x14ac:dyDescent="0.25">
      <c r="A23" s="106" t="s">
        <v>167</v>
      </c>
      <c r="B23" s="101">
        <v>60</v>
      </c>
      <c r="C23" s="101">
        <v>1</v>
      </c>
      <c r="D23" s="109">
        <f t="shared" si="0"/>
        <v>60</v>
      </c>
      <c r="E23" s="101">
        <v>0</v>
      </c>
      <c r="F23" s="69">
        <f t="shared" si="12"/>
        <v>0</v>
      </c>
      <c r="G23" s="23">
        <f t="shared" si="13"/>
        <v>0</v>
      </c>
      <c r="H23" s="30">
        <f t="shared" si="14"/>
        <v>0</v>
      </c>
      <c r="I23" s="22">
        <f t="shared" si="15"/>
        <v>0</v>
      </c>
      <c r="J23" s="3"/>
      <c r="K23" s="57"/>
      <c r="L23" s="3"/>
    </row>
    <row r="24" spans="1:12" ht="15.75" x14ac:dyDescent="0.25">
      <c r="A24" s="79" t="s">
        <v>166</v>
      </c>
      <c r="B24" s="65"/>
      <c r="C24" s="65"/>
      <c r="D24" s="78"/>
      <c r="E24" s="65"/>
      <c r="F24" s="69"/>
      <c r="G24" s="23"/>
      <c r="H24" s="30"/>
      <c r="I24" s="22"/>
      <c r="J24" s="3"/>
      <c r="K24" s="3"/>
      <c r="L24" s="3"/>
    </row>
    <row r="25" spans="1:12" ht="15.75" x14ac:dyDescent="0.25">
      <c r="A25" s="106" t="s">
        <v>164</v>
      </c>
      <c r="B25" s="65">
        <v>2</v>
      </c>
      <c r="C25" s="65">
        <v>1</v>
      </c>
      <c r="D25" s="78">
        <f t="shared" si="0"/>
        <v>2</v>
      </c>
      <c r="E25" s="65">
        <f>ROUND(0.9*2,0)</f>
        <v>2</v>
      </c>
      <c r="F25" s="69">
        <f t="shared" si="12"/>
        <v>4</v>
      </c>
      <c r="G25" s="104">
        <f t="shared" si="13"/>
        <v>0.2</v>
      </c>
      <c r="H25" s="104">
        <f t="shared" si="14"/>
        <v>0.4</v>
      </c>
      <c r="I25" s="21">
        <f t="shared" si="15"/>
        <v>528.96199999999999</v>
      </c>
      <c r="J25" s="3"/>
      <c r="K25" s="57"/>
      <c r="L25" s="3"/>
    </row>
    <row r="26" spans="1:12" ht="15.75" x14ac:dyDescent="0.25">
      <c r="A26" s="80" t="s">
        <v>165</v>
      </c>
      <c r="B26" s="65">
        <v>24</v>
      </c>
      <c r="C26" s="65">
        <v>1</v>
      </c>
      <c r="D26" s="78">
        <f t="shared" si="0"/>
        <v>24</v>
      </c>
      <c r="E26" s="65">
        <f>ROUND(0.1*2,0)</f>
        <v>0</v>
      </c>
      <c r="F26" s="69">
        <f t="shared" si="12"/>
        <v>0</v>
      </c>
      <c r="G26" s="23">
        <f t="shared" si="13"/>
        <v>0</v>
      </c>
      <c r="H26" s="23">
        <f t="shared" si="14"/>
        <v>0</v>
      </c>
      <c r="I26" s="22">
        <f t="shared" si="15"/>
        <v>0</v>
      </c>
      <c r="J26" s="3"/>
      <c r="K26" s="3"/>
      <c r="L26" s="3"/>
    </row>
    <row r="27" spans="1:12" ht="15.75" x14ac:dyDescent="0.25">
      <c r="A27" s="80" t="s">
        <v>162</v>
      </c>
      <c r="B27" s="65">
        <v>8</v>
      </c>
      <c r="C27" s="65">
        <v>1</v>
      </c>
      <c r="D27" s="78">
        <f t="shared" si="0"/>
        <v>8</v>
      </c>
      <c r="E27" s="65">
        <f>E26</f>
        <v>0</v>
      </c>
      <c r="F27" s="69">
        <f t="shared" si="12"/>
        <v>0</v>
      </c>
      <c r="G27" s="23">
        <f t="shared" si="13"/>
        <v>0</v>
      </c>
      <c r="H27" s="30">
        <f t="shared" si="14"/>
        <v>0</v>
      </c>
      <c r="I27" s="22">
        <f t="shared" si="15"/>
        <v>0</v>
      </c>
      <c r="J27" s="3"/>
      <c r="K27" s="3"/>
      <c r="L27" s="3"/>
    </row>
    <row r="28" spans="1:12" ht="15.75" x14ac:dyDescent="0.25">
      <c r="A28" s="80" t="s">
        <v>161</v>
      </c>
      <c r="B28" s="65">
        <v>8</v>
      </c>
      <c r="C28" s="65">
        <v>1</v>
      </c>
      <c r="D28" s="78">
        <f t="shared" si="0"/>
        <v>8</v>
      </c>
      <c r="E28" s="65">
        <f>E26</f>
        <v>0</v>
      </c>
      <c r="F28" s="69">
        <f t="shared" si="12"/>
        <v>0</v>
      </c>
      <c r="G28" s="23">
        <f t="shared" si="13"/>
        <v>0</v>
      </c>
      <c r="H28" s="30">
        <f t="shared" si="14"/>
        <v>0</v>
      </c>
      <c r="I28" s="22">
        <f t="shared" si="15"/>
        <v>0</v>
      </c>
      <c r="J28" s="3"/>
      <c r="K28" s="3"/>
      <c r="L28" s="3"/>
    </row>
    <row r="29" spans="1:12" ht="15.75" x14ac:dyDescent="0.25">
      <c r="A29" s="80" t="s">
        <v>160</v>
      </c>
      <c r="B29" s="65">
        <v>8</v>
      </c>
      <c r="C29" s="65">
        <v>1</v>
      </c>
      <c r="D29" s="78">
        <f t="shared" si="0"/>
        <v>8</v>
      </c>
      <c r="E29" s="65">
        <f>E26</f>
        <v>0</v>
      </c>
      <c r="F29" s="69">
        <f t="shared" si="12"/>
        <v>0</v>
      </c>
      <c r="G29" s="23">
        <f t="shared" si="13"/>
        <v>0</v>
      </c>
      <c r="H29" s="30">
        <f t="shared" si="14"/>
        <v>0</v>
      </c>
      <c r="I29" s="22">
        <f t="shared" si="15"/>
        <v>0</v>
      </c>
      <c r="J29" s="3"/>
      <c r="K29" s="3"/>
      <c r="L29" s="3"/>
    </row>
    <row r="30" spans="1:12" ht="15.75" x14ac:dyDescent="0.25">
      <c r="A30" s="79" t="s">
        <v>212</v>
      </c>
      <c r="B30" s="65"/>
      <c r="C30" s="65"/>
      <c r="D30" s="78"/>
      <c r="E30" s="65"/>
      <c r="F30" s="69"/>
      <c r="G30" s="23"/>
      <c r="H30" s="30"/>
      <c r="I30" s="22"/>
      <c r="J30" s="3"/>
      <c r="K30" s="3"/>
      <c r="L30" s="3"/>
    </row>
    <row r="31" spans="1:12" ht="15.75" x14ac:dyDescent="0.25">
      <c r="A31" s="106" t="s">
        <v>164</v>
      </c>
      <c r="B31" s="65">
        <v>8</v>
      </c>
      <c r="C31" s="65">
        <v>2</v>
      </c>
      <c r="D31" s="78">
        <f t="shared" si="0"/>
        <v>16</v>
      </c>
      <c r="E31" s="107">
        <f>0.9*113</f>
        <v>101.7</v>
      </c>
      <c r="F31" s="69">
        <f t="shared" si="12"/>
        <v>1627.2</v>
      </c>
      <c r="G31" s="23">
        <f t="shared" si="13"/>
        <v>81.360000000000014</v>
      </c>
      <c r="H31" s="30">
        <f t="shared" si="14"/>
        <v>162.72000000000003</v>
      </c>
      <c r="I31" s="21">
        <f t="shared" si="15"/>
        <v>215181.74160000001</v>
      </c>
      <c r="J31" s="3"/>
      <c r="K31" s="57"/>
      <c r="L31" s="3"/>
    </row>
    <row r="32" spans="1:12" ht="15.75" x14ac:dyDescent="0.25">
      <c r="A32" s="80" t="s">
        <v>163</v>
      </c>
      <c r="B32" s="65">
        <v>24</v>
      </c>
      <c r="C32" s="65">
        <v>2</v>
      </c>
      <c r="D32" s="78">
        <f t="shared" si="0"/>
        <v>48</v>
      </c>
      <c r="E32" s="105">
        <f>0.1*113</f>
        <v>11.3</v>
      </c>
      <c r="F32" s="69">
        <f t="shared" si="12"/>
        <v>542.40000000000009</v>
      </c>
      <c r="G32" s="23">
        <f t="shared" si="13"/>
        <v>27.120000000000005</v>
      </c>
      <c r="H32" s="30">
        <f t="shared" si="14"/>
        <v>54.240000000000009</v>
      </c>
      <c r="I32" s="21">
        <f t="shared" si="15"/>
        <v>71727.247200000013</v>
      </c>
      <c r="J32" s="3"/>
      <c r="K32" s="3"/>
      <c r="L32" s="3"/>
    </row>
    <row r="33" spans="1:12" ht="15.75" x14ac:dyDescent="0.25">
      <c r="A33" s="80" t="s">
        <v>162</v>
      </c>
      <c r="B33" s="65">
        <v>8</v>
      </c>
      <c r="C33" s="65">
        <v>2</v>
      </c>
      <c r="D33" s="78">
        <f t="shared" si="0"/>
        <v>16</v>
      </c>
      <c r="E33" s="105">
        <f t="shared" ref="E33:E34" si="16">0.1*113</f>
        <v>11.3</v>
      </c>
      <c r="F33" s="69">
        <f t="shared" si="12"/>
        <v>180.8</v>
      </c>
      <c r="G33" s="23">
        <f t="shared" si="13"/>
        <v>9.0400000000000009</v>
      </c>
      <c r="H33" s="30">
        <f t="shared" si="14"/>
        <v>18.080000000000002</v>
      </c>
      <c r="I33" s="21">
        <f t="shared" si="15"/>
        <v>23909.082399999999</v>
      </c>
      <c r="J33" s="3"/>
      <c r="K33" s="3"/>
      <c r="L33" s="3"/>
    </row>
    <row r="34" spans="1:12" ht="15.75" x14ac:dyDescent="0.25">
      <c r="A34" s="80" t="s">
        <v>161</v>
      </c>
      <c r="B34" s="65">
        <v>8</v>
      </c>
      <c r="C34" s="65">
        <v>2</v>
      </c>
      <c r="D34" s="78">
        <f t="shared" si="0"/>
        <v>16</v>
      </c>
      <c r="E34" s="105">
        <f t="shared" si="16"/>
        <v>11.3</v>
      </c>
      <c r="F34" s="69">
        <f t="shared" si="12"/>
        <v>180.8</v>
      </c>
      <c r="G34" s="23">
        <f t="shared" si="13"/>
        <v>9.0400000000000009</v>
      </c>
      <c r="H34" s="30">
        <f t="shared" si="14"/>
        <v>18.080000000000002</v>
      </c>
      <c r="I34" s="21">
        <f t="shared" si="15"/>
        <v>23909.082399999999</v>
      </c>
      <c r="J34" s="3"/>
      <c r="K34" s="3"/>
      <c r="L34" s="3"/>
    </row>
    <row r="35" spans="1:12" ht="15.75" x14ac:dyDescent="0.25">
      <c r="A35" s="80" t="s">
        <v>160</v>
      </c>
      <c r="B35" s="65">
        <v>20</v>
      </c>
      <c r="C35" s="65">
        <v>1</v>
      </c>
      <c r="D35" s="78">
        <f t="shared" si="0"/>
        <v>20</v>
      </c>
      <c r="E35" s="101">
        <v>1</v>
      </c>
      <c r="F35" s="69">
        <f t="shared" si="12"/>
        <v>20</v>
      </c>
      <c r="G35" s="23">
        <f t="shared" si="13"/>
        <v>1</v>
      </c>
      <c r="H35" s="30">
        <f t="shared" si="14"/>
        <v>2</v>
      </c>
      <c r="I35" s="21">
        <f t="shared" si="15"/>
        <v>2644.8099999999995</v>
      </c>
      <c r="J35" s="3"/>
      <c r="K35" s="57"/>
      <c r="L35" s="3"/>
    </row>
    <row r="36" spans="1:12" x14ac:dyDescent="0.25">
      <c r="A36" s="70" t="s">
        <v>25</v>
      </c>
      <c r="B36" s="17"/>
      <c r="C36" s="17"/>
      <c r="D36" s="62"/>
      <c r="E36" s="17"/>
      <c r="F36" s="120">
        <f>SUM(F6:H35)</f>
        <v>3550.2800000000007</v>
      </c>
      <c r="G36" s="120"/>
      <c r="H36" s="120"/>
      <c r="I36" s="24">
        <f>SUM(I6:I35)</f>
        <v>408252.87160000001</v>
      </c>
      <c r="J36" s="3"/>
      <c r="K36" s="3"/>
      <c r="L36" s="3"/>
    </row>
    <row r="37" spans="1:12" x14ac:dyDescent="0.25">
      <c r="A37" s="64" t="s">
        <v>100</v>
      </c>
      <c r="B37" s="65"/>
      <c r="C37" s="65"/>
      <c r="D37" s="78"/>
      <c r="E37" s="65"/>
      <c r="F37" s="71"/>
      <c r="G37" s="58"/>
      <c r="H37" s="58"/>
      <c r="I37" s="59"/>
      <c r="J37" s="3"/>
      <c r="K37" s="57"/>
      <c r="L37" s="3"/>
    </row>
    <row r="38" spans="1:12" ht="15.75" x14ac:dyDescent="0.25">
      <c r="A38" s="66" t="s">
        <v>93</v>
      </c>
      <c r="B38" s="65" t="s">
        <v>26</v>
      </c>
      <c r="C38" s="65"/>
      <c r="D38" s="78"/>
      <c r="E38" s="65"/>
      <c r="F38" s="71"/>
      <c r="G38" s="58"/>
      <c r="H38" s="58"/>
      <c r="I38" s="59"/>
      <c r="J38" s="3"/>
      <c r="K38" s="57"/>
      <c r="L38" s="3"/>
    </row>
    <row r="39" spans="1:12" x14ac:dyDescent="0.25">
      <c r="A39" s="66" t="s">
        <v>101</v>
      </c>
      <c r="B39" s="65" t="s">
        <v>22</v>
      </c>
      <c r="C39" s="65"/>
      <c r="D39" s="78"/>
      <c r="E39" s="65"/>
      <c r="F39" s="63"/>
      <c r="G39" s="23"/>
      <c r="H39" s="23"/>
      <c r="I39" s="60"/>
      <c r="J39" s="3"/>
      <c r="K39" s="3"/>
      <c r="L39" s="3"/>
    </row>
    <row r="40" spans="1:12" x14ac:dyDescent="0.25">
      <c r="A40" s="66" t="s">
        <v>102</v>
      </c>
      <c r="B40" s="65" t="s">
        <v>22</v>
      </c>
      <c r="C40" s="65"/>
      <c r="D40" s="78"/>
      <c r="E40" s="65"/>
      <c r="F40" s="63"/>
      <c r="G40" s="23"/>
      <c r="H40" s="23"/>
      <c r="I40" s="60"/>
      <c r="J40" s="3"/>
      <c r="K40" s="3"/>
      <c r="L40" s="3"/>
    </row>
    <row r="41" spans="1:12" ht="15.75" x14ac:dyDescent="0.25">
      <c r="A41" s="66" t="s">
        <v>159</v>
      </c>
      <c r="B41" s="65">
        <v>40</v>
      </c>
      <c r="C41" s="65">
        <v>1</v>
      </c>
      <c r="D41" s="78">
        <f t="shared" ref="D41:D53" si="17">B41*C41</f>
        <v>40</v>
      </c>
      <c r="E41" s="65">
        <v>2</v>
      </c>
      <c r="F41" s="63">
        <f t="shared" ref="F41" si="18">D41*E41</f>
        <v>80</v>
      </c>
      <c r="G41" s="23">
        <f t="shared" ref="G41" si="19">F41*0.05</f>
        <v>4</v>
      </c>
      <c r="H41" s="23">
        <f t="shared" ref="H41" si="20">F41*0.1</f>
        <v>8</v>
      </c>
      <c r="I41" s="61">
        <f t="shared" ref="I41" si="21">G41*L$7+F41*L$8+H41*L$9</f>
        <v>10579.239999999998</v>
      </c>
      <c r="J41" s="3"/>
      <c r="K41" s="3"/>
      <c r="L41" s="3"/>
    </row>
    <row r="42" spans="1:12" ht="15.75" x14ac:dyDescent="0.25">
      <c r="A42" s="66" t="s">
        <v>157</v>
      </c>
      <c r="B42" s="65">
        <v>100</v>
      </c>
      <c r="C42" s="65">
        <v>1</v>
      </c>
      <c r="D42" s="78">
        <f t="shared" si="17"/>
        <v>100</v>
      </c>
      <c r="E42" s="101">
        <v>2</v>
      </c>
      <c r="F42" s="63">
        <f t="shared" ref="F42:F53" si="22">D42*E42</f>
        <v>200</v>
      </c>
      <c r="G42" s="23">
        <f t="shared" ref="G42:G53" si="23">F42*0.05</f>
        <v>10</v>
      </c>
      <c r="H42" s="23">
        <f t="shared" ref="H42:H53" si="24">F42*0.1</f>
        <v>20</v>
      </c>
      <c r="I42" s="61">
        <f t="shared" ref="I42:I53" si="25">G42*L$7+F42*L$8+H42*L$9</f>
        <v>26448.100000000002</v>
      </c>
      <c r="K42" s="57"/>
      <c r="L42" s="3"/>
    </row>
    <row r="43" spans="1:12" x14ac:dyDescent="0.25">
      <c r="A43" s="66" t="s">
        <v>103</v>
      </c>
      <c r="B43" s="65"/>
      <c r="C43" s="65"/>
      <c r="D43" s="78"/>
      <c r="E43" s="65"/>
      <c r="F43" s="63"/>
      <c r="G43" s="23"/>
      <c r="H43" s="23"/>
      <c r="I43" s="60"/>
      <c r="J43" s="3"/>
      <c r="K43" s="3"/>
      <c r="L43" s="3"/>
    </row>
    <row r="44" spans="1:12" ht="28.5" x14ac:dyDescent="0.25">
      <c r="A44" s="87" t="s">
        <v>211</v>
      </c>
      <c r="B44" s="65">
        <v>1.5</v>
      </c>
      <c r="C44" s="65">
        <v>52</v>
      </c>
      <c r="D44" s="78">
        <f t="shared" si="17"/>
        <v>78</v>
      </c>
      <c r="E44" s="101">
        <f>E27+E33</f>
        <v>11.3</v>
      </c>
      <c r="F44" s="63">
        <f t="shared" si="22"/>
        <v>881.40000000000009</v>
      </c>
      <c r="G44" s="23">
        <f t="shared" si="23"/>
        <v>44.070000000000007</v>
      </c>
      <c r="H44" s="23">
        <f t="shared" si="24"/>
        <v>88.140000000000015</v>
      </c>
      <c r="I44" s="61">
        <f t="shared" si="25"/>
        <v>116556.77670000002</v>
      </c>
      <c r="J44" s="3"/>
      <c r="K44" s="57"/>
      <c r="L44" s="3"/>
    </row>
    <row r="45" spans="1:12" ht="28.5" x14ac:dyDescent="0.25">
      <c r="A45" s="87" t="s">
        <v>156</v>
      </c>
      <c r="B45" s="65"/>
      <c r="C45" s="65"/>
      <c r="D45" s="78"/>
      <c r="E45" s="65"/>
      <c r="F45" s="63"/>
      <c r="G45" s="23"/>
      <c r="H45" s="23"/>
      <c r="I45" s="60"/>
      <c r="J45" s="3"/>
      <c r="K45" s="3"/>
      <c r="L45" s="3"/>
    </row>
    <row r="46" spans="1:12" x14ac:dyDescent="0.25">
      <c r="A46" s="80" t="s">
        <v>104</v>
      </c>
      <c r="B46" s="65">
        <v>0.25</v>
      </c>
      <c r="C46" s="65">
        <v>365</v>
      </c>
      <c r="D46" s="100">
        <f t="shared" si="17"/>
        <v>91.25</v>
      </c>
      <c r="E46" s="65">
        <v>114</v>
      </c>
      <c r="F46" s="69">
        <f t="shared" si="22"/>
        <v>10402.5</v>
      </c>
      <c r="G46" s="23">
        <f t="shared" si="23"/>
        <v>520.125</v>
      </c>
      <c r="H46" s="23">
        <f t="shared" si="24"/>
        <v>1040.25</v>
      </c>
      <c r="I46" s="61">
        <f t="shared" si="25"/>
        <v>1375631.80125</v>
      </c>
      <c r="J46" s="3"/>
      <c r="K46" s="3"/>
      <c r="L46" s="3"/>
    </row>
    <row r="47" spans="1:12" x14ac:dyDescent="0.25">
      <c r="A47" s="80" t="s">
        <v>105</v>
      </c>
      <c r="B47" s="65">
        <v>24</v>
      </c>
      <c r="C47" s="65">
        <v>2</v>
      </c>
      <c r="D47" s="78">
        <f t="shared" si="17"/>
        <v>48</v>
      </c>
      <c r="E47" s="65">
        <v>114</v>
      </c>
      <c r="F47" s="69">
        <f t="shared" si="22"/>
        <v>5472</v>
      </c>
      <c r="G47" s="23">
        <f t="shared" si="23"/>
        <v>273.60000000000002</v>
      </c>
      <c r="H47" s="23">
        <f t="shared" si="24"/>
        <v>547.20000000000005</v>
      </c>
      <c r="I47" s="61">
        <f t="shared" si="25"/>
        <v>723620.01600000006</v>
      </c>
      <c r="J47" s="3"/>
      <c r="K47" s="3"/>
      <c r="L47" s="3"/>
    </row>
    <row r="48" spans="1:12" ht="25.5" x14ac:dyDescent="0.25">
      <c r="A48" s="88" t="s">
        <v>106</v>
      </c>
      <c r="B48" s="65">
        <v>16</v>
      </c>
      <c r="C48" s="65">
        <v>2</v>
      </c>
      <c r="D48" s="78">
        <f t="shared" si="17"/>
        <v>32</v>
      </c>
      <c r="E48" s="65">
        <v>114</v>
      </c>
      <c r="F48" s="69">
        <f t="shared" si="22"/>
        <v>3648</v>
      </c>
      <c r="G48" s="23">
        <f t="shared" si="23"/>
        <v>182.4</v>
      </c>
      <c r="H48" s="23">
        <f t="shared" si="24"/>
        <v>364.8</v>
      </c>
      <c r="I48" s="61">
        <f t="shared" si="25"/>
        <v>482413.34400000004</v>
      </c>
      <c r="J48" s="3"/>
      <c r="K48" s="3"/>
      <c r="L48" s="3"/>
    </row>
    <row r="49" spans="1:12" x14ac:dyDescent="0.25">
      <c r="A49" s="79" t="s">
        <v>107</v>
      </c>
      <c r="B49" s="65" t="s">
        <v>96</v>
      </c>
      <c r="C49" s="65"/>
      <c r="D49" s="78"/>
      <c r="E49" s="65"/>
      <c r="F49" s="63"/>
      <c r="G49" s="23"/>
      <c r="H49" s="23"/>
      <c r="I49" s="60"/>
      <c r="J49" s="3"/>
      <c r="K49" s="3"/>
      <c r="L49" s="3"/>
    </row>
    <row r="50" spans="1:12" x14ac:dyDescent="0.25">
      <c r="A50" s="79" t="s">
        <v>108</v>
      </c>
      <c r="B50" s="65" t="s">
        <v>96</v>
      </c>
      <c r="C50" s="65"/>
      <c r="D50" s="78"/>
      <c r="E50" s="65"/>
      <c r="F50" s="63"/>
      <c r="G50" s="23"/>
      <c r="H50" s="23"/>
      <c r="I50" s="61"/>
      <c r="J50" s="3"/>
      <c r="K50" s="3"/>
      <c r="L50" s="3"/>
    </row>
    <row r="51" spans="1:12" ht="15.75" x14ac:dyDescent="0.25">
      <c r="A51" s="66" t="s">
        <v>155</v>
      </c>
      <c r="B51" s="65">
        <v>16</v>
      </c>
      <c r="C51" s="65">
        <v>1</v>
      </c>
      <c r="D51" s="78">
        <f t="shared" si="17"/>
        <v>16</v>
      </c>
      <c r="E51" s="65">
        <v>114</v>
      </c>
      <c r="F51" s="69">
        <f t="shared" si="22"/>
        <v>1824</v>
      </c>
      <c r="G51" s="23">
        <f t="shared" si="23"/>
        <v>91.2</v>
      </c>
      <c r="H51" s="23">
        <f t="shared" si="24"/>
        <v>182.4</v>
      </c>
      <c r="I51" s="61">
        <f t="shared" si="25"/>
        <v>241206.67200000002</v>
      </c>
      <c r="J51" s="3"/>
      <c r="K51" s="3"/>
      <c r="L51" s="3"/>
    </row>
    <row r="52" spans="1:12" ht="15.75" x14ac:dyDescent="0.25">
      <c r="A52" s="66" t="s">
        <v>152</v>
      </c>
      <c r="B52" s="65">
        <v>40</v>
      </c>
      <c r="C52" s="65">
        <v>1</v>
      </c>
      <c r="D52" s="78">
        <f t="shared" si="17"/>
        <v>40</v>
      </c>
      <c r="E52" s="65">
        <v>2</v>
      </c>
      <c r="F52" s="63">
        <f t="shared" si="22"/>
        <v>80</v>
      </c>
      <c r="G52" s="23">
        <f t="shared" si="23"/>
        <v>4</v>
      </c>
      <c r="H52" s="23">
        <f t="shared" si="24"/>
        <v>8</v>
      </c>
      <c r="I52" s="61">
        <f t="shared" si="25"/>
        <v>10579.239999999998</v>
      </c>
      <c r="J52" s="3"/>
      <c r="K52" s="3"/>
      <c r="L52" s="3"/>
    </row>
    <row r="53" spans="1:12" ht="15.75" x14ac:dyDescent="0.25">
      <c r="A53" s="66" t="s">
        <v>151</v>
      </c>
      <c r="B53" s="65">
        <v>16</v>
      </c>
      <c r="C53" s="65">
        <v>1</v>
      </c>
      <c r="D53" s="78">
        <f t="shared" si="17"/>
        <v>16</v>
      </c>
      <c r="E53" s="65">
        <v>23</v>
      </c>
      <c r="F53" s="63">
        <f t="shared" si="22"/>
        <v>368</v>
      </c>
      <c r="G53" s="23">
        <f t="shared" si="23"/>
        <v>18.400000000000002</v>
      </c>
      <c r="H53" s="23">
        <f t="shared" si="24"/>
        <v>36.800000000000004</v>
      </c>
      <c r="I53" s="61">
        <f t="shared" si="25"/>
        <v>48664.504000000001</v>
      </c>
      <c r="J53" s="3"/>
      <c r="K53" s="3"/>
      <c r="L53" s="3"/>
    </row>
    <row r="54" spans="1:12" x14ac:dyDescent="0.25">
      <c r="A54" s="66" t="s">
        <v>109</v>
      </c>
      <c r="B54" s="65" t="s">
        <v>22</v>
      </c>
      <c r="C54" s="65"/>
      <c r="D54" s="78"/>
      <c r="E54" s="65"/>
      <c r="F54" s="63"/>
      <c r="G54" s="23"/>
      <c r="H54" s="23"/>
      <c r="I54" s="61"/>
      <c r="J54" s="3"/>
      <c r="K54" s="3"/>
      <c r="L54" s="3"/>
    </row>
    <row r="55" spans="1:12" x14ac:dyDescent="0.25">
      <c r="A55" s="72" t="s">
        <v>27</v>
      </c>
      <c r="B55" s="73"/>
      <c r="C55" s="73"/>
      <c r="D55" s="73"/>
      <c r="E55" s="73"/>
      <c r="F55" s="120">
        <f>SUM(F37:H54)</f>
        <v>26399.285000000003</v>
      </c>
      <c r="G55" s="120"/>
      <c r="H55" s="120"/>
      <c r="I55" s="24">
        <f>SUM(I37:I54)</f>
        <v>3035699.6939500007</v>
      </c>
      <c r="J55" s="3"/>
      <c r="K55" s="3"/>
      <c r="L55" s="3"/>
    </row>
    <row r="56" spans="1:12" ht="15.75" x14ac:dyDescent="0.25">
      <c r="A56" s="5" t="s">
        <v>150</v>
      </c>
      <c r="B56" s="2"/>
      <c r="C56" s="2"/>
      <c r="D56" s="2"/>
      <c r="E56" s="2"/>
      <c r="F56" s="114">
        <f>ROUND(F36+F55,-2)</f>
        <v>29900</v>
      </c>
      <c r="G56" s="114"/>
      <c r="H56" s="114"/>
      <c r="I56" s="25">
        <f>ROUND(I55+I36,-4)</f>
        <v>3440000</v>
      </c>
      <c r="J56" s="3"/>
      <c r="K56" s="3"/>
      <c r="L56" s="3"/>
    </row>
    <row r="57" spans="1:12" ht="15.75" x14ac:dyDescent="0.25">
      <c r="A57" s="5" t="s">
        <v>149</v>
      </c>
      <c r="B57" s="2"/>
      <c r="C57" s="2"/>
      <c r="D57" s="2"/>
      <c r="E57" s="2"/>
      <c r="F57" s="8"/>
      <c r="G57" s="8"/>
      <c r="H57" s="8"/>
      <c r="I57" s="25">
        <f>'O&amp;M'!G49</f>
        <v>105000</v>
      </c>
      <c r="J57" s="3"/>
      <c r="K57" s="3"/>
      <c r="L57" s="3"/>
    </row>
    <row r="58" spans="1:12" ht="15.75" x14ac:dyDescent="0.25">
      <c r="A58" s="5" t="s">
        <v>148</v>
      </c>
      <c r="B58" s="2"/>
      <c r="C58" s="2"/>
      <c r="D58" s="2"/>
      <c r="E58" s="2"/>
      <c r="F58" s="8"/>
      <c r="G58" s="8"/>
      <c r="H58" s="8"/>
      <c r="I58" s="25">
        <f>ROUND(I56+I57,-4)</f>
        <v>3550000</v>
      </c>
      <c r="J58" s="3"/>
      <c r="K58" s="3"/>
      <c r="L58" s="3"/>
    </row>
    <row r="59" spans="1:12" x14ac:dyDescent="0.25">
      <c r="A59" s="26"/>
      <c r="B59" s="1"/>
      <c r="C59" s="1"/>
      <c r="D59" s="1"/>
      <c r="E59" s="1"/>
      <c r="F59" s="1"/>
      <c r="G59" s="1"/>
      <c r="H59" s="1"/>
      <c r="I59" s="1"/>
      <c r="J59" s="3"/>
      <c r="K59" s="3"/>
      <c r="L59" s="3"/>
    </row>
    <row r="60" spans="1:12" x14ac:dyDescent="0.25">
      <c r="A60" s="27" t="s">
        <v>207</v>
      </c>
      <c r="B60" s="1"/>
      <c r="C60" s="1"/>
      <c r="D60" s="1"/>
      <c r="E60" s="1"/>
      <c r="F60" s="1"/>
      <c r="G60" s="1"/>
      <c r="H60" s="1"/>
      <c r="I60" s="1"/>
      <c r="J60" s="3"/>
      <c r="K60" s="3"/>
      <c r="L60" s="3"/>
    </row>
    <row r="61" spans="1:12" ht="57" customHeight="1" x14ac:dyDescent="0.25">
      <c r="A61" s="112" t="s">
        <v>208</v>
      </c>
      <c r="B61" s="112"/>
      <c r="C61" s="112"/>
      <c r="D61" s="112"/>
      <c r="E61" s="112"/>
      <c r="F61" s="112"/>
      <c r="G61" s="112"/>
      <c r="H61" s="112"/>
      <c r="I61" s="112"/>
      <c r="J61" s="74"/>
      <c r="K61" s="3"/>
      <c r="L61" s="3"/>
    </row>
    <row r="62" spans="1:12" ht="45.75" customHeight="1" x14ac:dyDescent="0.25">
      <c r="A62" s="113" t="s">
        <v>114</v>
      </c>
      <c r="B62" s="113"/>
      <c r="C62" s="113"/>
      <c r="D62" s="113"/>
      <c r="E62" s="113"/>
      <c r="F62" s="113"/>
      <c r="G62" s="113"/>
      <c r="H62" s="113"/>
      <c r="I62" s="113"/>
      <c r="J62" s="74"/>
      <c r="K62" s="3"/>
      <c r="L62" s="3"/>
    </row>
    <row r="63" spans="1:12" ht="17.25" customHeight="1" x14ac:dyDescent="0.25">
      <c r="A63" s="112" t="s">
        <v>72</v>
      </c>
      <c r="B63" s="112"/>
      <c r="C63" s="112"/>
      <c r="D63" s="112"/>
      <c r="E63" s="112"/>
      <c r="F63" s="112"/>
      <c r="G63" s="112"/>
      <c r="H63" s="112"/>
      <c r="I63" s="112"/>
      <c r="J63" s="74"/>
    </row>
    <row r="64" spans="1:12" ht="28.5" customHeight="1" x14ac:dyDescent="0.25">
      <c r="A64" s="112" t="s">
        <v>142</v>
      </c>
      <c r="B64" s="112"/>
      <c r="C64" s="112"/>
      <c r="D64" s="112"/>
      <c r="E64" s="112"/>
      <c r="F64" s="112"/>
      <c r="G64" s="112"/>
      <c r="H64" s="112"/>
      <c r="I64" s="112"/>
      <c r="J64" s="74"/>
    </row>
    <row r="65" spans="1:10" ht="33.75" customHeight="1" x14ac:dyDescent="0.25">
      <c r="A65" s="113" t="s">
        <v>218</v>
      </c>
      <c r="B65" s="113"/>
      <c r="C65" s="113"/>
      <c r="D65" s="113"/>
      <c r="E65" s="113"/>
      <c r="F65" s="113"/>
      <c r="G65" s="113"/>
      <c r="H65" s="113"/>
      <c r="I65" s="113"/>
    </row>
    <row r="66" spans="1:10" ht="37.5" customHeight="1" x14ac:dyDescent="0.25">
      <c r="A66" s="112" t="s">
        <v>171</v>
      </c>
      <c r="B66" s="112"/>
      <c r="C66" s="112"/>
      <c r="D66" s="112"/>
      <c r="E66" s="112"/>
      <c r="F66" s="112"/>
      <c r="G66" s="112"/>
      <c r="H66" s="112"/>
      <c r="I66" s="112"/>
    </row>
    <row r="67" spans="1:10" ht="48.75" customHeight="1" x14ac:dyDescent="0.25">
      <c r="A67" s="112" t="s">
        <v>168</v>
      </c>
      <c r="B67" s="112"/>
      <c r="C67" s="112"/>
      <c r="D67" s="112"/>
      <c r="E67" s="112"/>
      <c r="F67" s="112"/>
      <c r="G67" s="112"/>
      <c r="H67" s="112"/>
      <c r="I67" s="112"/>
    </row>
    <row r="68" spans="1:10" ht="17.25" customHeight="1" x14ac:dyDescent="0.25">
      <c r="A68" s="113" t="s">
        <v>219</v>
      </c>
      <c r="B68" s="113"/>
      <c r="C68" s="113"/>
      <c r="D68" s="113"/>
      <c r="E68" s="113"/>
      <c r="F68" s="113"/>
      <c r="G68" s="113"/>
      <c r="H68" s="113"/>
      <c r="I68" s="113"/>
    </row>
    <row r="69" spans="1:10" ht="36" customHeight="1" x14ac:dyDescent="0.25">
      <c r="A69" s="112" t="s">
        <v>213</v>
      </c>
      <c r="B69" s="112"/>
      <c r="C69" s="112"/>
      <c r="D69" s="112"/>
      <c r="E69" s="112"/>
      <c r="F69" s="112"/>
      <c r="G69" s="112"/>
      <c r="H69" s="112"/>
      <c r="I69" s="112"/>
    </row>
    <row r="70" spans="1:10" ht="34.5" customHeight="1" x14ac:dyDescent="0.25">
      <c r="A70" s="113" t="s">
        <v>216</v>
      </c>
      <c r="B70" s="113"/>
      <c r="C70" s="113"/>
      <c r="D70" s="113"/>
      <c r="E70" s="113"/>
      <c r="F70" s="113"/>
      <c r="G70" s="113"/>
      <c r="H70" s="113"/>
      <c r="I70" s="113"/>
      <c r="J70" s="102"/>
    </row>
    <row r="71" spans="1:10" ht="15.75" x14ac:dyDescent="0.25">
      <c r="A71" s="113" t="s">
        <v>214</v>
      </c>
      <c r="B71" s="113"/>
      <c r="C71" s="113"/>
      <c r="D71" s="113"/>
      <c r="E71" s="113"/>
      <c r="F71" s="113"/>
      <c r="G71" s="113"/>
      <c r="H71" s="113"/>
      <c r="I71" s="113"/>
      <c r="J71" s="102"/>
    </row>
    <row r="72" spans="1:10" ht="15.75" x14ac:dyDescent="0.25">
      <c r="A72" s="112" t="s">
        <v>215</v>
      </c>
      <c r="B72" s="112"/>
      <c r="C72" s="112"/>
      <c r="D72" s="112"/>
      <c r="E72" s="112"/>
      <c r="F72" s="112"/>
      <c r="G72" s="112"/>
      <c r="H72" s="112"/>
      <c r="I72" s="112"/>
    </row>
    <row r="73" spans="1:10" ht="18.75" customHeight="1" x14ac:dyDescent="0.25">
      <c r="A73" s="113" t="s">
        <v>209</v>
      </c>
      <c r="B73" s="113"/>
      <c r="C73" s="113"/>
      <c r="D73" s="113"/>
      <c r="E73" s="113"/>
      <c r="F73" s="113"/>
      <c r="G73" s="113"/>
      <c r="H73" s="113"/>
      <c r="I73" s="113"/>
      <c r="J73" s="102"/>
    </row>
    <row r="74" spans="1:10" ht="31.5" customHeight="1" x14ac:dyDescent="0.25">
      <c r="A74" s="112" t="s">
        <v>158</v>
      </c>
      <c r="B74" s="112"/>
      <c r="C74" s="112"/>
      <c r="D74" s="112"/>
      <c r="E74" s="112"/>
      <c r="F74" s="112"/>
      <c r="G74" s="112"/>
      <c r="H74" s="112"/>
      <c r="I74" s="112"/>
    </row>
    <row r="75" spans="1:10" ht="15.75" x14ac:dyDescent="0.25">
      <c r="A75" s="113" t="s">
        <v>210</v>
      </c>
      <c r="B75" s="113"/>
      <c r="C75" s="113"/>
      <c r="D75" s="113"/>
      <c r="E75" s="113"/>
      <c r="F75" s="113"/>
      <c r="G75" s="113"/>
      <c r="H75" s="113"/>
      <c r="I75" s="113"/>
      <c r="J75" s="102"/>
    </row>
    <row r="76" spans="1:10" ht="31.5" customHeight="1" x14ac:dyDescent="0.25">
      <c r="A76" s="112" t="s">
        <v>206</v>
      </c>
      <c r="B76" s="112"/>
      <c r="C76" s="112"/>
      <c r="D76" s="112"/>
      <c r="E76" s="112"/>
      <c r="F76" s="112"/>
      <c r="G76" s="112"/>
      <c r="H76" s="112"/>
      <c r="I76" s="112"/>
    </row>
    <row r="77" spans="1:10" ht="15.75" x14ac:dyDescent="0.25">
      <c r="A77" s="112" t="s">
        <v>154</v>
      </c>
      <c r="B77" s="112"/>
      <c r="C77" s="112"/>
      <c r="D77" s="112"/>
      <c r="E77" s="112"/>
      <c r="F77" s="112"/>
      <c r="G77" s="112"/>
      <c r="H77" s="112"/>
      <c r="I77" s="112"/>
    </row>
    <row r="78" spans="1:10" ht="15.75" x14ac:dyDescent="0.25">
      <c r="A78" s="112" t="s">
        <v>153</v>
      </c>
      <c r="B78" s="112"/>
      <c r="C78" s="112"/>
      <c r="D78" s="112"/>
      <c r="E78" s="112"/>
      <c r="F78" s="112"/>
      <c r="G78" s="112"/>
      <c r="H78" s="112"/>
      <c r="I78" s="112"/>
    </row>
    <row r="79" spans="1:10" ht="15.75" x14ac:dyDescent="0.25">
      <c r="A79" s="112" t="s">
        <v>204</v>
      </c>
      <c r="B79" s="112"/>
      <c r="C79" s="112"/>
      <c r="D79" s="112"/>
      <c r="E79" s="112"/>
      <c r="F79" s="112"/>
      <c r="G79" s="112"/>
      <c r="H79" s="112"/>
      <c r="I79" s="112"/>
    </row>
    <row r="80" spans="1:10" ht="15.75" x14ac:dyDescent="0.25">
      <c r="A80" s="112" t="s">
        <v>147</v>
      </c>
      <c r="B80" s="112"/>
      <c r="C80" s="112"/>
      <c r="D80" s="112"/>
      <c r="E80" s="112"/>
      <c r="F80" s="112"/>
      <c r="G80" s="112"/>
      <c r="H80" s="112"/>
      <c r="I80" s="112"/>
    </row>
  </sheetData>
  <mergeCells count="26">
    <mergeCell ref="A69:I69"/>
    <mergeCell ref="A70:I70"/>
    <mergeCell ref="A63:I63"/>
    <mergeCell ref="A65:I65"/>
    <mergeCell ref="A66:I66"/>
    <mergeCell ref="A67:I67"/>
    <mergeCell ref="A68:I68"/>
    <mergeCell ref="A64:I64"/>
    <mergeCell ref="F56:H56"/>
    <mergeCell ref="A61:I61"/>
    <mergeCell ref="A62:I62"/>
    <mergeCell ref="K6:L6"/>
    <mergeCell ref="A1:I1"/>
    <mergeCell ref="A3:A5"/>
    <mergeCell ref="F36:H36"/>
    <mergeCell ref="F55:H55"/>
    <mergeCell ref="A71:I71"/>
    <mergeCell ref="A72:I72"/>
    <mergeCell ref="A73:I73"/>
    <mergeCell ref="A74:I74"/>
    <mergeCell ref="A75:I75"/>
    <mergeCell ref="A76:I76"/>
    <mergeCell ref="A77:I77"/>
    <mergeCell ref="A78:I78"/>
    <mergeCell ref="A79:I79"/>
    <mergeCell ref="A80:I8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45"/>
  <sheetViews>
    <sheetView topLeftCell="A35" zoomScale="115" zoomScaleNormal="115" workbookViewId="0">
      <selection activeCell="F30" sqref="F30"/>
    </sheetView>
  </sheetViews>
  <sheetFormatPr defaultColWidth="9.140625" defaultRowHeight="12.75" x14ac:dyDescent="0.2"/>
  <cols>
    <col min="1" max="1" width="39.5703125" style="3" customWidth="1"/>
    <col min="2" max="2" width="10.42578125" style="3" customWidth="1"/>
    <col min="3" max="3" width="10.5703125" style="3" customWidth="1"/>
    <col min="4" max="4" width="10.7109375" style="3" customWidth="1"/>
    <col min="5" max="5" width="11.140625" style="3" customWidth="1"/>
    <col min="6" max="6" width="10" style="3" customWidth="1"/>
    <col min="7" max="7" width="11.28515625" style="3" customWidth="1"/>
    <col min="8" max="8" width="9.140625" style="3"/>
    <col min="9" max="9" width="11.5703125" style="3" customWidth="1"/>
    <col min="10" max="10" width="5.28515625" style="3" customWidth="1"/>
    <col min="11" max="11" width="12.28515625" style="3" customWidth="1"/>
    <col min="12" max="16384" width="9.140625" style="3"/>
  </cols>
  <sheetData>
    <row r="1" spans="1:12" ht="33" customHeight="1" x14ac:dyDescent="0.2">
      <c r="A1" s="123" t="s">
        <v>111</v>
      </c>
      <c r="B1" s="123"/>
      <c r="C1" s="123"/>
      <c r="D1" s="123"/>
      <c r="E1" s="123"/>
      <c r="F1" s="123"/>
      <c r="G1" s="123"/>
      <c r="H1" s="123"/>
      <c r="I1" s="123"/>
    </row>
    <row r="2" spans="1:12" ht="15" x14ac:dyDescent="0.25">
      <c r="A2" s="49"/>
      <c r="B2" s="49"/>
      <c r="C2" s="49"/>
      <c r="D2" s="49"/>
      <c r="E2" s="49"/>
      <c r="F2" s="49"/>
      <c r="G2" s="49"/>
      <c r="H2" s="49"/>
      <c r="I2" s="49"/>
    </row>
    <row r="3" spans="1:12" x14ac:dyDescent="0.2">
      <c r="A3" s="126" t="s">
        <v>21</v>
      </c>
      <c r="B3" s="50" t="s">
        <v>33</v>
      </c>
      <c r="C3" s="50" t="s">
        <v>34</v>
      </c>
      <c r="D3" s="50" t="s">
        <v>35</v>
      </c>
      <c r="E3" s="50" t="s">
        <v>36</v>
      </c>
      <c r="F3" s="50" t="s">
        <v>37</v>
      </c>
      <c r="G3" s="50" t="s">
        <v>38</v>
      </c>
      <c r="H3" s="50" t="s">
        <v>39</v>
      </c>
      <c r="I3" s="50" t="s">
        <v>43</v>
      </c>
    </row>
    <row r="4" spans="1:12" ht="63.75" x14ac:dyDescent="0.2">
      <c r="A4" s="126"/>
      <c r="B4" s="50" t="s">
        <v>44</v>
      </c>
      <c r="C4" s="50" t="s">
        <v>40</v>
      </c>
      <c r="D4" s="50" t="s">
        <v>45</v>
      </c>
      <c r="E4" s="50" t="s">
        <v>68</v>
      </c>
      <c r="F4" s="50" t="s">
        <v>46</v>
      </c>
      <c r="G4" s="50" t="s">
        <v>41</v>
      </c>
      <c r="H4" s="50" t="s">
        <v>42</v>
      </c>
      <c r="I4" s="50" t="s">
        <v>69</v>
      </c>
    </row>
    <row r="5" spans="1:12" ht="15.75" x14ac:dyDescent="0.2">
      <c r="A5" s="6" t="s">
        <v>117</v>
      </c>
      <c r="B5" s="28">
        <v>24</v>
      </c>
      <c r="C5" s="28">
        <v>1</v>
      </c>
      <c r="D5" s="67">
        <f t="shared" ref="D5" si="0">B5*C5</f>
        <v>24</v>
      </c>
      <c r="E5" s="31">
        <f>'Table 1'!E20</f>
        <v>2</v>
      </c>
      <c r="F5" s="51">
        <f>D5*E5</f>
        <v>48</v>
      </c>
      <c r="G5" s="51">
        <f t="shared" ref="G5" si="1">F5*0.05</f>
        <v>2.4000000000000004</v>
      </c>
      <c r="H5" s="51">
        <f t="shared" ref="H5" si="2">F5*0.1</f>
        <v>4.8000000000000007</v>
      </c>
      <c r="I5" s="82">
        <f>$L$11*F5+$L$10*G5+$L$12*H5</f>
        <v>2624.328</v>
      </c>
    </row>
    <row r="6" spans="1:12" x14ac:dyDescent="0.2">
      <c r="A6" s="6" t="s">
        <v>116</v>
      </c>
      <c r="B6" s="65"/>
      <c r="C6" s="65"/>
      <c r="D6" s="67"/>
      <c r="E6" s="50"/>
      <c r="F6" s="50"/>
      <c r="G6" s="50"/>
      <c r="H6" s="50"/>
      <c r="I6" s="50"/>
    </row>
    <row r="7" spans="1:12" ht="15.75" x14ac:dyDescent="0.2">
      <c r="A7" s="83" t="s">
        <v>118</v>
      </c>
      <c r="B7" s="65">
        <v>2</v>
      </c>
      <c r="C7" s="65">
        <v>1</v>
      </c>
      <c r="D7" s="67">
        <f t="shared" ref="D7:D28" si="3">B7*C7</f>
        <v>2</v>
      </c>
      <c r="E7" s="31">
        <f>'Table 1'!E14</f>
        <v>15</v>
      </c>
      <c r="F7" s="51">
        <f>D7*E7</f>
        <v>30</v>
      </c>
      <c r="G7" s="51">
        <f t="shared" ref="G7" si="4">F7*0.05</f>
        <v>1.5</v>
      </c>
      <c r="H7" s="51">
        <f t="shared" ref="H7" si="5">F7*0.1</f>
        <v>3</v>
      </c>
      <c r="I7" s="82">
        <f>$L$11*F7+$L$10*G7+$L$12*H7</f>
        <v>1640.2050000000002</v>
      </c>
    </row>
    <row r="8" spans="1:12" ht="15.75" x14ac:dyDescent="0.2">
      <c r="A8" s="83" t="s">
        <v>119</v>
      </c>
      <c r="B8" s="65">
        <v>2</v>
      </c>
      <c r="C8" s="65">
        <v>1</v>
      </c>
      <c r="D8" s="67">
        <f t="shared" si="3"/>
        <v>2</v>
      </c>
      <c r="E8" s="31">
        <f>'Table 1'!E15</f>
        <v>15</v>
      </c>
      <c r="F8" s="51">
        <f t="shared" ref="F8:F28" si="6">D8*E8</f>
        <v>30</v>
      </c>
      <c r="G8" s="51">
        <f t="shared" ref="G8:G28" si="7">F8*0.05</f>
        <v>1.5</v>
      </c>
      <c r="H8" s="51">
        <f t="shared" ref="H8:H28" si="8">F8*0.1</f>
        <v>3</v>
      </c>
      <c r="I8" s="82">
        <f t="shared" ref="I8:I28" si="9">$L$11*F8+$L$10*G8+$L$12*H8</f>
        <v>1640.2050000000002</v>
      </c>
    </row>
    <row r="9" spans="1:12" ht="15.75" x14ac:dyDescent="0.2">
      <c r="A9" s="83" t="s">
        <v>120</v>
      </c>
      <c r="B9" s="65">
        <v>2</v>
      </c>
      <c r="C9" s="65">
        <v>1</v>
      </c>
      <c r="D9" s="67">
        <f t="shared" si="3"/>
        <v>2</v>
      </c>
      <c r="E9" s="31">
        <f>'Table 1'!E16</f>
        <v>15</v>
      </c>
      <c r="F9" s="51">
        <f t="shared" si="6"/>
        <v>30</v>
      </c>
      <c r="G9" s="51">
        <f t="shared" si="7"/>
        <v>1.5</v>
      </c>
      <c r="H9" s="51">
        <f t="shared" si="8"/>
        <v>3</v>
      </c>
      <c r="I9" s="82">
        <f t="shared" si="9"/>
        <v>1640.2050000000002</v>
      </c>
      <c r="K9" s="127" t="s">
        <v>28</v>
      </c>
      <c r="L9" s="128"/>
    </row>
    <row r="10" spans="1:12" ht="28.5" x14ac:dyDescent="0.2">
      <c r="A10" s="84" t="s">
        <v>121</v>
      </c>
      <c r="B10" s="65">
        <v>2</v>
      </c>
      <c r="C10" s="65">
        <v>1</v>
      </c>
      <c r="D10" s="67">
        <f t="shared" si="3"/>
        <v>2</v>
      </c>
      <c r="E10" s="31">
        <f>'Table 1'!E17</f>
        <v>15</v>
      </c>
      <c r="F10" s="51">
        <f t="shared" si="6"/>
        <v>30</v>
      </c>
      <c r="G10" s="51">
        <f t="shared" si="7"/>
        <v>1.5</v>
      </c>
      <c r="H10" s="51">
        <f t="shared" si="8"/>
        <v>3</v>
      </c>
      <c r="I10" s="82">
        <f t="shared" si="9"/>
        <v>1640.2050000000002</v>
      </c>
      <c r="K10" s="6" t="s">
        <v>29</v>
      </c>
      <c r="L10" s="7">
        <v>65.709999999999994</v>
      </c>
    </row>
    <row r="11" spans="1:12" ht="15.75" x14ac:dyDescent="0.2">
      <c r="A11" s="83" t="s">
        <v>122</v>
      </c>
      <c r="B11" s="65">
        <v>40</v>
      </c>
      <c r="C11" s="65">
        <v>1</v>
      </c>
      <c r="D11" s="67">
        <f t="shared" si="3"/>
        <v>40</v>
      </c>
      <c r="E11" s="31">
        <f>'Table 1'!E18</f>
        <v>0</v>
      </c>
      <c r="F11" s="51">
        <f t="shared" si="6"/>
        <v>0</v>
      </c>
      <c r="G11" s="51">
        <f t="shared" si="7"/>
        <v>0</v>
      </c>
      <c r="H11" s="51">
        <f t="shared" si="8"/>
        <v>0</v>
      </c>
      <c r="I11" s="52">
        <f t="shared" si="9"/>
        <v>0</v>
      </c>
      <c r="K11" s="6" t="s">
        <v>30</v>
      </c>
      <c r="L11" s="7">
        <v>48.75</v>
      </c>
    </row>
    <row r="12" spans="1:12" ht="28.5" x14ac:dyDescent="0.2">
      <c r="A12" s="84" t="s">
        <v>123</v>
      </c>
      <c r="B12" s="65">
        <v>2</v>
      </c>
      <c r="C12" s="65">
        <v>1</v>
      </c>
      <c r="D12" s="67">
        <f t="shared" si="3"/>
        <v>2</v>
      </c>
      <c r="E12" s="31">
        <f>'Table 1'!E19</f>
        <v>2</v>
      </c>
      <c r="F12" s="51">
        <f t="shared" si="6"/>
        <v>4</v>
      </c>
      <c r="G12" s="51">
        <f t="shared" si="7"/>
        <v>0.2</v>
      </c>
      <c r="H12" s="51">
        <f t="shared" si="8"/>
        <v>0.4</v>
      </c>
      <c r="I12" s="82">
        <f t="shared" si="9"/>
        <v>218.69399999999999</v>
      </c>
      <c r="K12" s="6" t="s">
        <v>31</v>
      </c>
      <c r="L12" s="7">
        <v>26.38</v>
      </c>
    </row>
    <row r="13" spans="1:12" ht="15.75" x14ac:dyDescent="0.2">
      <c r="A13" s="83" t="s">
        <v>124</v>
      </c>
      <c r="B13" s="65">
        <v>1</v>
      </c>
      <c r="C13" s="65">
        <v>1</v>
      </c>
      <c r="D13" s="67">
        <f t="shared" si="3"/>
        <v>1</v>
      </c>
      <c r="E13" s="31">
        <f>'Table 1'!E20</f>
        <v>2</v>
      </c>
      <c r="F13" s="51">
        <f t="shared" si="6"/>
        <v>2</v>
      </c>
      <c r="G13" s="51">
        <f t="shared" si="7"/>
        <v>0.1</v>
      </c>
      <c r="H13" s="51">
        <f t="shared" si="8"/>
        <v>0.2</v>
      </c>
      <c r="I13" s="82">
        <f t="shared" si="9"/>
        <v>109.34699999999999</v>
      </c>
    </row>
    <row r="14" spans="1:12" x14ac:dyDescent="0.2">
      <c r="A14" s="83" t="s">
        <v>112</v>
      </c>
      <c r="B14" s="65"/>
      <c r="C14" s="65"/>
      <c r="D14" s="67"/>
      <c r="E14" s="31"/>
      <c r="F14" s="51"/>
      <c r="G14" s="51"/>
      <c r="H14" s="51"/>
      <c r="I14" s="52"/>
    </row>
    <row r="15" spans="1:12" ht="15.75" x14ac:dyDescent="0.2">
      <c r="A15" s="110" t="s">
        <v>125</v>
      </c>
      <c r="B15" s="101">
        <v>8</v>
      </c>
      <c r="C15" s="101">
        <v>1</v>
      </c>
      <c r="D15" s="111">
        <f t="shared" si="3"/>
        <v>8</v>
      </c>
      <c r="E15" s="108">
        <v>2</v>
      </c>
      <c r="F15" s="51">
        <f t="shared" si="6"/>
        <v>16</v>
      </c>
      <c r="G15" s="51">
        <f t="shared" si="7"/>
        <v>0.8</v>
      </c>
      <c r="H15" s="51">
        <f t="shared" si="8"/>
        <v>1.6</v>
      </c>
      <c r="I15" s="82">
        <f t="shared" si="9"/>
        <v>874.77599999999995</v>
      </c>
      <c r="K15" s="57"/>
    </row>
    <row r="16" spans="1:12" ht="15.75" x14ac:dyDescent="0.2">
      <c r="A16" s="110" t="s">
        <v>126</v>
      </c>
      <c r="B16" s="101">
        <v>4</v>
      </c>
      <c r="C16" s="101">
        <v>1</v>
      </c>
      <c r="D16" s="111">
        <f t="shared" si="3"/>
        <v>4</v>
      </c>
      <c r="E16" s="108">
        <v>0</v>
      </c>
      <c r="F16" s="51">
        <f t="shared" si="6"/>
        <v>0</v>
      </c>
      <c r="G16" s="51">
        <f t="shared" si="7"/>
        <v>0</v>
      </c>
      <c r="H16" s="51">
        <f t="shared" si="8"/>
        <v>0</v>
      </c>
      <c r="I16" s="52">
        <f t="shared" si="9"/>
        <v>0</v>
      </c>
      <c r="K16" s="57"/>
    </row>
    <row r="17" spans="1:11" ht="15.75" x14ac:dyDescent="0.2">
      <c r="A17" s="83" t="s">
        <v>127</v>
      </c>
      <c r="B17" s="65"/>
      <c r="C17" s="65"/>
      <c r="D17" s="67"/>
      <c r="E17" s="31"/>
      <c r="F17" s="51"/>
      <c r="G17" s="51"/>
      <c r="H17" s="51"/>
      <c r="I17" s="52"/>
    </row>
    <row r="18" spans="1:11" ht="15.75" x14ac:dyDescent="0.2">
      <c r="A18" s="85" t="s">
        <v>128</v>
      </c>
      <c r="B18" s="65">
        <v>2</v>
      </c>
      <c r="C18" s="65">
        <v>1</v>
      </c>
      <c r="D18" s="67">
        <f t="shared" si="3"/>
        <v>2</v>
      </c>
      <c r="E18" s="31">
        <f>'Table 1'!E25</f>
        <v>2</v>
      </c>
      <c r="F18" s="51">
        <f t="shared" si="6"/>
        <v>4</v>
      </c>
      <c r="G18" s="51">
        <f t="shared" si="7"/>
        <v>0.2</v>
      </c>
      <c r="H18" s="51">
        <f t="shared" si="8"/>
        <v>0.4</v>
      </c>
      <c r="I18" s="82">
        <f t="shared" si="9"/>
        <v>218.69399999999999</v>
      </c>
    </row>
    <row r="19" spans="1:11" ht="15.75" x14ac:dyDescent="0.2">
      <c r="A19" s="85" t="s">
        <v>129</v>
      </c>
      <c r="B19" s="65">
        <v>8</v>
      </c>
      <c r="C19" s="65">
        <v>1</v>
      </c>
      <c r="D19" s="67">
        <f t="shared" si="3"/>
        <v>8</v>
      </c>
      <c r="E19" s="31">
        <f>'Table 1'!E26</f>
        <v>0</v>
      </c>
      <c r="F19" s="51">
        <f t="shared" si="6"/>
        <v>0</v>
      </c>
      <c r="G19" s="51">
        <f t="shared" si="7"/>
        <v>0</v>
      </c>
      <c r="H19" s="51">
        <f t="shared" si="8"/>
        <v>0</v>
      </c>
      <c r="I19" s="52">
        <f t="shared" si="9"/>
        <v>0</v>
      </c>
    </row>
    <row r="20" spans="1:11" ht="15.75" x14ac:dyDescent="0.2">
      <c r="A20" s="79" t="s">
        <v>131</v>
      </c>
      <c r="B20" s="65">
        <v>2</v>
      </c>
      <c r="C20" s="65">
        <v>1</v>
      </c>
      <c r="D20" s="67">
        <f t="shared" si="3"/>
        <v>2</v>
      </c>
      <c r="E20" s="31">
        <f>'Table 1'!E27</f>
        <v>0</v>
      </c>
      <c r="F20" s="51">
        <f t="shared" si="6"/>
        <v>0</v>
      </c>
      <c r="G20" s="51">
        <f t="shared" si="7"/>
        <v>0</v>
      </c>
      <c r="H20" s="51">
        <f t="shared" si="8"/>
        <v>0</v>
      </c>
      <c r="I20" s="52">
        <f t="shared" si="9"/>
        <v>0</v>
      </c>
    </row>
    <row r="21" spans="1:11" ht="15.75" x14ac:dyDescent="0.2">
      <c r="A21" s="85" t="s">
        <v>132</v>
      </c>
      <c r="B21" s="65">
        <v>2</v>
      </c>
      <c r="C21" s="65">
        <v>1</v>
      </c>
      <c r="D21" s="67">
        <f t="shared" si="3"/>
        <v>2</v>
      </c>
      <c r="E21" s="31">
        <f>'Table 1'!E28</f>
        <v>0</v>
      </c>
      <c r="F21" s="51">
        <f t="shared" si="6"/>
        <v>0</v>
      </c>
      <c r="G21" s="51">
        <f t="shared" si="7"/>
        <v>0</v>
      </c>
      <c r="H21" s="51">
        <f t="shared" si="8"/>
        <v>0</v>
      </c>
      <c r="I21" s="52">
        <f t="shared" si="9"/>
        <v>0</v>
      </c>
    </row>
    <row r="22" spans="1:11" ht="15.75" x14ac:dyDescent="0.2">
      <c r="A22" s="85" t="s">
        <v>130</v>
      </c>
      <c r="B22" s="65">
        <v>8</v>
      </c>
      <c r="C22" s="65">
        <v>1</v>
      </c>
      <c r="D22" s="67">
        <f t="shared" si="3"/>
        <v>8</v>
      </c>
      <c r="E22" s="31">
        <f>'Table 1'!E29</f>
        <v>0</v>
      </c>
      <c r="F22" s="51">
        <f t="shared" si="6"/>
        <v>0</v>
      </c>
      <c r="G22" s="51">
        <f t="shared" si="7"/>
        <v>0</v>
      </c>
      <c r="H22" s="51">
        <f t="shared" si="8"/>
        <v>0</v>
      </c>
      <c r="I22" s="52">
        <f t="shared" si="9"/>
        <v>0</v>
      </c>
    </row>
    <row r="23" spans="1:11" x14ac:dyDescent="0.2">
      <c r="A23" s="83" t="s">
        <v>113</v>
      </c>
      <c r="B23" s="65"/>
      <c r="C23" s="65"/>
      <c r="D23" s="67"/>
      <c r="E23" s="31"/>
      <c r="F23" s="51"/>
      <c r="G23" s="51"/>
      <c r="H23" s="51"/>
      <c r="I23" s="52"/>
    </row>
    <row r="24" spans="1:11" ht="15.75" x14ac:dyDescent="0.2">
      <c r="A24" s="85" t="s">
        <v>128</v>
      </c>
      <c r="B24" s="65">
        <v>2</v>
      </c>
      <c r="C24" s="65">
        <v>2</v>
      </c>
      <c r="D24" s="67">
        <f t="shared" si="3"/>
        <v>4</v>
      </c>
      <c r="E24" s="58">
        <f>'Table 1'!E31</f>
        <v>101.7</v>
      </c>
      <c r="F24" s="51">
        <f t="shared" si="6"/>
        <v>406.8</v>
      </c>
      <c r="G24" s="51">
        <f t="shared" si="7"/>
        <v>20.340000000000003</v>
      </c>
      <c r="H24" s="51">
        <f t="shared" si="8"/>
        <v>40.680000000000007</v>
      </c>
      <c r="I24" s="82">
        <f t="shared" si="9"/>
        <v>22241.179800000002</v>
      </c>
      <c r="K24" s="57"/>
    </row>
    <row r="25" spans="1:11" ht="15.75" x14ac:dyDescent="0.2">
      <c r="A25" s="85" t="s">
        <v>129</v>
      </c>
      <c r="B25" s="65">
        <v>8</v>
      </c>
      <c r="C25" s="65">
        <v>2</v>
      </c>
      <c r="D25" s="67">
        <f t="shared" si="3"/>
        <v>16</v>
      </c>
      <c r="E25" s="23">
        <f>'Table 1'!E32</f>
        <v>11.3</v>
      </c>
      <c r="F25" s="51">
        <f t="shared" si="6"/>
        <v>180.8</v>
      </c>
      <c r="G25" s="51">
        <f t="shared" si="7"/>
        <v>9.0400000000000009</v>
      </c>
      <c r="H25" s="51">
        <f t="shared" si="8"/>
        <v>18.080000000000002</v>
      </c>
      <c r="I25" s="82">
        <f t="shared" si="9"/>
        <v>9884.9688000000006</v>
      </c>
    </row>
    <row r="26" spans="1:11" ht="15.75" x14ac:dyDescent="0.2">
      <c r="A26" s="79" t="s">
        <v>131</v>
      </c>
      <c r="B26" s="65">
        <v>2</v>
      </c>
      <c r="C26" s="65">
        <v>2</v>
      </c>
      <c r="D26" s="67">
        <f t="shared" si="3"/>
        <v>4</v>
      </c>
      <c r="E26" s="23">
        <f>'Table 1'!E33</f>
        <v>11.3</v>
      </c>
      <c r="F26" s="51">
        <f t="shared" si="6"/>
        <v>45.2</v>
      </c>
      <c r="G26" s="51">
        <f t="shared" si="7"/>
        <v>2.2600000000000002</v>
      </c>
      <c r="H26" s="51">
        <f t="shared" si="8"/>
        <v>4.5200000000000005</v>
      </c>
      <c r="I26" s="82">
        <f t="shared" si="9"/>
        <v>2471.2422000000001</v>
      </c>
    </row>
    <row r="27" spans="1:11" ht="15.75" x14ac:dyDescent="0.2">
      <c r="A27" s="85" t="s">
        <v>132</v>
      </c>
      <c r="B27" s="65">
        <v>2</v>
      </c>
      <c r="C27" s="65">
        <v>2</v>
      </c>
      <c r="D27" s="67">
        <f t="shared" si="3"/>
        <v>4</v>
      </c>
      <c r="E27" s="23">
        <f>'Table 1'!E34</f>
        <v>11.3</v>
      </c>
      <c r="F27" s="51">
        <f t="shared" si="6"/>
        <v>45.2</v>
      </c>
      <c r="G27" s="51">
        <f t="shared" si="7"/>
        <v>2.2600000000000002</v>
      </c>
      <c r="H27" s="51">
        <f t="shared" si="8"/>
        <v>4.5200000000000005</v>
      </c>
      <c r="I27" s="82">
        <f t="shared" si="9"/>
        <v>2471.2422000000001</v>
      </c>
    </row>
    <row r="28" spans="1:11" ht="15.75" x14ac:dyDescent="0.2">
      <c r="A28" s="85" t="s">
        <v>130</v>
      </c>
      <c r="B28" s="65">
        <v>8</v>
      </c>
      <c r="C28" s="65">
        <v>2</v>
      </c>
      <c r="D28" s="67">
        <f t="shared" si="3"/>
        <v>16</v>
      </c>
      <c r="E28" s="108">
        <f>'Table 1'!E35</f>
        <v>1</v>
      </c>
      <c r="F28" s="51">
        <f t="shared" si="6"/>
        <v>16</v>
      </c>
      <c r="G28" s="51">
        <f t="shared" si="7"/>
        <v>0.8</v>
      </c>
      <c r="H28" s="51">
        <f t="shared" si="8"/>
        <v>1.6</v>
      </c>
      <c r="I28" s="52">
        <f t="shared" si="9"/>
        <v>874.77599999999995</v>
      </c>
      <c r="K28" s="57"/>
    </row>
    <row r="29" spans="1:11" ht="15.75" x14ac:dyDescent="0.2">
      <c r="A29" s="86" t="s">
        <v>133</v>
      </c>
      <c r="B29" s="81"/>
      <c r="C29" s="81"/>
      <c r="D29" s="53"/>
      <c r="E29" s="54"/>
      <c r="F29" s="124">
        <f>ROUND(SUM(F5:H28),-1)</f>
        <v>1020</v>
      </c>
      <c r="G29" s="124"/>
      <c r="H29" s="124"/>
      <c r="I29" s="55">
        <f>ROUND(SUM(I5:I28),-2)</f>
        <v>48600</v>
      </c>
    </row>
    <row r="31" spans="1:11" x14ac:dyDescent="0.2">
      <c r="A31" s="4" t="s">
        <v>24</v>
      </c>
    </row>
    <row r="32" spans="1:11" ht="75.75" customHeight="1" x14ac:dyDescent="0.2">
      <c r="A32" s="121" t="s">
        <v>203</v>
      </c>
      <c r="B32" s="121"/>
      <c r="C32" s="121"/>
      <c r="D32" s="121"/>
      <c r="E32" s="121"/>
      <c r="F32" s="121"/>
      <c r="G32" s="121"/>
      <c r="H32" s="121"/>
      <c r="I32" s="121"/>
      <c r="J32" s="68"/>
    </row>
    <row r="33" spans="1:10" ht="44.25" customHeight="1" x14ac:dyDescent="0.2">
      <c r="A33" s="125" t="s">
        <v>115</v>
      </c>
      <c r="B33" s="125"/>
      <c r="C33" s="125"/>
      <c r="D33" s="125"/>
      <c r="E33" s="125"/>
      <c r="F33" s="125"/>
      <c r="G33" s="125"/>
      <c r="H33" s="125"/>
      <c r="I33" s="125"/>
      <c r="J33" s="68"/>
    </row>
    <row r="34" spans="1:10" ht="36.75" customHeight="1" x14ac:dyDescent="0.2">
      <c r="A34" s="121" t="s">
        <v>200</v>
      </c>
      <c r="B34" s="121"/>
      <c r="C34" s="121"/>
      <c r="D34" s="121"/>
      <c r="E34" s="121"/>
      <c r="F34" s="121"/>
      <c r="G34" s="121"/>
      <c r="H34" s="121"/>
      <c r="I34" s="121"/>
    </row>
    <row r="35" spans="1:10" ht="33" customHeight="1" x14ac:dyDescent="0.2">
      <c r="A35" s="121" t="s">
        <v>199</v>
      </c>
      <c r="B35" s="121"/>
      <c r="C35" s="121"/>
      <c r="D35" s="121"/>
      <c r="E35" s="121"/>
      <c r="F35" s="121"/>
      <c r="G35" s="121"/>
      <c r="H35" s="121"/>
      <c r="I35" s="121"/>
    </row>
    <row r="36" spans="1:10" ht="21" customHeight="1" x14ac:dyDescent="0.2">
      <c r="A36" s="121" t="s">
        <v>217</v>
      </c>
      <c r="B36" s="121"/>
      <c r="C36" s="121"/>
      <c r="D36" s="121"/>
      <c r="E36" s="121"/>
      <c r="F36" s="121"/>
      <c r="G36" s="121"/>
      <c r="H36" s="121"/>
      <c r="I36" s="121"/>
    </row>
    <row r="37" spans="1:10" ht="21.75" customHeight="1" x14ac:dyDescent="0.2">
      <c r="A37" s="121" t="s">
        <v>134</v>
      </c>
      <c r="B37" s="121"/>
      <c r="C37" s="121"/>
      <c r="D37" s="121"/>
      <c r="E37" s="121"/>
      <c r="F37" s="121"/>
      <c r="G37" s="121"/>
      <c r="H37" s="121"/>
      <c r="I37" s="121"/>
    </row>
    <row r="38" spans="1:10" ht="17.25" customHeight="1" x14ac:dyDescent="0.2">
      <c r="A38" s="121" t="s">
        <v>135</v>
      </c>
      <c r="B38" s="121"/>
      <c r="C38" s="121"/>
      <c r="D38" s="121"/>
      <c r="E38" s="121"/>
      <c r="F38" s="121"/>
      <c r="G38" s="121"/>
      <c r="H38" s="121"/>
      <c r="I38" s="121"/>
    </row>
    <row r="39" spans="1:10" ht="36" customHeight="1" x14ac:dyDescent="0.2">
      <c r="A39" s="121" t="s">
        <v>136</v>
      </c>
      <c r="B39" s="121"/>
      <c r="C39" s="121"/>
      <c r="D39" s="121"/>
      <c r="E39" s="121"/>
      <c r="F39" s="121"/>
      <c r="G39" s="121"/>
      <c r="H39" s="121"/>
      <c r="I39" s="121"/>
    </row>
    <row r="40" spans="1:10" ht="15.75" x14ac:dyDescent="0.2">
      <c r="A40" s="122" t="s">
        <v>220</v>
      </c>
      <c r="B40" s="122"/>
      <c r="C40" s="122"/>
      <c r="D40" s="122"/>
      <c r="E40" s="122"/>
      <c r="F40" s="122"/>
      <c r="G40" s="122"/>
      <c r="H40" s="122"/>
      <c r="I40" s="122"/>
    </row>
    <row r="41" spans="1:10" ht="33" customHeight="1" x14ac:dyDescent="0.2">
      <c r="A41" s="121" t="s">
        <v>137</v>
      </c>
      <c r="B41" s="121"/>
      <c r="C41" s="121"/>
      <c r="D41" s="121"/>
      <c r="E41" s="121"/>
      <c r="F41" s="121"/>
      <c r="G41" s="121"/>
      <c r="H41" s="121"/>
      <c r="I41" s="121"/>
    </row>
    <row r="42" spans="1:10" ht="15.75" x14ac:dyDescent="0.2">
      <c r="A42" s="121" t="s">
        <v>141</v>
      </c>
      <c r="B42" s="121"/>
      <c r="C42" s="121"/>
      <c r="D42" s="121"/>
      <c r="E42" s="121"/>
      <c r="F42" s="121"/>
      <c r="G42" s="121"/>
      <c r="H42" s="121"/>
      <c r="I42" s="121"/>
    </row>
    <row r="43" spans="1:10" ht="15.75" x14ac:dyDescent="0.2">
      <c r="A43" s="121" t="s">
        <v>138</v>
      </c>
      <c r="B43" s="121"/>
      <c r="C43" s="121"/>
      <c r="D43" s="121"/>
      <c r="E43" s="121"/>
      <c r="F43" s="121"/>
      <c r="G43" s="121"/>
      <c r="H43" s="121"/>
      <c r="I43" s="121"/>
    </row>
    <row r="44" spans="1:10" ht="15.75" x14ac:dyDescent="0.2">
      <c r="A44" s="121" t="s">
        <v>139</v>
      </c>
      <c r="B44" s="121"/>
      <c r="C44" s="121"/>
      <c r="D44" s="121"/>
      <c r="E44" s="121"/>
      <c r="F44" s="121"/>
      <c r="G44" s="121"/>
      <c r="H44" s="121"/>
      <c r="I44" s="121"/>
    </row>
    <row r="45" spans="1:10" ht="15.75" x14ac:dyDescent="0.2">
      <c r="A45" s="121" t="s">
        <v>140</v>
      </c>
      <c r="B45" s="121"/>
      <c r="C45" s="121"/>
      <c r="D45" s="121"/>
      <c r="E45" s="121"/>
      <c r="F45" s="121"/>
      <c r="G45" s="121"/>
      <c r="H45" s="121"/>
      <c r="I45" s="121"/>
    </row>
  </sheetData>
  <mergeCells count="18">
    <mergeCell ref="A34:I34"/>
    <mergeCell ref="A36:I36"/>
    <mergeCell ref="A37:I37"/>
    <mergeCell ref="A38:I38"/>
    <mergeCell ref="K9:L9"/>
    <mergeCell ref="A35:I35"/>
    <mergeCell ref="A1:I1"/>
    <mergeCell ref="F29:H29"/>
    <mergeCell ref="A32:I32"/>
    <mergeCell ref="A33:I33"/>
    <mergeCell ref="A3:A4"/>
    <mergeCell ref="A44:I44"/>
    <mergeCell ref="A45:I45"/>
    <mergeCell ref="A39:I39"/>
    <mergeCell ref="A40:I40"/>
    <mergeCell ref="A41:I41"/>
    <mergeCell ref="A42:I42"/>
    <mergeCell ref="A43:I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5E79-3AFE-44CF-A90F-6AA080CF54F0}">
  <dimension ref="A1:I66"/>
  <sheetViews>
    <sheetView topLeftCell="A7" workbookViewId="0">
      <selection activeCell="E26" sqref="E26"/>
    </sheetView>
  </sheetViews>
  <sheetFormatPr defaultColWidth="9.140625" defaultRowHeight="15" x14ac:dyDescent="0.25"/>
  <cols>
    <col min="1" max="1" width="38.5703125" style="34" customWidth="1"/>
    <col min="2" max="2" width="13.5703125" style="34" customWidth="1"/>
    <col min="3" max="3" width="13.7109375" style="34" customWidth="1"/>
    <col min="4" max="4" width="17.140625" style="34" customWidth="1"/>
    <col min="5" max="5" width="15.140625" style="34" customWidth="1"/>
    <col min="6" max="6" width="11.7109375" style="34" customWidth="1"/>
    <col min="7" max="7" width="12.5703125" style="34" customWidth="1"/>
    <col min="8" max="8" width="9.140625" style="34"/>
    <col min="9" max="9" width="18" style="34" customWidth="1"/>
    <col min="10" max="16384" width="9.140625" style="34"/>
  </cols>
  <sheetData>
    <row r="1" spans="1:9" ht="15.75" x14ac:dyDescent="0.25">
      <c r="A1" s="41"/>
      <c r="F1" s="32"/>
      <c r="G1" s="32"/>
      <c r="H1" s="32"/>
      <c r="I1" s="35"/>
    </row>
    <row r="2" spans="1:9" ht="15.75" x14ac:dyDescent="0.25">
      <c r="A2" s="38"/>
      <c r="F2" s="32"/>
      <c r="G2" s="32"/>
      <c r="H2" s="32"/>
      <c r="I2" s="35"/>
    </row>
    <row r="3" spans="1:9" ht="15.75" x14ac:dyDescent="0.25">
      <c r="A3" s="133" t="s">
        <v>59</v>
      </c>
      <c r="B3" s="133"/>
      <c r="C3" s="133"/>
      <c r="D3" s="133"/>
      <c r="E3" s="133"/>
      <c r="F3" s="32"/>
      <c r="G3" s="32"/>
      <c r="H3" s="32"/>
      <c r="I3" s="36"/>
    </row>
    <row r="4" spans="1:9" x14ac:dyDescent="0.25">
      <c r="A4" s="44" t="s">
        <v>0</v>
      </c>
      <c r="B4" s="44" t="s">
        <v>2</v>
      </c>
      <c r="C4" s="44" t="s">
        <v>4</v>
      </c>
      <c r="D4" s="44" t="s">
        <v>6</v>
      </c>
      <c r="E4" s="44" t="s">
        <v>7</v>
      </c>
      <c r="F4" s="32"/>
      <c r="G4" s="32"/>
      <c r="H4" s="32"/>
      <c r="I4" s="33"/>
    </row>
    <row r="5" spans="1:9" ht="48" x14ac:dyDescent="0.25">
      <c r="A5" s="44" t="s">
        <v>1</v>
      </c>
      <c r="B5" s="44" t="s">
        <v>3</v>
      </c>
      <c r="C5" s="44" t="s">
        <v>5</v>
      </c>
      <c r="D5" s="44" t="s">
        <v>61</v>
      </c>
      <c r="E5" s="44" t="s">
        <v>63</v>
      </c>
      <c r="F5" s="32"/>
      <c r="G5" s="32"/>
      <c r="H5" s="32"/>
      <c r="I5" s="35"/>
    </row>
    <row r="6" spans="1:9" x14ac:dyDescent="0.25">
      <c r="A6" s="2" t="s">
        <v>74</v>
      </c>
      <c r="B6" s="31">
        <f>'Table 1'!E14</f>
        <v>15</v>
      </c>
      <c r="C6" s="31">
        <v>1</v>
      </c>
      <c r="D6" s="31">
        <v>0</v>
      </c>
      <c r="E6" s="31">
        <f>B6*C6+D6</f>
        <v>15</v>
      </c>
      <c r="F6" s="32"/>
      <c r="G6" s="32"/>
      <c r="H6" s="32"/>
      <c r="I6" s="33"/>
    </row>
    <row r="7" spans="1:9" x14ac:dyDescent="0.25">
      <c r="A7" s="2" t="s">
        <v>75</v>
      </c>
      <c r="B7" s="31">
        <f>'Table 1'!E15</f>
        <v>15</v>
      </c>
      <c r="C7" s="31">
        <v>1</v>
      </c>
      <c r="D7" s="31">
        <v>0</v>
      </c>
      <c r="E7" s="31">
        <f t="shared" ref="E7:E23" si="0">B7*C7+D7</f>
        <v>15</v>
      </c>
      <c r="F7" s="32"/>
      <c r="G7" s="32"/>
      <c r="H7" s="32"/>
      <c r="I7" s="33"/>
    </row>
    <row r="8" spans="1:9" x14ac:dyDescent="0.25">
      <c r="A8" s="2" t="s">
        <v>76</v>
      </c>
      <c r="B8" s="31">
        <f>'Table 1'!E16</f>
        <v>15</v>
      </c>
      <c r="C8" s="31">
        <v>1</v>
      </c>
      <c r="D8" s="31">
        <v>0</v>
      </c>
      <c r="E8" s="31">
        <f t="shared" si="0"/>
        <v>15</v>
      </c>
      <c r="F8" s="32"/>
      <c r="G8" s="32"/>
      <c r="H8" s="32"/>
      <c r="I8" s="33"/>
    </row>
    <row r="9" spans="1:9" x14ac:dyDescent="0.25">
      <c r="A9" s="2" t="s">
        <v>77</v>
      </c>
      <c r="B9" s="31">
        <f>'Table 1'!E17</f>
        <v>15</v>
      </c>
      <c r="C9" s="31">
        <v>1</v>
      </c>
      <c r="D9" s="31">
        <v>0</v>
      </c>
      <c r="E9" s="31">
        <f t="shared" si="0"/>
        <v>15</v>
      </c>
      <c r="F9" s="32"/>
      <c r="G9" s="32"/>
      <c r="H9" s="32"/>
      <c r="I9" s="33"/>
    </row>
    <row r="10" spans="1:9" x14ac:dyDescent="0.25">
      <c r="A10" s="2" t="s">
        <v>78</v>
      </c>
      <c r="B10" s="31">
        <f>'Table 1'!E18</f>
        <v>0</v>
      </c>
      <c r="C10" s="31">
        <v>1</v>
      </c>
      <c r="D10" s="31">
        <v>0</v>
      </c>
      <c r="E10" s="31">
        <f t="shared" si="0"/>
        <v>0</v>
      </c>
      <c r="F10" s="32"/>
      <c r="G10" s="32"/>
      <c r="H10" s="32"/>
      <c r="I10" s="33"/>
    </row>
    <row r="11" spans="1:9" ht="25.5" x14ac:dyDescent="0.25">
      <c r="A11" s="2" t="s">
        <v>197</v>
      </c>
      <c r="B11" s="31">
        <f>'Table 1'!E19</f>
        <v>2</v>
      </c>
      <c r="C11" s="31">
        <v>1</v>
      </c>
      <c r="D11" s="31">
        <v>0</v>
      </c>
      <c r="E11" s="31">
        <f t="shared" si="0"/>
        <v>2</v>
      </c>
      <c r="F11" s="32"/>
      <c r="G11" s="32"/>
      <c r="H11" s="32"/>
      <c r="I11" s="33"/>
    </row>
    <row r="12" spans="1:9" x14ac:dyDescent="0.25">
      <c r="A12" s="2" t="s">
        <v>79</v>
      </c>
      <c r="B12" s="31">
        <f>'Table 1'!E20</f>
        <v>2</v>
      </c>
      <c r="C12" s="31">
        <v>1</v>
      </c>
      <c r="D12" s="31">
        <v>0</v>
      </c>
      <c r="E12" s="31">
        <f t="shared" si="0"/>
        <v>2</v>
      </c>
      <c r="F12" s="32"/>
      <c r="G12" s="32"/>
      <c r="H12" s="32"/>
      <c r="I12" s="33"/>
    </row>
    <row r="13" spans="1:9" ht="25.5" x14ac:dyDescent="0.25">
      <c r="A13" s="2" t="s">
        <v>80</v>
      </c>
      <c r="B13" s="108">
        <f>'Table 1'!E22</f>
        <v>2</v>
      </c>
      <c r="C13" s="31">
        <v>1</v>
      </c>
      <c r="D13" s="31">
        <v>0</v>
      </c>
      <c r="E13" s="31">
        <f t="shared" si="0"/>
        <v>2</v>
      </c>
      <c r="F13" s="103"/>
      <c r="G13" s="32"/>
      <c r="H13" s="32"/>
      <c r="I13" s="33"/>
    </row>
    <row r="14" spans="1:9" ht="25.5" x14ac:dyDescent="0.25">
      <c r="A14" s="2" t="s">
        <v>81</v>
      </c>
      <c r="B14" s="108">
        <f>'Table 1'!E23</f>
        <v>0</v>
      </c>
      <c r="C14" s="31">
        <v>1</v>
      </c>
      <c r="D14" s="31">
        <v>0</v>
      </c>
      <c r="E14" s="31">
        <f t="shared" si="0"/>
        <v>0</v>
      </c>
      <c r="F14" s="103"/>
      <c r="G14" s="32"/>
      <c r="H14" s="32"/>
      <c r="I14" s="33"/>
    </row>
    <row r="15" spans="1:9" x14ac:dyDescent="0.25">
      <c r="A15" s="2" t="s">
        <v>82</v>
      </c>
      <c r="B15" s="31">
        <f>'Table 1'!E25</f>
        <v>2</v>
      </c>
      <c r="C15" s="31">
        <v>1</v>
      </c>
      <c r="D15" s="31">
        <v>0</v>
      </c>
      <c r="E15" s="31">
        <f t="shared" si="0"/>
        <v>2</v>
      </c>
      <c r="F15" s="32"/>
      <c r="G15" s="32"/>
      <c r="H15" s="32"/>
      <c r="I15" s="33"/>
    </row>
    <row r="16" spans="1:9" x14ac:dyDescent="0.25">
      <c r="A16" s="2" t="s">
        <v>83</v>
      </c>
      <c r="B16" s="31">
        <f>'Table 1'!E26</f>
        <v>0</v>
      </c>
      <c r="C16" s="31">
        <v>1</v>
      </c>
      <c r="D16" s="31">
        <v>0</v>
      </c>
      <c r="E16" s="31">
        <f t="shared" si="0"/>
        <v>0</v>
      </c>
      <c r="F16" s="32"/>
      <c r="G16" s="32"/>
      <c r="H16" s="32"/>
      <c r="I16" s="33"/>
    </row>
    <row r="17" spans="1:9" ht="25.5" x14ac:dyDescent="0.25">
      <c r="A17" s="2" t="s">
        <v>84</v>
      </c>
      <c r="B17" s="31">
        <f>'Table 1'!E27</f>
        <v>0</v>
      </c>
      <c r="C17" s="31">
        <v>1</v>
      </c>
      <c r="D17" s="31">
        <v>0</v>
      </c>
      <c r="E17" s="31">
        <f t="shared" si="0"/>
        <v>0</v>
      </c>
      <c r="F17" s="32"/>
      <c r="G17" s="32"/>
      <c r="H17" s="32"/>
      <c r="I17" s="33"/>
    </row>
    <row r="18" spans="1:9" ht="25.5" x14ac:dyDescent="0.25">
      <c r="A18" s="2" t="s">
        <v>198</v>
      </c>
      <c r="B18" s="31">
        <f>'Table 1'!E28</f>
        <v>0</v>
      </c>
      <c r="C18" s="31">
        <v>1</v>
      </c>
      <c r="D18" s="31">
        <v>0</v>
      </c>
      <c r="E18" s="31">
        <f t="shared" ref="E18" si="1">B18*C18+D18</f>
        <v>0</v>
      </c>
      <c r="F18" s="32"/>
      <c r="G18" s="32"/>
      <c r="H18" s="32"/>
      <c r="I18" s="33"/>
    </row>
    <row r="19" spans="1:9" x14ac:dyDescent="0.25">
      <c r="A19" s="2" t="s">
        <v>85</v>
      </c>
      <c r="B19" s="31">
        <f>'Table 1'!E29</f>
        <v>0</v>
      </c>
      <c r="C19" s="31">
        <v>1</v>
      </c>
      <c r="D19" s="31">
        <v>0</v>
      </c>
      <c r="E19" s="31">
        <f t="shared" si="0"/>
        <v>0</v>
      </c>
      <c r="F19" s="32"/>
      <c r="G19" s="32"/>
      <c r="H19" s="32"/>
      <c r="I19" s="33"/>
    </row>
    <row r="20" spans="1:9" x14ac:dyDescent="0.25">
      <c r="A20" s="2" t="s">
        <v>86</v>
      </c>
      <c r="B20" s="58">
        <f>ROUND('Table 1'!E31,0)</f>
        <v>102</v>
      </c>
      <c r="C20" s="31">
        <v>2</v>
      </c>
      <c r="D20" s="31">
        <v>0</v>
      </c>
      <c r="E20" s="31">
        <f>B20*C20+D20</f>
        <v>204</v>
      </c>
      <c r="F20" s="103"/>
      <c r="G20" s="32"/>
      <c r="H20" s="32"/>
      <c r="I20" s="33"/>
    </row>
    <row r="21" spans="1:9" x14ac:dyDescent="0.25">
      <c r="A21" s="2" t="s">
        <v>87</v>
      </c>
      <c r="B21" s="58">
        <f>ROUND('Table 1'!E32,0)</f>
        <v>11</v>
      </c>
      <c r="C21" s="31">
        <v>2</v>
      </c>
      <c r="D21" s="31">
        <v>0</v>
      </c>
      <c r="E21" s="31">
        <f t="shared" si="0"/>
        <v>22</v>
      </c>
      <c r="F21" s="32"/>
      <c r="G21" s="32"/>
      <c r="H21" s="32"/>
      <c r="I21" s="33"/>
    </row>
    <row r="22" spans="1:9" ht="25.5" x14ac:dyDescent="0.25">
      <c r="A22" s="2" t="s">
        <v>88</v>
      </c>
      <c r="B22" s="58">
        <f>ROUND('Table 1'!E33,0)</f>
        <v>11</v>
      </c>
      <c r="C22" s="31">
        <v>2</v>
      </c>
      <c r="D22" s="31">
        <v>0</v>
      </c>
      <c r="E22" s="31">
        <f t="shared" si="0"/>
        <v>22</v>
      </c>
      <c r="F22" s="32"/>
      <c r="G22" s="32"/>
      <c r="H22" s="32"/>
      <c r="I22" s="33"/>
    </row>
    <row r="23" spans="1:9" x14ac:dyDescent="0.25">
      <c r="A23" s="2" t="s">
        <v>89</v>
      </c>
      <c r="B23" s="58">
        <f>ROUND('Table 1'!E34,0)</f>
        <v>11</v>
      </c>
      <c r="C23" s="31">
        <v>2</v>
      </c>
      <c r="D23" s="31">
        <v>0</v>
      </c>
      <c r="E23" s="31">
        <f t="shared" si="0"/>
        <v>22</v>
      </c>
      <c r="F23" s="103"/>
      <c r="G23" s="32"/>
      <c r="H23" s="32"/>
      <c r="I23" s="33"/>
    </row>
    <row r="24" spans="1:9" x14ac:dyDescent="0.25">
      <c r="A24" s="2" t="s">
        <v>90</v>
      </c>
      <c r="B24" s="108">
        <f>'Table 1'!E35</f>
        <v>1</v>
      </c>
      <c r="C24" s="31">
        <v>2</v>
      </c>
      <c r="D24" s="31">
        <v>0</v>
      </c>
      <c r="E24" s="31">
        <f>B24*C24+D24</f>
        <v>2</v>
      </c>
      <c r="F24" s="32"/>
      <c r="G24" s="32"/>
      <c r="H24" s="32"/>
      <c r="I24" s="33"/>
    </row>
    <row r="25" spans="1:9" x14ac:dyDescent="0.25">
      <c r="A25" s="45"/>
      <c r="B25" s="44"/>
      <c r="C25" s="44"/>
      <c r="D25" s="31" t="s">
        <v>62</v>
      </c>
      <c r="E25" s="28">
        <f>SUM(E6:E24)</f>
        <v>340</v>
      </c>
      <c r="F25" s="32"/>
      <c r="G25" s="32" t="s">
        <v>70</v>
      </c>
      <c r="H25" s="40">
        <f>'Table 1'!F56</f>
        <v>29900</v>
      </c>
      <c r="I25" s="33"/>
    </row>
    <row r="26" spans="1:9" x14ac:dyDescent="0.25">
      <c r="F26" s="40"/>
      <c r="G26" s="32" t="s">
        <v>71</v>
      </c>
      <c r="H26" s="40">
        <f>H25/E25</f>
        <v>87.941176470588232</v>
      </c>
      <c r="I26" s="36"/>
    </row>
    <row r="27" spans="1:9" x14ac:dyDescent="0.25">
      <c r="A27" s="39"/>
      <c r="B27" s="32"/>
      <c r="C27" s="32"/>
      <c r="D27" s="32"/>
      <c r="E27" s="32"/>
      <c r="F27" s="32"/>
      <c r="G27" s="32"/>
      <c r="H27" s="32"/>
      <c r="I27" s="36"/>
    </row>
    <row r="28" spans="1:9" ht="15.75" x14ac:dyDescent="0.25">
      <c r="A28" s="38"/>
      <c r="G28" s="32"/>
      <c r="H28" s="32"/>
      <c r="I28" s="35"/>
    </row>
    <row r="29" spans="1:9" ht="15.75" x14ac:dyDescent="0.25">
      <c r="A29" s="133" t="s">
        <v>3</v>
      </c>
      <c r="B29" s="133"/>
      <c r="C29" s="133"/>
      <c r="D29" s="133"/>
      <c r="E29" s="133"/>
      <c r="F29" s="133"/>
      <c r="G29" s="32"/>
      <c r="H29" s="32"/>
      <c r="I29" s="35"/>
    </row>
    <row r="30" spans="1:9" ht="36" x14ac:dyDescent="0.25">
      <c r="A30" s="46"/>
      <c r="B30" s="137" t="s">
        <v>8</v>
      </c>
      <c r="C30" s="137"/>
      <c r="D30" s="45" t="s">
        <v>9</v>
      </c>
      <c r="E30" s="138"/>
      <c r="F30" s="138"/>
      <c r="G30" s="32"/>
      <c r="H30" s="32"/>
      <c r="I30" s="33"/>
    </row>
    <row r="31" spans="1:9" x14ac:dyDescent="0.25">
      <c r="A31" s="134" t="s">
        <v>10</v>
      </c>
      <c r="B31" s="31" t="s">
        <v>0</v>
      </c>
      <c r="C31" s="31" t="s">
        <v>2</v>
      </c>
      <c r="D31" s="31" t="s">
        <v>4</v>
      </c>
      <c r="E31" s="31" t="s">
        <v>6</v>
      </c>
      <c r="F31" s="31" t="s">
        <v>7</v>
      </c>
      <c r="G31" s="32"/>
      <c r="H31" s="32"/>
      <c r="I31" s="35"/>
    </row>
    <row r="32" spans="1:9" ht="63.75" x14ac:dyDescent="0.25">
      <c r="A32" s="135"/>
      <c r="B32" s="31" t="s">
        <v>64</v>
      </c>
      <c r="C32" s="31" t="s">
        <v>11</v>
      </c>
      <c r="D32" s="31" t="s">
        <v>12</v>
      </c>
      <c r="E32" s="31" t="s">
        <v>13</v>
      </c>
      <c r="F32" s="31" t="s">
        <v>65</v>
      </c>
      <c r="G32" s="32"/>
      <c r="H32" s="32"/>
      <c r="I32" s="33"/>
    </row>
    <row r="33" spans="1:9" x14ac:dyDescent="0.25">
      <c r="A33" s="47"/>
      <c r="B33" s="47"/>
      <c r="C33" s="47"/>
      <c r="D33" s="47"/>
      <c r="E33" s="47"/>
      <c r="F33" s="31"/>
      <c r="G33" s="32"/>
      <c r="H33" s="32"/>
      <c r="I33" s="33"/>
    </row>
    <row r="34" spans="1:9" x14ac:dyDescent="0.25">
      <c r="A34" s="44">
        <v>1</v>
      </c>
      <c r="B34" s="44">
        <v>0</v>
      </c>
      <c r="C34" s="44">
        <v>243</v>
      </c>
      <c r="D34" s="44">
        <v>0</v>
      </c>
      <c r="E34" s="44">
        <v>0</v>
      </c>
      <c r="F34" s="44">
        <v>243</v>
      </c>
      <c r="G34" s="32"/>
      <c r="H34" s="32"/>
      <c r="I34" s="33"/>
    </row>
    <row r="35" spans="1:9" x14ac:dyDescent="0.25">
      <c r="A35" s="44">
        <v>2</v>
      </c>
      <c r="B35" s="44">
        <v>0</v>
      </c>
      <c r="C35" s="44">
        <v>243</v>
      </c>
      <c r="D35" s="44">
        <v>0</v>
      </c>
      <c r="E35" s="44">
        <v>0</v>
      </c>
      <c r="F35" s="56">
        <v>243</v>
      </c>
      <c r="G35" s="32"/>
      <c r="H35" s="32"/>
      <c r="I35" s="33"/>
    </row>
    <row r="36" spans="1:9" x14ac:dyDescent="0.25">
      <c r="A36" s="44">
        <v>3</v>
      </c>
      <c r="B36" s="44">
        <v>7</v>
      </c>
      <c r="C36" s="44">
        <v>243</v>
      </c>
      <c r="D36" s="44">
        <v>0</v>
      </c>
      <c r="E36" s="44">
        <v>5</v>
      </c>
      <c r="F36" s="56">
        <v>245</v>
      </c>
      <c r="G36" s="32"/>
      <c r="H36" s="32"/>
      <c r="I36" s="33"/>
    </row>
    <row r="37" spans="1:9" x14ac:dyDescent="0.25">
      <c r="A37" s="44" t="s">
        <v>14</v>
      </c>
      <c r="B37" s="29">
        <v>2</v>
      </c>
      <c r="C37" s="29">
        <v>243</v>
      </c>
      <c r="D37" s="44">
        <v>0</v>
      </c>
      <c r="E37" s="44">
        <v>2</v>
      </c>
      <c r="F37" s="29">
        <v>244</v>
      </c>
      <c r="G37" s="32"/>
      <c r="H37" s="32"/>
      <c r="I37" s="33"/>
    </row>
    <row r="38" spans="1:9" ht="33.75" customHeight="1" x14ac:dyDescent="0.25">
      <c r="A38" s="140" t="s">
        <v>201</v>
      </c>
      <c r="B38" s="140"/>
      <c r="C38" s="140"/>
      <c r="D38" s="140"/>
      <c r="E38" s="140"/>
      <c r="F38" s="140"/>
      <c r="G38" s="32"/>
      <c r="H38" s="32"/>
      <c r="I38" s="35"/>
    </row>
    <row r="39" spans="1:9" x14ac:dyDescent="0.25">
      <c r="A39" s="39"/>
      <c r="B39" s="32"/>
      <c r="C39" s="32"/>
      <c r="D39" s="32"/>
      <c r="E39" s="32"/>
      <c r="F39" s="32"/>
      <c r="G39" s="32"/>
      <c r="H39" s="32"/>
      <c r="I39" s="35"/>
    </row>
    <row r="40" spans="1:9" x14ac:dyDescent="0.25">
      <c r="A40" s="39"/>
      <c r="B40" s="32"/>
      <c r="C40" s="32"/>
      <c r="D40" s="32"/>
      <c r="E40" s="32"/>
      <c r="F40" s="40"/>
      <c r="G40" s="32"/>
      <c r="H40" s="32"/>
      <c r="I40" s="36"/>
    </row>
    <row r="41" spans="1:9" ht="15.75" x14ac:dyDescent="0.25">
      <c r="A41" s="38"/>
      <c r="H41" s="32"/>
      <c r="I41" s="36"/>
    </row>
    <row r="42" spans="1:9" ht="15.75" x14ac:dyDescent="0.25">
      <c r="A42" s="133" t="s">
        <v>47</v>
      </c>
      <c r="B42" s="133"/>
      <c r="C42" s="133"/>
      <c r="D42" s="133"/>
      <c r="E42" s="133"/>
      <c r="F42" s="133"/>
      <c r="G42" s="133"/>
      <c r="H42" s="32"/>
      <c r="I42" s="35"/>
    </row>
    <row r="43" spans="1:9" x14ac:dyDescent="0.25">
      <c r="A43" s="31" t="s">
        <v>0</v>
      </c>
      <c r="B43" s="31" t="s">
        <v>2</v>
      </c>
      <c r="C43" s="31" t="s">
        <v>4</v>
      </c>
      <c r="D43" s="31" t="s">
        <v>6</v>
      </c>
      <c r="E43" s="31" t="s">
        <v>7</v>
      </c>
      <c r="F43" s="31" t="s">
        <v>18</v>
      </c>
      <c r="G43" s="31" t="s">
        <v>20</v>
      </c>
      <c r="H43" s="32"/>
      <c r="I43" s="33"/>
    </row>
    <row r="44" spans="1:9" ht="38.25" x14ac:dyDescent="0.25">
      <c r="A44" s="2" t="s">
        <v>15</v>
      </c>
      <c r="B44" s="31" t="s">
        <v>66</v>
      </c>
      <c r="C44" s="31" t="s">
        <v>16</v>
      </c>
      <c r="D44" s="31" t="s">
        <v>17</v>
      </c>
      <c r="E44" s="31" t="s">
        <v>32</v>
      </c>
      <c r="F44" s="31" t="s">
        <v>19</v>
      </c>
      <c r="G44" s="31" t="s">
        <v>67</v>
      </c>
      <c r="H44" s="32"/>
      <c r="I44" s="33"/>
    </row>
    <row r="45" spans="1:9" ht="15.75" x14ac:dyDescent="0.25">
      <c r="A45" s="94" t="s">
        <v>73</v>
      </c>
      <c r="B45" s="77">
        <v>2240</v>
      </c>
      <c r="C45" s="95">
        <v>7</v>
      </c>
      <c r="D45" s="77">
        <f>C45*B45</f>
        <v>15680</v>
      </c>
      <c r="E45" s="77">
        <v>84</v>
      </c>
      <c r="F45" s="28">
        <f>ROUND((113+113+(113+2))/3,0)</f>
        <v>114</v>
      </c>
      <c r="G45" s="77">
        <f>E45*F45</f>
        <v>9576</v>
      </c>
      <c r="H45" s="32"/>
      <c r="I45" s="36"/>
    </row>
    <row r="46" spans="1:9" ht="15.75" x14ac:dyDescent="0.25">
      <c r="A46" s="76" t="s">
        <v>193</v>
      </c>
      <c r="B46" s="77">
        <v>60000</v>
      </c>
      <c r="C46" s="95">
        <v>2</v>
      </c>
      <c r="D46" s="77">
        <f>C46*B46</f>
        <v>120000</v>
      </c>
      <c r="E46" s="77"/>
      <c r="F46" s="28"/>
      <c r="G46" s="77">
        <f>E46*F46</f>
        <v>0</v>
      </c>
      <c r="H46" s="32"/>
      <c r="I46" s="36"/>
    </row>
    <row r="47" spans="1:9" ht="28.5" x14ac:dyDescent="0.25">
      <c r="A47" s="76" t="s">
        <v>194</v>
      </c>
      <c r="B47" s="77">
        <v>30000</v>
      </c>
      <c r="C47" s="95">
        <v>5</v>
      </c>
      <c r="D47" s="77">
        <f>C47*B47</f>
        <v>150000</v>
      </c>
      <c r="E47" s="77"/>
      <c r="F47" s="28"/>
      <c r="G47" s="77">
        <f>E47*F47</f>
        <v>0</v>
      </c>
      <c r="H47" s="32"/>
      <c r="I47" s="36"/>
    </row>
    <row r="48" spans="1:9" ht="15.75" x14ac:dyDescent="0.25">
      <c r="A48" s="5" t="s">
        <v>192</v>
      </c>
      <c r="B48" s="31"/>
      <c r="C48" s="31"/>
      <c r="D48" s="75">
        <f>ROUND(SUM(D45:D47),-3)</f>
        <v>286000</v>
      </c>
      <c r="E48" s="31"/>
      <c r="F48" s="31"/>
      <c r="G48" s="75">
        <f>ROUND(SUM(G45:G45),-1)</f>
        <v>9580</v>
      </c>
      <c r="H48" s="48"/>
      <c r="I48" s="37"/>
    </row>
    <row r="49" spans="1:9" ht="28.5" x14ac:dyDescent="0.25">
      <c r="A49" s="5" t="s">
        <v>196</v>
      </c>
      <c r="B49" s="31"/>
      <c r="C49" s="31"/>
      <c r="D49" s="75"/>
      <c r="E49" s="31"/>
      <c r="F49" s="31"/>
      <c r="G49" s="75">
        <f>ROUND(G48+D48/3,-3)</f>
        <v>105000</v>
      </c>
      <c r="H49" s="48"/>
      <c r="I49" s="37"/>
    </row>
    <row r="50" spans="1:9" ht="31.5" customHeight="1" x14ac:dyDescent="0.25">
      <c r="A50" s="139" t="s">
        <v>202</v>
      </c>
      <c r="B50" s="139"/>
      <c r="C50" s="139"/>
      <c r="D50" s="139"/>
      <c r="E50" s="139"/>
      <c r="F50" s="139"/>
      <c r="G50" s="139"/>
      <c r="H50" s="48"/>
      <c r="I50" s="37"/>
    </row>
    <row r="51" spans="1:9" ht="43.5" customHeight="1" x14ac:dyDescent="0.25">
      <c r="A51" s="130" t="s">
        <v>205</v>
      </c>
      <c r="B51" s="130"/>
      <c r="C51" s="130"/>
      <c r="D51" s="130"/>
      <c r="E51" s="130"/>
      <c r="F51" s="130"/>
      <c r="G51" s="130"/>
      <c r="H51" s="48"/>
      <c r="I51" s="37"/>
    </row>
    <row r="52" spans="1:9" ht="20.25" customHeight="1" x14ac:dyDescent="0.25">
      <c r="A52" s="136" t="s">
        <v>191</v>
      </c>
      <c r="B52" s="136"/>
      <c r="C52" s="136"/>
      <c r="D52" s="136"/>
      <c r="E52" s="136"/>
      <c r="F52" s="136"/>
      <c r="G52" s="136"/>
    </row>
    <row r="53" spans="1:9" x14ac:dyDescent="0.25">
      <c r="A53" s="131" t="s">
        <v>195</v>
      </c>
      <c r="B53" s="131"/>
      <c r="C53" s="131"/>
      <c r="D53" s="131"/>
      <c r="E53" s="131"/>
      <c r="F53" s="131"/>
      <c r="G53" s="131"/>
    </row>
    <row r="54" spans="1:9" x14ac:dyDescent="0.25">
      <c r="A54" s="42"/>
    </row>
    <row r="55" spans="1:9" ht="60" x14ac:dyDescent="0.25">
      <c r="A55" s="90" t="s">
        <v>174</v>
      </c>
      <c r="B55" s="91" t="s">
        <v>175</v>
      </c>
      <c r="C55" s="91" t="s">
        <v>176</v>
      </c>
      <c r="D55" s="91" t="s">
        <v>177</v>
      </c>
      <c r="E55" s="91" t="s">
        <v>178</v>
      </c>
      <c r="F55" s="132" t="s">
        <v>179</v>
      </c>
      <c r="G55" s="132"/>
      <c r="H55" s="132"/>
    </row>
    <row r="56" spans="1:9" ht="16.5" customHeight="1" x14ac:dyDescent="0.25">
      <c r="A56" s="92" t="s">
        <v>180</v>
      </c>
      <c r="B56" s="92">
        <v>109</v>
      </c>
      <c r="C56" s="92">
        <v>4</v>
      </c>
      <c r="D56" s="92">
        <v>2</v>
      </c>
      <c r="E56" s="93">
        <f>ROUNDUP(D56*3/5,0)</f>
        <v>2</v>
      </c>
      <c r="F56" s="97" t="s">
        <v>181</v>
      </c>
      <c r="G56" s="97"/>
      <c r="H56" s="97"/>
    </row>
    <row r="57" spans="1:9" x14ac:dyDescent="0.25">
      <c r="A57" s="98" t="s">
        <v>182</v>
      </c>
      <c r="B57" s="98">
        <v>16</v>
      </c>
      <c r="C57" s="98"/>
      <c r="D57" s="98"/>
      <c r="E57" s="98"/>
      <c r="F57" s="129"/>
      <c r="G57" s="129"/>
      <c r="H57" s="129"/>
    </row>
    <row r="58" spans="1:9" ht="18.75" customHeight="1" x14ac:dyDescent="0.25">
      <c r="A58" s="92" t="s">
        <v>183</v>
      </c>
      <c r="B58" s="92"/>
      <c r="C58" s="92"/>
      <c r="D58" s="92">
        <v>7</v>
      </c>
      <c r="E58" s="92">
        <f>ROUNDUP(D58*3/5,0)</f>
        <v>5</v>
      </c>
      <c r="F58" s="97" t="s">
        <v>184</v>
      </c>
      <c r="G58" s="97"/>
      <c r="H58" s="97"/>
    </row>
    <row r="59" spans="1:9" x14ac:dyDescent="0.25">
      <c r="A59" s="92" t="s">
        <v>185</v>
      </c>
      <c r="B59" s="92">
        <v>121</v>
      </c>
      <c r="C59" s="92">
        <v>9</v>
      </c>
      <c r="D59" s="92"/>
      <c r="E59" s="92"/>
      <c r="F59" s="129"/>
      <c r="G59" s="129"/>
      <c r="H59" s="129"/>
    </row>
    <row r="60" spans="1:9" x14ac:dyDescent="0.25">
      <c r="A60" s="92" t="s">
        <v>186</v>
      </c>
      <c r="B60" s="92"/>
      <c r="C60" s="92"/>
      <c r="D60" s="92">
        <v>25</v>
      </c>
      <c r="E60" s="92">
        <f t="shared" ref="E60:E61" si="2">ROUNDUP(D60*3/5,0)</f>
        <v>15</v>
      </c>
      <c r="F60" s="129"/>
      <c r="G60" s="129"/>
      <c r="H60" s="129"/>
    </row>
    <row r="61" spans="1:9" x14ac:dyDescent="0.25">
      <c r="A61" s="92" t="s">
        <v>187</v>
      </c>
      <c r="B61" s="92"/>
      <c r="C61" s="92"/>
      <c r="D61" s="92">
        <v>40</v>
      </c>
      <c r="E61" s="92">
        <f t="shared" si="2"/>
        <v>24</v>
      </c>
      <c r="F61" s="129"/>
      <c r="G61" s="129"/>
      <c r="H61" s="129"/>
    </row>
    <row r="62" spans="1:9" x14ac:dyDescent="0.25">
      <c r="A62" s="90" t="s">
        <v>62</v>
      </c>
      <c r="B62" s="90">
        <f>B56+B59</f>
        <v>230</v>
      </c>
      <c r="C62" s="90">
        <f t="shared" ref="C62" si="3">C56+C59</f>
        <v>13</v>
      </c>
      <c r="D62" s="90"/>
      <c r="E62" s="90"/>
      <c r="F62" s="129"/>
      <c r="G62" s="129"/>
      <c r="H62" s="129"/>
    </row>
    <row r="63" spans="1:9" x14ac:dyDescent="0.25">
      <c r="A63" s="92" t="s">
        <v>188</v>
      </c>
      <c r="B63" s="92" t="s">
        <v>189</v>
      </c>
      <c r="C63" s="99" t="s">
        <v>190</v>
      </c>
      <c r="D63" s="99" t="s">
        <v>190</v>
      </c>
      <c r="E63" s="96"/>
      <c r="F63" s="97"/>
      <c r="G63" s="97"/>
      <c r="H63" s="97"/>
    </row>
    <row r="64" spans="1:9" ht="15.75" x14ac:dyDescent="0.25">
      <c r="A64" s="43"/>
    </row>
    <row r="65" spans="1:1" ht="15.75" x14ac:dyDescent="0.25">
      <c r="A65" s="43"/>
    </row>
    <row r="66" spans="1:1" ht="15.75" x14ac:dyDescent="0.25">
      <c r="A66" s="43"/>
    </row>
  </sheetData>
  <mergeCells count="17">
    <mergeCell ref="A3:E3"/>
    <mergeCell ref="A29:F29"/>
    <mergeCell ref="A31:A32"/>
    <mergeCell ref="A52:G52"/>
    <mergeCell ref="B30:C30"/>
    <mergeCell ref="E30:F30"/>
    <mergeCell ref="A42:G42"/>
    <mergeCell ref="A50:G50"/>
    <mergeCell ref="A38:F38"/>
    <mergeCell ref="F60:H60"/>
    <mergeCell ref="F61:H61"/>
    <mergeCell ref="F62:H62"/>
    <mergeCell ref="A51:G51"/>
    <mergeCell ref="A53:G53"/>
    <mergeCell ref="F55:H55"/>
    <mergeCell ref="F57:H57"/>
    <mergeCell ref="F59:H5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wwrigley</cp:lastModifiedBy>
  <dcterms:created xsi:type="dcterms:W3CDTF">2019-06-27T19:36:56Z</dcterms:created>
  <dcterms:modified xsi:type="dcterms:W3CDTF">2019-11-20T12:52:50Z</dcterms:modified>
</cp:coreProperties>
</file>