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mc:AlternateContent xmlns:mc="http://schemas.openxmlformats.org/markup-compatibility/2006">
    <mc:Choice Requires="x15">
      <x15ac:absPath xmlns:x15ac="http://schemas.microsoft.com/office/spreadsheetml/2010/11/ac" url="F:\New ICRs\"/>
    </mc:Choice>
  </mc:AlternateContent>
  <xr:revisionPtr revIDLastSave="0" documentId="8_{43C5964D-798E-4BA9-B44F-C6ACBF59AE07}" xr6:coauthVersionLast="41" xr6:coauthVersionMax="41" xr10:uidLastSave="{00000000-0000-0000-0000-000000000000}"/>
  <bookViews>
    <workbookView xWindow="-120" yWindow="-120" windowWidth="15600" windowHeight="11160" xr2:uid="{00000000-000D-0000-FFFF-FFFF00000000}"/>
  </bookViews>
  <sheets>
    <sheet name="Table 1" sheetId="1" r:id="rId1"/>
    <sheet name="Table 2" sheetId="2" r:id="rId2"/>
    <sheet name="O&amp;M" sheetId="3" r:id="rId3"/>
    <sheet name="Responses" sheetId="4" r:id="rId4"/>
  </sheets>
  <definedNames>
    <definedName name="_Hlk17999247" localSheetId="2">'O&amp;M'!$A$19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6" i="4" l="1"/>
  <c r="E15" i="4"/>
  <c r="E14" i="4"/>
  <c r="E10" i="4"/>
  <c r="E7" i="4"/>
  <c r="G14" i="3"/>
  <c r="G9" i="3"/>
  <c r="G8" i="3"/>
  <c r="G10" i="3"/>
  <c r="G11" i="3"/>
  <c r="G12" i="3"/>
  <c r="G13" i="3"/>
  <c r="G7" i="3"/>
  <c r="F43" i="1" l="1"/>
  <c r="F42" i="1"/>
  <c r="F30" i="1"/>
  <c r="D16" i="2" l="1"/>
  <c r="F16" i="2" s="1"/>
  <c r="H16" i="2" s="1"/>
  <c r="E14" i="2"/>
  <c r="E9" i="2"/>
  <c r="E11" i="2"/>
  <c r="E10" i="2"/>
  <c r="I44" i="1"/>
  <c r="E24" i="1"/>
  <c r="E25" i="1"/>
  <c r="M9" i="1"/>
  <c r="G16" i="2" l="1"/>
  <c r="I16" i="2" s="1"/>
  <c r="D16" i="1"/>
  <c r="F16" i="1" s="1"/>
  <c r="G16" i="1" s="1"/>
  <c r="E16" i="1"/>
  <c r="H16" i="1" l="1"/>
  <c r="I16" i="1" s="1"/>
  <c r="D14" i="2" l="1"/>
  <c r="F14" i="2" s="1"/>
  <c r="D11" i="2"/>
  <c r="F11" i="2" s="1"/>
  <c r="E12" i="1"/>
  <c r="D25" i="1"/>
  <c r="F15" i="1"/>
  <c r="D13" i="1"/>
  <c r="F25" i="1" l="1"/>
  <c r="H25" i="1" s="1"/>
  <c r="G14" i="2"/>
  <c r="H14" i="2"/>
  <c r="G11" i="2"/>
  <c r="H11" i="2"/>
  <c r="F13" i="1"/>
  <c r="G13" i="1" s="1"/>
  <c r="G15" i="1"/>
  <c r="H15" i="1"/>
  <c r="I14" i="2" l="1"/>
  <c r="G25" i="1"/>
  <c r="I25" i="1" s="1"/>
  <c r="I15" i="1"/>
  <c r="H13" i="1"/>
  <c r="I13" i="1" s="1"/>
  <c r="I11" i="2"/>
  <c r="D10" i="2" l="1"/>
  <c r="F10" i="2" s="1"/>
  <c r="D24" i="1"/>
  <c r="F24" i="1" s="1"/>
  <c r="G24" i="1" l="1"/>
  <c r="H24" i="1"/>
  <c r="G10" i="2"/>
  <c r="H10" i="2"/>
  <c r="I24" i="1" l="1"/>
  <c r="I10" i="2"/>
  <c r="D12" i="1"/>
  <c r="F12" i="1" s="1"/>
  <c r="G12" i="1" l="1"/>
  <c r="H12" i="1"/>
  <c r="D19" i="2"/>
  <c r="F19" i="2" s="1"/>
  <c r="G19" i="2" s="1"/>
  <c r="D18" i="2"/>
  <c r="F18" i="2" s="1"/>
  <c r="H18" i="2" s="1"/>
  <c r="D15" i="2"/>
  <c r="F15" i="2" s="1"/>
  <c r="G15" i="2" s="1"/>
  <c r="D13" i="2"/>
  <c r="F13" i="2" s="1"/>
  <c r="D12" i="2"/>
  <c r="F12" i="2" s="1"/>
  <c r="D9" i="2"/>
  <c r="F9" i="2" s="1"/>
  <c r="G39" i="1"/>
  <c r="D40" i="1"/>
  <c r="F40" i="1" s="1"/>
  <c r="D38" i="1"/>
  <c r="F38" i="1" s="1"/>
  <c r="D37" i="1"/>
  <c r="F37" i="1" s="1"/>
  <c r="D29" i="1"/>
  <c r="F29" i="1" s="1"/>
  <c r="D26" i="1"/>
  <c r="F26" i="1" s="1"/>
  <c r="D23" i="1"/>
  <c r="F23" i="1" s="1"/>
  <c r="D21" i="1"/>
  <c r="F21" i="1" s="1"/>
  <c r="D20" i="1"/>
  <c r="F20" i="1" s="1"/>
  <c r="D14" i="1"/>
  <c r="F14" i="1" s="1"/>
  <c r="D10" i="1"/>
  <c r="F10" i="1" s="1"/>
  <c r="D8" i="1"/>
  <c r="F8" i="1" s="1"/>
  <c r="G9" i="2" l="1"/>
  <c r="G13" i="2"/>
  <c r="H13" i="2"/>
  <c r="H12" i="2"/>
  <c r="G12" i="2"/>
  <c r="I12" i="2" s="1"/>
  <c r="H19" i="2"/>
  <c r="I19" i="2" s="1"/>
  <c r="G18" i="2"/>
  <c r="I18" i="2" s="1"/>
  <c r="I12" i="1"/>
  <c r="H15" i="2"/>
  <c r="I15" i="2" s="1"/>
  <c r="H9" i="2"/>
  <c r="H21" i="1"/>
  <c r="G21" i="1"/>
  <c r="H38" i="1"/>
  <c r="G38" i="1"/>
  <c r="G14" i="1"/>
  <c r="H14" i="1"/>
  <c r="G26" i="1"/>
  <c r="H26" i="1"/>
  <c r="H40" i="1"/>
  <c r="G40" i="1"/>
  <c r="G37" i="1"/>
  <c r="H37" i="1"/>
  <c r="H23" i="1"/>
  <c r="G23" i="1"/>
  <c r="G10" i="1"/>
  <c r="H10" i="1"/>
  <c r="H20" i="1"/>
  <c r="G20" i="1"/>
  <c r="H29" i="1"/>
  <c r="G29" i="1"/>
  <c r="H8" i="1"/>
  <c r="G8" i="1"/>
  <c r="F20" i="2" l="1"/>
  <c r="I29" i="1"/>
  <c r="I37" i="1"/>
  <c r="I13" i="2"/>
  <c r="I9" i="2"/>
  <c r="I21" i="1"/>
  <c r="I10" i="1"/>
  <c r="I26" i="1"/>
  <c r="I20" i="1"/>
  <c r="I23" i="1"/>
  <c r="I14" i="1"/>
  <c r="I8" i="1"/>
  <c r="I38" i="1"/>
  <c r="I42" i="1" l="1"/>
  <c r="I30" i="1"/>
  <c r="I20" i="2"/>
  <c r="K43" i="1"/>
  <c r="I43" i="1" l="1"/>
  <c r="I4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DWang</author>
  </authors>
  <commentList>
    <comment ref="L7" authorId="0" shapeId="0" xr:uid="{00000000-0006-0000-0000-000001000000}">
      <text>
        <r>
          <rPr>
            <b/>
            <sz val="9"/>
            <color indexed="81"/>
            <rFont val="Tahoma"/>
            <family val="2"/>
          </rPr>
          <t>DWang:</t>
        </r>
        <r>
          <rPr>
            <sz val="9"/>
            <color indexed="81"/>
            <rFont val="Tahoma"/>
            <family val="2"/>
          </rPr>
          <t xml:space="preserve">
These numbers are from 1844.06</t>
        </r>
      </text>
    </comment>
  </commentList>
</comments>
</file>

<file path=xl/sharedStrings.xml><?xml version="1.0" encoding="utf-8"?>
<sst xmlns="http://schemas.openxmlformats.org/spreadsheetml/2006/main" count="232" uniqueCount="177">
  <si>
    <t>Table 1: Annual Respondent Burden and Cost – NESHAP for Petroleum Refineries: Catalytic Cracking Units, Catalytic Reforming Units, and Sulfur Recovery Units (40 CFR Part 63, Subpart UUU) (Renewal)</t>
  </si>
  <si>
    <t>Burden item</t>
  </si>
  <si>
    <t>(A)</t>
  </si>
  <si>
    <t>(B)</t>
  </si>
  <si>
    <t>(C)</t>
  </si>
  <si>
    <t>(D)</t>
  </si>
  <si>
    <t>(E)</t>
  </si>
  <si>
    <t>(F)</t>
  </si>
  <si>
    <t>(G)</t>
  </si>
  <si>
    <t>(H)</t>
  </si>
  <si>
    <t>Person-hours per occurrence</t>
  </si>
  <si>
    <t>No. of occurrences per respondent per year</t>
  </si>
  <si>
    <t>1. Applications</t>
  </si>
  <si>
    <t>N/A</t>
  </si>
  <si>
    <t>2. Survey and Studies</t>
  </si>
  <si>
    <t>3. Reporting Requirements</t>
  </si>
  <si>
    <t>C. Create information</t>
  </si>
  <si>
    <t>See 3B</t>
  </si>
  <si>
    <t>D. Gather existing information</t>
  </si>
  <si>
    <t>E. Write report</t>
  </si>
  <si>
    <t xml:space="preserve"> Subtotal for Reporting Requirements</t>
  </si>
  <si>
    <t>4. Recordkeeping Requirements</t>
  </si>
  <si>
    <t>See 3A</t>
  </si>
  <si>
    <t xml:space="preserve">G. Time to adjust existing ways to comply with previously applicable requirements  </t>
  </si>
  <si>
    <t>I. Time for audits</t>
  </si>
  <si>
    <t>Subtotal for Recordkeeping Requirements</t>
  </si>
  <si>
    <t>Person-hours per respondent per year
(C=AxB)</t>
  </si>
  <si>
    <t>Technical person-hours per year
(E=CxD)</t>
  </si>
  <si>
    <t>Management person-hours per year
(Ex0.05)</t>
  </si>
  <si>
    <t>Clerical person- hours per year
(Ex0.1)</t>
  </si>
  <si>
    <r>
      <t xml:space="preserve">Respondents per year  </t>
    </r>
    <r>
      <rPr>
        <b/>
        <vertAlign val="superscript"/>
        <sz val="10"/>
        <color rgb="FF000000"/>
        <rFont val="Times New Roman"/>
        <family val="1"/>
      </rPr>
      <t>a</t>
    </r>
  </si>
  <si>
    <r>
      <t>Total Cost per Year $</t>
    </r>
    <r>
      <rPr>
        <b/>
        <vertAlign val="superscript"/>
        <sz val="10"/>
        <color rgb="FF000000"/>
        <rFont val="Times New Roman"/>
        <family val="1"/>
      </rPr>
      <t>b</t>
    </r>
  </si>
  <si>
    <t>Assumptions:</t>
  </si>
  <si>
    <t>Table 2: Average Annual EPA Burden and Cost – NESHAP for Petroleum Refineries: Catalytic Cracking Units, Catalytic Reforming Units, and Sulfur Recovery Units (40 CFR Part 63, Subpart UUU) (Renewal)</t>
  </si>
  <si>
    <t>Activity</t>
  </si>
  <si>
    <t>Hours per occurrence</t>
  </si>
  <si>
    <t>Number of occurrence per plant-year</t>
  </si>
  <si>
    <t xml:space="preserve">Plants per year  </t>
  </si>
  <si>
    <t>Report Review</t>
  </si>
  <si>
    <t xml:space="preserve">   Notification of construction/reconstruction</t>
  </si>
  <si>
    <t xml:space="preserve">   Notification of actual startup</t>
  </si>
  <si>
    <t xml:space="preserve">   Notification of special compliance requirements</t>
  </si>
  <si>
    <t xml:space="preserve">   Notification of compliance status</t>
  </si>
  <si>
    <r>
      <t xml:space="preserve">   Review of operation, maintenance, and monitoring plan  </t>
    </r>
    <r>
      <rPr>
        <vertAlign val="superscript"/>
        <sz val="10"/>
        <color rgb="FF000000"/>
        <rFont val="Times New Roman"/>
        <family val="1"/>
      </rPr>
      <t>b</t>
    </r>
    <r>
      <rPr>
        <sz val="10"/>
        <color rgb="FF000000"/>
        <rFont val="Times New Roman"/>
        <family val="1"/>
      </rPr>
      <t xml:space="preserve"> </t>
    </r>
  </si>
  <si>
    <t xml:space="preserve">   Review of repeat performance test report</t>
  </si>
  <si>
    <t xml:space="preserve">   Review of compliance report</t>
  </si>
  <si>
    <t xml:space="preserve">   Review of NESHAP waiver application</t>
  </si>
  <si>
    <t>Hours per plant per year
(C=AxB)</t>
  </si>
  <si>
    <t>Clerical person-hours per year
(Ex0.1)</t>
  </si>
  <si>
    <r>
      <t>Total Cost per Year $</t>
    </r>
    <r>
      <rPr>
        <b/>
        <vertAlign val="superscript"/>
        <sz val="10"/>
        <color rgb="FF000000"/>
        <rFont val="Times New Roman"/>
        <family val="1"/>
      </rPr>
      <t>a</t>
    </r>
  </si>
  <si>
    <t>Type of affected unit</t>
  </si>
  <si>
    <t>Number of respondents</t>
  </si>
  <si>
    <t>Number of Units</t>
  </si>
  <si>
    <t>FCCU</t>
  </si>
  <si>
    <t>CRU</t>
  </si>
  <si>
    <t>SRU</t>
  </si>
  <si>
    <t>B. Plan activities</t>
  </si>
  <si>
    <t>C. Implement activities</t>
  </si>
  <si>
    <t>Notification of construction/ reconstruction</t>
  </si>
  <si>
    <t>Notification of actual startup</t>
  </si>
  <si>
    <t>Notification of special compliance requirements</t>
  </si>
  <si>
    <t xml:space="preserve">Extended compliance request  </t>
  </si>
  <si>
    <r>
      <t xml:space="preserve">A.  Familiarize with rule requirements  </t>
    </r>
    <r>
      <rPr>
        <vertAlign val="superscript"/>
        <sz val="10"/>
        <color rgb="FF000000"/>
        <rFont val="Times New Roman"/>
        <family val="1"/>
      </rPr>
      <t>c</t>
    </r>
  </si>
  <si>
    <t>A.  Familiarize with rule requirements</t>
  </si>
  <si>
    <r>
      <t xml:space="preserve">     Startup, shutdown, malfunction plan </t>
    </r>
    <r>
      <rPr>
        <vertAlign val="superscript"/>
        <sz val="10"/>
        <rFont val="Times New Roman"/>
        <family val="1"/>
      </rPr>
      <t>f</t>
    </r>
  </si>
  <si>
    <r>
      <t>PM Performance Test (internal)</t>
    </r>
    <r>
      <rPr>
        <vertAlign val="superscript"/>
        <sz val="10"/>
        <rFont val="Times New Roman"/>
        <family val="1"/>
      </rPr>
      <t>g</t>
    </r>
  </si>
  <si>
    <r>
      <t xml:space="preserve">Operating, maintenance, and monitoring plan </t>
    </r>
    <r>
      <rPr>
        <vertAlign val="superscript"/>
        <sz val="10"/>
        <rFont val="Times New Roman"/>
        <family val="1"/>
      </rPr>
      <t>d</t>
    </r>
  </si>
  <si>
    <r>
      <t xml:space="preserve">Revise operating, maintenance and monitoring plan </t>
    </r>
    <r>
      <rPr>
        <vertAlign val="superscript"/>
        <sz val="10"/>
        <rFont val="Times New Roman"/>
        <family val="1"/>
      </rPr>
      <t>i</t>
    </r>
  </si>
  <si>
    <r>
      <t xml:space="preserve">Notification of PM performance test  </t>
    </r>
    <r>
      <rPr>
        <vertAlign val="superscript"/>
        <sz val="10"/>
        <rFont val="Times New Roman"/>
        <family val="1"/>
      </rPr>
      <t>g</t>
    </r>
  </si>
  <si>
    <r>
      <t xml:space="preserve">Notification of HCN performance test  </t>
    </r>
    <r>
      <rPr>
        <vertAlign val="superscript"/>
        <sz val="10"/>
        <rFont val="Times New Roman"/>
        <family val="1"/>
      </rPr>
      <t>h</t>
    </r>
  </si>
  <si>
    <r>
      <t xml:space="preserve">Notification of compliance status  </t>
    </r>
    <r>
      <rPr>
        <vertAlign val="superscript"/>
        <sz val="10"/>
        <rFont val="Times New Roman"/>
        <family val="1"/>
      </rPr>
      <t>d</t>
    </r>
  </si>
  <si>
    <r>
      <t xml:space="preserve">Report of performance test  </t>
    </r>
    <r>
      <rPr>
        <vertAlign val="superscript"/>
        <sz val="10"/>
        <rFont val="Times New Roman"/>
        <family val="1"/>
      </rPr>
      <t xml:space="preserve"> d</t>
    </r>
    <r>
      <rPr>
        <sz val="10"/>
        <rFont val="Times New Roman"/>
        <family val="1"/>
      </rPr>
      <t xml:space="preserve"> </t>
    </r>
  </si>
  <si>
    <t>Number of Respondents using CEMs</t>
  </si>
  <si>
    <t>Number of units using CEMs</t>
  </si>
  <si>
    <t>-</t>
  </si>
  <si>
    <r>
      <t xml:space="preserve">RATA for units using CEMs </t>
    </r>
    <r>
      <rPr>
        <vertAlign val="superscript"/>
        <sz val="10"/>
        <rFont val="Times New Roman"/>
        <family val="1"/>
      </rPr>
      <t>j</t>
    </r>
  </si>
  <si>
    <r>
      <t xml:space="preserve">Semiannual compliance reports  </t>
    </r>
    <r>
      <rPr>
        <vertAlign val="superscript"/>
        <sz val="10"/>
        <color rgb="FF000000"/>
        <rFont val="Times New Roman"/>
        <family val="1"/>
      </rPr>
      <t>k</t>
    </r>
  </si>
  <si>
    <r>
      <t xml:space="preserve">D. Develop record system  </t>
    </r>
    <r>
      <rPr>
        <vertAlign val="superscript"/>
        <sz val="10"/>
        <color rgb="FF000000"/>
        <rFont val="Times New Roman"/>
        <family val="1"/>
      </rPr>
      <t>l</t>
    </r>
  </si>
  <si>
    <r>
      <t xml:space="preserve">E. Time to enter information  </t>
    </r>
    <r>
      <rPr>
        <vertAlign val="superscript"/>
        <sz val="10"/>
        <color rgb="FF000000"/>
        <rFont val="Times New Roman"/>
        <family val="1"/>
      </rPr>
      <t xml:space="preserve">m, n </t>
    </r>
    <r>
      <rPr>
        <sz val="10"/>
        <color rgb="FF000000"/>
        <rFont val="Times New Roman"/>
        <family val="1"/>
      </rPr>
      <t xml:space="preserve"> </t>
    </r>
  </si>
  <si>
    <r>
      <t xml:space="preserve">Records of operations  </t>
    </r>
    <r>
      <rPr>
        <vertAlign val="superscript"/>
        <sz val="10"/>
        <color rgb="FF000000"/>
        <rFont val="Times New Roman"/>
        <family val="1"/>
      </rPr>
      <t>o</t>
    </r>
  </si>
  <si>
    <r>
      <t xml:space="preserve">H. Time to transmit or disclose information  </t>
    </r>
    <r>
      <rPr>
        <vertAlign val="superscript"/>
        <sz val="10"/>
        <color rgb="FF000000"/>
        <rFont val="Times New Roman"/>
        <family val="1"/>
      </rPr>
      <t xml:space="preserve"> o</t>
    </r>
  </si>
  <si>
    <r>
      <t>TOTAL LABOR BURDEN AND COST (rounded)</t>
    </r>
    <r>
      <rPr>
        <b/>
        <vertAlign val="superscript"/>
        <sz val="10"/>
        <color rgb="FF000000"/>
        <rFont val="Times New Roman"/>
        <family val="1"/>
      </rPr>
      <t>q</t>
    </r>
  </si>
  <si>
    <r>
      <t>Total Capital/O&amp;M Costs (rounded)</t>
    </r>
    <r>
      <rPr>
        <b/>
        <vertAlign val="superscript"/>
        <sz val="10"/>
        <rFont val="Times New Roman"/>
        <family val="1"/>
      </rPr>
      <t>q</t>
    </r>
  </si>
  <si>
    <r>
      <t>Grand Total (Labor and Capital/O&amp;M Costs)(rounded)</t>
    </r>
    <r>
      <rPr>
        <b/>
        <vertAlign val="superscript"/>
        <sz val="10"/>
        <rFont val="Times New Roman"/>
        <family val="1"/>
      </rPr>
      <t>q</t>
    </r>
  </si>
  <si>
    <t>hr/response</t>
  </si>
  <si>
    <r>
      <t>j</t>
    </r>
    <r>
      <rPr>
        <sz val="10"/>
        <rFont val="Times New Roman"/>
        <family val="1"/>
      </rPr>
      <t xml:space="preserve"> We assume that the burdens associated with RATA testing are roughly equal to those for a performance test (excluding the advance notice requirements). We also assume that there are 105 respondents with 253 SRU units (2.41 units/respondent). There are 27 respondents with SRUs using CEMs. Therefore, the number of SRUs using CEMs is 27 x 2.4 = 65 (rounded).</t>
    </r>
  </si>
  <si>
    <r>
      <t>k</t>
    </r>
    <r>
      <rPr>
        <sz val="10"/>
        <rFont val="Times New Roman"/>
        <family val="1"/>
      </rPr>
      <t xml:space="preserve"> We have assumed that all sources would be submitting semiannual compliance reports.</t>
    </r>
  </si>
  <si>
    <r>
      <t>l</t>
    </r>
    <r>
      <rPr>
        <sz val="10"/>
        <rFont val="Times New Roman"/>
        <family val="1"/>
      </rPr>
      <t xml:space="preserve">  We have assumed that these sources will have the record system in place to monitor operations. </t>
    </r>
  </si>
  <si>
    <r>
      <t>m</t>
    </r>
    <r>
      <rPr>
        <sz val="10"/>
        <rFont val="Times New Roman"/>
        <family val="1"/>
      </rPr>
      <t xml:space="preserve">  We have assumed that depending on the compliance option for the affected facility (i.e., catalytic cracking unit, sulfur recovery units, and by-pass lines) selected by the respondent and the size of the catalytic cracking unit and control device used (e.g., wet scrubber, electrostatic precipitator and thermal incinerators), sources are required to either install continuous opacity monitoring systems and/or continuous parameter monitoring, or choose an alternative option for parameter monitoring.    </t>
    </r>
  </si>
  <si>
    <r>
      <t>n</t>
    </r>
    <r>
      <rPr>
        <sz val="10"/>
        <rFont val="Times New Roman"/>
        <family val="1"/>
      </rPr>
      <t xml:space="preserve">  We have assumed that all respondents would have to keep records of their operations according to the operation and maintenance plan.</t>
    </r>
  </si>
  <si>
    <r>
      <t xml:space="preserve">q </t>
    </r>
    <r>
      <rPr>
        <sz val="10"/>
        <rFont val="Times New Roman"/>
        <family val="1"/>
      </rPr>
      <t xml:space="preserve">Totals have been rounded to 3 significant figures.  Figures may not add exactly due to rounding. </t>
    </r>
  </si>
  <si>
    <r>
      <t xml:space="preserve">b </t>
    </r>
    <r>
      <rPr>
        <sz val="10"/>
        <rFont val="Times New Roman"/>
        <family val="1"/>
      </rPr>
      <t xml:space="preserve"> This ICR uses the following labor rates: $141.06 per hour for Executive, Administrative, and Managerial labor; $120.27 per hour for Technical labor, and $58.67 per hour for Clerical labor.  These rates are from the United States Department of Labor, Bureau of Labor Statistics, June 2019, "Table 2. Civilian Workers, by Occupational and Industry group."  The rates are from column 1, "Total compensation."  The rates have been increased by 110 percent to account for the benefit packages available to those employed by private industry. </t>
    </r>
  </si>
  <si>
    <r>
      <t>a</t>
    </r>
    <r>
      <rPr>
        <sz val="10"/>
        <color theme="1"/>
        <rFont val="Times New Roman"/>
        <family val="1"/>
      </rPr>
      <t xml:space="preserve">  This cost is based on the following labor rates:  Managerial rate of $66.62 (GS-13, Step 5), Technical rate of $49.44 (GS-12, Step 1), and Clerical rate of $26.75 (GS-6, Step 3).  These rates are from the Office of Personnel Management (OPM) 2019 General Schedule which excludes locality rates of pay.  The rates have been increased by 60 percent to account for the benefit package available to government employees. </t>
    </r>
  </si>
  <si>
    <t xml:space="preserve">B. Required activities  </t>
  </si>
  <si>
    <r>
      <t xml:space="preserve">     Initial Performance test  </t>
    </r>
    <r>
      <rPr>
        <vertAlign val="superscript"/>
        <sz val="10"/>
        <rFont val="Times New Roman"/>
        <family val="1"/>
      </rPr>
      <t>d,e</t>
    </r>
    <r>
      <rPr>
        <sz val="10"/>
        <rFont val="Times New Roman"/>
        <family val="1"/>
      </rPr>
      <t xml:space="preserve"> </t>
    </r>
  </si>
  <si>
    <r>
      <t xml:space="preserve">Notification of performance test  </t>
    </r>
    <r>
      <rPr>
        <vertAlign val="superscript"/>
        <sz val="10"/>
        <rFont val="Times New Roman"/>
        <family val="1"/>
      </rPr>
      <t>d,e</t>
    </r>
  </si>
  <si>
    <t>Note: We estimate that there are 142 refineries (major sources) with 520 units. This includes 101 sources with 116 FCCU units, 114 sources with 151 CRU units, and 105 sources with 253 SRU units. Of sources with SRU units, we assume 27 sources are using CEMS on 65 units.</t>
  </si>
  <si>
    <r>
      <t xml:space="preserve">HCN Performance Test (internal) </t>
    </r>
    <r>
      <rPr>
        <vertAlign val="superscript"/>
        <sz val="10"/>
        <rFont val="Times New Roman"/>
        <family val="1"/>
      </rPr>
      <t>d,e,h</t>
    </r>
  </si>
  <si>
    <r>
      <t>b</t>
    </r>
    <r>
      <rPr>
        <sz val="10"/>
        <rFont val="Times New Roman"/>
        <family val="1"/>
      </rPr>
      <t xml:space="preserve">  We have assumed that this activity is a one-time activity that applies only to new sources.  </t>
    </r>
  </si>
  <si>
    <r>
      <t xml:space="preserve">   Notification of performance test  </t>
    </r>
    <r>
      <rPr>
        <vertAlign val="superscript"/>
        <sz val="10"/>
        <color rgb="FF000000"/>
        <rFont val="Times New Roman"/>
        <family val="1"/>
      </rPr>
      <t>b</t>
    </r>
  </si>
  <si>
    <r>
      <t xml:space="preserve">   Notification of PM performance test </t>
    </r>
    <r>
      <rPr>
        <vertAlign val="superscript"/>
        <sz val="10"/>
        <rFont val="Times New Roman"/>
        <family val="1"/>
      </rPr>
      <t>c</t>
    </r>
    <r>
      <rPr>
        <sz val="10"/>
        <rFont val="Times New Roman"/>
        <family val="1"/>
      </rPr>
      <t xml:space="preserve">  </t>
    </r>
  </si>
  <si>
    <r>
      <t xml:space="preserve">   Notification of HCN performance test </t>
    </r>
    <r>
      <rPr>
        <vertAlign val="superscript"/>
        <sz val="10"/>
        <rFont val="Times New Roman"/>
        <family val="1"/>
      </rPr>
      <t>d</t>
    </r>
    <r>
      <rPr>
        <sz val="10"/>
        <rFont val="Times New Roman"/>
        <family val="1"/>
      </rPr>
      <t xml:space="preserve">  </t>
    </r>
  </si>
  <si>
    <r>
      <t xml:space="preserve">   Review of revised operation, maintenance, and monitoring plan  </t>
    </r>
    <r>
      <rPr>
        <vertAlign val="superscript"/>
        <sz val="10"/>
        <color rgb="FF000000"/>
        <rFont val="Times New Roman"/>
        <family val="1"/>
      </rPr>
      <t>e</t>
    </r>
    <r>
      <rPr>
        <sz val="10"/>
        <color rgb="FF000000"/>
        <rFont val="Times New Roman"/>
        <family val="1"/>
      </rPr>
      <t xml:space="preserve"> </t>
    </r>
  </si>
  <si>
    <r>
      <t xml:space="preserve">   Review of RATA for CEMS </t>
    </r>
    <r>
      <rPr>
        <vertAlign val="superscript"/>
        <sz val="10"/>
        <rFont val="Times New Roman"/>
        <family val="1"/>
      </rPr>
      <t>f</t>
    </r>
  </si>
  <si>
    <r>
      <t xml:space="preserve">   Review of semiannual compliance reports </t>
    </r>
    <r>
      <rPr>
        <vertAlign val="superscript"/>
        <sz val="10"/>
        <color rgb="FF000000"/>
        <rFont val="Times New Roman"/>
        <family val="1"/>
      </rPr>
      <t>g</t>
    </r>
  </si>
  <si>
    <r>
      <t>TOTAL  ANNUAL BURDEN AND COST (rounded)</t>
    </r>
    <r>
      <rPr>
        <b/>
        <vertAlign val="superscript"/>
        <sz val="10"/>
        <color rgb="FF000000"/>
        <rFont val="Times New Roman"/>
        <family val="1"/>
      </rPr>
      <t>h</t>
    </r>
  </si>
  <si>
    <r>
      <t>d</t>
    </r>
    <r>
      <rPr>
        <sz val="10"/>
        <rFont val="Times New Roman"/>
        <family val="1"/>
      </rPr>
      <t xml:space="preserve">  The 2015 final rule required each catalytic cracking unit to conduct a one-time EPA Reference Method 320 test for HCN by August 1, 2017, or within 150 days of startup of a new unit. Therefore, it is assumed that this activity applies only to new units.</t>
    </r>
  </si>
  <si>
    <r>
      <t>c</t>
    </r>
    <r>
      <rPr>
        <sz val="10"/>
        <color theme="1"/>
        <rFont val="Times New Roman"/>
        <family val="1"/>
      </rPr>
      <t xml:space="preserve">  The 2015 final rule requires catalytic cracking unit catalyst regeneration to conduct EPA Reference Method (M5) PM testing every 5 years, unless the unit is subject to the “NSPS J” compliance option and the PM emissions rate during the most recent test is greater than 0.8 g PM/kg coke burn-off. For units in excess of that rate, testing is required annually. It was assumed that 10 percent of sources will require annual testing. There are 116 FCCUs that will test over the 3 years, so each year, approximately 50.3 performance tests will be conducted (116 units / 3 years + 116 × 0.1 = 50.3 tests/year.</t>
    </r>
  </si>
  <si>
    <r>
      <t>e</t>
    </r>
    <r>
      <rPr>
        <sz val="10"/>
        <rFont val="Times New Roman"/>
        <family val="1"/>
      </rPr>
      <t xml:space="preserve">  The 2015 final rule assumed approximately 101 facilities must revise the OMM Plan due to monitoring requirement changes for catalytic cracking unit catalyst regeneration; assumed 2 hrs to review the OMM Plan as a one-time activity.</t>
    </r>
  </si>
  <si>
    <r>
      <t xml:space="preserve">f </t>
    </r>
    <r>
      <rPr>
        <sz val="10"/>
        <rFont val="Times New Roman"/>
        <family val="1"/>
      </rPr>
      <t>We assume that the burdens associated with review of RATA testing are roughly equal to those for review of a performance test. We also assume that there are 105 respondents with 253 SRU units (2.41 units/respondent). There are 27 respondents with SRUs using CEMs. Therefore, the number of SRUs using CEMs is 27 x 2.4 = 65 (rounded).</t>
    </r>
  </si>
  <si>
    <r>
      <t>g</t>
    </r>
    <r>
      <rPr>
        <sz val="10"/>
        <rFont val="Times New Roman"/>
        <family val="1"/>
      </rPr>
      <t xml:space="preserve">  We have assumed that all sources would be submitting semiannual compliance reports.</t>
    </r>
  </si>
  <si>
    <r>
      <t xml:space="preserve">h </t>
    </r>
    <r>
      <rPr>
        <sz val="10"/>
        <rFont val="Times New Roman"/>
        <family val="1"/>
      </rPr>
      <t xml:space="preserve">Totals have been rounded to 3 significant figures.  Figures may not add exactly due to rounding. </t>
    </r>
  </si>
  <si>
    <r>
      <t>d</t>
    </r>
    <r>
      <rPr>
        <sz val="10"/>
        <rFont val="Times New Roman"/>
        <family val="1"/>
      </rPr>
      <t xml:space="preserve">  We have assumed that this activity is a one-time activity that applies only to new sources.  </t>
    </r>
  </si>
  <si>
    <r>
      <t>e</t>
    </r>
    <r>
      <rPr>
        <sz val="10"/>
        <rFont val="Times New Roman"/>
        <family val="1"/>
      </rPr>
      <t xml:space="preserve">  We have assumed that this activity has already occurred for existing sources.</t>
    </r>
  </si>
  <si>
    <r>
      <t>h</t>
    </r>
    <r>
      <rPr>
        <sz val="10"/>
        <rFont val="Times New Roman"/>
        <family val="1"/>
      </rPr>
      <t xml:space="preserve">  The 2015 final rule required each catalytic cracking unit to conduct a one-time EPA Reference Method 320 test for HCN by August 1, 2017, or within 150 days of startup of a new unit. Therefore, it is assumed that this activity applies only to new units.</t>
    </r>
  </si>
  <si>
    <r>
      <t>g</t>
    </r>
    <r>
      <rPr>
        <sz val="10"/>
        <rFont val="Times New Roman"/>
        <family val="1"/>
      </rPr>
      <t xml:space="preserve">  The 2015 final rule requires catalytic cracking unit catalyst regeneration to conduct EPA Reference Method (M5) PM testing every 5 years, unless the unit is subject to the “NSPS J” compliance option and the PM emissions rate during the most recent test is greater than 0.8 g PM/kg coke burn-off. For units in excess of that rate, testing is required annually. It was assumed that 10 percent of sources will require annual testing. There are 116 FCCUs that will test over the 3 years so each year, approximately 50.3 performance tests will be conducted (116 units / 3 years + 116 × 0.1 = 50.3 tests/year.</t>
    </r>
  </si>
  <si>
    <r>
      <t>o</t>
    </r>
    <r>
      <rPr>
        <sz val="10"/>
        <rFont val="Times New Roman"/>
        <family val="1"/>
      </rPr>
      <t xml:space="preserve">  We have assumed that it will take each respondent approximately one hour to record data per week (52 weeks) and 15 minutes to transmit it semiannually.</t>
    </r>
  </si>
  <si>
    <r>
      <t xml:space="preserve">p </t>
    </r>
    <r>
      <rPr>
        <sz val="10"/>
        <rFont val="Times New Roman"/>
        <family val="1"/>
      </rPr>
      <t>These costs reflect the one-time engineering evaluation and personnel training costs relative to the catalytic reforming unit catalyst regeneration operational changes made in the 2015 final rule. Therefore, it is assumed that this activity now applies only to new units.</t>
    </r>
  </si>
  <si>
    <r>
      <t xml:space="preserve">F. Time to train personnel  </t>
    </r>
    <r>
      <rPr>
        <vertAlign val="superscript"/>
        <sz val="10"/>
        <rFont val="Times New Roman"/>
        <family val="1"/>
      </rPr>
      <t>d, p</t>
    </r>
  </si>
  <si>
    <t>&lt;- One time test required for new units.</t>
  </si>
  <si>
    <t>&lt;- One time test required by 8/15/2017 rule.</t>
  </si>
  <si>
    <t>&lt;- Line included a one time requirement from 8/15/2017 rule.</t>
  </si>
  <si>
    <t>&lt;-New line item, should have been included in prior ICR</t>
  </si>
  <si>
    <r>
      <t>a</t>
    </r>
    <r>
      <rPr>
        <sz val="10"/>
        <rFont val="Times New Roman"/>
        <family val="1"/>
      </rPr>
      <t xml:space="preserve">  We have determined that 142 major petroleum refineries will have one or more affected facilities subject to the standard. This includes 101 sources with 116 FCCU.  No new or reconstructed facilities are expected over the next 3 years. </t>
    </r>
  </si>
  <si>
    <r>
      <rPr>
        <vertAlign val="superscript"/>
        <sz val="10"/>
        <rFont val="Times New Roman"/>
        <family val="1"/>
      </rPr>
      <t>c</t>
    </r>
    <r>
      <rPr>
        <sz val="10"/>
        <rFont val="Times New Roman"/>
        <family val="1"/>
      </rPr>
      <t xml:space="preserve"> Assumed 142 facilities will refamiliarize themselves with the Subpart UUU rule during the upcoming 3-year ICR period.</t>
    </r>
  </si>
  <si>
    <r>
      <t xml:space="preserve">f </t>
    </r>
    <r>
      <rPr>
        <sz val="10"/>
        <rFont val="Times New Roman"/>
        <family val="1"/>
      </rPr>
      <t>As a result of the December 2015 final rule amendments, the startup, shutdown and malfunction (SSM) exemption has been eliminated. Therefore, this requirement is no longer relevant, and can be removed from future ICR supporting statements.</t>
    </r>
  </si>
  <si>
    <r>
      <t>i</t>
    </r>
    <r>
      <rPr>
        <sz val="10"/>
        <rFont val="Times New Roman"/>
        <family val="1"/>
      </rPr>
      <t xml:space="preserve"> The 2015 final rule assumed approximately 101 facilities must revise the OMM Plan due to monitoring requirement changes for catalytic cracking unit catalyst regeneration; assumed 20 hrs to revise the OMM Plan as a one-time activity.</t>
    </r>
  </si>
  <si>
    <t>Capital/Startup vs. Operation and Maintenance (O&amp;M) Costs</t>
  </si>
  <si>
    <t>Continuous Monitoring Device</t>
  </si>
  <si>
    <t>Capital/Startup Cost for One Respondent</t>
  </si>
  <si>
    <t xml:space="preserve">Number of New Respondents </t>
  </si>
  <si>
    <t xml:space="preserve">Total Capital/Startup Cost, </t>
  </si>
  <si>
    <t>(B X C)</t>
  </si>
  <si>
    <t>Annual O&amp;M Costs for One Respondent</t>
  </si>
  <si>
    <t>Number of Respondents with O&amp;M</t>
  </si>
  <si>
    <t>Total O&amp;M,</t>
  </si>
  <si>
    <t>(E X F)</t>
  </si>
  <si>
    <r>
      <t xml:space="preserve">COMS </t>
    </r>
    <r>
      <rPr>
        <vertAlign val="superscript"/>
        <sz val="10"/>
        <color theme="1"/>
        <rFont val="Times New Roman"/>
        <family val="1"/>
      </rPr>
      <t>a</t>
    </r>
    <r>
      <rPr>
        <sz val="10"/>
        <color theme="1"/>
        <rFont val="Times New Roman"/>
        <family val="1"/>
      </rPr>
      <t xml:space="preserve"> (FCCUs)</t>
    </r>
  </si>
  <si>
    <r>
      <t xml:space="preserve">CPMS </t>
    </r>
    <r>
      <rPr>
        <vertAlign val="superscript"/>
        <sz val="10"/>
        <color theme="1"/>
        <rFont val="Times New Roman"/>
        <family val="1"/>
      </rPr>
      <t>b</t>
    </r>
    <r>
      <rPr>
        <sz val="10"/>
        <color theme="1"/>
        <rFont val="Times New Roman"/>
        <family val="1"/>
      </rPr>
      <t xml:space="preserve"> (FCCUs)</t>
    </r>
  </si>
  <si>
    <t>CPMS (CRUs)</t>
  </si>
  <si>
    <r>
      <t xml:space="preserve">$17,940 </t>
    </r>
    <r>
      <rPr>
        <vertAlign val="superscript"/>
        <sz val="10"/>
        <color theme="1"/>
        <rFont val="Times New Roman"/>
        <family val="1"/>
      </rPr>
      <t>c</t>
    </r>
  </si>
  <si>
    <r>
      <t>151</t>
    </r>
    <r>
      <rPr>
        <vertAlign val="superscript"/>
        <sz val="10"/>
        <color theme="1"/>
        <rFont val="Times New Roman"/>
        <family val="1"/>
      </rPr>
      <t>c</t>
    </r>
  </si>
  <si>
    <t>CPMS (SRUs)</t>
  </si>
  <si>
    <r>
      <t xml:space="preserve">CEMS </t>
    </r>
    <r>
      <rPr>
        <vertAlign val="superscript"/>
        <sz val="10"/>
        <color theme="1"/>
        <rFont val="Times New Roman"/>
        <family val="1"/>
      </rPr>
      <t>d</t>
    </r>
    <r>
      <rPr>
        <sz val="10"/>
        <color theme="1"/>
        <rFont val="Times New Roman"/>
        <family val="1"/>
      </rPr>
      <t xml:space="preserve"> (SRUs)</t>
    </r>
  </si>
  <si>
    <r>
      <t xml:space="preserve">PM Performance Test (outsourced) </t>
    </r>
    <r>
      <rPr>
        <vertAlign val="superscript"/>
        <sz val="10"/>
        <color theme="1"/>
        <rFont val="Times New Roman"/>
        <family val="1"/>
      </rPr>
      <t>e</t>
    </r>
  </si>
  <si>
    <r>
      <t xml:space="preserve">HCN Performance Test (outsourced) </t>
    </r>
    <r>
      <rPr>
        <vertAlign val="superscript"/>
        <sz val="10"/>
        <color theme="1"/>
        <rFont val="Times New Roman"/>
        <family val="1"/>
      </rPr>
      <t>f</t>
    </r>
  </si>
  <si>
    <r>
      <t xml:space="preserve">TOTAL </t>
    </r>
    <r>
      <rPr>
        <b/>
        <vertAlign val="superscript"/>
        <sz val="10"/>
        <color theme="1"/>
        <rFont val="Times New Roman"/>
        <family val="1"/>
      </rPr>
      <t>g</t>
    </r>
  </si>
  <si>
    <t xml:space="preserve"> Note: We estimate that there are 142 refineries (major sources) with 520 units. This includes 101 sources with 116 FCCU units, 114 sources with 151 CRU units, and 105 sources with 253 SRU units.</t>
  </si>
  <si>
    <r>
      <t>a</t>
    </r>
    <r>
      <rPr>
        <sz val="12"/>
        <rFont val="Times New Roman"/>
        <family val="1"/>
      </rPr>
      <t xml:space="preserve"> </t>
    </r>
    <r>
      <rPr>
        <sz val="10"/>
        <rFont val="Times New Roman"/>
        <family val="1"/>
      </rPr>
      <t xml:space="preserve"> COMS – continuous opacity monitoring system</t>
    </r>
  </si>
  <si>
    <r>
      <t>b</t>
    </r>
    <r>
      <rPr>
        <sz val="12"/>
        <rFont val="Times New Roman"/>
        <family val="1"/>
      </rPr>
      <t xml:space="preserve">  </t>
    </r>
    <r>
      <rPr>
        <sz val="10"/>
        <rFont val="Times New Roman"/>
        <family val="1"/>
      </rPr>
      <t>CPMS – continuous parametric monitoring system</t>
    </r>
  </si>
  <si>
    <r>
      <t xml:space="preserve">c   </t>
    </r>
    <r>
      <rPr>
        <sz val="10"/>
        <rFont val="Times New Roman"/>
        <family val="1"/>
      </rPr>
      <t>We estimate that there are 151 CRUs using CPMS for monitoring, with an O&amp;M cost of $17,940 per CPMS.</t>
    </r>
  </si>
  <si>
    <r>
      <t>d</t>
    </r>
    <r>
      <rPr>
        <sz val="12"/>
        <rFont val="Times New Roman"/>
        <family val="1"/>
      </rPr>
      <t xml:space="preserve"> </t>
    </r>
    <r>
      <rPr>
        <sz val="10"/>
        <rFont val="Times New Roman"/>
        <family val="1"/>
      </rPr>
      <t xml:space="preserve">CEMS – continuous emission monitoring system. </t>
    </r>
    <r>
      <rPr>
        <sz val="10"/>
        <color rgb="FF000000"/>
        <rFont val="Times New Roman"/>
        <family val="1"/>
      </rPr>
      <t>We assume 27 sources with SRU units are using CEMS on 65 units.</t>
    </r>
  </si>
  <si>
    <r>
      <t>e</t>
    </r>
    <r>
      <rPr>
        <sz val="12"/>
        <rFont val="Times New Roman"/>
        <family val="1"/>
      </rPr>
      <t xml:space="preserve">  </t>
    </r>
    <r>
      <rPr>
        <sz val="10"/>
        <color rgb="FF000000"/>
        <rFont val="Times New Roman"/>
        <family val="1"/>
      </rPr>
      <t>The 2015 final rule amendments required facilities with FCCU to conduct EPA Reference Method (M5) PM testing every 5 years, unless the “NSPS J” compliance option is used (i.e., the fixed 20 percent opacity operating limit compliance alternative), and the PM emissions rate during the most recent test is greater than 0.8 g PM/kg coke burn-off, in which case the testing frequency will be annually. It was assumed that approximately 10% of sources will require annual testing.</t>
    </r>
    <r>
      <rPr>
        <sz val="10"/>
        <rFont val="Times New Roman"/>
        <family val="1"/>
      </rPr>
      <t xml:space="preserve"> In the upcoming 3-year ICR period, we assume that a total of 50.3 units per year will need to have a PM performance test (116 units/3 years + 116 × 0.1 = 50.3). We assume it costs $9,200 per unit to conduct a EPA Method 5 performance test.</t>
    </r>
  </si>
  <si>
    <r>
      <t xml:space="preserve">f  </t>
    </r>
    <r>
      <rPr>
        <vertAlign val="superscript"/>
        <sz val="10"/>
        <rFont val="Times New Roman"/>
        <family val="1"/>
      </rPr>
      <t xml:space="preserve"> </t>
    </r>
    <r>
      <rPr>
        <sz val="10"/>
        <rFont val="Times New Roman"/>
        <family val="1"/>
      </rPr>
      <t xml:space="preserve">The 2015 final rule amendments required </t>
    </r>
    <r>
      <rPr>
        <sz val="10"/>
        <color rgb="FF000000"/>
        <rFont val="Times New Roman"/>
        <family val="1"/>
      </rPr>
      <t xml:space="preserve">a one-time performance test for HCN for catalytic cracking unit catalyst regeneration by August 1, 2017, or within 150 days of startup of a new unit. Therefore, it is assumed that this activity applies only to new units. </t>
    </r>
    <r>
      <rPr>
        <sz val="10"/>
        <rFont val="Times New Roman"/>
        <family val="1"/>
      </rPr>
      <t>We assume it costs $10,000 per unit to conduct a EPA Method 320 performance test.</t>
    </r>
  </si>
  <si>
    <r>
      <t xml:space="preserve">g   </t>
    </r>
    <r>
      <rPr>
        <sz val="10"/>
        <rFont val="Times New Roman"/>
        <family val="1"/>
      </rPr>
      <t xml:space="preserve">Totals have been rounded to 3 significant figures. Figures may not add exactly due to rounding. </t>
    </r>
  </si>
  <si>
    <t>Total Annual Responses</t>
  </si>
  <si>
    <t>Information Collection Activity</t>
  </si>
  <si>
    <t>Number of Respondents</t>
  </si>
  <si>
    <t>Number of Responses</t>
  </si>
  <si>
    <t>Number of Existing Respondents That Keep Records But Do Not Submit Reports</t>
  </si>
  <si>
    <t>E=(BxC)+D</t>
  </si>
  <si>
    <t>Notification of particulate matter performance test</t>
  </si>
  <si>
    <r>
      <t>50.3</t>
    </r>
    <r>
      <rPr>
        <vertAlign val="superscript"/>
        <sz val="10"/>
        <color theme="1"/>
        <rFont val="Times New Roman"/>
        <family val="1"/>
      </rPr>
      <t>a</t>
    </r>
  </si>
  <si>
    <r>
      <t>1.15</t>
    </r>
    <r>
      <rPr>
        <vertAlign val="superscript"/>
        <sz val="10"/>
        <color theme="1"/>
        <rFont val="Times New Roman"/>
        <family val="1"/>
      </rPr>
      <t>c</t>
    </r>
  </si>
  <si>
    <t>Notification of HCN performance test</t>
  </si>
  <si>
    <r>
      <t>0</t>
    </r>
    <r>
      <rPr>
        <vertAlign val="superscript"/>
        <sz val="10"/>
        <color theme="1"/>
        <rFont val="Times New Roman"/>
        <family val="1"/>
      </rPr>
      <t>b</t>
    </r>
  </si>
  <si>
    <t>Operation, maintenance, and monitoring plan</t>
  </si>
  <si>
    <r>
      <t>0</t>
    </r>
    <r>
      <rPr>
        <vertAlign val="superscript"/>
        <sz val="10"/>
        <color theme="1"/>
        <rFont val="Times New Roman"/>
        <family val="1"/>
      </rPr>
      <t>d</t>
    </r>
  </si>
  <si>
    <t>Particulate matter performance test reports</t>
  </si>
  <si>
    <t>HCN performance test reports</t>
  </si>
  <si>
    <t>Engineering assessment for evaluation of catalytic reforming unit operational requirements</t>
  </si>
  <si>
    <r>
      <t>0</t>
    </r>
    <r>
      <rPr>
        <vertAlign val="superscript"/>
        <sz val="10"/>
        <color theme="1"/>
        <rFont val="Times New Roman"/>
        <family val="1"/>
      </rPr>
      <t>e</t>
    </r>
  </si>
  <si>
    <r>
      <t>Notification of performance test</t>
    </r>
    <r>
      <rPr>
        <vertAlign val="superscript"/>
        <sz val="10"/>
        <color theme="1"/>
        <rFont val="Times New Roman"/>
        <family val="1"/>
      </rPr>
      <t xml:space="preserve"> f</t>
    </r>
  </si>
  <si>
    <t>Semiannual compliance report</t>
  </si>
  <si>
    <t>Relative accuracy test audits for units using CEMs</t>
  </si>
  <si>
    <r>
      <t xml:space="preserve">2.41 </t>
    </r>
    <r>
      <rPr>
        <vertAlign val="superscript"/>
        <sz val="10"/>
        <color theme="1"/>
        <rFont val="Times New Roman"/>
        <family val="1"/>
      </rPr>
      <t>g</t>
    </r>
  </si>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</sst>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43" formatCode="_(* #,##0.00_);_(* \(#,##0.00\);_(* &quot;-&quot;??_);_(@_)"/>
    <numFmt numFmtId="164" formatCode="0.0"/>
  </numFmts>
  <fonts count="30" x14ac:knownFonts="1">
    <font>
      <sz val="11"/>
      <color theme="1"/>
      <name val="Calibri"/>
      <family val="2"/>
      <scheme val="minor"/>
    </font>
    <font>
      <sz val="10"/>
      <color theme="1"/>
      <name val="Times New Roman"/>
      <family val="1"/>
    </font>
    <font>
      <sz val="10"/>
      <color rgb="FF000000"/>
      <name val="Times New Roman"/>
      <family val="1"/>
    </font>
    <font>
      <vertAlign val="superscript"/>
      <sz val="10"/>
      <color rgb="FF000000"/>
      <name val="Times New Roman"/>
      <family val="1"/>
    </font>
    <font>
      <b/>
      <sz val="10"/>
      <color rgb="FF000000"/>
      <name val="Times New Roman"/>
      <family val="1"/>
    </font>
    <font>
      <b/>
      <vertAlign val="superscript"/>
      <sz val="10"/>
      <color rgb="FF000000"/>
      <name val="Times New Roman"/>
      <family val="1"/>
    </font>
    <font>
      <b/>
      <sz val="10"/>
      <color theme="1"/>
      <name val="Times New Roman"/>
      <family val="1"/>
    </font>
    <font>
      <vertAlign val="superscript"/>
      <sz val="10"/>
      <color theme="1"/>
      <name val="Times New Roman"/>
      <family val="1"/>
    </font>
    <font>
      <sz val="11"/>
      <color rgb="FFFF0000"/>
      <name val="Calibri"/>
      <family val="2"/>
      <scheme val="minor"/>
    </font>
    <font>
      <sz val="10"/>
      <color theme="1"/>
      <name val="Calibri"/>
      <family val="2"/>
      <scheme val="minor"/>
    </font>
    <font>
      <sz val="9"/>
      <color indexed="81"/>
      <name val="Tahoma"/>
      <family val="2"/>
    </font>
    <font>
      <b/>
      <sz val="9"/>
      <color indexed="81"/>
      <name val="Tahoma"/>
      <family val="2"/>
    </font>
    <font>
      <b/>
      <sz val="10"/>
      <name val="Times New Roman"/>
      <family val="1"/>
    </font>
    <font>
      <b/>
      <vertAlign val="superscript"/>
      <sz val="10"/>
      <name val="Times New Roman"/>
      <family val="1"/>
    </font>
    <font>
      <u/>
      <sz val="10"/>
      <color theme="1"/>
      <name val="Calibri"/>
      <family val="2"/>
      <scheme val="minor"/>
    </font>
    <font>
      <sz val="10"/>
      <name val="Times New Roman"/>
      <family val="1"/>
    </font>
    <font>
      <vertAlign val="superscript"/>
      <sz val="10"/>
      <name val="Times New Roman"/>
      <family val="1"/>
    </font>
    <font>
      <sz val="11"/>
      <color theme="1"/>
      <name val="Times New Roman"/>
      <family val="1"/>
    </font>
    <font>
      <sz val="11"/>
      <name val="Calibri"/>
      <family val="2"/>
      <scheme val="minor"/>
    </font>
    <font>
      <b/>
      <sz val="11"/>
      <name val="Calibri"/>
      <family val="2"/>
      <scheme val="minor"/>
    </font>
    <font>
      <sz val="10"/>
      <name val="Calibri"/>
      <family val="2"/>
      <scheme val="minor"/>
    </font>
    <font>
      <sz val="11"/>
      <color theme="1"/>
      <name val="Calibri"/>
      <family val="2"/>
      <scheme val="minor"/>
    </font>
    <font>
      <u/>
      <sz val="10"/>
      <color rgb="FFFF0000"/>
      <name val="Calibri"/>
      <family val="2"/>
      <scheme val="minor"/>
    </font>
    <font>
      <sz val="12"/>
      <color rgb="FF000000"/>
      <name val="Times New Roman"/>
      <family val="1"/>
    </font>
    <font>
      <b/>
      <sz val="12"/>
      <color rgb="FF000000"/>
      <name val="Times New Roman"/>
      <family val="1"/>
    </font>
    <font>
      <b/>
      <vertAlign val="superscript"/>
      <sz val="10"/>
      <color theme="1"/>
      <name val="Times New Roman"/>
      <family val="1"/>
    </font>
    <font>
      <vertAlign val="superscript"/>
      <sz val="12"/>
      <name val="Times New Roman"/>
      <family val="1"/>
    </font>
    <font>
      <sz val="12"/>
      <name val="Times New Roman"/>
      <family val="1"/>
    </font>
    <font>
      <b/>
      <sz val="9"/>
      <color rgb="FF000000"/>
      <name val="Times New Roman"/>
      <family val="1"/>
    </font>
    <font>
      <sz val="9"/>
      <color rgb="FF000000"/>
      <name val="Times New Roman"/>
      <family val="1"/>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FFFFFF"/>
      </bottom>
      <diagonal/>
    </border>
    <border>
      <left/>
      <right/>
      <top/>
      <bottom style="medium">
        <color rgb="FFFFFFFF"/>
      </bottom>
      <diagonal/>
    </border>
    <border>
      <left/>
      <right style="medium">
        <color rgb="FF000000"/>
      </right>
      <top/>
      <bottom style="medium">
        <color rgb="FFFFFFFF"/>
      </bottom>
      <diagonal/>
    </border>
    <border>
      <left style="medium">
        <color rgb="FF000000"/>
      </left>
      <right style="medium">
        <color rgb="FFFFFFFF"/>
      </right>
      <top/>
      <bottom style="medium">
        <color rgb="FFFFFFFF"/>
      </bottom>
      <diagonal/>
    </border>
    <border>
      <left style="medium">
        <color rgb="FF000000"/>
      </left>
      <right style="medium">
        <color rgb="FFFFFFFF"/>
      </right>
      <top/>
      <bottom/>
      <diagonal/>
    </border>
    <border>
      <left/>
      <right style="medium">
        <color rgb="FFFFFFFF"/>
      </right>
      <top/>
      <bottom style="medium">
        <color rgb="FFFFFFFF"/>
      </bottom>
      <diagonal/>
    </border>
    <border>
      <left/>
      <right style="medium">
        <color rgb="FFFFFFFF"/>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s>
  <cellStyleXfs count="2">
    <xf numFmtId="0" fontId="0" fillId="0" borderId="0"/>
    <xf numFmtId="43" fontId="21" fillId="0" borderId="0" applyFont="0" applyFill="0" applyBorder="0" applyAlignment="0" applyProtection="0"/>
  </cellStyleXfs>
  <cellXfs count="119">
    <xf numFmtId="0" fontId="0" fillId="0" borderId="0" xfId="0"/>
    <xf numFmtId="0" fontId="0" fillId="0" borderId="0" xfId="0" applyAlignment="1"/>
    <xf numFmtId="0" fontId="2"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1" fillId="0" borderId="1" xfId="0" applyFont="1" applyBorder="1" applyAlignment="1">
      <alignment vertical="center" wrapText="1"/>
    </xf>
    <xf numFmtId="0" fontId="2" fillId="0" borderId="1" xfId="0" applyFont="1" applyBorder="1" applyAlignment="1">
      <alignment horizontal="right" vertical="center" wrapText="1" indent="1"/>
    </xf>
    <xf numFmtId="6" fontId="2" fillId="0" borderId="1" xfId="0" applyNumberFormat="1" applyFont="1" applyBorder="1" applyAlignment="1">
      <alignment horizontal="right" vertical="center" wrapText="1"/>
    </xf>
    <xf numFmtId="0" fontId="2" fillId="0" borderId="1" xfId="0" applyFont="1" applyBorder="1" applyAlignment="1">
      <alignment vertical="center" wrapText="1"/>
    </xf>
    <xf numFmtId="0" fontId="4" fillId="0" borderId="1" xfId="0" applyFont="1" applyBorder="1" applyAlignment="1">
      <alignment horizontal="left" vertical="center" wrapText="1" inden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6" fontId="4" fillId="0" borderId="1" xfId="0" applyNumberFormat="1" applyFont="1" applyBorder="1" applyAlignment="1">
      <alignment vertical="center" wrapText="1"/>
    </xf>
    <xf numFmtId="0" fontId="1" fillId="0" borderId="1" xfId="0" applyFont="1" applyBorder="1" applyAlignment="1">
      <alignment horizontal="center" vertical="center" wrapText="1"/>
    </xf>
    <xf numFmtId="0" fontId="6" fillId="0" borderId="0" xfId="0" applyFont="1" applyAlignment="1">
      <alignment vertical="center"/>
    </xf>
    <xf numFmtId="8" fontId="2" fillId="0" borderId="1" xfId="0" applyNumberFormat="1" applyFont="1" applyBorder="1" applyAlignment="1">
      <alignment horizontal="right" vertical="center" wrapText="1" indent="1"/>
    </xf>
    <xf numFmtId="6" fontId="2" fillId="0" borderId="1" xfId="0" applyNumberFormat="1" applyFont="1" applyBorder="1" applyAlignment="1">
      <alignment horizontal="right" vertical="center" wrapText="1" indent="1"/>
    </xf>
    <xf numFmtId="6" fontId="4" fillId="0" borderId="1" xfId="0" applyNumberFormat="1" applyFont="1" applyBorder="1" applyAlignment="1">
      <alignment horizontal="right" vertical="center" wrapText="1" indent="1"/>
    </xf>
    <xf numFmtId="2" fontId="2" fillId="0" borderId="1" xfId="0" applyNumberFormat="1" applyFont="1" applyBorder="1" applyAlignment="1">
      <alignment horizontal="center" vertical="center" wrapText="1"/>
    </xf>
    <xf numFmtId="6" fontId="4" fillId="0" borderId="1" xfId="0" applyNumberFormat="1" applyFont="1" applyBorder="1" applyAlignment="1">
      <alignment horizontal="right" vertical="center" wrapText="1"/>
    </xf>
    <xf numFmtId="0" fontId="4" fillId="0" borderId="0" xfId="0" applyFont="1" applyBorder="1" applyAlignment="1">
      <alignment horizontal="left" vertical="center" wrapText="1"/>
    </xf>
    <xf numFmtId="3" fontId="4" fillId="0" borderId="0" xfId="0" applyNumberFormat="1" applyFont="1" applyBorder="1" applyAlignment="1">
      <alignment horizontal="center" vertical="center" wrapText="1"/>
    </xf>
    <xf numFmtId="6" fontId="4" fillId="0" borderId="0" xfId="0" applyNumberFormat="1" applyFont="1" applyBorder="1" applyAlignment="1">
      <alignment vertical="center" wrapText="1"/>
    </xf>
    <xf numFmtId="6" fontId="6" fillId="0" borderId="1" xfId="0" applyNumberFormat="1" applyFont="1" applyBorder="1" applyAlignment="1">
      <alignment vertical="center" wrapText="1"/>
    </xf>
    <xf numFmtId="0" fontId="14" fillId="0" borderId="0" xfId="0" applyFont="1"/>
    <xf numFmtId="0" fontId="9" fillId="0" borderId="0" xfId="0" applyFont="1"/>
    <xf numFmtId="0" fontId="15" fillId="0" borderId="1" xfId="0" applyFont="1" applyBorder="1" applyAlignment="1">
      <alignment horizontal="center" vertical="center" wrapText="1"/>
    </xf>
    <xf numFmtId="1"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indent="2"/>
    </xf>
    <xf numFmtId="0" fontId="17" fillId="0" borderId="0" xfId="0" applyFont="1" applyAlignment="1"/>
    <xf numFmtId="0" fontId="17" fillId="0" borderId="0" xfId="0" applyFont="1"/>
    <xf numFmtId="0" fontId="2" fillId="0" borderId="1" xfId="0" applyFont="1" applyBorder="1" applyAlignment="1">
      <alignment horizontal="left" vertical="center" wrapText="1" indent="4"/>
    </xf>
    <xf numFmtId="0" fontId="15" fillId="0" borderId="1" xfId="0" applyFont="1" applyBorder="1" applyAlignment="1">
      <alignment horizontal="left" vertical="center" wrapText="1" indent="2"/>
    </xf>
    <xf numFmtId="0" fontId="18" fillId="0" borderId="1" xfId="0" applyFont="1" applyBorder="1" applyAlignment="1">
      <alignment horizontal="center"/>
    </xf>
    <xf numFmtId="0" fontId="19" fillId="0" borderId="1" xfId="0" applyFont="1" applyBorder="1" applyAlignment="1">
      <alignment horizontal="center" wrapText="1"/>
    </xf>
    <xf numFmtId="0" fontId="15" fillId="0" borderId="1" xfId="0" applyFont="1" applyBorder="1" applyAlignment="1">
      <alignment horizontal="left" vertical="center" wrapText="1" indent="1"/>
    </xf>
    <xf numFmtId="164" fontId="15" fillId="0" borderId="1" xfId="0" applyNumberFormat="1" applyFont="1" applyBorder="1" applyAlignment="1">
      <alignment horizontal="center" vertical="center" wrapText="1"/>
    </xf>
    <xf numFmtId="2" fontId="15" fillId="0" borderId="1" xfId="0" applyNumberFormat="1" applyFont="1" applyBorder="1" applyAlignment="1">
      <alignment horizontal="center" vertical="center" wrapText="1"/>
    </xf>
    <xf numFmtId="8" fontId="15" fillId="0" borderId="1" xfId="0" applyNumberFormat="1" applyFont="1" applyBorder="1" applyAlignment="1">
      <alignment horizontal="right" vertical="center" wrapText="1" indent="1"/>
    </xf>
    <xf numFmtId="0" fontId="15" fillId="0" borderId="1" xfId="0" applyFont="1" applyFill="1" applyBorder="1" applyAlignment="1">
      <alignment horizontal="left" vertical="center" wrapText="1" indent="2"/>
    </xf>
    <xf numFmtId="0" fontId="15" fillId="0" borderId="1" xfId="0" applyFont="1" applyFill="1" applyBorder="1" applyAlignment="1">
      <alignment horizontal="center" vertical="center" wrapText="1"/>
    </xf>
    <xf numFmtId="6" fontId="15" fillId="0" borderId="1" xfId="0" applyNumberFormat="1" applyFont="1" applyFill="1" applyBorder="1" applyAlignment="1">
      <alignment horizontal="right" vertical="center" wrapText="1"/>
    </xf>
    <xf numFmtId="0" fontId="15" fillId="0" borderId="1" xfId="0" applyFont="1" applyBorder="1" applyAlignment="1">
      <alignment horizontal="left" vertical="center" wrapText="1" indent="4"/>
    </xf>
    <xf numFmtId="6" fontId="15" fillId="0" borderId="1" xfId="0" applyNumberFormat="1" applyFont="1" applyBorder="1" applyAlignment="1">
      <alignment horizontal="right" vertical="center" wrapText="1"/>
    </xf>
    <xf numFmtId="0" fontId="19" fillId="0" borderId="1" xfId="0" applyFont="1" applyFill="1" applyBorder="1" applyAlignment="1">
      <alignment horizontal="center" wrapText="1"/>
    </xf>
    <xf numFmtId="0" fontId="0" fillId="0" borderId="1" xfId="0" applyBorder="1" applyAlignment="1">
      <alignment horizontal="center"/>
    </xf>
    <xf numFmtId="1" fontId="0" fillId="0" borderId="1" xfId="0" applyNumberFormat="1" applyBorder="1" applyAlignment="1">
      <alignment horizontal="center"/>
    </xf>
    <xf numFmtId="1" fontId="15" fillId="0" borderId="1" xfId="0" applyNumberFormat="1" applyFont="1" applyBorder="1" applyAlignment="1">
      <alignment horizontal="center" vertical="center" wrapText="1"/>
    </xf>
    <xf numFmtId="6" fontId="15" fillId="0" borderId="1" xfId="0" applyNumberFormat="1" applyFont="1" applyBorder="1" applyAlignment="1">
      <alignment horizontal="right" vertical="center" wrapText="1" indent="1"/>
    </xf>
    <xf numFmtId="6" fontId="15" fillId="0" borderId="1" xfId="0" applyNumberFormat="1" applyFont="1" applyBorder="1" applyAlignment="1">
      <alignment vertical="center" wrapText="1"/>
    </xf>
    <xf numFmtId="0" fontId="8" fillId="0" borderId="0" xfId="0" applyFont="1"/>
    <xf numFmtId="0" fontId="2" fillId="0" borderId="0" xfId="0" applyFont="1" applyAlignment="1">
      <alignment horizontal="left" vertical="center" indent="1"/>
    </xf>
    <xf numFmtId="0" fontId="22" fillId="0" borderId="0" xfId="0" applyFont="1"/>
    <xf numFmtId="164" fontId="15" fillId="0" borderId="1" xfId="0" applyNumberFormat="1" applyFont="1" applyFill="1" applyBorder="1" applyAlignment="1">
      <alignment horizontal="center" vertical="center" wrapText="1"/>
    </xf>
    <xf numFmtId="1" fontId="15"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164" fontId="0" fillId="0" borderId="0" xfId="0" applyNumberFormat="1" applyFill="1"/>
    <xf numFmtId="0" fontId="8" fillId="0" borderId="0" xfId="0" applyFont="1"/>
    <xf numFmtId="0" fontId="8" fillId="0" borderId="0" xfId="0" applyFont="1"/>
    <xf numFmtId="0" fontId="24" fillId="0" borderId="14" xfId="0" applyFont="1" applyBorder="1" applyAlignment="1">
      <alignment vertical="center" wrapText="1"/>
    </xf>
    <xf numFmtId="0" fontId="2" fillId="0" borderId="14" xfId="0" applyFont="1" applyBorder="1" applyAlignment="1">
      <alignment horizontal="center" vertical="center" wrapText="1"/>
    </xf>
    <xf numFmtId="0" fontId="2" fillId="0" borderId="14" xfId="0" applyFont="1" applyBorder="1" applyAlignment="1">
      <alignment vertical="center" wrapText="1"/>
    </xf>
    <xf numFmtId="0" fontId="0" fillId="0" borderId="13" xfId="0" applyBorder="1" applyAlignment="1">
      <alignment vertical="top" wrapText="1"/>
    </xf>
    <xf numFmtId="0" fontId="2" fillId="0" borderId="16" xfId="0" applyFont="1" applyBorder="1" applyAlignment="1">
      <alignment vertical="center" wrapText="1"/>
    </xf>
    <xf numFmtId="0" fontId="2" fillId="0" borderId="16" xfId="0" applyFont="1" applyBorder="1" applyAlignment="1">
      <alignment horizontal="center" vertical="center" wrapText="1"/>
    </xf>
    <xf numFmtId="0" fontId="0" fillId="0" borderId="15" xfId="0" applyBorder="1" applyAlignment="1">
      <alignment vertical="top" wrapText="1"/>
    </xf>
    <xf numFmtId="0" fontId="2" fillId="0" borderId="15" xfId="0" applyFont="1" applyBorder="1" applyAlignment="1">
      <alignment vertical="center" wrapText="1"/>
    </xf>
    <xf numFmtId="0" fontId="2" fillId="0" borderId="17" xfId="0" applyFont="1" applyBorder="1" applyAlignment="1">
      <alignment vertical="center" wrapText="1"/>
    </xf>
    <xf numFmtId="0" fontId="2" fillId="0" borderId="17" xfId="0" applyFont="1" applyBorder="1" applyAlignment="1">
      <alignment horizontal="center" vertical="center" wrapText="1"/>
    </xf>
    <xf numFmtId="0" fontId="2" fillId="0" borderId="12" xfId="0" applyFont="1" applyBorder="1" applyAlignment="1">
      <alignment vertical="center" wrapText="1"/>
    </xf>
    <xf numFmtId="0" fontId="1" fillId="0" borderId="0" xfId="0" applyFont="1" applyAlignment="1">
      <alignment vertical="center" wrapText="1"/>
    </xf>
    <xf numFmtId="6" fontId="1" fillId="0" borderId="0" xfId="0" applyNumberFormat="1" applyFont="1" applyAlignment="1">
      <alignment horizontal="center" vertical="center" wrapText="1"/>
    </xf>
    <xf numFmtId="0" fontId="1" fillId="0" borderId="0" xfId="0" applyFont="1" applyAlignment="1">
      <alignment horizontal="center" vertical="center" wrapText="1"/>
    </xf>
    <xf numFmtId="6" fontId="1" fillId="0" borderId="0" xfId="0" applyNumberFormat="1" applyFont="1" applyAlignment="1">
      <alignment vertical="center" wrapText="1"/>
    </xf>
    <xf numFmtId="0" fontId="6" fillId="0" borderId="0" xfId="0" applyFont="1" applyAlignment="1">
      <alignment vertical="center" wrapText="1"/>
    </xf>
    <xf numFmtId="6" fontId="6" fillId="0" borderId="0" xfId="0" applyNumberFormat="1" applyFont="1" applyAlignment="1">
      <alignment horizontal="center" vertical="center" wrapText="1"/>
    </xf>
    <xf numFmtId="6" fontId="6" fillId="0" borderId="0" xfId="0" applyNumberFormat="1" applyFont="1" applyAlignment="1">
      <alignment vertical="center" wrapText="1"/>
    </xf>
    <xf numFmtId="0" fontId="2" fillId="0" borderId="0" xfId="0" applyFont="1" applyAlignment="1">
      <alignment vertical="center"/>
    </xf>
    <xf numFmtId="0" fontId="26" fillId="0" borderId="0" xfId="0" applyFont="1" applyAlignment="1">
      <alignment vertical="center"/>
    </xf>
    <xf numFmtId="0" fontId="26" fillId="0" borderId="0" xfId="0" applyFont="1" applyAlignment="1">
      <alignment horizontal="left" vertical="center" indent="1"/>
    </xf>
    <xf numFmtId="0" fontId="16" fillId="0" borderId="0" xfId="0" applyFont="1" applyAlignment="1">
      <alignment horizontal="left" vertical="center" indent="1"/>
    </xf>
    <xf numFmtId="0" fontId="28" fillId="0" borderId="22"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0" fillId="0" borderId="20" xfId="0" applyBorder="1" applyAlignment="1">
      <alignment vertical="top" wrapText="1"/>
    </xf>
    <xf numFmtId="0" fontId="6" fillId="0" borderId="0" xfId="0" applyFont="1" applyAlignment="1">
      <alignment horizontal="center" vertical="center" wrapText="1"/>
    </xf>
    <xf numFmtId="0" fontId="16" fillId="0" borderId="0" xfId="0" applyFont="1" applyAlignment="1">
      <alignment horizontal="left" vertical="center" wrapText="1"/>
    </xf>
    <xf numFmtId="0" fontId="18" fillId="0" borderId="0" xfId="0" applyFont="1" applyAlignment="1">
      <alignment horizontal="left" vertical="center" wrapText="1"/>
    </xf>
    <xf numFmtId="0" fontId="20" fillId="0" borderId="0" xfId="0" applyFont="1" applyAlignment="1">
      <alignment horizontal="left" vertical="center" wrapText="1"/>
    </xf>
    <xf numFmtId="0" fontId="6" fillId="0" borderId="0" xfId="0" applyFont="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3" fontId="4" fillId="0" borderId="4" xfId="0" applyNumberFormat="1" applyFont="1" applyBorder="1" applyAlignment="1">
      <alignment horizontal="center" vertical="center" wrapText="1"/>
    </xf>
    <xf numFmtId="3" fontId="4" fillId="0" borderId="5" xfId="0" applyNumberFormat="1" applyFont="1" applyBorder="1" applyAlignment="1">
      <alignment horizontal="center" vertical="center" wrapText="1"/>
    </xf>
    <xf numFmtId="3" fontId="4" fillId="0" borderId="6" xfId="0" applyNumberFormat="1" applyFont="1" applyBorder="1" applyAlignment="1">
      <alignment horizontal="center"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12" fillId="0" borderId="5" xfId="0" applyFont="1" applyBorder="1" applyAlignment="1">
      <alignment horizontal="left"/>
    </xf>
    <xf numFmtId="0" fontId="12" fillId="0" borderId="6" xfId="0" applyFont="1" applyBorder="1" applyAlignment="1">
      <alignment horizontal="left"/>
    </xf>
    <xf numFmtId="0" fontId="1" fillId="0" borderId="5" xfId="0" applyFont="1" applyBorder="1" applyAlignment="1">
      <alignment horizontal="left"/>
    </xf>
    <xf numFmtId="0" fontId="1" fillId="0" borderId="6" xfId="0" applyFont="1" applyBorder="1" applyAlignment="1">
      <alignment horizontal="left"/>
    </xf>
    <xf numFmtId="0" fontId="15" fillId="0" borderId="0" xfId="0" applyFont="1" applyAlignment="1">
      <alignment horizontal="left" vertical="center"/>
    </xf>
    <xf numFmtId="37" fontId="4" fillId="0" borderId="1" xfId="1" applyNumberFormat="1"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7" fillId="0" borderId="0" xfId="0" applyFont="1" applyAlignment="1">
      <alignment horizontal="left" vertical="center" wrapText="1"/>
    </xf>
    <xf numFmtId="0" fontId="0" fillId="0" borderId="0" xfId="0" applyAlignment="1">
      <alignment horizontal="left" vertical="center" wrapText="1"/>
    </xf>
    <xf numFmtId="0" fontId="23" fillId="0" borderId="7" xfId="0" applyFont="1" applyBorder="1" applyAlignment="1">
      <alignment vertical="center" wrapText="1"/>
    </xf>
    <xf numFmtId="0" fontId="23" fillId="0" borderId="8" xfId="0" applyFont="1" applyBorder="1" applyAlignment="1">
      <alignment vertical="center" wrapText="1"/>
    </xf>
    <xf numFmtId="0" fontId="23" fillId="0" borderId="9" xfId="0" applyFont="1" applyBorder="1" applyAlignment="1">
      <alignment vertical="center" wrapText="1"/>
    </xf>
    <xf numFmtId="0" fontId="24" fillId="0" borderId="10"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18" xfId="0" applyFont="1" applyBorder="1" applyAlignment="1">
      <alignment horizontal="center" vertical="center" wrapText="1"/>
    </xf>
    <xf numFmtId="0" fontId="24" fillId="0" borderId="19" xfId="0" applyFont="1" applyBorder="1" applyAlignment="1">
      <alignment horizontal="center" vertical="center" wrapText="1"/>
    </xf>
    <xf numFmtId="0" fontId="24" fillId="0" borderId="20" xfId="0" applyFont="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65"/>
  <sheetViews>
    <sheetView tabSelected="1" topLeftCell="A40" workbookViewId="0">
      <selection activeCell="A54" sqref="A54:I54"/>
    </sheetView>
  </sheetViews>
  <sheetFormatPr defaultRowHeight="15" x14ac:dyDescent="0.25"/>
  <cols>
    <col min="1" max="1" width="44.140625" customWidth="1"/>
    <col min="2" max="9" width="11.85546875" customWidth="1"/>
    <col min="11" max="11" width="9.42578125" customWidth="1"/>
    <col min="12" max="12" width="12.140625" customWidth="1"/>
    <col min="14" max="14" width="13.42578125" customWidth="1"/>
    <col min="15" max="15" width="17.85546875" customWidth="1"/>
  </cols>
  <sheetData>
    <row r="1" spans="1:15" x14ac:dyDescent="0.25">
      <c r="A1" s="28" t="s">
        <v>0</v>
      </c>
      <c r="B1" s="29"/>
      <c r="C1" s="29"/>
      <c r="D1" s="29"/>
      <c r="E1" s="29"/>
      <c r="F1" s="29"/>
      <c r="G1" s="29"/>
      <c r="H1" s="29"/>
      <c r="I1" s="29"/>
    </row>
    <row r="2" spans="1:15" x14ac:dyDescent="0.25">
      <c r="A2" s="29"/>
      <c r="B2" s="29"/>
      <c r="C2" s="29"/>
      <c r="D2" s="29"/>
      <c r="E2" s="29"/>
      <c r="F2" s="29">
        <v>120.27</v>
      </c>
      <c r="G2" s="29">
        <v>141.06</v>
      </c>
      <c r="H2" s="29">
        <v>58.67</v>
      </c>
      <c r="I2" s="29"/>
    </row>
    <row r="3" spans="1:15" x14ac:dyDescent="0.25">
      <c r="A3" s="92" t="s">
        <v>1</v>
      </c>
      <c r="B3" s="10" t="s">
        <v>2</v>
      </c>
      <c r="C3" s="10" t="s">
        <v>3</v>
      </c>
      <c r="D3" s="10" t="s">
        <v>4</v>
      </c>
      <c r="E3" s="10" t="s">
        <v>5</v>
      </c>
      <c r="F3" s="10" t="s">
        <v>6</v>
      </c>
      <c r="G3" s="10" t="s">
        <v>7</v>
      </c>
      <c r="H3" s="10" t="s">
        <v>8</v>
      </c>
      <c r="I3" s="10" t="s">
        <v>9</v>
      </c>
    </row>
    <row r="4" spans="1:15" ht="63.75" x14ac:dyDescent="0.25">
      <c r="A4" s="93"/>
      <c r="B4" s="10" t="s">
        <v>10</v>
      </c>
      <c r="C4" s="10" t="s">
        <v>11</v>
      </c>
      <c r="D4" s="10" t="s">
        <v>26</v>
      </c>
      <c r="E4" s="10" t="s">
        <v>30</v>
      </c>
      <c r="F4" s="10" t="s">
        <v>27</v>
      </c>
      <c r="G4" s="10" t="s">
        <v>28</v>
      </c>
      <c r="H4" s="10" t="s">
        <v>29</v>
      </c>
      <c r="I4" s="10" t="s">
        <v>31</v>
      </c>
      <c r="K4" s="33" t="s">
        <v>50</v>
      </c>
      <c r="L4" s="33" t="s">
        <v>51</v>
      </c>
      <c r="M4" s="33" t="s">
        <v>52</v>
      </c>
      <c r="N4" s="43" t="s">
        <v>72</v>
      </c>
      <c r="O4" s="43" t="s">
        <v>73</v>
      </c>
    </row>
    <row r="5" spans="1:15" x14ac:dyDescent="0.25">
      <c r="A5" s="3" t="s">
        <v>12</v>
      </c>
      <c r="B5" s="2" t="s">
        <v>13</v>
      </c>
      <c r="C5" s="12"/>
      <c r="D5" s="12"/>
      <c r="E5" s="12"/>
      <c r="F5" s="12"/>
      <c r="G5" s="12"/>
      <c r="H5" s="12"/>
      <c r="I5" s="5"/>
      <c r="K5" s="32" t="s">
        <v>53</v>
      </c>
      <c r="L5" s="32">
        <v>101</v>
      </c>
      <c r="M5" s="32">
        <v>116</v>
      </c>
      <c r="N5" s="44" t="s">
        <v>74</v>
      </c>
      <c r="O5" s="44" t="s">
        <v>74</v>
      </c>
    </row>
    <row r="6" spans="1:15" x14ac:dyDescent="0.25">
      <c r="A6" s="3" t="s">
        <v>14</v>
      </c>
      <c r="B6" s="2" t="s">
        <v>13</v>
      </c>
      <c r="C6" s="12"/>
      <c r="D6" s="12"/>
      <c r="E6" s="12"/>
      <c r="F6" s="12"/>
      <c r="G6" s="12"/>
      <c r="H6" s="12"/>
      <c r="I6" s="5"/>
      <c r="K6" s="32" t="s">
        <v>54</v>
      </c>
      <c r="L6" s="32">
        <v>114</v>
      </c>
      <c r="M6" s="32">
        <v>151</v>
      </c>
      <c r="N6" s="44" t="s">
        <v>74</v>
      </c>
      <c r="O6" s="44" t="s">
        <v>74</v>
      </c>
    </row>
    <row r="7" spans="1:15" x14ac:dyDescent="0.25">
      <c r="A7" s="3" t="s">
        <v>15</v>
      </c>
      <c r="B7" s="12"/>
      <c r="C7" s="12"/>
      <c r="D7" s="12"/>
      <c r="E7" s="55"/>
      <c r="F7" s="12"/>
      <c r="G7" s="12"/>
      <c r="H7" s="12"/>
      <c r="I7" s="5"/>
      <c r="K7" s="32" t="s">
        <v>55</v>
      </c>
      <c r="L7" s="32">
        <v>105</v>
      </c>
      <c r="M7" s="32">
        <v>253</v>
      </c>
      <c r="N7" s="44">
        <v>27</v>
      </c>
      <c r="O7" s="45">
        <v>65</v>
      </c>
    </row>
    <row r="8" spans="1:15" ht="15.75" x14ac:dyDescent="0.25">
      <c r="A8" s="27" t="s">
        <v>62</v>
      </c>
      <c r="B8" s="2">
        <v>2</v>
      </c>
      <c r="C8" s="2">
        <v>1</v>
      </c>
      <c r="D8" s="2">
        <f>B8*C8</f>
        <v>2</v>
      </c>
      <c r="E8" s="54">
        <v>142</v>
      </c>
      <c r="F8" s="2">
        <f>D8*E8</f>
        <v>284</v>
      </c>
      <c r="G8" s="17">
        <f>F8*0.05</f>
        <v>14.200000000000001</v>
      </c>
      <c r="H8" s="17">
        <f>F8*0.1</f>
        <v>28.400000000000002</v>
      </c>
      <c r="I8" s="6">
        <f>F8*$F$2+G8*$G$2+H8*$H$2</f>
        <v>37825.960000000006</v>
      </c>
    </row>
    <row r="9" spans="1:15" x14ac:dyDescent="0.25">
      <c r="A9" s="27" t="s">
        <v>93</v>
      </c>
      <c r="B9" s="12"/>
      <c r="C9" s="12"/>
      <c r="D9" s="12"/>
      <c r="E9" s="55"/>
      <c r="F9" s="12"/>
      <c r="G9" s="12"/>
      <c r="H9" s="12"/>
      <c r="I9" s="15"/>
      <c r="M9">
        <f>SUM(M5:M7)</f>
        <v>520</v>
      </c>
    </row>
    <row r="10" spans="1:15" ht="15.75" x14ac:dyDescent="0.25">
      <c r="A10" s="31" t="s">
        <v>94</v>
      </c>
      <c r="B10" s="25">
        <v>40</v>
      </c>
      <c r="C10" s="25">
        <v>1</v>
      </c>
      <c r="D10" s="25">
        <f t="shared" ref="D10:D14" si="0">B10*C10</f>
        <v>40</v>
      </c>
      <c r="E10" s="39">
        <v>0</v>
      </c>
      <c r="F10" s="25">
        <f t="shared" ref="F10:F14" si="1">D10*E10</f>
        <v>0</v>
      </c>
      <c r="G10" s="25">
        <f t="shared" ref="G10:G15" si="2">F10*0.05</f>
        <v>0</v>
      </c>
      <c r="H10" s="25">
        <f t="shared" ref="H10:H15" si="3">F10*0.1</f>
        <v>0</v>
      </c>
      <c r="I10" s="42">
        <f t="shared" ref="I10:I15" si="4">F10*$F$2+G10*$G$2+H10*$H$2</f>
        <v>0</v>
      </c>
      <c r="J10" s="57" t="s">
        <v>119</v>
      </c>
    </row>
    <row r="11" spans="1:15" ht="16.5" customHeight="1" x14ac:dyDescent="0.25">
      <c r="A11" s="38" t="s">
        <v>64</v>
      </c>
      <c r="B11" s="39" t="s">
        <v>13</v>
      </c>
      <c r="C11" s="39"/>
      <c r="D11" s="39"/>
      <c r="E11" s="39"/>
      <c r="F11" s="39"/>
      <c r="G11" s="39"/>
      <c r="H11" s="39"/>
      <c r="I11" s="40"/>
      <c r="L11" s="50" t="s">
        <v>96</v>
      </c>
    </row>
    <row r="12" spans="1:15" ht="15.75" x14ac:dyDescent="0.25">
      <c r="A12" s="41" t="s">
        <v>65</v>
      </c>
      <c r="B12" s="25">
        <v>40</v>
      </c>
      <c r="C12" s="25">
        <v>1</v>
      </c>
      <c r="D12" s="25">
        <f t="shared" si="0"/>
        <v>40</v>
      </c>
      <c r="E12" s="52">
        <f>$M$5/3+$M$5*0.1</f>
        <v>50.266666666666666</v>
      </c>
      <c r="F12" s="36">
        <f t="shared" ref="F12" si="5">D12*E12</f>
        <v>2010.6666666666665</v>
      </c>
      <c r="G12" s="36">
        <f t="shared" ref="G12" si="6">F12*0.05</f>
        <v>100.53333333333333</v>
      </c>
      <c r="H12" s="36">
        <f t="shared" ref="H12" si="7">F12*0.1</f>
        <v>201.06666666666666</v>
      </c>
      <c r="I12" s="42">
        <f t="shared" ref="I12" si="8">F12*$F$2+G12*$G$2+H12*$H$2</f>
        <v>267800.6933333333</v>
      </c>
    </row>
    <row r="13" spans="1:15" ht="15.75" x14ac:dyDescent="0.25">
      <c r="A13" s="41" t="s">
        <v>97</v>
      </c>
      <c r="B13" s="25">
        <v>40</v>
      </c>
      <c r="C13" s="25">
        <v>1</v>
      </c>
      <c r="D13" s="25">
        <f t="shared" ref="D13" si="9">B13*C13</f>
        <v>40</v>
      </c>
      <c r="E13" s="53">
        <v>0</v>
      </c>
      <c r="F13" s="35">
        <f t="shared" ref="F13" si="10">D13*E13</f>
        <v>0</v>
      </c>
      <c r="G13" s="35">
        <f t="shared" ref="G13" si="11">F13*0.05</f>
        <v>0</v>
      </c>
      <c r="H13" s="35">
        <f t="shared" ref="H13" si="12">F13*0.1</f>
        <v>0</v>
      </c>
      <c r="I13" s="42">
        <f t="shared" ref="I13" si="13">F13*$F$2+G13*$G$2+H13*$H$2</f>
        <v>0</v>
      </c>
      <c r="J13" s="58" t="s">
        <v>120</v>
      </c>
    </row>
    <row r="14" spans="1:15" ht="15.75" x14ac:dyDescent="0.25">
      <c r="A14" s="41" t="s">
        <v>66</v>
      </c>
      <c r="B14" s="25">
        <v>40</v>
      </c>
      <c r="C14" s="25">
        <v>1</v>
      </c>
      <c r="D14" s="25">
        <f t="shared" si="0"/>
        <v>40</v>
      </c>
      <c r="E14" s="39">
        <v>0</v>
      </c>
      <c r="F14" s="25">
        <f t="shared" si="1"/>
        <v>0</v>
      </c>
      <c r="G14" s="25">
        <f t="shared" si="2"/>
        <v>0</v>
      </c>
      <c r="H14" s="25">
        <f t="shared" si="3"/>
        <v>0</v>
      </c>
      <c r="I14" s="42">
        <f t="shared" si="4"/>
        <v>0</v>
      </c>
    </row>
    <row r="15" spans="1:15" ht="28.5" x14ac:dyDescent="0.25">
      <c r="A15" s="41" t="s">
        <v>67</v>
      </c>
      <c r="B15" s="25">
        <v>20</v>
      </c>
      <c r="C15" s="25">
        <v>1</v>
      </c>
      <c r="D15" s="25">
        <v>20</v>
      </c>
      <c r="E15" s="53">
        <v>0</v>
      </c>
      <c r="F15" s="46">
        <f>D15*E15</f>
        <v>0</v>
      </c>
      <c r="G15" s="46">
        <f t="shared" si="2"/>
        <v>0</v>
      </c>
      <c r="H15" s="46">
        <f t="shared" si="3"/>
        <v>0</v>
      </c>
      <c r="I15" s="42">
        <f t="shared" si="4"/>
        <v>0</v>
      </c>
      <c r="J15" s="49"/>
    </row>
    <row r="16" spans="1:15" ht="15.75" x14ac:dyDescent="0.25">
      <c r="A16" s="41" t="s">
        <v>75</v>
      </c>
      <c r="B16" s="25">
        <v>40</v>
      </c>
      <c r="C16" s="25">
        <v>1</v>
      </c>
      <c r="D16" s="25">
        <f t="shared" ref="D16" si="14">B16*C16</f>
        <v>40</v>
      </c>
      <c r="E16" s="46">
        <f>O7</f>
        <v>65</v>
      </c>
      <c r="F16" s="46">
        <f>D16*E16</f>
        <v>2600</v>
      </c>
      <c r="G16" s="46">
        <f t="shared" ref="G16" si="15">F16*0.05</f>
        <v>130</v>
      </c>
      <c r="H16" s="46">
        <f t="shared" ref="H16" si="16">F16*0.1</f>
        <v>260</v>
      </c>
      <c r="I16" s="42">
        <f t="shared" ref="I16" si="17">F16*$F$2+G16*$G$2+H16*$H$2</f>
        <v>346294</v>
      </c>
    </row>
    <row r="17" spans="1:10" x14ac:dyDescent="0.25">
      <c r="A17" s="31" t="s">
        <v>16</v>
      </c>
      <c r="B17" s="25" t="s">
        <v>17</v>
      </c>
      <c r="C17" s="25"/>
      <c r="D17" s="25"/>
      <c r="E17" s="25"/>
      <c r="F17" s="25"/>
      <c r="G17" s="25"/>
      <c r="H17" s="25"/>
      <c r="I17" s="47"/>
    </row>
    <row r="18" spans="1:10" x14ac:dyDescent="0.25">
      <c r="A18" s="31" t="s">
        <v>18</v>
      </c>
      <c r="B18" s="25" t="s">
        <v>17</v>
      </c>
      <c r="C18" s="25"/>
      <c r="D18" s="25"/>
      <c r="E18" s="25"/>
      <c r="F18" s="25"/>
      <c r="G18" s="25"/>
      <c r="H18" s="25"/>
      <c r="I18" s="47"/>
    </row>
    <row r="19" spans="1:10" x14ac:dyDescent="0.25">
      <c r="A19" s="31" t="s">
        <v>19</v>
      </c>
      <c r="B19" s="25"/>
      <c r="C19" s="25"/>
      <c r="D19" s="25"/>
      <c r="E19" s="25"/>
      <c r="F19" s="25"/>
      <c r="G19" s="25"/>
      <c r="H19" s="25"/>
      <c r="I19" s="47"/>
    </row>
    <row r="20" spans="1:10" x14ac:dyDescent="0.25">
      <c r="A20" s="41" t="s">
        <v>58</v>
      </c>
      <c r="B20" s="25">
        <v>2</v>
      </c>
      <c r="C20" s="25">
        <v>1</v>
      </c>
      <c r="D20" s="25">
        <f t="shared" ref="D20:D21" si="18">B20*C20</f>
        <v>2</v>
      </c>
      <c r="E20" s="25">
        <v>0</v>
      </c>
      <c r="F20" s="25">
        <f t="shared" ref="F20:F21" si="19">D20*E20</f>
        <v>0</v>
      </c>
      <c r="G20" s="25">
        <f t="shared" ref="G20:G21" si="20">F20*0.05</f>
        <v>0</v>
      </c>
      <c r="H20" s="25">
        <f t="shared" ref="H20:H21" si="21">F20*0.1</f>
        <v>0</v>
      </c>
      <c r="I20" s="42">
        <f t="shared" ref="I20:I21" si="22">F20*$F$2+G20*$G$2+H20*$H$2</f>
        <v>0</v>
      </c>
    </row>
    <row r="21" spans="1:10" x14ac:dyDescent="0.25">
      <c r="A21" s="41" t="s">
        <v>59</v>
      </c>
      <c r="B21" s="25">
        <v>2</v>
      </c>
      <c r="C21" s="25">
        <v>1</v>
      </c>
      <c r="D21" s="25">
        <f t="shared" si="18"/>
        <v>2</v>
      </c>
      <c r="E21" s="25">
        <v>0</v>
      </c>
      <c r="F21" s="25">
        <f t="shared" si="19"/>
        <v>0</v>
      </c>
      <c r="G21" s="25">
        <f t="shared" si="20"/>
        <v>0</v>
      </c>
      <c r="H21" s="25">
        <f t="shared" si="21"/>
        <v>0</v>
      </c>
      <c r="I21" s="42">
        <f t="shared" si="22"/>
        <v>0</v>
      </c>
    </row>
    <row r="22" spans="1:10" x14ac:dyDescent="0.25">
      <c r="A22" s="41" t="s">
        <v>60</v>
      </c>
      <c r="B22" s="25" t="s">
        <v>13</v>
      </c>
      <c r="C22" s="25"/>
      <c r="D22" s="25"/>
      <c r="E22" s="25"/>
      <c r="F22" s="25"/>
      <c r="G22" s="25"/>
      <c r="H22" s="25"/>
      <c r="I22" s="48"/>
    </row>
    <row r="23" spans="1:10" ht="15.75" x14ac:dyDescent="0.25">
      <c r="A23" s="41" t="s">
        <v>95</v>
      </c>
      <c r="B23" s="25">
        <v>2</v>
      </c>
      <c r="C23" s="25">
        <v>1</v>
      </c>
      <c r="D23" s="25">
        <f t="shared" ref="D23:D26" si="23">B23*C23</f>
        <v>2</v>
      </c>
      <c r="E23" s="39">
        <v>0</v>
      </c>
      <c r="F23" s="25">
        <f t="shared" ref="F23:F26" si="24">D23*E23</f>
        <v>0</v>
      </c>
      <c r="G23" s="36">
        <f t="shared" ref="G23:G26" si="25">F23*0.05</f>
        <v>0</v>
      </c>
      <c r="H23" s="36">
        <f t="shared" ref="H23:H26" si="26">F23*0.1</f>
        <v>0</v>
      </c>
      <c r="I23" s="42">
        <f t="shared" ref="I23:I26" si="27">F23*$F$2+G23*$G$2+H23*$H$2</f>
        <v>0</v>
      </c>
      <c r="J23" s="58" t="s">
        <v>119</v>
      </c>
    </row>
    <row r="24" spans="1:10" ht="15.75" x14ac:dyDescent="0.25">
      <c r="A24" s="41" t="s">
        <v>68</v>
      </c>
      <c r="B24" s="25">
        <v>2</v>
      </c>
      <c r="C24" s="25">
        <v>1</v>
      </c>
      <c r="D24" s="25">
        <f t="shared" ref="D24" si="28">B24*C24</f>
        <v>2</v>
      </c>
      <c r="E24" s="52">
        <f>E12</f>
        <v>50.266666666666666</v>
      </c>
      <c r="F24" s="46">
        <f t="shared" si="24"/>
        <v>100.53333333333333</v>
      </c>
      <c r="G24" s="46">
        <f t="shared" si="25"/>
        <v>5.0266666666666673</v>
      </c>
      <c r="H24" s="46">
        <f t="shared" si="26"/>
        <v>10.053333333333335</v>
      </c>
      <c r="I24" s="42">
        <f t="shared" si="27"/>
        <v>13390.034666666668</v>
      </c>
    </row>
    <row r="25" spans="1:10" ht="15.75" x14ac:dyDescent="0.25">
      <c r="A25" s="41" t="s">
        <v>69</v>
      </c>
      <c r="B25" s="25">
        <v>2</v>
      </c>
      <c r="C25" s="25">
        <v>1</v>
      </c>
      <c r="D25" s="25">
        <f t="shared" ref="D25" si="29">B25*C25</f>
        <v>2</v>
      </c>
      <c r="E25" s="53">
        <f>E13</f>
        <v>0</v>
      </c>
      <c r="F25" s="46">
        <f t="shared" si="24"/>
        <v>0</v>
      </c>
      <c r="G25" s="46">
        <f t="shared" si="25"/>
        <v>0</v>
      </c>
      <c r="H25" s="46">
        <f t="shared" si="26"/>
        <v>0</v>
      </c>
      <c r="I25" s="42">
        <f t="shared" si="27"/>
        <v>0</v>
      </c>
      <c r="J25" s="58" t="s">
        <v>120</v>
      </c>
    </row>
    <row r="26" spans="1:10" ht="15.75" x14ac:dyDescent="0.25">
      <c r="A26" s="41" t="s">
        <v>70</v>
      </c>
      <c r="B26" s="25">
        <v>4</v>
      </c>
      <c r="C26" s="25">
        <v>1</v>
      </c>
      <c r="D26" s="25">
        <f t="shared" si="23"/>
        <v>4</v>
      </c>
      <c r="E26" s="25">
        <v>0</v>
      </c>
      <c r="F26" s="25">
        <f t="shared" si="24"/>
        <v>0</v>
      </c>
      <c r="G26" s="25">
        <f t="shared" si="25"/>
        <v>0</v>
      </c>
      <c r="H26" s="25">
        <f t="shared" si="26"/>
        <v>0</v>
      </c>
      <c r="I26" s="42">
        <f t="shared" si="27"/>
        <v>0</v>
      </c>
    </row>
    <row r="27" spans="1:10" x14ac:dyDescent="0.25">
      <c r="A27" s="41" t="s">
        <v>61</v>
      </c>
      <c r="B27" s="25" t="s">
        <v>13</v>
      </c>
      <c r="C27" s="25"/>
      <c r="D27" s="25"/>
      <c r="E27" s="25"/>
      <c r="F27" s="25"/>
      <c r="G27" s="25"/>
      <c r="H27" s="25"/>
      <c r="I27" s="47"/>
    </row>
    <row r="28" spans="1:10" ht="15.75" x14ac:dyDescent="0.25">
      <c r="A28" s="41" t="s">
        <v>71</v>
      </c>
      <c r="B28" s="25" t="s">
        <v>17</v>
      </c>
      <c r="C28" s="25"/>
      <c r="D28" s="25"/>
      <c r="E28" s="25"/>
      <c r="F28" s="25"/>
      <c r="G28" s="25"/>
      <c r="H28" s="25"/>
      <c r="I28" s="47"/>
    </row>
    <row r="29" spans="1:10" ht="15.75" x14ac:dyDescent="0.25">
      <c r="A29" s="30" t="s">
        <v>76</v>
      </c>
      <c r="B29" s="2">
        <v>10</v>
      </c>
      <c r="C29" s="2">
        <v>2</v>
      </c>
      <c r="D29" s="2">
        <f>B29*C29</f>
        <v>20</v>
      </c>
      <c r="E29" s="2">
        <v>142</v>
      </c>
      <c r="F29" s="2">
        <f>D29*E29</f>
        <v>2840</v>
      </c>
      <c r="G29" s="2">
        <f t="shared" ref="G29" si="30">F29*0.05</f>
        <v>142</v>
      </c>
      <c r="H29" s="2">
        <f>F29*0.1</f>
        <v>284</v>
      </c>
      <c r="I29" s="6">
        <f>F29*$F$2+G29*$G$2+H29*$H$2</f>
        <v>378259.6</v>
      </c>
    </row>
    <row r="30" spans="1:10" x14ac:dyDescent="0.25">
      <c r="A30" s="8" t="s">
        <v>20</v>
      </c>
      <c r="B30" s="4"/>
      <c r="C30" s="4"/>
      <c r="D30" s="4"/>
      <c r="E30" s="4"/>
      <c r="F30" s="94">
        <f>SUM(F8:H29)</f>
        <v>9010.48</v>
      </c>
      <c r="G30" s="95"/>
      <c r="H30" s="96"/>
      <c r="I30" s="18">
        <f>SUM(I8:I29)</f>
        <v>1043570.2879999999</v>
      </c>
    </row>
    <row r="31" spans="1:10" x14ac:dyDescent="0.25">
      <c r="A31" s="3" t="s">
        <v>21</v>
      </c>
      <c r="B31" s="4"/>
      <c r="C31" s="4"/>
      <c r="D31" s="4"/>
      <c r="E31" s="4"/>
      <c r="F31" s="4"/>
      <c r="G31" s="4"/>
      <c r="H31" s="4"/>
      <c r="I31" s="5"/>
    </row>
    <row r="32" spans="1:10" x14ac:dyDescent="0.25">
      <c r="A32" s="27" t="s">
        <v>63</v>
      </c>
      <c r="B32" s="2" t="s">
        <v>22</v>
      </c>
      <c r="C32" s="12"/>
      <c r="D32" s="12"/>
      <c r="E32" s="12"/>
      <c r="F32" s="12"/>
      <c r="G32" s="12"/>
      <c r="H32" s="12"/>
      <c r="I32" s="5"/>
    </row>
    <row r="33" spans="1:12" x14ac:dyDescent="0.25">
      <c r="A33" s="27" t="s">
        <v>56</v>
      </c>
      <c r="B33" s="2" t="s">
        <v>17</v>
      </c>
      <c r="C33" s="12"/>
      <c r="D33" s="12"/>
      <c r="E33" s="12"/>
      <c r="F33" s="12"/>
      <c r="G33" s="12"/>
      <c r="H33" s="12"/>
      <c r="I33" s="5"/>
    </row>
    <row r="34" spans="1:12" x14ac:dyDescent="0.25">
      <c r="A34" s="27" t="s">
        <v>57</v>
      </c>
      <c r="B34" s="2" t="s">
        <v>17</v>
      </c>
      <c r="C34" s="12"/>
      <c r="D34" s="12"/>
      <c r="E34" s="12"/>
      <c r="F34" s="12"/>
      <c r="G34" s="12"/>
      <c r="H34" s="12"/>
      <c r="I34" s="5"/>
    </row>
    <row r="35" spans="1:12" ht="15.75" x14ac:dyDescent="0.25">
      <c r="A35" s="27" t="s">
        <v>77</v>
      </c>
      <c r="B35" s="2" t="s">
        <v>13</v>
      </c>
      <c r="C35" s="12"/>
      <c r="D35" s="12"/>
      <c r="E35" s="12"/>
      <c r="F35" s="12"/>
      <c r="G35" s="12"/>
      <c r="H35" s="12"/>
      <c r="I35" s="5"/>
    </row>
    <row r="36" spans="1:12" ht="15.75" x14ac:dyDescent="0.25">
      <c r="A36" s="27" t="s">
        <v>78</v>
      </c>
      <c r="B36" s="12"/>
      <c r="C36" s="12"/>
      <c r="D36" s="12"/>
      <c r="E36" s="12"/>
      <c r="F36" s="12"/>
      <c r="G36" s="12"/>
      <c r="H36" s="12"/>
      <c r="I36" s="5"/>
    </row>
    <row r="37" spans="1:12" ht="15.75" x14ac:dyDescent="0.25">
      <c r="A37" s="30" t="s">
        <v>79</v>
      </c>
      <c r="B37" s="2">
        <v>1</v>
      </c>
      <c r="C37" s="2">
        <v>52</v>
      </c>
      <c r="D37" s="2">
        <f t="shared" ref="D37:D40" si="31">B37*C37</f>
        <v>52</v>
      </c>
      <c r="E37" s="2">
        <v>142</v>
      </c>
      <c r="F37" s="2">
        <f t="shared" ref="F37:F38" si="32">D37*E37</f>
        <v>7384</v>
      </c>
      <c r="G37" s="2">
        <f t="shared" ref="G37:G40" si="33">F37*0.05</f>
        <v>369.20000000000005</v>
      </c>
      <c r="H37" s="2">
        <f t="shared" ref="H37:H38" si="34">F37*0.1</f>
        <v>738.40000000000009</v>
      </c>
      <c r="I37" s="6">
        <f t="shared" ref="I37:I38" si="35">F37*$F$2+G37*$G$2+H37*$H$2</f>
        <v>983474.95999999985</v>
      </c>
    </row>
    <row r="38" spans="1:12" ht="15.75" x14ac:dyDescent="0.25">
      <c r="A38" s="31" t="s">
        <v>118</v>
      </c>
      <c r="B38" s="2">
        <v>4</v>
      </c>
      <c r="C38" s="2">
        <v>1</v>
      </c>
      <c r="D38" s="2">
        <f t="shared" si="31"/>
        <v>4</v>
      </c>
      <c r="E38" s="54">
        <v>0</v>
      </c>
      <c r="F38" s="2">
        <f t="shared" si="32"/>
        <v>0</v>
      </c>
      <c r="G38" s="2">
        <f t="shared" si="33"/>
        <v>0</v>
      </c>
      <c r="H38" s="2">
        <f t="shared" si="34"/>
        <v>0</v>
      </c>
      <c r="I38" s="6">
        <f t="shared" si="35"/>
        <v>0</v>
      </c>
      <c r="J38" s="58" t="s">
        <v>121</v>
      </c>
    </row>
    <row r="39" spans="1:12" ht="25.5" x14ac:dyDescent="0.25">
      <c r="A39" s="27" t="s">
        <v>23</v>
      </c>
      <c r="B39" s="2" t="s">
        <v>13</v>
      </c>
      <c r="C39" s="12"/>
      <c r="D39" s="12"/>
      <c r="E39" s="12"/>
      <c r="F39" s="12"/>
      <c r="G39" s="2">
        <f t="shared" si="33"/>
        <v>0</v>
      </c>
      <c r="H39" s="12"/>
      <c r="I39" s="15"/>
    </row>
    <row r="40" spans="1:12" ht="15.75" x14ac:dyDescent="0.25">
      <c r="A40" s="27" t="s">
        <v>80</v>
      </c>
      <c r="B40" s="2">
        <v>0.25</v>
      </c>
      <c r="C40" s="2">
        <v>1</v>
      </c>
      <c r="D40" s="2">
        <f t="shared" si="31"/>
        <v>0.25</v>
      </c>
      <c r="E40" s="2">
        <v>142</v>
      </c>
      <c r="F40" s="2">
        <f>D40*E40</f>
        <v>35.5</v>
      </c>
      <c r="G40" s="17">
        <f t="shared" si="33"/>
        <v>1.7750000000000001</v>
      </c>
      <c r="H40" s="17">
        <f>F40*0.1</f>
        <v>3.5500000000000003</v>
      </c>
      <c r="I40" s="6">
        <v>3459.07</v>
      </c>
    </row>
    <row r="41" spans="1:12" x14ac:dyDescent="0.25">
      <c r="A41" s="27" t="s">
        <v>24</v>
      </c>
      <c r="B41" s="2" t="s">
        <v>13</v>
      </c>
      <c r="C41" s="4"/>
      <c r="D41" s="4"/>
      <c r="E41" s="4"/>
      <c r="F41" s="4"/>
      <c r="G41" s="4"/>
      <c r="H41" s="4"/>
      <c r="I41" s="5"/>
    </row>
    <row r="42" spans="1:12" ht="25.5" customHeight="1" x14ac:dyDescent="0.25">
      <c r="A42" s="97" t="s">
        <v>25</v>
      </c>
      <c r="B42" s="98"/>
      <c r="C42" s="98"/>
      <c r="D42" s="98"/>
      <c r="E42" s="99"/>
      <c r="F42" s="94">
        <f>SUM(F37:H40)</f>
        <v>8532.4249999999993</v>
      </c>
      <c r="G42" s="95"/>
      <c r="H42" s="96"/>
      <c r="I42" s="11">
        <f>SUM(I37:I40)</f>
        <v>986934.0299999998</v>
      </c>
    </row>
    <row r="43" spans="1:12" ht="25.5" customHeight="1" x14ac:dyDescent="0.25">
      <c r="A43" s="97" t="s">
        <v>81</v>
      </c>
      <c r="B43" s="98"/>
      <c r="C43" s="98"/>
      <c r="D43" s="98"/>
      <c r="E43" s="99"/>
      <c r="F43" s="94">
        <f>ROUND(SUM(F42,F30),-2)</f>
        <v>17500</v>
      </c>
      <c r="G43" s="95"/>
      <c r="H43" s="96"/>
      <c r="I43" s="11">
        <f>ROUND(SUM(I42,I30),-4)</f>
        <v>2030000</v>
      </c>
      <c r="K43" s="56">
        <f>F43/465</f>
        <v>37.634408602150536</v>
      </c>
      <c r="L43" t="s">
        <v>84</v>
      </c>
    </row>
    <row r="44" spans="1:12" s="23" customFormat="1" ht="15.75" x14ac:dyDescent="0.2">
      <c r="A44" s="100" t="s">
        <v>82</v>
      </c>
      <c r="B44" s="100"/>
      <c r="C44" s="100"/>
      <c r="D44" s="100"/>
      <c r="E44" s="100"/>
      <c r="F44" s="100"/>
      <c r="G44" s="100"/>
      <c r="H44" s="101"/>
      <c r="I44" s="22">
        <f>ROUND(8781980,-4)</f>
        <v>8780000</v>
      </c>
      <c r="J44" s="51"/>
    </row>
    <row r="45" spans="1:12" s="24" customFormat="1" ht="15.75" x14ac:dyDescent="0.2">
      <c r="A45" s="100" t="s">
        <v>83</v>
      </c>
      <c r="B45" s="102"/>
      <c r="C45" s="102"/>
      <c r="D45" s="102"/>
      <c r="E45" s="102"/>
      <c r="F45" s="102"/>
      <c r="G45" s="102"/>
      <c r="H45" s="103"/>
      <c r="I45" s="22">
        <f>ROUND(SUM(I43:I44),-5)</f>
        <v>10800000</v>
      </c>
    </row>
    <row r="46" spans="1:12" ht="25.5" customHeight="1" x14ac:dyDescent="0.25">
      <c r="A46" s="19"/>
      <c r="B46" s="19"/>
      <c r="C46" s="19"/>
      <c r="D46" s="19"/>
      <c r="E46" s="19"/>
      <c r="F46" s="20"/>
      <c r="G46" s="20"/>
      <c r="H46" s="20"/>
      <c r="I46" s="21"/>
    </row>
    <row r="48" spans="1:12" x14ac:dyDescent="0.25">
      <c r="A48" s="91" t="s">
        <v>32</v>
      </c>
      <c r="B48" s="91"/>
      <c r="C48" s="91"/>
      <c r="D48" s="91"/>
      <c r="E48" s="91"/>
      <c r="F48" s="91"/>
      <c r="G48" s="91"/>
      <c r="H48" s="91"/>
      <c r="I48" s="91"/>
    </row>
    <row r="49" spans="1:10" ht="35.25" customHeight="1" x14ac:dyDescent="0.25">
      <c r="A49" s="88" t="s">
        <v>123</v>
      </c>
      <c r="B49" s="88"/>
      <c r="C49" s="88"/>
      <c r="D49" s="88"/>
      <c r="E49" s="88"/>
      <c r="F49" s="88"/>
      <c r="G49" s="88"/>
      <c r="H49" s="88"/>
      <c r="I49" s="88"/>
    </row>
    <row r="50" spans="1:10" ht="44.25" customHeight="1" x14ac:dyDescent="0.25">
      <c r="A50" s="88" t="s">
        <v>91</v>
      </c>
      <c r="B50" s="89"/>
      <c r="C50" s="89"/>
      <c r="D50" s="89"/>
      <c r="E50" s="89"/>
      <c r="F50" s="89"/>
      <c r="G50" s="89"/>
      <c r="H50" s="89"/>
      <c r="I50" s="89"/>
    </row>
    <row r="51" spans="1:10" ht="17.25" customHeight="1" x14ac:dyDescent="0.25">
      <c r="A51" s="104" t="s">
        <v>124</v>
      </c>
      <c r="B51" s="104"/>
      <c r="C51" s="104"/>
      <c r="D51" s="104"/>
      <c r="E51" s="104"/>
      <c r="F51" s="104"/>
      <c r="G51" s="104"/>
      <c r="H51" s="104"/>
      <c r="I51" s="104"/>
    </row>
    <row r="52" spans="1:10" ht="21" customHeight="1" x14ac:dyDescent="0.25">
      <c r="A52" s="88" t="s">
        <v>112</v>
      </c>
      <c r="B52" s="89"/>
      <c r="C52" s="89"/>
      <c r="D52" s="89"/>
      <c r="E52" s="89"/>
      <c r="F52" s="89"/>
      <c r="G52" s="89"/>
      <c r="H52" s="89"/>
      <c r="I52" s="89"/>
    </row>
    <row r="53" spans="1:10" x14ac:dyDescent="0.25">
      <c r="A53" s="88" t="s">
        <v>113</v>
      </c>
      <c r="B53" s="89"/>
      <c r="C53" s="89"/>
      <c r="D53" s="89"/>
      <c r="E53" s="89"/>
      <c r="F53" s="89"/>
      <c r="G53" s="89"/>
      <c r="H53" s="89"/>
      <c r="I53" s="89"/>
      <c r="J53" s="49"/>
    </row>
    <row r="54" spans="1:10" ht="31.5" customHeight="1" x14ac:dyDescent="0.25">
      <c r="A54" s="88" t="s">
        <v>125</v>
      </c>
      <c r="B54" s="88"/>
      <c r="C54" s="88"/>
      <c r="D54" s="88"/>
      <c r="E54" s="88"/>
      <c r="F54" s="88"/>
      <c r="G54" s="88"/>
      <c r="H54" s="88"/>
      <c r="I54" s="88"/>
    </row>
    <row r="55" spans="1:10" ht="57" customHeight="1" x14ac:dyDescent="0.25">
      <c r="A55" s="88" t="s">
        <v>115</v>
      </c>
      <c r="B55" s="89"/>
      <c r="C55" s="89"/>
      <c r="D55" s="89"/>
      <c r="E55" s="89"/>
      <c r="F55" s="89"/>
      <c r="G55" s="89"/>
      <c r="H55" s="89"/>
      <c r="I55" s="89"/>
    </row>
    <row r="56" spans="1:10" ht="31.5" customHeight="1" x14ac:dyDescent="0.25">
      <c r="A56" s="88" t="s">
        <v>114</v>
      </c>
      <c r="B56" s="89"/>
      <c r="C56" s="89"/>
      <c r="D56" s="89"/>
      <c r="E56" s="89"/>
      <c r="F56" s="89"/>
      <c r="G56" s="89"/>
      <c r="H56" s="89"/>
      <c r="I56" s="89"/>
    </row>
    <row r="57" spans="1:10" ht="30" customHeight="1" x14ac:dyDescent="0.25">
      <c r="A57" s="88" t="s">
        <v>126</v>
      </c>
      <c r="B57" s="89"/>
      <c r="C57" s="89"/>
      <c r="D57" s="89"/>
      <c r="E57" s="89"/>
      <c r="F57" s="89"/>
      <c r="G57" s="89"/>
      <c r="H57" s="89"/>
      <c r="I57" s="89"/>
      <c r="J57" s="49"/>
    </row>
    <row r="58" spans="1:10" ht="46.5" customHeight="1" x14ac:dyDescent="0.25">
      <c r="A58" s="88" t="s">
        <v>85</v>
      </c>
      <c r="B58" s="89"/>
      <c r="C58" s="89"/>
      <c r="D58" s="89"/>
      <c r="E58" s="89"/>
      <c r="F58" s="89"/>
      <c r="G58" s="89"/>
      <c r="H58" s="89"/>
      <c r="I58" s="89"/>
    </row>
    <row r="59" spans="1:10" x14ac:dyDescent="0.25">
      <c r="A59" s="88" t="s">
        <v>86</v>
      </c>
      <c r="B59" s="89"/>
      <c r="C59" s="89"/>
      <c r="D59" s="89"/>
      <c r="E59" s="89"/>
      <c r="F59" s="89"/>
      <c r="G59" s="89"/>
      <c r="H59" s="89"/>
      <c r="I59" s="89"/>
    </row>
    <row r="60" spans="1:10" x14ac:dyDescent="0.25">
      <c r="A60" s="88" t="s">
        <v>87</v>
      </c>
      <c r="B60" s="89"/>
      <c r="C60" s="89"/>
      <c r="D60" s="89"/>
      <c r="E60" s="89"/>
      <c r="F60" s="89"/>
      <c r="G60" s="89"/>
      <c r="H60" s="89"/>
      <c r="I60" s="89"/>
    </row>
    <row r="61" spans="1:10" ht="45.75" customHeight="1" x14ac:dyDescent="0.25">
      <c r="A61" s="88" t="s">
        <v>88</v>
      </c>
      <c r="B61" s="89"/>
      <c r="C61" s="89"/>
      <c r="D61" s="89"/>
      <c r="E61" s="89"/>
      <c r="F61" s="89"/>
      <c r="G61" s="89"/>
      <c r="H61" s="89"/>
      <c r="I61" s="89"/>
    </row>
    <row r="62" spans="1:10" x14ac:dyDescent="0.25">
      <c r="A62" s="88" t="s">
        <v>89</v>
      </c>
      <c r="B62" s="89"/>
      <c r="C62" s="89"/>
      <c r="D62" s="89"/>
      <c r="E62" s="89"/>
      <c r="F62" s="89"/>
      <c r="G62" s="89"/>
      <c r="H62" s="89"/>
      <c r="I62" s="89"/>
    </row>
    <row r="63" spans="1:10" x14ac:dyDescent="0.25">
      <c r="A63" s="88" t="s">
        <v>116</v>
      </c>
      <c r="B63" s="89"/>
      <c r="C63" s="89"/>
      <c r="D63" s="89"/>
      <c r="E63" s="89"/>
      <c r="F63" s="89"/>
      <c r="G63" s="89"/>
      <c r="H63" s="89"/>
      <c r="I63" s="89"/>
    </row>
    <row r="64" spans="1:10" ht="32.25" customHeight="1" x14ac:dyDescent="0.25">
      <c r="A64" s="88" t="s">
        <v>117</v>
      </c>
      <c r="B64" s="90"/>
      <c r="C64" s="90"/>
      <c r="D64" s="90"/>
      <c r="E64" s="90"/>
      <c r="F64" s="90"/>
      <c r="G64" s="90"/>
      <c r="H64" s="90"/>
      <c r="I64" s="90"/>
      <c r="J64" s="49"/>
    </row>
    <row r="65" spans="1:9" x14ac:dyDescent="0.25">
      <c r="A65" s="88" t="s">
        <v>90</v>
      </c>
      <c r="B65" s="90"/>
      <c r="C65" s="90"/>
      <c r="D65" s="90"/>
      <c r="E65" s="90"/>
      <c r="F65" s="90"/>
      <c r="G65" s="90"/>
      <c r="H65" s="90"/>
      <c r="I65" s="90"/>
    </row>
  </sheetData>
  <mergeCells count="26">
    <mergeCell ref="A65:I65"/>
    <mergeCell ref="A44:H44"/>
    <mergeCell ref="A45:H45"/>
    <mergeCell ref="A60:I60"/>
    <mergeCell ref="A61:I61"/>
    <mergeCell ref="A62:I62"/>
    <mergeCell ref="A63:I63"/>
    <mergeCell ref="A55:I55"/>
    <mergeCell ref="A49:I49"/>
    <mergeCell ref="A50:I50"/>
    <mergeCell ref="A52:I52"/>
    <mergeCell ref="A53:I53"/>
    <mergeCell ref="A59:I59"/>
    <mergeCell ref="A54:I54"/>
    <mergeCell ref="A51:I51"/>
    <mergeCell ref="A56:I56"/>
    <mergeCell ref="A57:I57"/>
    <mergeCell ref="A64:I64"/>
    <mergeCell ref="A48:I48"/>
    <mergeCell ref="A3:A4"/>
    <mergeCell ref="F30:H30"/>
    <mergeCell ref="F42:H42"/>
    <mergeCell ref="F43:H43"/>
    <mergeCell ref="A42:E42"/>
    <mergeCell ref="A43:E43"/>
    <mergeCell ref="A58:I58"/>
  </mergeCells>
  <pageMargins left="0.7" right="0.7" top="0.75" bottom="0.75" header="0.3" footer="0.3"/>
  <pageSetup orientation="portrait" horizontalDpi="4294967293"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0"/>
  <sheetViews>
    <sheetView topLeftCell="A19" workbookViewId="0">
      <selection activeCell="A28" sqref="A28:I28"/>
    </sheetView>
  </sheetViews>
  <sheetFormatPr defaultRowHeight="15" x14ac:dyDescent="0.25"/>
  <cols>
    <col min="1" max="1" width="41.85546875" customWidth="1"/>
    <col min="2" max="9" width="12.7109375" customWidth="1"/>
    <col min="11" max="11" width="13.28515625" customWidth="1"/>
    <col min="12" max="12" width="14.7109375" customWidth="1"/>
    <col min="13" max="13" width="12.42578125" customWidth="1"/>
  </cols>
  <sheetData>
    <row r="1" spans="1:13" x14ac:dyDescent="0.25">
      <c r="A1" s="1" t="s">
        <v>33</v>
      </c>
    </row>
    <row r="2" spans="1:13" x14ac:dyDescent="0.25">
      <c r="F2">
        <v>49.44</v>
      </c>
      <c r="G2">
        <v>66.62</v>
      </c>
      <c r="H2">
        <v>26.75</v>
      </c>
    </row>
    <row r="3" spans="1:13" x14ac:dyDescent="0.25">
      <c r="A3" s="106" t="s">
        <v>34</v>
      </c>
      <c r="B3" s="10" t="s">
        <v>2</v>
      </c>
      <c r="C3" s="10" t="s">
        <v>3</v>
      </c>
      <c r="D3" s="10" t="s">
        <v>4</v>
      </c>
      <c r="E3" s="10" t="s">
        <v>5</v>
      </c>
      <c r="F3" s="10" t="s">
        <v>6</v>
      </c>
      <c r="G3" s="10" t="s">
        <v>7</v>
      </c>
      <c r="H3" s="10" t="s">
        <v>8</v>
      </c>
      <c r="I3" s="10" t="s">
        <v>9</v>
      </c>
    </row>
    <row r="4" spans="1:13" ht="61.5" customHeight="1" x14ac:dyDescent="0.25">
      <c r="A4" s="107"/>
      <c r="B4" s="10" t="s">
        <v>35</v>
      </c>
      <c r="C4" s="10" t="s">
        <v>36</v>
      </c>
      <c r="D4" s="10" t="s">
        <v>47</v>
      </c>
      <c r="E4" s="10" t="s">
        <v>37</v>
      </c>
      <c r="F4" s="10" t="s">
        <v>27</v>
      </c>
      <c r="G4" s="10" t="s">
        <v>28</v>
      </c>
      <c r="H4" s="10" t="s">
        <v>48</v>
      </c>
      <c r="I4" s="10" t="s">
        <v>49</v>
      </c>
      <c r="K4" s="33" t="s">
        <v>50</v>
      </c>
      <c r="L4" s="33" t="s">
        <v>51</v>
      </c>
      <c r="M4" s="33" t="s">
        <v>52</v>
      </c>
    </row>
    <row r="5" spans="1:13" x14ac:dyDescent="0.25">
      <c r="A5" s="7" t="s">
        <v>38</v>
      </c>
      <c r="B5" s="2"/>
      <c r="C5" s="2"/>
      <c r="D5" s="2"/>
      <c r="E5" s="2"/>
      <c r="F5" s="2"/>
      <c r="G5" s="2"/>
      <c r="H5" s="2"/>
      <c r="I5" s="5"/>
      <c r="K5" s="32" t="s">
        <v>53</v>
      </c>
      <c r="L5" s="32">
        <v>101</v>
      </c>
      <c r="M5" s="32">
        <v>116</v>
      </c>
    </row>
    <row r="6" spans="1:13" x14ac:dyDescent="0.25">
      <c r="A6" s="3" t="s">
        <v>39</v>
      </c>
      <c r="B6" s="2" t="s">
        <v>13</v>
      </c>
      <c r="C6" s="2"/>
      <c r="D6" s="2"/>
      <c r="E6" s="2"/>
      <c r="F6" s="2"/>
      <c r="G6" s="2"/>
      <c r="H6" s="2"/>
      <c r="I6" s="5"/>
      <c r="K6" s="32" t="s">
        <v>54</v>
      </c>
      <c r="L6" s="32">
        <v>114</v>
      </c>
      <c r="M6" s="32">
        <v>151</v>
      </c>
    </row>
    <row r="7" spans="1:13" x14ac:dyDescent="0.25">
      <c r="A7" s="3" t="s">
        <v>40</v>
      </c>
      <c r="B7" s="2" t="s">
        <v>13</v>
      </c>
      <c r="C7" s="2"/>
      <c r="D7" s="2"/>
      <c r="E7" s="2"/>
      <c r="F7" s="2"/>
      <c r="G7" s="2"/>
      <c r="H7" s="2"/>
      <c r="I7" s="5"/>
      <c r="K7" s="32" t="s">
        <v>55</v>
      </c>
      <c r="L7" s="32">
        <v>105</v>
      </c>
      <c r="M7" s="32">
        <v>253</v>
      </c>
    </row>
    <row r="8" spans="1:13" x14ac:dyDescent="0.25">
      <c r="A8" s="3" t="s">
        <v>41</v>
      </c>
      <c r="B8" s="2" t="s">
        <v>13</v>
      </c>
      <c r="C8" s="2"/>
      <c r="D8" s="7"/>
      <c r="E8" s="7"/>
      <c r="F8" s="7"/>
      <c r="G8" s="7"/>
      <c r="H8" s="7"/>
      <c r="I8" s="7"/>
    </row>
    <row r="9" spans="1:13" ht="15.75" x14ac:dyDescent="0.25">
      <c r="A9" s="3" t="s">
        <v>99</v>
      </c>
      <c r="B9" s="2">
        <v>2</v>
      </c>
      <c r="C9" s="2">
        <v>1</v>
      </c>
      <c r="D9" s="2">
        <f>B9*C9</f>
        <v>2</v>
      </c>
      <c r="E9" s="39">
        <f>'Table 1'!E23</f>
        <v>0</v>
      </c>
      <c r="F9" s="2">
        <f>D9*E9</f>
        <v>0</v>
      </c>
      <c r="G9" s="26">
        <f>F9*0.05</f>
        <v>0</v>
      </c>
      <c r="H9" s="26">
        <f>F9*0.1</f>
        <v>0</v>
      </c>
      <c r="I9" s="15">
        <f>SUM(F9*$F$2+G9*$G$2+H9*$H$2)</f>
        <v>0</v>
      </c>
    </row>
    <row r="10" spans="1:13" ht="15.75" x14ac:dyDescent="0.25">
      <c r="A10" s="34" t="s">
        <v>100</v>
      </c>
      <c r="B10" s="25">
        <v>2</v>
      </c>
      <c r="C10" s="25">
        <v>1</v>
      </c>
      <c r="D10" s="25">
        <f t="shared" ref="D10" si="0">B10*C10</f>
        <v>2</v>
      </c>
      <c r="E10" s="52">
        <f>'Table 1'!E24</f>
        <v>50.266666666666666</v>
      </c>
      <c r="F10" s="36">
        <f t="shared" ref="F10" si="1">D10*E10</f>
        <v>100.53333333333333</v>
      </c>
      <c r="G10" s="36">
        <f t="shared" ref="G10" si="2">F10*0.05</f>
        <v>5.0266666666666673</v>
      </c>
      <c r="H10" s="36">
        <f t="shared" ref="H10" si="3">F10*0.1</f>
        <v>10.053333333333335</v>
      </c>
      <c r="I10" s="37">
        <f t="shared" ref="I10" si="4">SUM(F10*$F$2+G10*$G$2+H10*$H$2)</f>
        <v>5574.1711999999989</v>
      </c>
    </row>
    <row r="11" spans="1:13" ht="15.75" x14ac:dyDescent="0.25">
      <c r="A11" s="34" t="s">
        <v>101</v>
      </c>
      <c r="B11" s="25">
        <v>2</v>
      </c>
      <c r="C11" s="25">
        <v>1</v>
      </c>
      <c r="D11" s="25">
        <f t="shared" ref="D11" si="5">B11*C11</f>
        <v>2</v>
      </c>
      <c r="E11" s="53">
        <f>'Table 1'!E25</f>
        <v>0</v>
      </c>
      <c r="F11" s="46">
        <f t="shared" ref="F11" si="6">D11*E11</f>
        <v>0</v>
      </c>
      <c r="G11" s="46">
        <f t="shared" ref="G11" si="7">F11*0.05</f>
        <v>0</v>
      </c>
      <c r="H11" s="46">
        <f t="shared" ref="H11" si="8">F11*0.1</f>
        <v>0</v>
      </c>
      <c r="I11" s="47">
        <f t="shared" ref="I11" si="9">SUM(F11*$F$2+G11*$G$2+H11*$H$2)</f>
        <v>0</v>
      </c>
    </row>
    <row r="12" spans="1:13" x14ac:dyDescent="0.25">
      <c r="A12" s="3" t="s">
        <v>42</v>
      </c>
      <c r="B12" s="2">
        <v>2</v>
      </c>
      <c r="C12" s="2">
        <v>1</v>
      </c>
      <c r="D12" s="2">
        <f t="shared" ref="D12:D16" si="10">B12*C12</f>
        <v>2</v>
      </c>
      <c r="E12" s="2">
        <v>0</v>
      </c>
      <c r="F12" s="2">
        <f t="shared" ref="F12:F15" si="11">D12*E12</f>
        <v>0</v>
      </c>
      <c r="G12" s="2">
        <f t="shared" ref="G12:G15" si="12">F12*0.05</f>
        <v>0</v>
      </c>
      <c r="H12" s="2">
        <f t="shared" ref="H12:H15" si="13">F12*0.1</f>
        <v>0</v>
      </c>
      <c r="I12" s="15">
        <f t="shared" ref="I12:I15" si="14">SUM(F12*$F$2+G12*$G$2+H12*$H$2)</f>
        <v>0</v>
      </c>
    </row>
    <row r="13" spans="1:13" ht="28.5" x14ac:dyDescent="0.25">
      <c r="A13" s="3" t="s">
        <v>43</v>
      </c>
      <c r="B13" s="2">
        <v>4</v>
      </c>
      <c r="C13" s="2">
        <v>1</v>
      </c>
      <c r="D13" s="2">
        <f t="shared" si="10"/>
        <v>4</v>
      </c>
      <c r="E13" s="26">
        <v>0</v>
      </c>
      <c r="F13" s="26">
        <f t="shared" si="11"/>
        <v>0</v>
      </c>
      <c r="G13" s="26">
        <f t="shared" si="12"/>
        <v>0</v>
      </c>
      <c r="H13" s="26">
        <f t="shared" si="13"/>
        <v>0</v>
      </c>
      <c r="I13" s="15">
        <f t="shared" si="14"/>
        <v>0</v>
      </c>
    </row>
    <row r="14" spans="1:13" ht="28.5" x14ac:dyDescent="0.25">
      <c r="A14" s="3" t="s">
        <v>102</v>
      </c>
      <c r="B14" s="2">
        <v>2</v>
      </c>
      <c r="C14" s="2">
        <v>1</v>
      </c>
      <c r="D14" s="2">
        <f t="shared" ref="D14" si="15">B14*C14</f>
        <v>2</v>
      </c>
      <c r="E14" s="26">
        <f>'Table 1'!E15</f>
        <v>0</v>
      </c>
      <c r="F14" s="26">
        <f t="shared" ref="F14" si="16">D14*E14</f>
        <v>0</v>
      </c>
      <c r="G14" s="26">
        <f t="shared" ref="G14" si="17">F14*0.05</f>
        <v>0</v>
      </c>
      <c r="H14" s="26">
        <f t="shared" ref="H14" si="18">F14*0.1</f>
        <v>0</v>
      </c>
      <c r="I14" s="15">
        <f t="shared" ref="I14" si="19">SUM(F14*$F$2+G14*$G$2+H14*$H$2)</f>
        <v>0</v>
      </c>
    </row>
    <row r="15" spans="1:13" x14ac:dyDescent="0.25">
      <c r="A15" s="3" t="s">
        <v>44</v>
      </c>
      <c r="B15" s="2">
        <v>8</v>
      </c>
      <c r="C15" s="2">
        <v>1</v>
      </c>
      <c r="D15" s="2">
        <f t="shared" si="10"/>
        <v>8</v>
      </c>
      <c r="E15" s="25">
        <v>0</v>
      </c>
      <c r="F15" s="2">
        <f t="shared" si="11"/>
        <v>0</v>
      </c>
      <c r="G15" s="2">
        <f t="shared" si="12"/>
        <v>0</v>
      </c>
      <c r="H15" s="2">
        <f t="shared" si="13"/>
        <v>0</v>
      </c>
      <c r="I15" s="15">
        <f t="shared" si="14"/>
        <v>0</v>
      </c>
    </row>
    <row r="16" spans="1:13" ht="15.75" x14ac:dyDescent="0.25">
      <c r="A16" s="34" t="s">
        <v>103</v>
      </c>
      <c r="B16" s="25">
        <v>8</v>
      </c>
      <c r="C16" s="25">
        <v>1</v>
      </c>
      <c r="D16" s="25">
        <f t="shared" si="10"/>
        <v>8</v>
      </c>
      <c r="E16" s="25">
        <v>65</v>
      </c>
      <c r="F16" s="2">
        <f t="shared" ref="F16" si="20">D16*E16</f>
        <v>520</v>
      </c>
      <c r="G16" s="2">
        <f t="shared" ref="G16" si="21">F16*0.05</f>
        <v>26</v>
      </c>
      <c r="H16" s="2">
        <f t="shared" ref="H16" si="22">F16*0.1</f>
        <v>52</v>
      </c>
      <c r="I16" s="14">
        <f t="shared" ref="I16" si="23">SUM(F16*$F$2+G16*$G$2+H16*$H$2)</f>
        <v>28831.919999999998</v>
      </c>
      <c r="J16" s="58" t="s">
        <v>122</v>
      </c>
    </row>
    <row r="17" spans="1:10" x14ac:dyDescent="0.25">
      <c r="A17" s="3" t="s">
        <v>45</v>
      </c>
      <c r="B17" s="2" t="s">
        <v>13</v>
      </c>
      <c r="C17" s="2"/>
      <c r="D17" s="2"/>
      <c r="E17" s="2"/>
      <c r="F17" s="2"/>
      <c r="G17" s="2"/>
      <c r="H17" s="2"/>
      <c r="I17" s="5"/>
    </row>
    <row r="18" spans="1:10" ht="15.75" x14ac:dyDescent="0.25">
      <c r="A18" s="3" t="s">
        <v>104</v>
      </c>
      <c r="B18" s="2">
        <v>2</v>
      </c>
      <c r="C18" s="2">
        <v>2</v>
      </c>
      <c r="D18" s="2">
        <f t="shared" ref="D18:D19" si="24">B18*C18</f>
        <v>4</v>
      </c>
      <c r="E18" s="2">
        <v>142</v>
      </c>
      <c r="F18" s="2">
        <f t="shared" ref="F18:F19" si="25">D18*E18</f>
        <v>568</v>
      </c>
      <c r="G18" s="2">
        <f t="shared" ref="G18:G19" si="26">F18*0.05</f>
        <v>28.400000000000002</v>
      </c>
      <c r="H18" s="2">
        <f t="shared" ref="H18:H19" si="27">F18*0.1</f>
        <v>56.800000000000004</v>
      </c>
      <c r="I18" s="14">
        <f t="shared" ref="I18:I19" si="28">SUM(F18*$F$2+G18*$G$2+H18*$H$2)</f>
        <v>31493.328000000001</v>
      </c>
    </row>
    <row r="19" spans="1:10" x14ac:dyDescent="0.25">
      <c r="A19" s="3" t="s">
        <v>46</v>
      </c>
      <c r="B19" s="2">
        <v>4</v>
      </c>
      <c r="C19" s="2">
        <v>1</v>
      </c>
      <c r="D19" s="2">
        <f t="shared" si="24"/>
        <v>4</v>
      </c>
      <c r="E19" s="2">
        <v>0</v>
      </c>
      <c r="F19" s="2">
        <f t="shared" si="25"/>
        <v>0</v>
      </c>
      <c r="G19" s="2">
        <f t="shared" si="26"/>
        <v>0</v>
      </c>
      <c r="H19" s="2">
        <f t="shared" si="27"/>
        <v>0</v>
      </c>
      <c r="I19" s="15">
        <f t="shared" si="28"/>
        <v>0</v>
      </c>
    </row>
    <row r="20" spans="1:10" ht="28.5" x14ac:dyDescent="0.25">
      <c r="A20" s="9" t="s">
        <v>105</v>
      </c>
      <c r="B20" s="10"/>
      <c r="C20" s="10"/>
      <c r="D20" s="10"/>
      <c r="E20" s="10"/>
      <c r="F20" s="105">
        <f>ROUND(SUM(F9:H19),-1)</f>
        <v>1370</v>
      </c>
      <c r="G20" s="105"/>
      <c r="H20" s="105"/>
      <c r="I20" s="16">
        <f>ROUND(SUM(I9:I19),-2)</f>
        <v>65900</v>
      </c>
    </row>
    <row r="22" spans="1:10" x14ac:dyDescent="0.25">
      <c r="A22" s="13" t="s">
        <v>32</v>
      </c>
    </row>
    <row r="23" spans="1:10" ht="45.75" customHeight="1" x14ac:dyDescent="0.25">
      <c r="A23" s="108" t="s">
        <v>92</v>
      </c>
      <c r="B23" s="108"/>
      <c r="C23" s="108"/>
      <c r="D23" s="108"/>
      <c r="E23" s="108"/>
      <c r="F23" s="108"/>
      <c r="G23" s="108"/>
      <c r="H23" s="108"/>
      <c r="I23" s="108"/>
    </row>
    <row r="24" spans="1:10" ht="18.75" customHeight="1" x14ac:dyDescent="0.25">
      <c r="A24" s="88" t="s">
        <v>98</v>
      </c>
      <c r="B24" s="89"/>
      <c r="C24" s="89"/>
      <c r="D24" s="89"/>
      <c r="E24" s="89"/>
      <c r="F24" s="89"/>
      <c r="G24" s="89"/>
      <c r="H24" s="89"/>
      <c r="I24" s="89"/>
    </row>
    <row r="25" spans="1:10" ht="57" customHeight="1" x14ac:dyDescent="0.25">
      <c r="A25" s="108" t="s">
        <v>107</v>
      </c>
      <c r="B25" s="109"/>
      <c r="C25" s="109"/>
      <c r="D25" s="109"/>
      <c r="E25" s="109"/>
      <c r="F25" s="109"/>
      <c r="G25" s="109"/>
      <c r="H25" s="109"/>
      <c r="I25" s="109"/>
    </row>
    <row r="26" spans="1:10" ht="35.25" customHeight="1" x14ac:dyDescent="0.25">
      <c r="A26" s="88" t="s">
        <v>106</v>
      </c>
      <c r="B26" s="89"/>
      <c r="C26" s="89"/>
      <c r="D26" s="89"/>
      <c r="E26" s="89"/>
      <c r="F26" s="89"/>
      <c r="G26" s="89"/>
      <c r="H26" s="89"/>
      <c r="I26" s="89"/>
    </row>
    <row r="27" spans="1:10" ht="30" customHeight="1" x14ac:dyDescent="0.25">
      <c r="A27" s="88" t="s">
        <v>108</v>
      </c>
      <c r="B27" s="88"/>
      <c r="C27" s="88"/>
      <c r="D27" s="88"/>
      <c r="E27" s="88"/>
      <c r="F27" s="88"/>
      <c r="G27" s="88"/>
      <c r="H27" s="88"/>
      <c r="I27" s="88"/>
      <c r="J27" s="49"/>
    </row>
    <row r="28" spans="1:10" ht="31.5" customHeight="1" x14ac:dyDescent="0.25">
      <c r="A28" s="88" t="s">
        <v>109</v>
      </c>
      <c r="B28" s="88"/>
      <c r="C28" s="88"/>
      <c r="D28" s="88"/>
      <c r="E28" s="88"/>
      <c r="F28" s="88"/>
      <c r="G28" s="88"/>
      <c r="H28" s="88"/>
      <c r="I28" s="88"/>
      <c r="J28" s="49"/>
    </row>
    <row r="29" spans="1:10" ht="15" customHeight="1" x14ac:dyDescent="0.25">
      <c r="A29" s="88" t="s">
        <v>110</v>
      </c>
      <c r="B29" s="89"/>
      <c r="C29" s="89"/>
      <c r="D29" s="89"/>
      <c r="E29" s="89"/>
      <c r="F29" s="89"/>
      <c r="G29" s="89"/>
      <c r="H29" s="89"/>
      <c r="I29" s="89"/>
    </row>
    <row r="30" spans="1:10" x14ac:dyDescent="0.25">
      <c r="A30" s="88" t="s">
        <v>111</v>
      </c>
      <c r="B30" s="90"/>
      <c r="C30" s="90"/>
      <c r="D30" s="90"/>
      <c r="E30" s="90"/>
      <c r="F30" s="90"/>
      <c r="G30" s="90"/>
      <c r="H30" s="90"/>
      <c r="I30" s="90"/>
    </row>
  </sheetData>
  <mergeCells count="10">
    <mergeCell ref="A30:I30"/>
    <mergeCell ref="F20:H20"/>
    <mergeCell ref="A3:A4"/>
    <mergeCell ref="A29:I29"/>
    <mergeCell ref="A23:I23"/>
    <mergeCell ref="A24:I24"/>
    <mergeCell ref="A25:I25"/>
    <mergeCell ref="A27:I27"/>
    <mergeCell ref="A26:I26"/>
    <mergeCell ref="A28:I2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3F924-556A-424B-9DD8-08EC5DDD91FB}">
  <dimension ref="A1:G22"/>
  <sheetViews>
    <sheetView topLeftCell="A13" workbookViewId="0">
      <selection activeCell="C16" sqref="C16"/>
    </sheetView>
  </sheetViews>
  <sheetFormatPr defaultRowHeight="15" x14ac:dyDescent="0.25"/>
  <cols>
    <col min="1" max="1" width="13.42578125" customWidth="1"/>
    <col min="2" max="2" width="13.85546875" customWidth="1"/>
    <col min="3" max="4" width="15.140625" customWidth="1"/>
    <col min="5" max="5" width="15.7109375" customWidth="1"/>
    <col min="6" max="6" width="15.140625" customWidth="1"/>
    <col min="7" max="7" width="15" customWidth="1"/>
  </cols>
  <sheetData>
    <row r="1" spans="1:7" ht="15.75" x14ac:dyDescent="0.25">
      <c r="A1" s="110"/>
      <c r="B1" s="111"/>
      <c r="C1" s="111"/>
      <c r="D1" s="111"/>
      <c r="E1" s="111"/>
      <c r="F1" s="111"/>
      <c r="G1" s="112"/>
    </row>
    <row r="2" spans="1:7" ht="16.5" thickBot="1" x14ac:dyDescent="0.3">
      <c r="A2" s="113" t="s">
        <v>127</v>
      </c>
      <c r="B2" s="114"/>
      <c r="C2" s="114"/>
      <c r="D2" s="114"/>
      <c r="E2" s="114"/>
      <c r="F2" s="114"/>
      <c r="G2" s="115"/>
    </row>
    <row r="3" spans="1:7" ht="15.75" x14ac:dyDescent="0.25">
      <c r="A3" s="59"/>
      <c r="B3" s="63"/>
      <c r="C3" s="63"/>
      <c r="D3" s="63"/>
      <c r="E3" s="63"/>
      <c r="F3" s="63"/>
      <c r="G3" s="67"/>
    </row>
    <row r="4" spans="1:7" x14ac:dyDescent="0.25">
      <c r="A4" s="60" t="s">
        <v>2</v>
      </c>
      <c r="B4" s="64" t="s">
        <v>3</v>
      </c>
      <c r="C4" s="64" t="s">
        <v>4</v>
      </c>
      <c r="D4" s="64" t="s">
        <v>5</v>
      </c>
      <c r="E4" s="64" t="s">
        <v>6</v>
      </c>
      <c r="F4" s="64" t="s">
        <v>7</v>
      </c>
      <c r="G4" s="68" t="s">
        <v>8</v>
      </c>
    </row>
    <row r="5" spans="1:7" ht="76.5" x14ac:dyDescent="0.25">
      <c r="A5" s="61" t="s">
        <v>128</v>
      </c>
      <c r="B5" s="63" t="s">
        <v>129</v>
      </c>
      <c r="C5" s="63" t="s">
        <v>130</v>
      </c>
      <c r="D5" s="63" t="s">
        <v>131</v>
      </c>
      <c r="E5" s="63" t="s">
        <v>133</v>
      </c>
      <c r="F5" s="63" t="s">
        <v>134</v>
      </c>
      <c r="G5" s="67" t="s">
        <v>135</v>
      </c>
    </row>
    <row r="6" spans="1:7" ht="15.75" thickBot="1" x14ac:dyDescent="0.3">
      <c r="A6" s="62"/>
      <c r="B6" s="65"/>
      <c r="C6" s="65"/>
      <c r="D6" s="66" t="s">
        <v>132</v>
      </c>
      <c r="E6" s="65"/>
      <c r="F6" s="65"/>
      <c r="G6" s="69" t="s">
        <v>136</v>
      </c>
    </row>
    <row r="7" spans="1:7" ht="28.5" x14ac:dyDescent="0.25">
      <c r="A7" s="70" t="s">
        <v>137</v>
      </c>
      <c r="B7" s="71">
        <v>95700</v>
      </c>
      <c r="C7" s="72">
        <v>0</v>
      </c>
      <c r="D7" s="71">
        <v>0</v>
      </c>
      <c r="E7" s="71">
        <v>28600</v>
      </c>
      <c r="F7" s="72">
        <v>25</v>
      </c>
      <c r="G7" s="73">
        <f>E7*F7</f>
        <v>715000</v>
      </c>
    </row>
    <row r="8" spans="1:7" ht="28.5" x14ac:dyDescent="0.25">
      <c r="A8" s="70" t="s">
        <v>138</v>
      </c>
      <c r="B8" s="71">
        <v>18900</v>
      </c>
      <c r="C8" s="72">
        <v>0</v>
      </c>
      <c r="D8" s="71">
        <v>0</v>
      </c>
      <c r="E8" s="71">
        <v>25350</v>
      </c>
      <c r="F8" s="72">
        <v>76</v>
      </c>
      <c r="G8" s="73">
        <f t="shared" ref="G8:G13" si="0">E8*F8</f>
        <v>1926600</v>
      </c>
    </row>
    <row r="9" spans="1:7" ht="15.75" x14ac:dyDescent="0.25">
      <c r="A9" s="70" t="s">
        <v>139</v>
      </c>
      <c r="B9" s="71">
        <v>0</v>
      </c>
      <c r="C9" s="72">
        <v>0</v>
      </c>
      <c r="D9" s="71">
        <v>0</v>
      </c>
      <c r="E9" s="72" t="s">
        <v>140</v>
      </c>
      <c r="F9" s="72" t="s">
        <v>141</v>
      </c>
      <c r="G9" s="73">
        <f>17940*151</f>
        <v>2708940</v>
      </c>
    </row>
    <row r="10" spans="1:7" x14ac:dyDescent="0.25">
      <c r="A10" s="70" t="s">
        <v>142</v>
      </c>
      <c r="B10" s="71">
        <v>74000</v>
      </c>
      <c r="C10" s="72">
        <v>0</v>
      </c>
      <c r="D10" s="71">
        <v>0</v>
      </c>
      <c r="E10" s="71">
        <v>26000</v>
      </c>
      <c r="F10" s="72">
        <v>78</v>
      </c>
      <c r="G10" s="73">
        <f t="shared" si="0"/>
        <v>2028000</v>
      </c>
    </row>
    <row r="11" spans="1:7" ht="15.75" x14ac:dyDescent="0.25">
      <c r="A11" s="70" t="s">
        <v>143</v>
      </c>
      <c r="B11" s="71">
        <v>150000</v>
      </c>
      <c r="C11" s="72">
        <v>0</v>
      </c>
      <c r="D11" s="71">
        <v>0</v>
      </c>
      <c r="E11" s="71">
        <v>34840</v>
      </c>
      <c r="F11" s="72">
        <v>27</v>
      </c>
      <c r="G11" s="73">
        <f t="shared" si="0"/>
        <v>940680</v>
      </c>
    </row>
    <row r="12" spans="1:7" ht="54" x14ac:dyDescent="0.25">
      <c r="A12" s="70" t="s">
        <v>144</v>
      </c>
      <c r="B12" s="71">
        <v>0</v>
      </c>
      <c r="C12" s="72">
        <v>0</v>
      </c>
      <c r="D12" s="71">
        <v>0</v>
      </c>
      <c r="E12" s="71">
        <v>9200</v>
      </c>
      <c r="F12" s="72">
        <v>50.3</v>
      </c>
      <c r="G12" s="73">
        <f t="shared" si="0"/>
        <v>462760</v>
      </c>
    </row>
    <row r="13" spans="1:7" ht="54" x14ac:dyDescent="0.25">
      <c r="A13" s="70" t="s">
        <v>145</v>
      </c>
      <c r="B13" s="71">
        <v>0</v>
      </c>
      <c r="C13" s="72">
        <v>0</v>
      </c>
      <c r="D13" s="71">
        <v>0</v>
      </c>
      <c r="E13" s="71">
        <v>10000</v>
      </c>
      <c r="F13" s="72">
        <v>0</v>
      </c>
      <c r="G13" s="73">
        <f t="shared" si="0"/>
        <v>0</v>
      </c>
    </row>
    <row r="14" spans="1:7" ht="15.75" x14ac:dyDescent="0.25">
      <c r="A14" s="74" t="s">
        <v>146</v>
      </c>
      <c r="B14" s="70"/>
      <c r="C14" s="70"/>
      <c r="D14" s="75">
        <v>0</v>
      </c>
      <c r="E14" s="70"/>
      <c r="F14" s="70"/>
      <c r="G14" s="76">
        <f>(ROUND(SUM(G7:G13),-4))</f>
        <v>8780000</v>
      </c>
    </row>
    <row r="15" spans="1:7" x14ac:dyDescent="0.25">
      <c r="A15" s="77" t="s">
        <v>147</v>
      </c>
    </row>
    <row r="16" spans="1:7" ht="18.75" x14ac:dyDescent="0.25">
      <c r="A16" s="78" t="s">
        <v>148</v>
      </c>
    </row>
    <row r="17" spans="1:1" ht="18.75" x14ac:dyDescent="0.25">
      <c r="A17" s="78" t="s">
        <v>149</v>
      </c>
    </row>
    <row r="18" spans="1:1" ht="18.75" x14ac:dyDescent="0.25">
      <c r="A18" s="79" t="s">
        <v>150</v>
      </c>
    </row>
    <row r="19" spans="1:1" ht="18.75" x14ac:dyDescent="0.25">
      <c r="A19" s="78" t="s">
        <v>151</v>
      </c>
    </row>
    <row r="20" spans="1:1" ht="18.75" x14ac:dyDescent="0.25">
      <c r="A20" s="79" t="s">
        <v>152</v>
      </c>
    </row>
    <row r="21" spans="1:1" ht="18.75" x14ac:dyDescent="0.25">
      <c r="A21" s="79" t="s">
        <v>153</v>
      </c>
    </row>
    <row r="22" spans="1:1" ht="15.75" x14ac:dyDescent="0.25">
      <c r="A22" s="80" t="s">
        <v>154</v>
      </c>
    </row>
  </sheetData>
  <mergeCells count="2">
    <mergeCell ref="A1:G1"/>
    <mergeCell ref="A2:G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D867B-40F2-40B6-88D0-7F7BA77EB5D6}">
  <dimension ref="A1:E16"/>
  <sheetViews>
    <sheetView workbookViewId="0">
      <selection activeCell="E17" sqref="E17"/>
    </sheetView>
  </sheetViews>
  <sheetFormatPr defaultRowHeight="15" x14ac:dyDescent="0.25"/>
  <cols>
    <col min="1" max="1" width="28.42578125" customWidth="1"/>
    <col min="2" max="2" width="13.85546875" customWidth="1"/>
    <col min="4" max="4" width="20.7109375" customWidth="1"/>
  </cols>
  <sheetData>
    <row r="1" spans="1:5" ht="15.75" x14ac:dyDescent="0.25">
      <c r="A1" s="110"/>
      <c r="B1" s="111"/>
      <c r="C1" s="111"/>
      <c r="D1" s="111"/>
      <c r="E1" s="112"/>
    </row>
    <row r="2" spans="1:5" ht="16.5" thickBot="1" x14ac:dyDescent="0.3">
      <c r="A2" s="116" t="s">
        <v>155</v>
      </c>
      <c r="B2" s="117"/>
      <c r="C2" s="117"/>
      <c r="D2" s="117"/>
      <c r="E2" s="118"/>
    </row>
    <row r="3" spans="1:5" x14ac:dyDescent="0.25">
      <c r="A3" s="81"/>
      <c r="B3" s="84"/>
      <c r="C3" s="84"/>
      <c r="D3" s="84"/>
      <c r="E3" s="84"/>
    </row>
    <row r="4" spans="1:5" x14ac:dyDescent="0.25">
      <c r="A4" s="82" t="s">
        <v>2</v>
      </c>
      <c r="B4" s="84" t="s">
        <v>3</v>
      </c>
      <c r="C4" s="84" t="s">
        <v>4</v>
      </c>
      <c r="D4" s="84" t="s">
        <v>5</v>
      </c>
      <c r="E4" s="84" t="s">
        <v>6</v>
      </c>
    </row>
    <row r="5" spans="1:5" ht="48.75" thickBot="1" x14ac:dyDescent="0.3">
      <c r="A5" s="83" t="s">
        <v>156</v>
      </c>
      <c r="B5" s="85" t="s">
        <v>157</v>
      </c>
      <c r="C5" s="85" t="s">
        <v>158</v>
      </c>
      <c r="D5" s="84" t="s">
        <v>159</v>
      </c>
      <c r="E5" s="84" t="s">
        <v>155</v>
      </c>
    </row>
    <row r="6" spans="1:5" ht="24.75" thickBot="1" x14ac:dyDescent="0.3">
      <c r="D6" s="86"/>
      <c r="E6" s="85" t="s">
        <v>160</v>
      </c>
    </row>
    <row r="7" spans="1:5" ht="25.5" x14ac:dyDescent="0.25">
      <c r="A7" s="70" t="s">
        <v>161</v>
      </c>
      <c r="B7" s="72" t="s">
        <v>162</v>
      </c>
      <c r="C7" s="72" t="s">
        <v>163</v>
      </c>
      <c r="D7" s="72">
        <v>0</v>
      </c>
      <c r="E7" s="72">
        <f>50.3*1.15</f>
        <v>57.844999999999992</v>
      </c>
    </row>
    <row r="8" spans="1:5" ht="25.5" x14ac:dyDescent="0.25">
      <c r="A8" s="70" t="s">
        <v>164</v>
      </c>
      <c r="B8" s="72" t="s">
        <v>165</v>
      </c>
      <c r="C8" s="72" t="s">
        <v>163</v>
      </c>
      <c r="D8" s="72">
        <v>0</v>
      </c>
      <c r="E8" s="72">
        <v>0</v>
      </c>
    </row>
    <row r="9" spans="1:5" ht="25.5" x14ac:dyDescent="0.25">
      <c r="A9" s="70" t="s">
        <v>166</v>
      </c>
      <c r="B9" s="72" t="s">
        <v>167</v>
      </c>
      <c r="C9" s="72">
        <v>1</v>
      </c>
      <c r="D9" s="72">
        <v>0</v>
      </c>
      <c r="E9" s="72">
        <v>0</v>
      </c>
    </row>
    <row r="10" spans="1:5" ht="25.5" x14ac:dyDescent="0.25">
      <c r="A10" s="70" t="s">
        <v>168</v>
      </c>
      <c r="B10" s="72" t="s">
        <v>162</v>
      </c>
      <c r="C10" s="72" t="s">
        <v>163</v>
      </c>
      <c r="D10" s="72">
        <v>0</v>
      </c>
      <c r="E10" s="72">
        <f>50.3*1.15</f>
        <v>57.844999999999992</v>
      </c>
    </row>
    <row r="11" spans="1:5" ht="15.75" x14ac:dyDescent="0.25">
      <c r="A11" s="70" t="s">
        <v>169</v>
      </c>
      <c r="B11" s="72" t="s">
        <v>165</v>
      </c>
      <c r="C11" s="72" t="s">
        <v>163</v>
      </c>
      <c r="D11" s="72">
        <v>0</v>
      </c>
      <c r="E11" s="72">
        <v>0</v>
      </c>
    </row>
    <row r="12" spans="1:5" ht="38.25" x14ac:dyDescent="0.25">
      <c r="A12" s="70" t="s">
        <v>170</v>
      </c>
      <c r="B12" s="72" t="s">
        <v>171</v>
      </c>
      <c r="C12" s="72">
        <v>1</v>
      </c>
      <c r="D12" s="72">
        <v>0</v>
      </c>
      <c r="E12" s="72">
        <v>0</v>
      </c>
    </row>
    <row r="13" spans="1:5" ht="15.75" x14ac:dyDescent="0.25">
      <c r="A13" s="70" t="s">
        <v>172</v>
      </c>
      <c r="B13" s="72">
        <v>0</v>
      </c>
      <c r="C13" s="72">
        <v>1</v>
      </c>
      <c r="D13" s="72">
        <v>0</v>
      </c>
      <c r="E13" s="72">
        <v>0</v>
      </c>
    </row>
    <row r="14" spans="1:5" x14ac:dyDescent="0.25">
      <c r="A14" s="70" t="s">
        <v>173</v>
      </c>
      <c r="B14" s="72">
        <v>2</v>
      </c>
      <c r="C14" s="72">
        <v>142</v>
      </c>
      <c r="D14" s="72">
        <v>0</v>
      </c>
      <c r="E14" s="72">
        <f>2*142</f>
        <v>284</v>
      </c>
    </row>
    <row r="15" spans="1:5" ht="25.5" x14ac:dyDescent="0.25">
      <c r="A15" s="70" t="s">
        <v>174</v>
      </c>
      <c r="B15" s="72">
        <v>27</v>
      </c>
      <c r="C15" s="72" t="s">
        <v>175</v>
      </c>
      <c r="D15" s="72">
        <v>0</v>
      </c>
      <c r="E15" s="72">
        <f>B15*2.41</f>
        <v>65.070000000000007</v>
      </c>
    </row>
    <row r="16" spans="1:5" x14ac:dyDescent="0.25">
      <c r="A16" s="70"/>
      <c r="B16" s="72"/>
      <c r="C16" s="72"/>
      <c r="D16" s="87" t="s">
        <v>176</v>
      </c>
      <c r="E16" s="72">
        <f>ROUND(SUM(E7:E15),0)</f>
        <v>465</v>
      </c>
    </row>
  </sheetData>
  <mergeCells count="2">
    <mergeCell ref="A1:E1"/>
    <mergeCell ref="A2:E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Table 1</vt:lpstr>
      <vt:lpstr>Table 2</vt:lpstr>
      <vt:lpstr>O&amp;M</vt:lpstr>
      <vt:lpstr>Responses</vt:lpstr>
      <vt:lpstr>'O&amp;M'!_Hlk17999247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DWang</dc:creator>
  <cp:lastModifiedBy>wwrigley</cp:lastModifiedBy>
  <dcterms:created xsi:type="dcterms:W3CDTF">2016-07-14T19:40:17Z</dcterms:created>
  <dcterms:modified xsi:type="dcterms:W3CDTF">2019-11-14T19:30:42Z</dcterms:modified>
</cp:coreProperties>
</file>