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filterPrivacy="1" showInkAnnotation="0" codeName="ThisWorkbook" defaultThemeVersion="124226"/>
  <xr:revisionPtr revIDLastSave="3" documentId="8_{2FA989A5-41E6-4503-B00A-BA0CE7F576DA}" xr6:coauthVersionLast="44" xr6:coauthVersionMax="44" xr10:uidLastSave="{14AE4348-0656-4487-9847-1FD7D695D178}"/>
  <bookViews>
    <workbookView xWindow="885" yWindow="2835" windowWidth="28170" windowHeight="11505" tabRatio="748" activeTab="2" xr2:uid="{00000000-000D-0000-FFFF-FFFF00000000}"/>
  </bookViews>
  <sheets>
    <sheet name="OLD Inputs" sheetId="39" r:id="rId1"/>
    <sheet name="MemoTables" sheetId="38" r:id="rId2"/>
    <sheet name="YR1" sheetId="4" r:id="rId3"/>
    <sheet name="YR2" sheetId="40" r:id="rId4"/>
    <sheet name="YR3" sheetId="41" r:id="rId5"/>
    <sheet name="summary" sheetId="8" r:id="rId6"/>
    <sheet name="EPA_YR1" sheetId="7" r:id="rId7"/>
    <sheet name="EPA_YR2" sheetId="36" r:id="rId8"/>
    <sheet name="EPA_YR3" sheetId="37" r:id="rId9"/>
    <sheet name="EPA summary" sheetId="11" r:id="rId10"/>
  </sheets>
  <definedNames>
    <definedName name="_xlnm.Print_Area" localSheetId="9">'EPA summary'!$B$2:$I$8</definedName>
    <definedName name="_xlnm.Print_Area" localSheetId="6">EPA_YR1!$B$2:$N$30</definedName>
    <definedName name="_xlnm.Print_Area" localSheetId="7">EPA_YR2!$B$2:$N$30</definedName>
    <definedName name="_xlnm.Print_Area" localSheetId="8">EPA_YR3!$B$2:$N$30</definedName>
    <definedName name="_xlnm.Print_Area" localSheetId="5">summary!$B$1:$I$14</definedName>
    <definedName name="_xlnm.Print_Area" localSheetId="2">'YR1'!$B$2:$O$63</definedName>
    <definedName name="_xlnm.Print_Area" localSheetId="3">'YR2'!$B$2:$O$63</definedName>
    <definedName name="_xlnm.Print_Area" localSheetId="4">'YR3'!$B$2:$O$63</definedName>
    <definedName name="_xlnm.Print_Titles" localSheetId="2">'YR1'!$2:$3</definedName>
    <definedName name="_xlnm.Print_Titles" localSheetId="3">'YR2'!$2:$3</definedName>
    <definedName name="_xlnm.Print_Titles" localSheetId="4">'YR3'!$2:$3</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3" i="8" l="1"/>
  <c r="D13" i="8"/>
  <c r="J6" i="7" l="1"/>
  <c r="I10" i="8"/>
  <c r="F7" i="4"/>
  <c r="H11" i="8"/>
  <c r="L46" i="41"/>
  <c r="M46" i="41"/>
  <c r="M46" i="40"/>
  <c r="L46" i="4"/>
  <c r="L45" i="4"/>
  <c r="M51" i="40"/>
  <c r="L30" i="40"/>
  <c r="L32" i="40"/>
  <c r="N31" i="40"/>
  <c r="G60" i="39"/>
  <c r="M33" i="40"/>
  <c r="K33" i="40"/>
  <c r="K46" i="40" s="1"/>
  <c r="K45" i="40"/>
  <c r="L42" i="40"/>
  <c r="L45" i="40" s="1"/>
  <c r="G26" i="40"/>
  <c r="G30" i="40"/>
  <c r="F60" i="39"/>
  <c r="F61" i="39"/>
  <c r="M18" i="40"/>
  <c r="K46" i="4"/>
  <c r="F70" i="39"/>
  <c r="L7" i="4"/>
  <c r="L33" i="40" l="1"/>
  <c r="L46" i="40" s="1"/>
  <c r="H33" i="4"/>
  <c r="H45" i="4"/>
  <c r="H43" i="4"/>
  <c r="L43" i="4"/>
  <c r="J49" i="40"/>
  <c r="H13" i="38" l="1"/>
  <c r="H6" i="38"/>
  <c r="H7" i="38"/>
  <c r="G6" i="38"/>
  <c r="G7" i="38"/>
  <c r="F7" i="38"/>
  <c r="F6" i="38"/>
  <c r="E6" i="38"/>
  <c r="E7" i="38"/>
  <c r="G11" i="38"/>
  <c r="G10" i="38"/>
  <c r="F11" i="38"/>
  <c r="F10" i="38"/>
  <c r="E11" i="38"/>
  <c r="E10" i="38"/>
  <c r="C27" i="38"/>
  <c r="C26" i="38"/>
  <c r="C25" i="38"/>
  <c r="C23" i="38"/>
  <c r="C22" i="38"/>
  <c r="F22" i="38" s="1"/>
  <c r="C21" i="38"/>
  <c r="G12" i="38"/>
  <c r="D12" i="38"/>
  <c r="G9" i="38"/>
  <c r="D9" i="38"/>
  <c r="H11" i="38" l="1"/>
  <c r="H10" i="38"/>
  <c r="F12" i="38" l="1"/>
  <c r="C12" i="38"/>
  <c r="F9" i="38"/>
  <c r="C9" i="38"/>
  <c r="C4" i="11"/>
  <c r="G20" i="37"/>
  <c r="G19" i="37"/>
  <c r="G18" i="37"/>
  <c r="G16" i="37"/>
  <c r="I16" i="37" s="1"/>
  <c r="G15" i="37"/>
  <c r="G14" i="37"/>
  <c r="M21" i="37"/>
  <c r="M6" i="37"/>
  <c r="M8" i="37"/>
  <c r="M9" i="37"/>
  <c r="I20" i="37"/>
  <c r="I19" i="37"/>
  <c r="I18" i="37"/>
  <c r="J17" i="37"/>
  <c r="I17" i="37"/>
  <c r="K17" i="37" s="1"/>
  <c r="L17" i="37" s="1"/>
  <c r="K15" i="37"/>
  <c r="I15" i="37"/>
  <c r="J15" i="37" s="1"/>
  <c r="I14" i="37"/>
  <c r="M21" i="36"/>
  <c r="G20" i="36"/>
  <c r="G19" i="36"/>
  <c r="G18" i="36"/>
  <c r="G16" i="36"/>
  <c r="I16" i="36" s="1"/>
  <c r="G15" i="36"/>
  <c r="G14" i="36"/>
  <c r="M9" i="36"/>
  <c r="M8" i="36"/>
  <c r="M6" i="36"/>
  <c r="I20" i="36"/>
  <c r="I19" i="36"/>
  <c r="I18" i="36"/>
  <c r="I17" i="36"/>
  <c r="K17" i="36" s="1"/>
  <c r="I15" i="36"/>
  <c r="I14" i="36"/>
  <c r="I16" i="7"/>
  <c r="J16" i="7" s="1"/>
  <c r="G20" i="7"/>
  <c r="G19" i="7"/>
  <c r="G18" i="7"/>
  <c r="G16" i="7"/>
  <c r="G15" i="7"/>
  <c r="G14" i="7"/>
  <c r="G39" i="41"/>
  <c r="G32" i="41"/>
  <c r="G31" i="41"/>
  <c r="G30" i="41"/>
  <c r="G28" i="41"/>
  <c r="G27" i="41"/>
  <c r="G26" i="41"/>
  <c r="G20" i="41"/>
  <c r="G17" i="41"/>
  <c r="G15" i="41"/>
  <c r="G14" i="41"/>
  <c r="G11" i="41"/>
  <c r="G41" i="40"/>
  <c r="G39" i="40"/>
  <c r="G40" i="40"/>
  <c r="G32" i="40"/>
  <c r="G31" i="40"/>
  <c r="G28" i="40"/>
  <c r="G27" i="40"/>
  <c r="G11" i="40"/>
  <c r="H11" i="40" s="1"/>
  <c r="G14" i="40"/>
  <c r="H14" i="40" s="1"/>
  <c r="G21" i="40"/>
  <c r="H21" i="40" s="1"/>
  <c r="G20" i="40"/>
  <c r="H20" i="40" s="1"/>
  <c r="G17" i="40"/>
  <c r="H17" i="40" s="1"/>
  <c r="G15" i="40"/>
  <c r="C10" i="8"/>
  <c r="N45" i="41"/>
  <c r="M43" i="41"/>
  <c r="F43" i="41"/>
  <c r="M42" i="41"/>
  <c r="F42" i="41"/>
  <c r="H42" i="41" s="1"/>
  <c r="F41" i="41"/>
  <c r="F40" i="41"/>
  <c r="F39" i="41"/>
  <c r="F32" i="41"/>
  <c r="F31" i="41"/>
  <c r="F30" i="41"/>
  <c r="F28" i="41"/>
  <c r="F27" i="41"/>
  <c r="F26" i="41"/>
  <c r="M21" i="41"/>
  <c r="H21" i="41"/>
  <c r="F21" i="41"/>
  <c r="D21" i="41"/>
  <c r="H20" i="41"/>
  <c r="F20" i="41"/>
  <c r="D20" i="41"/>
  <c r="M18" i="41"/>
  <c r="H18" i="41"/>
  <c r="F18" i="41"/>
  <c r="D18" i="41"/>
  <c r="F17" i="41"/>
  <c r="D17" i="41"/>
  <c r="F15" i="41"/>
  <c r="D15" i="41"/>
  <c r="F14" i="41"/>
  <c r="D14" i="41"/>
  <c r="M12" i="41"/>
  <c r="H12" i="41"/>
  <c r="F12" i="41"/>
  <c r="D12" i="41"/>
  <c r="M11" i="41"/>
  <c r="H11" i="41"/>
  <c r="F11" i="41"/>
  <c r="D11" i="41"/>
  <c r="M7" i="41"/>
  <c r="H7" i="41"/>
  <c r="F7" i="41"/>
  <c r="N45" i="40"/>
  <c r="M43" i="40"/>
  <c r="F43" i="40"/>
  <c r="M42" i="40"/>
  <c r="F42" i="40"/>
  <c r="H42" i="40" s="1"/>
  <c r="M41" i="40"/>
  <c r="H41" i="40"/>
  <c r="I41" i="40" s="1"/>
  <c r="F41" i="40"/>
  <c r="M40" i="40"/>
  <c r="H40" i="40"/>
  <c r="F40" i="40"/>
  <c r="M39" i="40"/>
  <c r="M45" i="40" s="1"/>
  <c r="F39" i="40"/>
  <c r="H39" i="40" s="1"/>
  <c r="N32" i="40"/>
  <c r="M32" i="40"/>
  <c r="J32" i="40"/>
  <c r="H32" i="40"/>
  <c r="I32" i="40" s="1"/>
  <c r="F32" i="40"/>
  <c r="M31" i="40"/>
  <c r="H31" i="40"/>
  <c r="I31" i="40" s="1"/>
  <c r="F31" i="40"/>
  <c r="N30" i="40"/>
  <c r="M30" i="40"/>
  <c r="J30" i="40"/>
  <c r="H30" i="40"/>
  <c r="I30" i="40" s="1"/>
  <c r="F30" i="40"/>
  <c r="M28" i="40"/>
  <c r="F28" i="40"/>
  <c r="N27" i="40"/>
  <c r="F27" i="40"/>
  <c r="F26" i="40"/>
  <c r="F21" i="40"/>
  <c r="D21" i="40"/>
  <c r="F20" i="40"/>
  <c r="D20" i="40"/>
  <c r="H18" i="40"/>
  <c r="F18" i="40"/>
  <c r="D18" i="40"/>
  <c r="F17" i="40"/>
  <c r="D17" i="40"/>
  <c r="M17" i="40" s="1"/>
  <c r="H15" i="40"/>
  <c r="F15" i="40"/>
  <c r="D15" i="40"/>
  <c r="M15" i="40" s="1"/>
  <c r="F14" i="40"/>
  <c r="D14" i="40"/>
  <c r="H12" i="40"/>
  <c r="F12" i="40"/>
  <c r="D12" i="40"/>
  <c r="M12" i="40" s="1"/>
  <c r="F11" i="40"/>
  <c r="D11" i="40"/>
  <c r="H7" i="40"/>
  <c r="M7" i="40"/>
  <c r="F7" i="40"/>
  <c r="G43" i="4"/>
  <c r="G7" i="4"/>
  <c r="M20" i="41" l="1"/>
  <c r="K19" i="37"/>
  <c r="J19" i="37"/>
  <c r="M19" i="37" s="1"/>
  <c r="L19" i="37"/>
  <c r="M18" i="37"/>
  <c r="K18" i="37"/>
  <c r="J18" i="37"/>
  <c r="L18" i="37" s="1"/>
  <c r="M20" i="37"/>
  <c r="K20" i="37"/>
  <c r="J20" i="37"/>
  <c r="L20" i="37" s="1"/>
  <c r="J14" i="37"/>
  <c r="L14" i="37" s="1"/>
  <c r="L15" i="37"/>
  <c r="J16" i="37"/>
  <c r="L16" i="37" s="1"/>
  <c r="M17" i="37"/>
  <c r="M14" i="37"/>
  <c r="K14" i="37"/>
  <c r="M15" i="37"/>
  <c r="K16" i="37"/>
  <c r="J15" i="36"/>
  <c r="L15" i="36" s="1"/>
  <c r="K15" i="36"/>
  <c r="M15" i="36"/>
  <c r="K19" i="36"/>
  <c r="J19" i="36"/>
  <c r="K18" i="36"/>
  <c r="J18" i="36"/>
  <c r="L18" i="36" s="1"/>
  <c r="J20" i="36"/>
  <c r="L20" i="36" s="1"/>
  <c r="K20" i="36"/>
  <c r="J14" i="36"/>
  <c r="L14" i="36" s="1"/>
  <c r="J16" i="36"/>
  <c r="M17" i="36"/>
  <c r="K14" i="36"/>
  <c r="K16" i="36"/>
  <c r="J17" i="36"/>
  <c r="L17" i="36" s="1"/>
  <c r="K16" i="7"/>
  <c r="M16" i="7" s="1"/>
  <c r="M14" i="41"/>
  <c r="H14" i="41"/>
  <c r="N26" i="41"/>
  <c r="M26" i="41"/>
  <c r="H26" i="41"/>
  <c r="J26" i="41" s="1"/>
  <c r="H32" i="41"/>
  <c r="N28" i="41"/>
  <c r="M28" i="41"/>
  <c r="M31" i="41"/>
  <c r="G40" i="41"/>
  <c r="N31" i="41"/>
  <c r="H31" i="41"/>
  <c r="J31" i="41" s="1"/>
  <c r="N27" i="41"/>
  <c r="H30" i="41"/>
  <c r="J41" i="40"/>
  <c r="L41" i="40" s="1"/>
  <c r="J31" i="40"/>
  <c r="M21" i="40"/>
  <c r="M20" i="40"/>
  <c r="N28" i="40"/>
  <c r="H28" i="40"/>
  <c r="M14" i="40"/>
  <c r="C11" i="8"/>
  <c r="M11" i="40"/>
  <c r="I42" i="41"/>
  <c r="L42" i="41" s="1"/>
  <c r="K42" i="41"/>
  <c r="J42" i="41"/>
  <c r="I12" i="41"/>
  <c r="K12" i="41" s="1"/>
  <c r="I14" i="41"/>
  <c r="I20" i="41"/>
  <c r="I21" i="41"/>
  <c r="J7" i="41"/>
  <c r="J11" i="41"/>
  <c r="J12" i="41"/>
  <c r="J14" i="41"/>
  <c r="J18" i="41"/>
  <c r="J20" i="41"/>
  <c r="J21" i="41"/>
  <c r="M27" i="41"/>
  <c r="H28" i="41"/>
  <c r="H43" i="41"/>
  <c r="L21" i="41"/>
  <c r="I7" i="41"/>
  <c r="I11" i="41"/>
  <c r="I18" i="41"/>
  <c r="L18" i="41" s="1"/>
  <c r="H27" i="41"/>
  <c r="J39" i="40"/>
  <c r="I39" i="40"/>
  <c r="K7" i="40"/>
  <c r="I28" i="40"/>
  <c r="I42" i="40"/>
  <c r="K42" i="40" s="1"/>
  <c r="J42" i="40"/>
  <c r="L12" i="40"/>
  <c r="I7" i="40"/>
  <c r="I11" i="40"/>
  <c r="I12" i="40"/>
  <c r="K12" i="40" s="1"/>
  <c r="I14" i="40"/>
  <c r="I15" i="40"/>
  <c r="K15" i="40" s="1"/>
  <c r="I17" i="40"/>
  <c r="I18" i="40"/>
  <c r="L18" i="40" s="1"/>
  <c r="I20" i="40"/>
  <c r="K20" i="40" s="1"/>
  <c r="I21" i="40"/>
  <c r="K21" i="40" s="1"/>
  <c r="H27" i="40"/>
  <c r="K30" i="40"/>
  <c r="K31" i="40"/>
  <c r="K32" i="40"/>
  <c r="I40" i="40"/>
  <c r="J11" i="40"/>
  <c r="J12" i="40"/>
  <c r="J14" i="40"/>
  <c r="J15" i="40"/>
  <c r="J17" i="40"/>
  <c r="K17" i="40" s="1"/>
  <c r="J18" i="40"/>
  <c r="J20" i="40"/>
  <c r="J21" i="40"/>
  <c r="M27" i="40"/>
  <c r="L31" i="40"/>
  <c r="J40" i="40"/>
  <c r="K41" i="40"/>
  <c r="H43" i="40"/>
  <c r="H45" i="40" s="1"/>
  <c r="J7" i="40"/>
  <c r="L7" i="40" s="1"/>
  <c r="M16" i="37" l="1"/>
  <c r="L16" i="36"/>
  <c r="M18" i="36"/>
  <c r="L19" i="36"/>
  <c r="M16" i="36"/>
  <c r="M20" i="36"/>
  <c r="M14" i="36"/>
  <c r="M19" i="36"/>
  <c r="L16" i="7"/>
  <c r="I31" i="41"/>
  <c r="L31" i="41" s="1"/>
  <c r="K31" i="41"/>
  <c r="I32" i="41"/>
  <c r="K32" i="41" s="1"/>
  <c r="J32" i="41"/>
  <c r="L20" i="41"/>
  <c r="K11" i="41"/>
  <c r="K21" i="41"/>
  <c r="J30" i="41"/>
  <c r="M30" i="41"/>
  <c r="N30" i="41"/>
  <c r="I26" i="41"/>
  <c r="K26" i="41" s="1"/>
  <c r="K20" i="41"/>
  <c r="L14" i="41"/>
  <c r="L12" i="41"/>
  <c r="I30" i="41"/>
  <c r="L30" i="41" s="1"/>
  <c r="M15" i="41"/>
  <c r="H15" i="41"/>
  <c r="H40" i="41"/>
  <c r="M40" i="41"/>
  <c r="G41" i="41"/>
  <c r="N32" i="41"/>
  <c r="N33" i="41" s="1"/>
  <c r="N46" i="41" s="1"/>
  <c r="D12" i="8" s="1"/>
  <c r="M32" i="41"/>
  <c r="L40" i="40"/>
  <c r="J28" i="40"/>
  <c r="L28" i="40" s="1"/>
  <c r="L15" i="40"/>
  <c r="L21" i="40"/>
  <c r="K18" i="40"/>
  <c r="L17" i="40"/>
  <c r="H26" i="40"/>
  <c r="N26" i="40"/>
  <c r="N33" i="40" s="1"/>
  <c r="N46" i="40" s="1"/>
  <c r="D11" i="8" s="1"/>
  <c r="M26" i="40"/>
  <c r="L14" i="40"/>
  <c r="L11" i="40"/>
  <c r="I28" i="41"/>
  <c r="J28" i="41"/>
  <c r="K14" i="41"/>
  <c r="J27" i="41"/>
  <c r="I27" i="41"/>
  <c r="L27" i="41" s="1"/>
  <c r="L7" i="41"/>
  <c r="L11" i="41"/>
  <c r="K18" i="41"/>
  <c r="I43" i="41"/>
  <c r="L43" i="41" s="1"/>
  <c r="J43" i="41"/>
  <c r="K7" i="41"/>
  <c r="J27" i="40"/>
  <c r="K27" i="40" s="1"/>
  <c r="I27" i="40"/>
  <c r="L20" i="40"/>
  <c r="K11" i="40"/>
  <c r="K14" i="40"/>
  <c r="K39" i="40"/>
  <c r="K40" i="40"/>
  <c r="I43" i="40"/>
  <c r="K43" i="40" s="1"/>
  <c r="J43" i="40"/>
  <c r="L43" i="40" s="1"/>
  <c r="L39" i="40"/>
  <c r="J45" i="40"/>
  <c r="L28" i="41" l="1"/>
  <c r="L32" i="41"/>
  <c r="I40" i="41"/>
  <c r="J40" i="41"/>
  <c r="I15" i="41"/>
  <c r="J15" i="41"/>
  <c r="L26" i="41"/>
  <c r="K27" i="41"/>
  <c r="M41" i="41"/>
  <c r="H41" i="41"/>
  <c r="H17" i="41"/>
  <c r="M17" i="41"/>
  <c r="M33" i="41" s="1"/>
  <c r="M39" i="41"/>
  <c r="M45" i="41" s="1"/>
  <c r="H39" i="41"/>
  <c r="C12" i="8"/>
  <c r="K30" i="41"/>
  <c r="K28" i="40"/>
  <c r="H4" i="8"/>
  <c r="L49" i="40"/>
  <c r="M52" i="40"/>
  <c r="I26" i="40"/>
  <c r="H33" i="40"/>
  <c r="H46" i="40" s="1"/>
  <c r="C4" i="8" s="1"/>
  <c r="J26" i="40"/>
  <c r="K43" i="41"/>
  <c r="K28" i="41"/>
  <c r="M51" i="41"/>
  <c r="L27" i="40"/>
  <c r="J33" i="40"/>
  <c r="I45" i="40"/>
  <c r="L15" i="41" l="1"/>
  <c r="H5" i="8"/>
  <c r="L49" i="41"/>
  <c r="J17" i="41"/>
  <c r="J33" i="41" s="1"/>
  <c r="I17" i="41"/>
  <c r="K17" i="41" s="1"/>
  <c r="H33" i="41"/>
  <c r="I39" i="41"/>
  <c r="J39" i="41"/>
  <c r="H45" i="41"/>
  <c r="I41" i="41"/>
  <c r="J41" i="41"/>
  <c r="C13" i="8"/>
  <c r="C14" i="8"/>
  <c r="K40" i="41"/>
  <c r="L40" i="41"/>
  <c r="K15" i="41"/>
  <c r="K26" i="40"/>
  <c r="L26" i="40"/>
  <c r="I33" i="40"/>
  <c r="E11" i="8" s="1"/>
  <c r="J46" i="40"/>
  <c r="E4" i="8" s="1"/>
  <c r="F11" i="8"/>
  <c r="M52" i="41" l="1"/>
  <c r="L39" i="41"/>
  <c r="K39" i="41"/>
  <c r="K33" i="41"/>
  <c r="L41" i="41"/>
  <c r="L45" i="41" s="1"/>
  <c r="K41" i="41"/>
  <c r="J45" i="41"/>
  <c r="J46" i="41" s="1"/>
  <c r="E5" i="8" s="1"/>
  <c r="L17" i="41"/>
  <c r="L33" i="41" s="1"/>
  <c r="I33" i="41"/>
  <c r="E12" i="8" s="1"/>
  <c r="H46" i="41"/>
  <c r="C5" i="8" s="1"/>
  <c r="I45" i="41"/>
  <c r="I46" i="40"/>
  <c r="K49" i="40"/>
  <c r="M49" i="40" s="1"/>
  <c r="G4" i="8"/>
  <c r="K45" i="41" l="1"/>
  <c r="K46" i="41" s="1"/>
  <c r="K49" i="41"/>
  <c r="M49" i="41" s="1"/>
  <c r="G5" i="8"/>
  <c r="I46" i="41"/>
  <c r="F12" i="8"/>
  <c r="D4" i="8"/>
  <c r="J49" i="41" l="1"/>
  <c r="D5" i="8"/>
  <c r="N45" i="4" l="1"/>
  <c r="G26" i="4" l="1"/>
  <c r="N26" i="4" s="1"/>
  <c r="F26" i="4"/>
  <c r="H26" i="4" l="1"/>
  <c r="M26" i="4"/>
  <c r="J26" i="4" l="1"/>
  <c r="I26" i="4"/>
  <c r="L26" i="4" s="1"/>
  <c r="K26" i="4"/>
  <c r="M39" i="4" l="1"/>
  <c r="F39" i="4"/>
  <c r="H39" i="4" s="1"/>
  <c r="M40" i="4"/>
  <c r="F40" i="4"/>
  <c r="H40" i="4" s="1"/>
  <c r="N30" i="4"/>
  <c r="F30" i="4"/>
  <c r="N32" i="4"/>
  <c r="F32" i="4"/>
  <c r="N31" i="4"/>
  <c r="F31" i="4"/>
  <c r="I39" i="4" l="1"/>
  <c r="J39" i="4"/>
  <c r="J40" i="4"/>
  <c r="I40" i="4"/>
  <c r="H30" i="4"/>
  <c r="M30" i="4"/>
  <c r="H32" i="4"/>
  <c r="M32" i="4"/>
  <c r="H31" i="4"/>
  <c r="M31" i="4"/>
  <c r="L39" i="4" l="1"/>
  <c r="L40" i="4"/>
  <c r="K39" i="4"/>
  <c r="K40" i="4"/>
  <c r="J30" i="4"/>
  <c r="I30" i="4"/>
  <c r="J32" i="4"/>
  <c r="I32" i="4"/>
  <c r="I31" i="4"/>
  <c r="L31" i="4" s="1"/>
  <c r="J31" i="4"/>
  <c r="L32" i="4" l="1"/>
  <c r="L30" i="4"/>
  <c r="K32" i="4"/>
  <c r="K30" i="4"/>
  <c r="K31" i="4"/>
  <c r="G28" i="4" l="1"/>
  <c r="N28" i="4" s="1"/>
  <c r="F28" i="4"/>
  <c r="G27" i="4"/>
  <c r="N27" i="4" s="1"/>
  <c r="F27" i="4"/>
  <c r="F18" i="4"/>
  <c r="H18" i="4" s="1"/>
  <c r="F17" i="4"/>
  <c r="H17" i="4" s="1"/>
  <c r="F12" i="4"/>
  <c r="H12" i="4" s="1"/>
  <c r="D12" i="4"/>
  <c r="M12" i="4" s="1"/>
  <c r="F11" i="4"/>
  <c r="H11" i="4" s="1"/>
  <c r="C36" i="39"/>
  <c r="D18" i="4" s="1"/>
  <c r="M18" i="4" s="1"/>
  <c r="C32" i="39"/>
  <c r="C34" i="39" s="1"/>
  <c r="D17" i="4" s="1"/>
  <c r="M17" i="4" s="1"/>
  <c r="H27" i="4" l="1"/>
  <c r="M27" i="4"/>
  <c r="H28" i="4"/>
  <c r="M28" i="4"/>
  <c r="I17" i="4"/>
  <c r="J17" i="4"/>
  <c r="I18" i="4"/>
  <c r="J18" i="4"/>
  <c r="K18" i="4" s="1"/>
  <c r="I12" i="4"/>
  <c r="J12" i="4"/>
  <c r="I11" i="4"/>
  <c r="J11" i="4"/>
  <c r="K11" i="4" s="1"/>
  <c r="L11" i="4" l="1"/>
  <c r="L12" i="4"/>
  <c r="L17" i="4"/>
  <c r="L18" i="4"/>
  <c r="J28" i="4"/>
  <c r="I28" i="4"/>
  <c r="L28" i="4" s="1"/>
  <c r="J27" i="4"/>
  <c r="I27" i="4"/>
  <c r="L27" i="4" s="1"/>
  <c r="K17" i="4"/>
  <c r="K12" i="4"/>
  <c r="K27" i="4" l="1"/>
  <c r="K28" i="4"/>
  <c r="D12" i="39" l="1"/>
  <c r="E47" i="39" l="1"/>
  <c r="G42" i="39"/>
  <c r="G43" i="39"/>
  <c r="G44" i="39"/>
  <c r="G45" i="39"/>
  <c r="G46" i="39"/>
  <c r="G41" i="39"/>
  <c r="F42" i="39"/>
  <c r="F43" i="39"/>
  <c r="F44" i="39"/>
  <c r="F45" i="39"/>
  <c r="F46" i="39"/>
  <c r="F41" i="39"/>
  <c r="F47" i="39" l="1"/>
  <c r="G47" i="39"/>
  <c r="G48" i="39" l="1"/>
  <c r="F48" i="39"/>
  <c r="D15" i="4" l="1"/>
  <c r="M15" i="4" s="1"/>
  <c r="D14" i="4"/>
  <c r="M14" i="4" s="1"/>
  <c r="F15" i="4"/>
  <c r="H15" i="4" s="1"/>
  <c r="F14" i="4"/>
  <c r="H14" i="4" s="1"/>
  <c r="I14" i="4" l="1"/>
  <c r="L14" i="4" s="1"/>
  <c r="J14" i="4"/>
  <c r="I15" i="4"/>
  <c r="J15" i="4"/>
  <c r="L15" i="4" l="1"/>
  <c r="K14" i="4"/>
  <c r="K15" i="4"/>
  <c r="C23" i="39" l="1"/>
  <c r="C18" i="39"/>
  <c r="C20" i="39" s="1"/>
  <c r="D11" i="4" s="1"/>
  <c r="M11" i="4" s="1"/>
  <c r="E60" i="39" l="1"/>
  <c r="G61" i="39" l="1"/>
  <c r="D81" i="39" l="1"/>
  <c r="D80" i="39"/>
  <c r="D79" i="39"/>
  <c r="F72" i="39"/>
  <c r="F71" i="39"/>
  <c r="C12" i="39"/>
  <c r="C5" i="39"/>
  <c r="D20" i="4" l="1"/>
  <c r="D21" i="4"/>
  <c r="H9" i="38" l="1"/>
  <c r="E9" i="38"/>
  <c r="J22" i="37" l="1"/>
  <c r="M22" i="37" s="1"/>
  <c r="I21" i="37"/>
  <c r="I9" i="37"/>
  <c r="K9" i="37" s="1"/>
  <c r="B9" i="37"/>
  <c r="I8" i="37"/>
  <c r="I6" i="37"/>
  <c r="J6" i="37" s="1"/>
  <c r="J22" i="36"/>
  <c r="M22" i="36" s="1"/>
  <c r="I21" i="36"/>
  <c r="J21" i="36" s="1"/>
  <c r="I9" i="36"/>
  <c r="J9" i="36" s="1"/>
  <c r="B9" i="36"/>
  <c r="I8" i="36"/>
  <c r="J8" i="36" s="1"/>
  <c r="I6" i="36"/>
  <c r="J6" i="36" s="1"/>
  <c r="K6" i="36" l="1"/>
  <c r="L6" i="36" s="1"/>
  <c r="K9" i="36"/>
  <c r="L9" i="36" s="1"/>
  <c r="J9" i="37"/>
  <c r="L9" i="37" s="1"/>
  <c r="F26" i="38"/>
  <c r="F23" i="38"/>
  <c r="K8" i="36"/>
  <c r="L8" i="36" s="1"/>
  <c r="K21" i="36"/>
  <c r="K6" i="37"/>
  <c r="L6" i="37" s="1"/>
  <c r="J8" i="37"/>
  <c r="J21" i="37"/>
  <c r="K8" i="37"/>
  <c r="K21" i="37"/>
  <c r="L8" i="37" l="1"/>
  <c r="F27" i="38"/>
  <c r="L21" i="37"/>
  <c r="L21" i="36"/>
  <c r="F25" i="38" l="1"/>
  <c r="F21" i="38"/>
  <c r="J22" i="7"/>
  <c r="I20" i="7"/>
  <c r="I19" i="7"/>
  <c r="I18" i="7"/>
  <c r="I15" i="7"/>
  <c r="I14" i="7"/>
  <c r="M43" i="4"/>
  <c r="F43" i="4"/>
  <c r="K14" i="7" l="1"/>
  <c r="K20" i="7"/>
  <c r="J15" i="7"/>
  <c r="M15" i="7"/>
  <c r="I23" i="36"/>
  <c r="C5" i="11" s="1"/>
  <c r="F28" i="38"/>
  <c r="K15" i="7"/>
  <c r="L15" i="7" s="1"/>
  <c r="J18" i="7"/>
  <c r="M18" i="7" s="1"/>
  <c r="K18" i="7"/>
  <c r="J19" i="7"/>
  <c r="J14" i="7"/>
  <c r="L14" i="7" s="1"/>
  <c r="K19" i="7"/>
  <c r="J20" i="7"/>
  <c r="K23" i="36" l="1"/>
  <c r="E5" i="11" s="1"/>
  <c r="L20" i="7"/>
  <c r="M19" i="7"/>
  <c r="M14" i="7"/>
  <c r="M20" i="7"/>
  <c r="I43" i="4"/>
  <c r="J23" i="36"/>
  <c r="D5" i="11" s="1"/>
  <c r="I23" i="37"/>
  <c r="C6" i="11" s="1"/>
  <c r="L19" i="7"/>
  <c r="L18" i="7"/>
  <c r="J43" i="4"/>
  <c r="K43" i="4" s="1"/>
  <c r="L23" i="36" l="1"/>
  <c r="J23" i="37"/>
  <c r="D6" i="11" s="1"/>
  <c r="K23" i="37"/>
  <c r="E6" i="11" s="1"/>
  <c r="L23" i="37" l="1"/>
  <c r="F42" i="4" l="1"/>
  <c r="M42" i="4"/>
  <c r="H42" i="4" l="1"/>
  <c r="J42" i="4" l="1"/>
  <c r="I42" i="4"/>
  <c r="K42" i="4" s="1"/>
  <c r="F41" i="4"/>
  <c r="L42" i="4" l="1"/>
  <c r="M41" i="4"/>
  <c r="M45" i="4" s="1"/>
  <c r="H41" i="4"/>
  <c r="I41" i="4" l="1"/>
  <c r="I45" i="4" s="1"/>
  <c r="J41" i="4"/>
  <c r="J45" i="4" s="1"/>
  <c r="L41" i="4" l="1"/>
  <c r="K41" i="4"/>
  <c r="K45" i="4" s="1"/>
  <c r="M20" i="4" l="1"/>
  <c r="E12" i="38" l="1"/>
  <c r="E13" i="38" s="1"/>
  <c r="H12" i="38"/>
  <c r="F21" i="4" l="1"/>
  <c r="F20" i="4"/>
  <c r="H20" i="4" s="1"/>
  <c r="M21" i="4" l="1"/>
  <c r="H21" i="4"/>
  <c r="J20" i="4"/>
  <c r="I20" i="4"/>
  <c r="L20" i="4" s="1"/>
  <c r="J21" i="4" l="1"/>
  <c r="I21" i="4"/>
  <c r="K21" i="4" s="1"/>
  <c r="K20" i="4"/>
  <c r="L21" i="4" l="1"/>
  <c r="M23" i="37" l="1"/>
  <c r="G6" i="11" s="1"/>
  <c r="M23" i="36"/>
  <c r="G5" i="11" s="1"/>
  <c r="G11" i="8"/>
  <c r="I11" i="8" s="1"/>
  <c r="F4" i="8" l="1"/>
  <c r="F6" i="11"/>
  <c r="F5" i="11"/>
  <c r="I17" i="7" l="1"/>
  <c r="K17" i="7" l="1"/>
  <c r="J17" i="7"/>
  <c r="M17" i="7" s="1"/>
  <c r="L17" i="7" l="1"/>
  <c r="N33" i="4" l="1"/>
  <c r="I4" i="8" l="1"/>
  <c r="H8" i="11"/>
  <c r="H7" i="11"/>
  <c r="M7" i="4" l="1"/>
  <c r="M33" i="4" s="1"/>
  <c r="H7" i="4" l="1"/>
  <c r="I7" i="4" l="1"/>
  <c r="I33" i="4" s="1"/>
  <c r="N46" i="4"/>
  <c r="D10" i="8" s="1"/>
  <c r="J7" i="4"/>
  <c r="J33" i="4" s="1"/>
  <c r="M51" i="4" l="1"/>
  <c r="E10" i="8"/>
  <c r="K7" i="4"/>
  <c r="K33" i="4" s="1"/>
  <c r="D14" i="8"/>
  <c r="F5" i="8"/>
  <c r="L33" i="4" l="1"/>
  <c r="I5" i="8"/>
  <c r="I6" i="11"/>
  <c r="I5" i="11"/>
  <c r="I21" i="7"/>
  <c r="B9" i="7"/>
  <c r="I6" i="7"/>
  <c r="K21" i="7" l="1"/>
  <c r="J21" i="7"/>
  <c r="M21" i="7" s="1"/>
  <c r="K6" i="7"/>
  <c r="M6" i="7" l="1"/>
  <c r="L21" i="7"/>
  <c r="L6" i="7"/>
  <c r="I9" i="7" l="1"/>
  <c r="I8" i="7" l="1"/>
  <c r="M22" i="7"/>
  <c r="K9" i="7"/>
  <c r="J9" i="7"/>
  <c r="M9" i="7" s="1"/>
  <c r="M46" i="4"/>
  <c r="H3" i="8" s="1"/>
  <c r="I23" i="7" l="1"/>
  <c r="L9" i="7"/>
  <c r="H46" i="4"/>
  <c r="C3" i="8" s="1"/>
  <c r="J8" i="7"/>
  <c r="J23" i="7" s="1"/>
  <c r="D4" i="11" s="1"/>
  <c r="K8" i="7"/>
  <c r="K23" i="7" s="1"/>
  <c r="E4" i="11" s="1"/>
  <c r="M8" i="7" l="1"/>
  <c r="F10" i="8"/>
  <c r="L8" i="7"/>
  <c r="L23" i="7" s="1"/>
  <c r="M23" i="7"/>
  <c r="G4" i="11" s="1"/>
  <c r="E13" i="8"/>
  <c r="G12" i="8"/>
  <c r="I12" i="8" s="1"/>
  <c r="C8" i="11"/>
  <c r="F4" i="11"/>
  <c r="C7" i="8"/>
  <c r="C6" i="8"/>
  <c r="D8" i="11"/>
  <c r="E8" i="11"/>
  <c r="J46" i="4"/>
  <c r="E3" i="8" s="1"/>
  <c r="C7" i="11"/>
  <c r="I46" i="4"/>
  <c r="D3" i="8" s="1"/>
  <c r="H12" i="8" l="1"/>
  <c r="F14" i="8"/>
  <c r="J49" i="4"/>
  <c r="D7" i="11"/>
  <c r="E14" i="8"/>
  <c r="F13" i="8"/>
  <c r="E7" i="11"/>
  <c r="G10" i="8"/>
  <c r="E6" i="8"/>
  <c r="H7" i="8"/>
  <c r="I4" i="11"/>
  <c r="G3" i="8" l="1"/>
  <c r="I3" i="8" s="1"/>
  <c r="M52" i="4"/>
  <c r="L49" i="4"/>
  <c r="G14" i="8"/>
  <c r="I14" i="8" s="1"/>
  <c r="G7" i="8"/>
  <c r="G7" i="11"/>
  <c r="K49" i="4"/>
  <c r="I13" i="8"/>
  <c r="F7" i="11"/>
  <c r="F8" i="11"/>
  <c r="G8" i="11"/>
  <c r="E7" i="8"/>
  <c r="F3" i="8"/>
  <c r="I7" i="11"/>
  <c r="I8" i="11"/>
  <c r="H6" i="8"/>
  <c r="D7" i="8"/>
  <c r="D6" i="8"/>
  <c r="H13" i="8" l="1"/>
  <c r="H14" i="8"/>
  <c r="I6" i="8"/>
  <c r="G6" i="8"/>
  <c r="M49" i="4"/>
  <c r="F7" i="8"/>
  <c r="F6" i="8"/>
  <c r="I7" i="8" l="1"/>
</calcChain>
</file>

<file path=xl/sharedStrings.xml><?xml version="1.0" encoding="utf-8"?>
<sst xmlns="http://schemas.openxmlformats.org/spreadsheetml/2006/main" count="697" uniqueCount="275">
  <si>
    <t>Managerial</t>
  </si>
  <si>
    <t>Technical</t>
  </si>
  <si>
    <t>Clerical</t>
  </si>
  <si>
    <t>Burden Item</t>
  </si>
  <si>
    <t>(A)
Respondent Hours per Occurrence (Technical hours)</t>
  </si>
  <si>
    <t>Footnotes</t>
  </si>
  <si>
    <t>(A)</t>
  </si>
  <si>
    <t>(B)</t>
  </si>
  <si>
    <t>(C)</t>
  </si>
  <si>
    <t>(D)</t>
  </si>
  <si>
    <t>(E)</t>
  </si>
  <si>
    <t>(F)</t>
  </si>
  <si>
    <t>Number of Occurrences Per Year</t>
  </si>
  <si>
    <t>1.</t>
  </si>
  <si>
    <t>Applications</t>
  </si>
  <si>
    <t>not applicable</t>
  </si>
  <si>
    <t>2.</t>
  </si>
  <si>
    <t>Read and Understand Rule Requirements</t>
  </si>
  <si>
    <t>3.</t>
  </si>
  <si>
    <t>Required Activities</t>
  </si>
  <si>
    <t>A.</t>
  </si>
  <si>
    <t>Observe stack tests</t>
  </si>
  <si>
    <t>B.</t>
  </si>
  <si>
    <t>Excess emissions -- Enforcement Activities</t>
  </si>
  <si>
    <t>C.</t>
  </si>
  <si>
    <t>Create Information</t>
  </si>
  <si>
    <t>D.</t>
  </si>
  <si>
    <t>Gather Information</t>
  </si>
  <si>
    <t>E.</t>
  </si>
  <si>
    <t>Report Reviews</t>
  </si>
  <si>
    <t>F.</t>
  </si>
  <si>
    <t>Prepare annual summary report</t>
  </si>
  <si>
    <t xml:space="preserve">Travel expenses:  (1 person *  30 hours per year / 8 hours per day * $75 per diem) + ($600 per round trip) = </t>
  </si>
  <si>
    <t>per trip</t>
  </si>
  <si>
    <t>TOTAL</t>
  </si>
  <si>
    <t>a</t>
  </si>
  <si>
    <t>Percent of Stack Tests Observed</t>
  </si>
  <si>
    <t>Estimated Percent Retesting</t>
  </si>
  <si>
    <t>Estimated Percent Emission Exceedences</t>
  </si>
  <si>
    <t>Year</t>
  </si>
  <si>
    <t>Technical Hours</t>
  </si>
  <si>
    <t>Management Hours</t>
  </si>
  <si>
    <t>Clerical Hours</t>
  </si>
  <si>
    <t>Total Labor Hours</t>
  </si>
  <si>
    <t>Labor Costs</t>
  </si>
  <si>
    <t>Non-Labor (Annualized Capital/Startup and O&amp;M) Costs</t>
  </si>
  <si>
    <t>Total Costs</t>
  </si>
  <si>
    <t>Total</t>
  </si>
  <si>
    <t>Average</t>
  </si>
  <si>
    <t>Hourly Mean Wage</t>
  </si>
  <si>
    <t>(GS- 12, step 1) - Tech.</t>
  </si>
  <si>
    <t>(GS- 13, step 5) - Mgmt.</t>
  </si>
  <si>
    <t>(GS-6, step 3) - Cler.</t>
  </si>
  <si>
    <t>4.</t>
  </si>
  <si>
    <t>Total Hours</t>
  </si>
  <si>
    <t>Non-Labor Costs</t>
  </si>
  <si>
    <t>4.  Recordkeeping Requirements</t>
  </si>
  <si>
    <t>A.  Read Instructions</t>
  </si>
  <si>
    <t>C.  Develop Record System</t>
  </si>
  <si>
    <t>Recordkeeping Subtotal</t>
  </si>
  <si>
    <t>1.  Applications</t>
  </si>
  <si>
    <t>NA</t>
  </si>
  <si>
    <t>2.  Surveys and Studies</t>
  </si>
  <si>
    <t>3.  Reporting Requirements</t>
  </si>
  <si>
    <t>A.  Read Rule</t>
  </si>
  <si>
    <t>B.  Required Activities</t>
  </si>
  <si>
    <t>C.  Create Information</t>
  </si>
  <si>
    <t>D.  Gather Information</t>
  </si>
  <si>
    <t>Inc. in 3B</t>
  </si>
  <si>
    <t>Inc. in 3E</t>
  </si>
  <si>
    <t>E.  Report Preparation</t>
  </si>
  <si>
    <t>Reporting Subtotal</t>
  </si>
  <si>
    <t>D.  Record information</t>
  </si>
  <si>
    <t>E.  Personnel Training</t>
  </si>
  <si>
    <t>F.  Time for Audits</t>
  </si>
  <si>
    <t>Labor</t>
  </si>
  <si>
    <t>Non-Labor</t>
  </si>
  <si>
    <t>Summary of Respondent Burden</t>
  </si>
  <si>
    <t>Initial Capital and Startup</t>
  </si>
  <si>
    <t>Annualized Capital/Start-up and O &amp; M</t>
  </si>
  <si>
    <t>(B) 
Non-Labor Costs Per Occurrence</t>
  </si>
  <si>
    <t>Category</t>
  </si>
  <si>
    <t>Occupation Code</t>
  </si>
  <si>
    <t>Title</t>
  </si>
  <si>
    <t>Loaded Wage</t>
  </si>
  <si>
    <t>Number of Responses</t>
  </si>
  <si>
    <t>Reporting Hours</t>
  </si>
  <si>
    <t>Recordkeeping Hours</t>
  </si>
  <si>
    <t>Hours per Response</t>
  </si>
  <si>
    <t>(C) 
Number of Occurrences Per Respondent Per Year</t>
  </si>
  <si>
    <t>(E)
Number of Respondents Per Year</t>
  </si>
  <si>
    <t>(G) 
Clerical Hours per Year
(F X 0.1)</t>
  </si>
  <si>
    <t>(H)
Management Hours per Year
(F X .05)</t>
  </si>
  <si>
    <t>Footnotes:</t>
  </si>
  <si>
    <t>Tech Hours Per Year
(C=A x B)</t>
  </si>
  <si>
    <t>Management Hours Per Year
(D = C x 0.05)</t>
  </si>
  <si>
    <t>Clerical Hours Per Year
(E = C x 0.1)</t>
  </si>
  <si>
    <t>(F)
Technical Hours per Year
(D X E)</t>
  </si>
  <si>
    <t>B.  Implement Activities</t>
  </si>
  <si>
    <t>Capital Cost</t>
  </si>
  <si>
    <t>a.  Capital Cost</t>
  </si>
  <si>
    <t>b.  Annualized Cost</t>
  </si>
  <si>
    <t>Inc. in 3.A</t>
  </si>
  <si>
    <t>https://www.opm.gov/policy-data-oversight/pay-leave/salaries-wages/salary-tables/pdf/2016/GS_h.pdf</t>
  </si>
  <si>
    <t>or https://www.opm.gov/policy-data-oversight/pay-leave/salaries-wages/</t>
  </si>
  <si>
    <t>Review compliance reports</t>
  </si>
  <si>
    <t>Hours Per Respondent</t>
  </si>
  <si>
    <t>(D)
Technical Hours per Respondent Per Year
 (A X C)</t>
  </si>
  <si>
    <t>Number of Respondents</t>
  </si>
  <si>
    <t>Technical Hours Per Occurrence</t>
  </si>
  <si>
    <t>Total Hours Per Year (C+D+E)</t>
  </si>
  <si>
    <t>Total Cost Per Year</t>
  </si>
  <si>
    <t>(G)</t>
  </si>
  <si>
    <t>(I)
Total Hours per Year
(F + G + H)</t>
  </si>
  <si>
    <t>(J)
Total Labor Costs Per Year</t>
  </si>
  <si>
    <t>(K)
Total Non-Labor Costs Per Year 
(B x C x E)</t>
  </si>
  <si>
    <t>(L)
Total Number of Responses per Year
(C X E)</t>
  </si>
  <si>
    <t>Capital/Startup and O&amp;M Costs</t>
  </si>
  <si>
    <t>Annual Cost</t>
  </si>
  <si>
    <t>Parameter</t>
  </si>
  <si>
    <t>Flare Management Plan - One-time cost</t>
  </si>
  <si>
    <t>Cost Per Flare</t>
  </si>
  <si>
    <t>Value</t>
  </si>
  <si>
    <t>Capital Equipment Cost ($/flare)</t>
  </si>
  <si>
    <t>Annualized Cost ($/yr/flare)</t>
  </si>
  <si>
    <t>Number of Flares Impacted</t>
  </si>
  <si>
    <t>EPA Wages</t>
  </si>
  <si>
    <t>Industry Wages</t>
  </si>
  <si>
    <t>Nationwide Capital Equipment Cost ($)</t>
  </si>
  <si>
    <t>Nationwide Total Annualized Cost ($/yr)</t>
  </si>
  <si>
    <t>Flare Monitor Costs (costs pulled from Flare Impacts memo)</t>
  </si>
  <si>
    <t>Monitoring Equipment</t>
  </si>
  <si>
    <t>May 2016 National Industry-Specific Occupational Employment and Wage Estimates</t>
  </si>
  <si>
    <t>11-9041</t>
  </si>
  <si>
    <t>Architectural and Engineering Managers</t>
  </si>
  <si>
    <t>17-2081</t>
  </si>
  <si>
    <t>2016 Wage</t>
  </si>
  <si>
    <t>Environmental Engineer</t>
  </si>
  <si>
    <t>Office and Administrative Support Occupations</t>
  </si>
  <si>
    <t>(b) This is a one-time cost (e.g., to read rule or develop plan).</t>
  </si>
  <si>
    <t>a, b</t>
  </si>
  <si>
    <t>Review notification of compliance status</t>
  </si>
  <si>
    <t>Flare Monitors</t>
  </si>
  <si>
    <t>Capital/Startup Costs for One Respondent</t>
  </si>
  <si>
    <t>Number of Respondents with Capital/Startup Costs</t>
  </si>
  <si>
    <t>Annual Cost (O&amp;M and Capital) for One Respondent</t>
  </si>
  <si>
    <t>Total Capital/ Startup Cost
(B X C)</t>
  </si>
  <si>
    <t>Total Annual Cost,
(E X F)</t>
  </si>
  <si>
    <t>Source &amp; Monitor Type</t>
  </si>
  <si>
    <t>Information Collection Activity</t>
  </si>
  <si>
    <t>Number of Existing Respondents That Keep Records But Do Not Submit Reports</t>
  </si>
  <si>
    <t>Total Annual Responses</t>
  </si>
  <si>
    <t>Notification of Compliance Status</t>
  </si>
  <si>
    <t>Periodic Reports</t>
  </si>
  <si>
    <t>Total Annual Responses
E=(BxC)+D</t>
  </si>
  <si>
    <r>
      <t>Number of Respondents</t>
    </r>
    <r>
      <rPr>
        <vertAlign val="superscript"/>
        <sz val="10"/>
        <color rgb="FF000000"/>
        <rFont val="Times New Roman"/>
        <family val="1"/>
      </rPr>
      <t>a</t>
    </r>
  </si>
  <si>
    <t>h</t>
  </si>
  <si>
    <t>1.  Storage Tanks</t>
  </si>
  <si>
    <t>Number of Existing</t>
  </si>
  <si>
    <t>Number of New</t>
  </si>
  <si>
    <t>Flares</t>
  </si>
  <si>
    <t>All Facilities</t>
  </si>
  <si>
    <t>Flare Count</t>
  </si>
  <si>
    <t>#Facilities</t>
  </si>
  <si>
    <t>Engineering Calculation Costs (Dedicated Flares)*</t>
  </si>
  <si>
    <t>Total Flares</t>
  </si>
  <si>
    <t>Avg. Cost Per Facility (16 facilities)</t>
  </si>
  <si>
    <t>Avg. Cost Per Facility (all existing facilities)</t>
  </si>
  <si>
    <t>**RLSO indicates paragraph (o) of 63.670 doesn't apply if operators choose to follow provisions of 63.670 to show compliance (which is what we're assuming they'll do), so removed from burden estimate.</t>
  </si>
  <si>
    <t>*We assume that the owner or operator would likely follow the provisions at 40 CFR 63.670(i)(4) and (k)(2)(ii) in order to determine compliance with the flare tip velocity standard on a 15-minute block average basis. These provisions allow use of a continuous pressure/temperature monitoring system and engineering calculations in lieu of the more intricate monitoring options also specified in 40 CFR part 63, subpart CC.</t>
  </si>
  <si>
    <t>Leak Detection and Repair Program (Method 21)</t>
  </si>
  <si>
    <t>Number of tanks assumed to be &lt;5% HAP:</t>
  </si>
  <si>
    <t>Once every 5 year testing cost/tank:</t>
  </si>
  <si>
    <t>Total cost every 5 years ($):</t>
  </si>
  <si>
    <t xml:space="preserve">Assumed fraction of tanks &lt;5% HAP that change contents every year </t>
  </si>
  <si>
    <t>Estimated tanks per year with retest for &lt;5% HAP content:</t>
  </si>
  <si>
    <t>Total tank retest cost per year:</t>
  </si>
  <si>
    <t>HAP Content Monitoring for tanks less than 5% HAP</t>
  </si>
  <si>
    <t>(a) There are 177 currently operating facilities, and 4 facilities are expected to commence operations within three years after promulgation of the rule. As such, costs are estimated for 181 facilities.</t>
  </si>
  <si>
    <t>ASTM D2879 analyzer cost ($)</t>
  </si>
  <si>
    <t>Annualized Analyzer cost ($/yr)</t>
  </si>
  <si>
    <t>Number of facilities purchasing analyzer:</t>
  </si>
  <si>
    <t>Assumes half of the 79 facilities assumed to be larger OLD will need to purchase an analyzer and may have tanks below regulatory threshold vapor pressures</t>
  </si>
  <si>
    <t xml:space="preserve">VP Monitoring </t>
  </si>
  <si>
    <t>Compliance measure: initial and repeating every 5 years or with tank content changes to ensure which control regime the tank falls under (i.e., below or above 95% control thresholds).</t>
  </si>
  <si>
    <t>Current rule has EPA Method 311 required for initial applicability with &lt;5% HAP.  Propose repeating test every 5 years or with tank content changes</t>
  </si>
  <si>
    <t>Estimate of current uncontrolled OLD FXRT subject to LDAR :</t>
  </si>
  <si>
    <t>Nationwide Cost</t>
  </si>
  <si>
    <t>Tanks</t>
  </si>
  <si>
    <t># FXRT beneath VP cutoffs</t>
  </si>
  <si>
    <t>FXRT&gt;5,000 gallons subject to LDAR because they are below 95% control VP thresholds</t>
  </si>
  <si>
    <t>(Assumes all EFRs and IFRs are at controlled level, no further improvements necessary)</t>
  </si>
  <si>
    <t>Option</t>
  </si>
  <si>
    <t>By Model</t>
  </si>
  <si>
    <t>National</t>
  </si>
  <si>
    <t>TCI</t>
  </si>
  <si>
    <t>Incremental TAC w/o Recovery Credits</t>
  </si>
  <si>
    <t>No. of Affected Facilities</t>
  </si>
  <si>
    <t>Small model requiring admin costs</t>
  </si>
  <si>
    <t>Medium model requiring admin costs</t>
  </si>
  <si>
    <t>Large model requiring admin costs</t>
  </si>
  <si>
    <t>Small model requiring no admin costs</t>
  </si>
  <si>
    <t>Medium model requiring no admin costs</t>
  </si>
  <si>
    <t>Large model requiring no admin costs</t>
  </si>
  <si>
    <t>Connectors monitoring (leak definition of 500 ppmv)</t>
  </si>
  <si>
    <t>Avg per facility:</t>
  </si>
  <si>
    <t>Avg. Cost Per Facility</t>
  </si>
  <si>
    <t>Must conduct initial monitoring within 3 years, subsequent monitoring must be conducted within 60 months</t>
  </si>
  <si>
    <t># Facilities with applicable tanks</t>
  </si>
  <si>
    <t>AVERAGE PER FACILITY</t>
  </si>
  <si>
    <t>Testing labor cost/tank</t>
  </si>
  <si>
    <t># Facilities with vapor testing</t>
  </si>
  <si>
    <t>Average annual labor cost per facility ($/yr)</t>
  </si>
  <si>
    <t># Retests</t>
  </si>
  <si>
    <t>Total annual labor cost ($/yr):</t>
  </si>
  <si>
    <t>Average annual labor cost per retest ($/yr)</t>
  </si>
  <si>
    <t>assume retests occur at separate facilities</t>
  </si>
  <si>
    <t># Facilities</t>
  </si>
  <si>
    <t>1/3 in yr 2, 2/3 in year 3</t>
  </si>
  <si>
    <t>applies to yr 2 and yr 3</t>
  </si>
  <si>
    <t>i. Initial Monitoring</t>
  </si>
  <si>
    <t>ii. Retest for Changing Tank Contents</t>
  </si>
  <si>
    <t>i.  Capital Cost</t>
  </si>
  <si>
    <t>ii.  Annualized Cost</t>
  </si>
  <si>
    <t>1.  Notification of Compliance Status</t>
  </si>
  <si>
    <t>b.  Connectors</t>
  </si>
  <si>
    <t xml:space="preserve">The applicable information specified in §63.1039(a)(1) through (3) </t>
  </si>
  <si>
    <t>a.  Storage Tanks</t>
  </si>
  <si>
    <t>c.  Flares</t>
  </si>
  <si>
    <t>2.  Connectors</t>
  </si>
  <si>
    <t>3.  Flares</t>
  </si>
  <si>
    <t>HAP content and vapor pressure records</t>
  </si>
  <si>
    <t>2.  Compliance Report</t>
  </si>
  <si>
    <t>Table 1 - Annual Respondent Burden and Cost of Recordkeeping and Reporting Requirements for the Organic Liquid Distribution (Non-Gasoline) RTR  - Year 1</t>
  </si>
  <si>
    <t>NAICS 325000 - Chemical Manufacturing</t>
  </si>
  <si>
    <t>43-0000</t>
  </si>
  <si>
    <t>https://www.bls.gov/oes/2016/may/naics3_325000.htm</t>
  </si>
  <si>
    <t>With Fringe &amp; Overhead</t>
  </si>
  <si>
    <t>4.  Flow events from bypass lines</t>
  </si>
  <si>
    <t>a.  HAP Content Monitoring (Method 311)</t>
  </si>
  <si>
    <t>b.  VP Monitoring - ASTM D2879 analyzer purchase</t>
  </si>
  <si>
    <t>c.  VP Monitoring</t>
  </si>
  <si>
    <t>2.  Flare Monitoring</t>
  </si>
  <si>
    <t xml:space="preserve">(c) Assumed facilities will read the rule and perform certain one-time activities (e.g., personnel training) in year 1. Assumed that one-third of the facilities would begin complying in year 2 and the remaining two-thirds of the facilities in year 3. </t>
  </si>
  <si>
    <t>set equal to facilities purchasing VP analyzer</t>
  </si>
  <si>
    <t>(d) Assumed 40 facilities would have storage tanks applicable to HAP content monitoring and vapor pressure monitoring requirements.</t>
  </si>
  <si>
    <t>(e) Flare monitoring includes costs for continuous pressure/temperature monitoring system and engineering calculations in lieu of the more intricate monitoring options (e.g. H2 analyzer, calorimeter, flare gas flow monitor, steam controls/flow monitor, and air controls/flow monitor).</t>
  </si>
  <si>
    <t>(f) 16 facilities have flares applicable to monitoring requirements.</t>
  </si>
  <si>
    <t>i</t>
  </si>
  <si>
    <t>(g) 180 facilities are subject to connector monitoring requirements.</t>
  </si>
  <si>
    <t>(h) Assumed 2 tanks (i.e., facilities) would change tanks contents within a year.</t>
  </si>
  <si>
    <t>(i) Assumed that bypass lines were not used during the 3-year period, so costs for bypass lines would not be incurred.</t>
  </si>
  <si>
    <t>c,d</t>
  </si>
  <si>
    <t>c,e,f</t>
  </si>
  <si>
    <t>c,g</t>
  </si>
  <si>
    <t>c,f</t>
  </si>
  <si>
    <t>Table 2 - Annual Respondent Burden and Cost of Recordkeeping and Reporting Requirements for the Organic Liquid Distribution (Non-Gasoline) RTR  - Year 2</t>
  </si>
  <si>
    <t>Table 3 - Annual Respondent Burden and Cost of Recordkeeping and Reporting Requirements for the Organic Liquid Distribution (Non-Gasoline) RTR  - Year 3</t>
  </si>
  <si>
    <t>Table 4 - Summary of Annual Respondent Burden and Cost of Recordkeeping and Reporting Requirements for the Organic Liquid Distribution (Non-Gasoline) RTR</t>
  </si>
  <si>
    <t>Table 5 - Annual Agency Burden and Cost of Recordkeeping and Reporting Requirements for the Organic Liquid Distribution (Non-Gasoline) RTR - Year 1</t>
  </si>
  <si>
    <t>Table 6 - Annual Agency Burden and Cost of Recordkeeping and Reporting Requirements for the Organic Liquid Distribution (Non-Gasoline) RTR - Year 2</t>
  </si>
  <si>
    <t>Table 7 - Annual Agency Burden and Cost of Recordkeeping and Reporting Requirements for the Organic Liquid Distribution (Non-Gasoline) RTR - Year 3</t>
  </si>
  <si>
    <t>Table 8 - Summary of Annual Agency Burden and Cost of Recordkeeping and Reporting Requirements for the Organic Liquid Distribution (Non-Gasoline) RTR</t>
  </si>
  <si>
    <t>these costs are not included in burden, but facility count of 180 is</t>
  </si>
  <si>
    <t>27 flares are at 16 facilities</t>
  </si>
  <si>
    <t>Number of occurrences is the number of states and EPA Regions with affected sources (36 states + 10 EPA regions = 46 respondents).</t>
  </si>
  <si>
    <t>(a) Within a given year, there are a maximum of 40 respondents for storage tanks and 16 respondents for flares, however the values in column F reflect the sum of these respondents for years 2 and 3.</t>
  </si>
  <si>
    <t>Storage Tanks</t>
  </si>
  <si>
    <t>Connectors</t>
  </si>
  <si>
    <t>Storage Tanks - HAP Content</t>
  </si>
  <si>
    <t>Initial Monitoring</t>
  </si>
  <si>
    <t>Retest</t>
  </si>
  <si>
    <t>Storage Tanks - Vapor Pressure</t>
  </si>
  <si>
    <t>Monitor</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</si>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</sst>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quot;$&quot;#,##0.00"/>
    <numFmt numFmtId="166" formatCode=";;;"/>
    <numFmt numFmtId="167" formatCode="General_)"/>
    <numFmt numFmtId="168" formatCode="0_)"/>
    <numFmt numFmtId="169" formatCode="_(&quot;$&quot;* #,##0_);_(&quot;$&quot;* \(#,##0\);_(&quot;$&quot;* &quot;-&quot;??_);_(@_)"/>
  </numFmts>
  <fonts count="44" x14ac:knownFonts="1">
    <font>
      <sz val="11"/>
      <color theme="1"/>
      <name val="Calibri"/>
      <family val="2"/>
      <scheme val="minor"/>
    </font>
    <font>
      <sz val="10"/>
      <name val="Arial"/>
      <family val="2"/>
    </font>
    <font>
      <sz val="9"/>
      <color indexed="8"/>
      <name val="Arial"/>
      <family val="2"/>
    </font>
    <font>
      <sz val="11"/>
      <color theme="1"/>
      <name val="Calibri"/>
      <family val="2"/>
      <scheme val="minor"/>
    </font>
    <font>
      <b/>
      <sz val="12"/>
      <name val="Arial"/>
      <family val="2"/>
    </font>
    <font>
      <sz val="9"/>
      <name val="Arial"/>
      <family val="2"/>
    </font>
    <font>
      <sz val="8"/>
      <name val="Arial"/>
      <family val="2"/>
    </font>
    <font>
      <sz val="8"/>
      <color indexed="10"/>
      <name val="Arial"/>
      <family val="2"/>
    </font>
    <font>
      <u/>
      <sz val="11"/>
      <color theme="10"/>
      <name val="Calibri"/>
      <family val="2"/>
    </font>
    <font>
      <sz val="8"/>
      <name val="Courier"/>
      <family val="3"/>
    </font>
    <font>
      <sz val="10"/>
      <color theme="1"/>
      <name val="Calibri"/>
      <family val="2"/>
      <scheme val="minor"/>
    </font>
    <font>
      <b/>
      <sz val="14"/>
      <name val="Arial"/>
      <family val="2"/>
    </font>
    <font>
      <b/>
      <i/>
      <sz val="8"/>
      <name val="Arial"/>
      <family val="2"/>
    </font>
    <font>
      <b/>
      <sz val="8"/>
      <name val="Arial"/>
      <family val="2"/>
    </font>
    <font>
      <sz val="11"/>
      <color theme="1"/>
      <name val="Arial"/>
      <family val="2"/>
    </font>
    <font>
      <sz val="9"/>
      <color indexed="12"/>
      <name val="Arial"/>
      <family val="2"/>
    </font>
    <font>
      <b/>
      <sz val="11"/>
      <name val="Arial"/>
      <family val="2"/>
    </font>
    <font>
      <b/>
      <sz val="10"/>
      <color theme="1"/>
      <name val="Calibri"/>
      <family val="2"/>
      <scheme val="minor"/>
    </font>
    <font>
      <b/>
      <sz val="10"/>
      <name val="Calibri"/>
      <family val="2"/>
      <scheme val="minor"/>
    </font>
    <font>
      <sz val="10"/>
      <name val="Calibri"/>
      <family val="2"/>
      <scheme val="minor"/>
    </font>
    <font>
      <u/>
      <sz val="10"/>
      <color theme="10"/>
      <name val="Calibri"/>
      <family val="2"/>
      <scheme val="minor"/>
    </font>
    <font>
      <b/>
      <sz val="11"/>
      <color theme="1"/>
      <name val="Calibri"/>
      <family val="2"/>
      <scheme val="minor"/>
    </font>
    <font>
      <sz val="10"/>
      <color rgb="FF000000"/>
      <name val="Calibri"/>
      <family val="2"/>
      <scheme val="minor"/>
    </font>
    <font>
      <b/>
      <sz val="10"/>
      <color rgb="FF000000"/>
      <name val="Calibri"/>
      <family val="2"/>
      <scheme val="minor"/>
    </font>
    <font>
      <sz val="8"/>
      <color rgb="FFC00000"/>
      <name val="Arial"/>
      <family val="2"/>
    </font>
    <font>
      <b/>
      <sz val="11"/>
      <name val="Calibri"/>
      <family val="2"/>
      <scheme val="minor"/>
    </font>
    <font>
      <sz val="9"/>
      <color theme="1"/>
      <name val="Arial"/>
      <family val="2"/>
    </font>
    <font>
      <sz val="10"/>
      <color theme="1"/>
      <name val="Times New Roman"/>
      <family val="1"/>
    </font>
    <font>
      <b/>
      <sz val="12"/>
      <color rgb="FF000000"/>
      <name val="Times New Roman"/>
      <family val="1"/>
    </font>
    <font>
      <sz val="10"/>
      <color rgb="FF000000"/>
      <name val="Times New Roman"/>
      <family val="1"/>
    </font>
    <font>
      <sz val="10"/>
      <name val="Times New Roman"/>
      <family val="1"/>
    </font>
    <font>
      <b/>
      <sz val="11"/>
      <color rgb="FF000000"/>
      <name val="Times New Roman"/>
      <family val="1"/>
    </font>
    <font>
      <vertAlign val="superscript"/>
      <sz val="10"/>
      <color rgb="FF000000"/>
      <name val="Times New Roman"/>
      <family val="1"/>
    </font>
    <font>
      <sz val="10"/>
      <color theme="1" tint="0.499984740745262"/>
      <name val="Calibri"/>
      <family val="2"/>
      <scheme val="minor"/>
    </font>
    <font>
      <sz val="8"/>
      <color theme="6"/>
      <name val="Arial"/>
      <family val="2"/>
    </font>
    <font>
      <sz val="8"/>
      <color theme="1"/>
      <name val="Calibri"/>
      <family val="2"/>
      <scheme val="minor"/>
    </font>
    <font>
      <b/>
      <sz val="11"/>
      <color theme="1" tint="0.499984740745262"/>
      <name val="Calibri"/>
      <family val="2"/>
      <scheme val="minor"/>
    </font>
    <font>
      <b/>
      <sz val="10"/>
      <color theme="1" tint="0.499984740745262"/>
      <name val="Calibri"/>
      <family val="2"/>
      <scheme val="minor"/>
    </font>
    <font>
      <b/>
      <sz val="11"/>
      <color rgb="FF000000"/>
      <name val="Calibri"/>
      <family val="2"/>
      <scheme val="minor"/>
    </font>
    <font>
      <b/>
      <sz val="8"/>
      <color rgb="FFC00000"/>
      <name val="Arial"/>
      <family val="2"/>
    </font>
    <font>
      <b/>
      <i/>
      <sz val="8"/>
      <color rgb="FFC00000"/>
      <name val="Arial"/>
      <family val="2"/>
    </font>
    <font>
      <b/>
      <sz val="10"/>
      <name val="Times New Roman"/>
      <family val="1"/>
    </font>
    <font>
      <b/>
      <sz val="10"/>
      <color rgb="FF000000"/>
      <name val="Times New Roman"/>
      <family val="1"/>
    </font>
    <font>
      <b/>
      <sz val="10"/>
      <color theme="1"/>
      <name val="Times New Roman"/>
      <family val="1"/>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rgb="FFD9D9D9"/>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FFC00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bottom/>
      <diagonal/>
    </border>
    <border>
      <left style="thin">
        <color indexed="8"/>
      </left>
      <right style="thin">
        <color indexed="8"/>
      </right>
      <top/>
      <bottom/>
      <diagonal/>
    </border>
    <border>
      <left style="thin">
        <color indexed="64"/>
      </left>
      <right style="thin">
        <color indexed="64"/>
      </right>
      <top style="thin">
        <color indexed="64"/>
      </top>
      <bottom style="double">
        <color indexed="64"/>
      </bottom>
      <diagonal/>
    </border>
    <border>
      <left style="thin">
        <color indexed="8"/>
      </left>
      <right/>
      <top/>
      <bottom style="thin">
        <color indexed="64"/>
      </bottom>
      <diagonal/>
    </border>
    <border>
      <left/>
      <right/>
      <top/>
      <bottom style="thin">
        <color indexed="64"/>
      </bottom>
      <diagonal/>
    </border>
    <border>
      <left/>
      <right/>
      <top/>
      <bottom style="thin">
        <color indexed="8"/>
      </bottom>
      <diagonal/>
    </border>
    <border>
      <left style="thin">
        <color indexed="8"/>
      </left>
      <right style="thin">
        <color indexed="8"/>
      </right>
      <top/>
      <bottom style="thin">
        <color indexed="8"/>
      </bottom>
      <diagonal/>
    </border>
    <border>
      <left/>
      <right style="thin">
        <color indexed="64"/>
      </right>
      <top/>
      <bottom style="thin">
        <color indexed="64"/>
      </bottom>
      <diagonal/>
    </border>
    <border>
      <left/>
      <right style="thin">
        <color indexed="64"/>
      </right>
      <top/>
      <bottom/>
      <diagonal/>
    </border>
    <border>
      <left/>
      <right style="thin">
        <color indexed="8"/>
      </right>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style="thin">
        <color indexed="8"/>
      </top>
      <bottom/>
      <diagonal/>
    </border>
    <border>
      <left style="thin">
        <color indexed="8"/>
      </left>
      <right/>
      <top style="thin">
        <color indexed="64"/>
      </top>
      <bottom style="thin">
        <color indexed="64"/>
      </bottom>
      <diagonal/>
    </border>
    <border>
      <left/>
      <right/>
      <top style="thin">
        <color indexed="64"/>
      </top>
      <bottom style="thin">
        <color indexed="64"/>
      </bottom>
      <diagonal/>
    </border>
    <border>
      <left/>
      <right/>
      <top style="thin">
        <color indexed="8"/>
      </top>
      <bottom/>
      <diagonal/>
    </border>
    <border>
      <left/>
      <right/>
      <top style="thin">
        <color indexed="64"/>
      </top>
      <bottom/>
      <diagonal/>
    </border>
    <border>
      <left style="thin">
        <color indexed="8"/>
      </left>
      <right/>
      <top style="thin">
        <color indexed="64"/>
      </top>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8"/>
      </right>
      <top style="thin">
        <color indexed="64"/>
      </top>
      <bottom style="thin">
        <color indexed="64"/>
      </bottom>
      <diagonal/>
    </border>
    <border>
      <left/>
      <right style="medium">
        <color indexed="64"/>
      </right>
      <top style="medium">
        <color indexed="64"/>
      </top>
      <bottom/>
      <diagonal/>
    </border>
    <border>
      <left/>
      <right/>
      <top/>
      <bottom style="double">
        <color indexed="64"/>
      </bottom>
      <diagonal/>
    </border>
    <border>
      <left/>
      <right style="thin">
        <color indexed="8"/>
      </right>
      <top/>
      <bottom style="double">
        <color indexed="64"/>
      </bottom>
      <diagonal/>
    </border>
    <border>
      <left style="thin">
        <color indexed="8"/>
      </left>
      <right/>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8"/>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8"/>
      </left>
      <right style="thin">
        <color indexed="64"/>
      </right>
      <top style="thin">
        <color indexed="64"/>
      </top>
      <bottom/>
      <diagonal/>
    </border>
    <border>
      <left/>
      <right style="thin">
        <color indexed="64"/>
      </right>
      <top/>
      <bottom style="double">
        <color indexed="64"/>
      </bottom>
      <diagonal/>
    </border>
    <border>
      <left style="thin">
        <color indexed="64"/>
      </left>
      <right/>
      <top/>
      <bottom style="thin">
        <color indexed="8"/>
      </bottom>
      <diagonal/>
    </border>
    <border>
      <left style="thin">
        <color indexed="64"/>
      </left>
      <right/>
      <top style="thin">
        <color indexed="8"/>
      </top>
      <bottom style="thin">
        <color indexed="8"/>
      </bottom>
      <diagonal/>
    </border>
    <border>
      <left/>
      <right style="thin">
        <color indexed="64"/>
      </right>
      <top style="thin">
        <color indexed="64"/>
      </top>
      <bottom style="double">
        <color indexed="64"/>
      </bottom>
      <diagonal/>
    </border>
    <border>
      <left/>
      <right style="thin">
        <color indexed="8"/>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9">
    <xf numFmtId="0" fontId="0" fillId="0" borderId="0"/>
    <xf numFmtId="0" fontId="1" fillId="0" borderId="0"/>
    <xf numFmtId="43" fontId="3" fillId="0" borderId="0" applyFont="0" applyFill="0" applyBorder="0" applyAlignment="0" applyProtection="0"/>
    <xf numFmtId="0" fontId="1" fillId="0" borderId="0"/>
    <xf numFmtId="0" fontId="8" fillId="0" borderId="0" applyNumberFormat="0" applyFill="0" applyBorder="0" applyAlignment="0" applyProtection="0">
      <alignment vertical="top"/>
      <protection locked="0"/>
    </xf>
    <xf numFmtId="0" fontId="9" fillId="0" borderId="0"/>
    <xf numFmtId="0" fontId="1" fillId="0" borderId="0"/>
    <xf numFmtId="44" fontId="3" fillId="0" borderId="0" applyFont="0" applyFill="0" applyBorder="0" applyAlignment="0" applyProtection="0"/>
    <xf numFmtId="44" fontId="1" fillId="0" borderId="0" applyFont="0" applyFill="0" applyBorder="0" applyAlignment="0" applyProtection="0"/>
  </cellStyleXfs>
  <cellXfs count="376">
    <xf numFmtId="0" fontId="0" fillId="0" borderId="0" xfId="0"/>
    <xf numFmtId="0" fontId="0" fillId="3" borderId="0" xfId="0" applyFill="1"/>
    <xf numFmtId="3" fontId="1" fillId="3" borderId="11" xfId="0" applyNumberFormat="1" applyFont="1" applyFill="1" applyBorder="1" applyAlignment="1">
      <alignment horizontal="center"/>
    </xf>
    <xf numFmtId="164" fontId="1" fillId="3" borderId="11" xfId="0" applyNumberFormat="1" applyFont="1" applyFill="1" applyBorder="1" applyAlignment="1">
      <alignment horizontal="center"/>
    </xf>
    <xf numFmtId="3" fontId="1" fillId="3" borderId="1" xfId="0" applyNumberFormat="1" applyFont="1" applyFill="1" applyBorder="1" applyAlignment="1">
      <alignment horizontal="center"/>
    </xf>
    <xf numFmtId="164" fontId="1" fillId="3" borderId="1" xfId="0" applyNumberFormat="1" applyFont="1" applyFill="1" applyBorder="1" applyAlignment="1">
      <alignment horizontal="center"/>
    </xf>
    <xf numFmtId="3" fontId="1" fillId="3" borderId="15" xfId="0" applyNumberFormat="1" applyFont="1" applyFill="1" applyBorder="1" applyAlignment="1">
      <alignment horizontal="center"/>
    </xf>
    <xf numFmtId="164" fontId="1" fillId="3" borderId="15" xfId="0" applyNumberFormat="1" applyFont="1" applyFill="1" applyBorder="1" applyAlignment="1">
      <alignment horizontal="center"/>
    </xf>
    <xf numFmtId="167" fontId="6" fillId="3" borderId="0" xfId="0" applyNumberFormat="1" applyFont="1" applyFill="1"/>
    <xf numFmtId="167" fontId="6" fillId="3" borderId="0" xfId="0" applyNumberFormat="1" applyFont="1" applyFill="1" applyBorder="1" applyAlignment="1">
      <alignment horizontal="center" vertical="center"/>
    </xf>
    <xf numFmtId="3" fontId="6" fillId="3" borderId="0" xfId="0" applyNumberFormat="1" applyFont="1" applyFill="1" applyBorder="1" applyAlignment="1">
      <alignment horizontal="center" vertical="center"/>
    </xf>
    <xf numFmtId="167" fontId="6" fillId="3" borderId="0" xfId="0" applyNumberFormat="1" applyFont="1" applyFill="1" applyBorder="1" applyAlignment="1">
      <alignment horizontal="left" vertical="center"/>
    </xf>
    <xf numFmtId="164" fontId="6" fillId="3" borderId="0" xfId="0" applyNumberFormat="1" applyFont="1" applyFill="1" applyBorder="1" applyAlignment="1">
      <alignment horizontal="center" vertical="center"/>
    </xf>
    <xf numFmtId="0" fontId="1" fillId="3" borderId="0" xfId="3" applyFont="1" applyFill="1"/>
    <xf numFmtId="167" fontId="6" fillId="3" borderId="0" xfId="0" applyNumberFormat="1" applyFont="1" applyFill="1" applyBorder="1"/>
    <xf numFmtId="167" fontId="6" fillId="3" borderId="0" xfId="0" applyNumberFormat="1" applyFont="1" applyFill="1" applyBorder="1" applyAlignment="1"/>
    <xf numFmtId="167" fontId="6" fillId="3" borderId="0" xfId="0" applyNumberFormat="1" applyFont="1" applyFill="1" applyBorder="1" applyAlignment="1">
      <alignment horizontal="center"/>
    </xf>
    <xf numFmtId="3" fontId="6" fillId="3" borderId="0" xfId="2" applyNumberFormat="1" applyFont="1" applyFill="1" applyBorder="1" applyAlignment="1">
      <alignment horizontal="right"/>
    </xf>
    <xf numFmtId="167" fontId="7" fillId="3" borderId="0" xfId="0" applyNumberFormat="1" applyFont="1" applyFill="1" applyBorder="1" applyAlignment="1"/>
    <xf numFmtId="0" fontId="6" fillId="3" borderId="0" xfId="0" applyFont="1" applyFill="1"/>
    <xf numFmtId="167" fontId="6" fillId="3" borderId="0" xfId="0" applyNumberFormat="1" applyFont="1" applyFill="1" applyAlignment="1">
      <alignment horizontal="right"/>
    </xf>
    <xf numFmtId="0" fontId="10" fillId="0" borderId="0" xfId="0" applyFont="1"/>
    <xf numFmtId="0" fontId="6" fillId="3" borderId="0" xfId="0" applyFont="1" applyFill="1" applyAlignment="1">
      <alignment wrapText="1"/>
    </xf>
    <xf numFmtId="164" fontId="6" fillId="3" borderId="0" xfId="0" applyNumberFormat="1" applyFont="1" applyFill="1"/>
    <xf numFmtId="0" fontId="5" fillId="3" borderId="0" xfId="0" applyFont="1" applyFill="1"/>
    <xf numFmtId="167" fontId="11" fillId="3" borderId="0" xfId="0" applyNumberFormat="1" applyFont="1" applyFill="1" applyBorder="1" applyAlignment="1" applyProtection="1"/>
    <xf numFmtId="0" fontId="14" fillId="3" borderId="0" xfId="0" applyFont="1" applyFill="1"/>
    <xf numFmtId="0" fontId="14" fillId="4" borderId="0" xfId="0" applyFont="1" applyFill="1" applyBorder="1"/>
    <xf numFmtId="9" fontId="14" fillId="3" borderId="1" xfId="0" applyNumberFormat="1" applyFont="1" applyFill="1" applyBorder="1"/>
    <xf numFmtId="167" fontId="5" fillId="3" borderId="18" xfId="0" applyNumberFormat="1" applyFont="1" applyFill="1" applyBorder="1" applyAlignment="1" applyProtection="1">
      <alignment horizontal="left" vertical="center"/>
    </xf>
    <xf numFmtId="167" fontId="5" fillId="3" borderId="18" xfId="0" applyNumberFormat="1" applyFont="1" applyFill="1" applyBorder="1"/>
    <xf numFmtId="167" fontId="5" fillId="3" borderId="22" xfId="0" applyNumberFormat="1" applyFont="1" applyFill="1" applyBorder="1"/>
    <xf numFmtId="167" fontId="5" fillId="3" borderId="0" xfId="0" applyNumberFormat="1" applyFont="1" applyFill="1" applyBorder="1" applyAlignment="1" applyProtection="1">
      <alignment horizontal="left" vertical="center"/>
    </xf>
    <xf numFmtId="167" fontId="5" fillId="3" borderId="0" xfId="0" applyNumberFormat="1" applyFont="1" applyFill="1" applyBorder="1" applyAlignment="1">
      <alignment vertical="center"/>
    </xf>
    <xf numFmtId="167" fontId="5" fillId="3" borderId="27" xfId="0" applyNumberFormat="1" applyFont="1" applyFill="1" applyBorder="1" applyAlignment="1" applyProtection="1">
      <alignment horizontal="left" vertical="center"/>
    </xf>
    <xf numFmtId="167" fontId="5" fillId="3" borderId="33" xfId="0" applyNumberFormat="1" applyFont="1" applyFill="1" applyBorder="1" applyAlignment="1">
      <alignment vertical="center"/>
    </xf>
    <xf numFmtId="167" fontId="5" fillId="3" borderId="0" xfId="0" applyNumberFormat="1" applyFont="1" applyFill="1" applyBorder="1" applyAlignment="1" applyProtection="1">
      <alignment horizontal="right" vertical="center"/>
    </xf>
    <xf numFmtId="9" fontId="2" fillId="3" borderId="23" xfId="0" applyNumberFormat="1" applyFont="1" applyFill="1" applyBorder="1" applyAlignment="1" applyProtection="1">
      <alignment horizontal="right" vertical="center"/>
      <protection locked="0"/>
    </xf>
    <xf numFmtId="167" fontId="5" fillId="3" borderId="23" xfId="0" applyNumberFormat="1" applyFont="1" applyFill="1" applyBorder="1" applyAlignment="1" applyProtection="1">
      <alignment horizontal="left" vertical="center"/>
    </xf>
    <xf numFmtId="167" fontId="5" fillId="3" borderId="23" xfId="0" applyNumberFormat="1" applyFont="1" applyFill="1" applyBorder="1" applyAlignment="1">
      <alignment vertical="center"/>
    </xf>
    <xf numFmtId="9" fontId="5" fillId="3" borderId="18" xfId="0" applyNumberFormat="1" applyFont="1" applyFill="1" applyBorder="1" applyAlignment="1" applyProtection="1">
      <alignment horizontal="right" vertical="center"/>
    </xf>
    <xf numFmtId="167" fontId="5" fillId="3" borderId="18" xfId="0" applyNumberFormat="1" applyFont="1" applyFill="1" applyBorder="1" applyAlignment="1">
      <alignment vertical="center"/>
    </xf>
    <xf numFmtId="9" fontId="5" fillId="3" borderId="28" xfId="0" applyNumberFormat="1" applyFont="1" applyFill="1" applyBorder="1" applyAlignment="1" applyProtection="1">
      <alignment horizontal="right" vertical="center"/>
    </xf>
    <xf numFmtId="167" fontId="5" fillId="3" borderId="28" xfId="0" applyNumberFormat="1" applyFont="1" applyFill="1" applyBorder="1" applyAlignment="1" applyProtection="1">
      <alignment horizontal="left" vertical="center"/>
    </xf>
    <xf numFmtId="167" fontId="5" fillId="3" borderId="28" xfId="0" applyNumberFormat="1" applyFont="1" applyFill="1" applyBorder="1" applyAlignment="1">
      <alignment vertical="center"/>
    </xf>
    <xf numFmtId="9" fontId="5" fillId="3" borderId="27" xfId="0" applyNumberFormat="1" applyFont="1" applyFill="1" applyBorder="1" applyAlignment="1" applyProtection="1">
      <alignment horizontal="right" vertical="center"/>
    </xf>
    <xf numFmtId="167" fontId="5" fillId="3" borderId="27" xfId="0" applyNumberFormat="1" applyFont="1" applyFill="1" applyBorder="1" applyAlignment="1">
      <alignment vertical="center"/>
    </xf>
    <xf numFmtId="0" fontId="5" fillId="3" borderId="35" xfId="3" applyFont="1" applyFill="1" applyBorder="1"/>
    <xf numFmtId="5" fontId="5" fillId="3" borderId="15" xfId="0" applyNumberFormat="1" applyFont="1" applyFill="1" applyBorder="1" applyAlignment="1">
      <alignment horizontal="center" vertical="center"/>
    </xf>
    <xf numFmtId="167" fontId="5" fillId="3" borderId="0" xfId="0" applyNumberFormat="1" applyFont="1" applyFill="1" applyBorder="1"/>
    <xf numFmtId="167" fontId="5" fillId="3" borderId="0" xfId="0" applyNumberFormat="1" applyFont="1" applyFill="1" applyBorder="1" applyAlignment="1">
      <alignment horizontal="right"/>
    </xf>
    <xf numFmtId="167" fontId="5" fillId="3" borderId="0" xfId="0" applyNumberFormat="1" applyFont="1" applyFill="1" applyAlignment="1">
      <alignment horizontal="right"/>
    </xf>
    <xf numFmtId="167" fontId="5" fillId="3" borderId="0" xfId="0" applyNumberFormat="1" applyFont="1" applyFill="1"/>
    <xf numFmtId="9" fontId="5" fillId="3" borderId="35" xfId="0" applyNumberFormat="1" applyFont="1" applyFill="1" applyBorder="1" applyAlignment="1" applyProtection="1">
      <alignment horizontal="left" vertical="center"/>
    </xf>
    <xf numFmtId="167" fontId="5" fillId="3" borderId="35" xfId="0" applyNumberFormat="1" applyFont="1" applyFill="1" applyBorder="1" applyAlignment="1">
      <alignment vertical="center"/>
    </xf>
    <xf numFmtId="168" fontId="15" fillId="3" borderId="35" xfId="0" applyNumberFormat="1" applyFont="1" applyFill="1" applyBorder="1" applyAlignment="1" applyProtection="1">
      <alignment horizontal="center" vertical="center"/>
      <protection locked="0"/>
    </xf>
    <xf numFmtId="5" fontId="5" fillId="3" borderId="46" xfId="0" applyNumberFormat="1" applyFont="1" applyFill="1" applyBorder="1" applyAlignment="1" applyProtection="1">
      <alignment horizontal="center" vertical="center"/>
    </xf>
    <xf numFmtId="1" fontId="5" fillId="3" borderId="35" xfId="0" applyNumberFormat="1" applyFont="1" applyFill="1" applyBorder="1" applyAlignment="1" applyProtection="1">
      <alignment horizontal="left" vertical="center"/>
    </xf>
    <xf numFmtId="167" fontId="5" fillId="3" borderId="17" xfId="0" applyNumberFormat="1" applyFont="1" applyFill="1" applyBorder="1" applyAlignment="1" applyProtection="1">
      <alignment horizontal="right" vertical="center"/>
    </xf>
    <xf numFmtId="167" fontId="5" fillId="3" borderId="17" xfId="0" applyNumberFormat="1" applyFont="1" applyFill="1" applyBorder="1" applyAlignment="1" applyProtection="1">
      <alignment horizontal="left" vertical="center"/>
    </xf>
    <xf numFmtId="167" fontId="5" fillId="3" borderId="20" xfId="0" applyNumberFormat="1" applyFont="1" applyFill="1" applyBorder="1" applyAlignment="1">
      <alignment vertical="center"/>
    </xf>
    <xf numFmtId="9" fontId="5" fillId="3" borderId="17" xfId="0" applyNumberFormat="1" applyFont="1" applyFill="1" applyBorder="1" applyAlignment="1" applyProtection="1">
      <alignment horizontal="right" vertical="center"/>
    </xf>
    <xf numFmtId="167" fontId="5" fillId="3" borderId="20" xfId="0" applyNumberFormat="1" applyFont="1" applyFill="1" applyBorder="1" applyAlignment="1" applyProtection="1">
      <alignment horizontal="left" vertical="center"/>
    </xf>
    <xf numFmtId="167" fontId="5" fillId="3" borderId="17" xfId="0" applyNumberFormat="1" applyFont="1" applyFill="1" applyBorder="1" applyAlignment="1" applyProtection="1">
      <alignment horizontal="left" vertical="center" wrapText="1"/>
    </xf>
    <xf numFmtId="0" fontId="10" fillId="0" borderId="0" xfId="0" applyFont="1" applyBorder="1"/>
    <xf numFmtId="164" fontId="10" fillId="0" borderId="0" xfId="0" applyNumberFormat="1" applyFont="1" applyBorder="1" applyAlignment="1">
      <alignment horizontal="center"/>
    </xf>
    <xf numFmtId="164" fontId="17" fillId="0" borderId="0" xfId="0" applyNumberFormat="1" applyFont="1" applyBorder="1" applyAlignment="1">
      <alignment horizontal="center"/>
    </xf>
    <xf numFmtId="0" fontId="19" fillId="0" borderId="13" xfId="6" applyFont="1" applyBorder="1" applyAlignment="1"/>
    <xf numFmtId="0" fontId="18" fillId="2" borderId="9" xfId="6" applyFont="1" applyFill="1" applyBorder="1" applyAlignment="1">
      <alignment horizontal="center"/>
    </xf>
    <xf numFmtId="17" fontId="18" fillId="2" borderId="1" xfId="6" applyNumberFormat="1" applyFont="1" applyFill="1" applyBorder="1" applyAlignment="1">
      <alignment horizontal="center"/>
    </xf>
    <xf numFmtId="0" fontId="18" fillId="2" borderId="1" xfId="6" applyFont="1" applyFill="1" applyBorder="1" applyAlignment="1">
      <alignment horizontal="center"/>
    </xf>
    <xf numFmtId="0" fontId="19" fillId="0" borderId="1" xfId="6" applyFont="1" applyBorder="1"/>
    <xf numFmtId="17" fontId="19" fillId="0" borderId="1" xfId="6" quotePrefix="1" applyNumberFormat="1" applyFont="1" applyBorder="1"/>
    <xf numFmtId="17" fontId="19" fillId="0" borderId="0" xfId="6" quotePrefix="1" applyNumberFormat="1" applyFont="1" applyBorder="1"/>
    <xf numFmtId="0" fontId="19" fillId="0" borderId="0" xfId="6" applyFont="1" applyBorder="1"/>
    <xf numFmtId="0" fontId="19" fillId="0" borderId="1" xfId="5" applyFont="1" applyFill="1" applyBorder="1"/>
    <xf numFmtId="0" fontId="19" fillId="0" borderId="1" xfId="1" applyFont="1" applyFill="1" applyBorder="1"/>
    <xf numFmtId="0" fontId="19" fillId="0" borderId="0" xfId="5" applyFont="1" applyBorder="1"/>
    <xf numFmtId="0" fontId="19" fillId="0" borderId="0" xfId="1" applyFont="1" applyFill="1" applyBorder="1"/>
    <xf numFmtId="0" fontId="10" fillId="0" borderId="9" xfId="0" applyFont="1" applyBorder="1"/>
    <xf numFmtId="0" fontId="10" fillId="0" borderId="10" xfId="0" applyFont="1" applyBorder="1"/>
    <xf numFmtId="0" fontId="10" fillId="0" borderId="12" xfId="0" applyFont="1" applyBorder="1"/>
    <xf numFmtId="0" fontId="10" fillId="0" borderId="34" xfId="0" applyFont="1" applyBorder="1"/>
    <xf numFmtId="0" fontId="10" fillId="0" borderId="40" xfId="0" applyFont="1" applyBorder="1"/>
    <xf numFmtId="0" fontId="19" fillId="0" borderId="1" xfId="0" applyFont="1" applyBorder="1"/>
    <xf numFmtId="2" fontId="19" fillId="2" borderId="2" xfId="0" applyNumberFormat="1" applyFont="1" applyFill="1" applyBorder="1"/>
    <xf numFmtId="0" fontId="10" fillId="0" borderId="13" xfId="0" applyFont="1" applyBorder="1"/>
    <xf numFmtId="0" fontId="19" fillId="0" borderId="0" xfId="0" applyFont="1" applyBorder="1"/>
    <xf numFmtId="0" fontId="19" fillId="0" borderId="31" xfId="0" applyFont="1" applyBorder="1"/>
    <xf numFmtId="0" fontId="10" fillId="0" borderId="31" xfId="0" applyFont="1" applyBorder="1"/>
    <xf numFmtId="0" fontId="10" fillId="0" borderId="39" xfId="0" applyFont="1" applyBorder="1"/>
    <xf numFmtId="0" fontId="20" fillId="0" borderId="0" xfId="4" applyFont="1" applyFill="1" applyBorder="1" applyAlignment="1" applyProtection="1"/>
    <xf numFmtId="0" fontId="19" fillId="0" borderId="0" xfId="0" applyFont="1"/>
    <xf numFmtId="0" fontId="19" fillId="0" borderId="9" xfId="5" applyFont="1" applyFill="1" applyBorder="1"/>
    <xf numFmtId="0" fontId="19" fillId="0" borderId="9" xfId="1" applyFont="1" applyFill="1" applyBorder="1"/>
    <xf numFmtId="0" fontId="19" fillId="0" borderId="40" xfId="1" applyFont="1" applyFill="1" applyBorder="1"/>
    <xf numFmtId="0" fontId="19" fillId="0" borderId="13" xfId="5" applyFont="1" applyBorder="1"/>
    <xf numFmtId="0" fontId="19" fillId="0" borderId="40" xfId="5" applyFont="1" applyBorder="1"/>
    <xf numFmtId="0" fontId="19" fillId="0" borderId="38" xfId="5" applyFont="1" applyFill="1" applyBorder="1"/>
    <xf numFmtId="0" fontId="19" fillId="0" borderId="31" xfId="5" applyFont="1" applyBorder="1"/>
    <xf numFmtId="0" fontId="19" fillId="0" borderId="39" xfId="5" applyFont="1" applyBorder="1"/>
    <xf numFmtId="0" fontId="18" fillId="0" borderId="1" xfId="1" applyFont="1" applyFill="1" applyBorder="1" applyAlignment="1">
      <alignment wrapText="1"/>
    </xf>
    <xf numFmtId="0" fontId="19" fillId="0" borderId="12" xfId="5" applyFont="1" applyFill="1" applyBorder="1"/>
    <xf numFmtId="0" fontId="19" fillId="0" borderId="34" xfId="5" applyFont="1" applyFill="1" applyBorder="1"/>
    <xf numFmtId="0" fontId="19" fillId="0" borderId="9" xfId="1" applyFont="1" applyFill="1" applyBorder="1" applyAlignment="1">
      <alignment wrapText="1"/>
    </xf>
    <xf numFmtId="0" fontId="18" fillId="0" borderId="2" xfId="1" applyFont="1" applyFill="1" applyBorder="1" applyAlignment="1">
      <alignment wrapText="1"/>
    </xf>
    <xf numFmtId="165" fontId="19" fillId="2" borderId="2" xfId="5" applyNumberFormat="1" applyFont="1" applyFill="1" applyBorder="1"/>
    <xf numFmtId="3" fontId="1" fillId="0" borderId="11" xfId="0" applyNumberFormat="1" applyFont="1" applyFill="1" applyBorder="1" applyAlignment="1">
      <alignment horizontal="center"/>
    </xf>
    <xf numFmtId="3" fontId="1" fillId="0" borderId="15" xfId="0" applyNumberFormat="1" applyFont="1" applyFill="1" applyBorder="1" applyAlignment="1">
      <alignment horizontal="center"/>
    </xf>
    <xf numFmtId="0" fontId="14" fillId="0" borderId="0" xfId="0" applyFont="1" applyFill="1"/>
    <xf numFmtId="17" fontId="18" fillId="5" borderId="1" xfId="6" applyNumberFormat="1" applyFont="1" applyFill="1" applyBorder="1" applyAlignment="1">
      <alignment horizontal="center"/>
    </xf>
    <xf numFmtId="0" fontId="17" fillId="6" borderId="1" xfId="0" applyFont="1" applyFill="1" applyBorder="1" applyAlignment="1">
      <alignment horizontal="center" vertical="center" wrapText="1"/>
    </xf>
    <xf numFmtId="169" fontId="10" fillId="0" borderId="1" xfId="7" applyNumberFormat="1" applyFont="1" applyBorder="1" applyAlignment="1">
      <alignment horizontal="center" vertical="center" wrapText="1"/>
    </xf>
    <xf numFmtId="0" fontId="24" fillId="3" borderId="0" xfId="0" applyFont="1" applyFill="1"/>
    <xf numFmtId="0" fontId="18" fillId="5" borderId="2" xfId="6" applyFont="1" applyFill="1" applyBorder="1" applyAlignment="1">
      <alignment horizontal="center"/>
    </xf>
    <xf numFmtId="0" fontId="18" fillId="2" borderId="9" xfId="6" applyFont="1" applyFill="1" applyBorder="1" applyAlignment="1">
      <alignment horizontal="center" vertical="center"/>
    </xf>
    <xf numFmtId="0" fontId="23" fillId="0" borderId="10" xfId="0" applyFont="1" applyBorder="1" applyAlignment="1">
      <alignment vertical="center" wrapText="1"/>
    </xf>
    <xf numFmtId="0" fontId="21" fillId="0" borderId="5" xfId="0" applyFont="1" applyBorder="1"/>
    <xf numFmtId="0" fontId="17" fillId="6" borderId="9" xfId="0" applyFont="1" applyFill="1" applyBorder="1" applyAlignment="1">
      <alignment horizontal="center" vertical="center" wrapText="1"/>
    </xf>
    <xf numFmtId="0" fontId="17" fillId="6" borderId="2" xfId="0" applyFont="1" applyFill="1" applyBorder="1" applyAlignment="1">
      <alignment horizontal="center" vertical="center" wrapText="1"/>
    </xf>
    <xf numFmtId="0" fontId="22" fillId="0" borderId="9" xfId="0" applyFont="1" applyBorder="1" applyAlignment="1">
      <alignment vertical="center" wrapText="1"/>
    </xf>
    <xf numFmtId="169" fontId="10" fillId="0" borderId="2" xfId="7" applyNumberFormat="1" applyFont="1" applyBorder="1" applyAlignment="1">
      <alignment horizontal="center" vertical="center" wrapText="1"/>
    </xf>
    <xf numFmtId="0" fontId="10" fillId="0" borderId="4" xfId="0" applyFont="1" applyBorder="1"/>
    <xf numFmtId="0" fontId="25" fillId="0" borderId="5" xfId="6" applyFont="1" applyFill="1" applyBorder="1"/>
    <xf numFmtId="0" fontId="25" fillId="0" borderId="5" xfId="1" applyFont="1" applyFill="1" applyBorder="1"/>
    <xf numFmtId="49" fontId="5" fillId="3" borderId="17" xfId="3" applyNumberFormat="1" applyFont="1" applyFill="1" applyBorder="1" applyAlignment="1">
      <alignment horizontal="right" vertical="center"/>
    </xf>
    <xf numFmtId="3" fontId="1" fillId="0" borderId="1" xfId="0" applyNumberFormat="1" applyFont="1" applyFill="1" applyBorder="1" applyAlignment="1">
      <alignment horizontal="center"/>
    </xf>
    <xf numFmtId="167" fontId="26" fillId="3" borderId="37" xfId="0" applyNumberFormat="1" applyFont="1" applyFill="1" applyBorder="1" applyAlignment="1">
      <alignment horizontal="center" wrapText="1"/>
    </xf>
    <xf numFmtId="167" fontId="26" fillId="3" borderId="44" xfId="0" applyNumberFormat="1" applyFont="1" applyFill="1" applyBorder="1" applyAlignment="1">
      <alignment horizontal="center" wrapText="1"/>
    </xf>
    <xf numFmtId="167" fontId="26" fillId="3" borderId="45" xfId="0" applyNumberFormat="1" applyFont="1" applyFill="1" applyBorder="1" applyAlignment="1">
      <alignment horizontal="center" wrapText="1"/>
    </xf>
    <xf numFmtId="164" fontId="6" fillId="3" borderId="1" xfId="0" applyNumberFormat="1" applyFont="1" applyFill="1" applyBorder="1" applyAlignment="1">
      <alignment horizontal="center" vertical="center"/>
    </xf>
    <xf numFmtId="168" fontId="5" fillId="3" borderId="1" xfId="0" applyNumberFormat="1" applyFont="1" applyFill="1" applyBorder="1" applyAlignment="1" applyProtection="1">
      <alignment horizontal="center" vertical="center"/>
      <protection locked="0"/>
    </xf>
    <xf numFmtId="1" fontId="5" fillId="3" borderId="20" xfId="0" applyNumberFormat="1" applyFont="1" applyFill="1" applyBorder="1" applyAlignment="1" applyProtection="1">
      <alignment horizontal="center" vertical="center"/>
    </xf>
    <xf numFmtId="5" fontId="5" fillId="3" borderId="1" xfId="0" applyNumberFormat="1" applyFont="1" applyFill="1" applyBorder="1" applyAlignment="1">
      <alignment horizontal="center" vertical="center"/>
    </xf>
    <xf numFmtId="168" fontId="5" fillId="3" borderId="14" xfId="0" applyNumberFormat="1" applyFont="1" applyFill="1" applyBorder="1" applyAlignment="1" applyProtection="1">
      <alignment horizontal="center" vertical="center"/>
      <protection locked="0"/>
    </xf>
    <xf numFmtId="167" fontId="5" fillId="3" borderId="21" xfId="0" applyNumberFormat="1" applyFont="1" applyFill="1" applyBorder="1" applyAlignment="1">
      <alignment horizontal="center" vertical="center"/>
    </xf>
    <xf numFmtId="1" fontId="5" fillId="3" borderId="21" xfId="0" applyNumberFormat="1" applyFont="1" applyFill="1" applyBorder="1" applyAlignment="1" applyProtection="1">
      <alignment horizontal="center" vertical="center"/>
    </xf>
    <xf numFmtId="167" fontId="5" fillId="3" borderId="25" xfId="0" applyNumberFormat="1" applyFont="1" applyFill="1" applyBorder="1" applyAlignment="1">
      <alignment horizontal="center" vertical="center"/>
    </xf>
    <xf numFmtId="1" fontId="5" fillId="3" borderId="25" xfId="0" applyNumberFormat="1" applyFont="1" applyFill="1" applyBorder="1" applyAlignment="1">
      <alignment horizontal="center" vertical="center"/>
    </xf>
    <xf numFmtId="167" fontId="5" fillId="3" borderId="1" xfId="0" applyNumberFormat="1" applyFont="1" applyFill="1" applyBorder="1" applyAlignment="1">
      <alignment horizontal="center" vertical="center"/>
    </xf>
    <xf numFmtId="1" fontId="5" fillId="3" borderId="1" xfId="0" applyNumberFormat="1" applyFont="1" applyFill="1" applyBorder="1" applyAlignment="1" applyProtection="1">
      <alignment horizontal="center" vertical="center"/>
    </xf>
    <xf numFmtId="37" fontId="5" fillId="3" borderId="1" xfId="0" applyNumberFormat="1" applyFont="1" applyFill="1" applyBorder="1" applyAlignment="1" applyProtection="1">
      <alignment horizontal="center" vertical="center"/>
      <protection locked="0"/>
    </xf>
    <xf numFmtId="1" fontId="10" fillId="0" borderId="1" xfId="7" applyNumberFormat="1" applyFont="1" applyBorder="1" applyAlignment="1">
      <alignment horizontal="right" vertical="center" wrapText="1"/>
    </xf>
    <xf numFmtId="1" fontId="10" fillId="0" borderId="2" xfId="7" applyNumberFormat="1" applyFont="1" applyBorder="1" applyAlignment="1">
      <alignment horizontal="right" vertical="center" wrapText="1"/>
    </xf>
    <xf numFmtId="6" fontId="19" fillId="0" borderId="1" xfId="6" applyNumberFormat="1" applyFont="1" applyFill="1" applyBorder="1" applyAlignment="1">
      <alignment horizontal="center" vertical="center"/>
    </xf>
    <xf numFmtId="0" fontId="18" fillId="2" borderId="2" xfId="6" applyFont="1" applyFill="1" applyBorder="1" applyAlignment="1">
      <alignment horizontal="center" vertical="center"/>
    </xf>
    <xf numFmtId="6" fontId="19" fillId="0" borderId="2" xfId="6" applyNumberFormat="1" applyFont="1" applyFill="1" applyBorder="1" applyAlignment="1">
      <alignment horizontal="center" vertical="center"/>
    </xf>
    <xf numFmtId="0" fontId="19" fillId="0" borderId="10" xfId="6" applyFont="1" applyFill="1" applyBorder="1" applyAlignment="1">
      <alignment horizontal="left"/>
    </xf>
    <xf numFmtId="0" fontId="10" fillId="0" borderId="1" xfId="0" applyFont="1" applyBorder="1" applyAlignment="1">
      <alignment horizontal="center" vertical="center" wrapText="1"/>
    </xf>
    <xf numFmtId="3" fontId="10" fillId="0" borderId="1" xfId="0" applyNumberFormat="1" applyFont="1" applyBorder="1" applyAlignment="1">
      <alignment horizontal="center" vertical="center" wrapText="1"/>
    </xf>
    <xf numFmtId="0" fontId="17" fillId="2" borderId="1"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0" fillId="0" borderId="9" xfId="0" applyFont="1" applyBorder="1" applyAlignment="1">
      <alignment horizontal="left" vertical="center" wrapText="1"/>
    </xf>
    <xf numFmtId="6" fontId="18" fillId="7" borderId="3" xfId="6" applyNumberFormat="1" applyFont="1" applyFill="1" applyBorder="1" applyAlignment="1">
      <alignment horizontal="center" vertical="center"/>
    </xf>
    <xf numFmtId="6" fontId="18" fillId="7" borderId="4" xfId="6" applyNumberFormat="1" applyFont="1" applyFill="1" applyBorder="1" applyAlignment="1">
      <alignment horizontal="center" vertical="center"/>
    </xf>
    <xf numFmtId="169" fontId="17" fillId="7" borderId="3" xfId="7" applyNumberFormat="1" applyFont="1" applyFill="1" applyBorder="1" applyAlignment="1">
      <alignment horizontal="center" vertical="center" wrapText="1"/>
    </xf>
    <xf numFmtId="169" fontId="17" fillId="7" borderId="4" xfId="7" applyNumberFormat="1" applyFont="1" applyFill="1" applyBorder="1" applyAlignment="1">
      <alignment horizontal="center" vertical="center" wrapText="1"/>
    </xf>
    <xf numFmtId="0" fontId="10" fillId="0" borderId="38" xfId="0" applyFont="1" applyFill="1" applyBorder="1"/>
    <xf numFmtId="0" fontId="19" fillId="0" borderId="1" xfId="6" applyFont="1" applyBorder="1" applyAlignment="1"/>
    <xf numFmtId="3" fontId="6" fillId="3" borderId="1" xfId="0" applyNumberFormat="1" applyFont="1" applyFill="1" applyBorder="1" applyAlignment="1">
      <alignment horizontal="center" vertical="center"/>
    </xf>
    <xf numFmtId="167" fontId="6" fillId="3" borderId="47" xfId="0" applyNumberFormat="1" applyFont="1" applyFill="1" applyBorder="1" applyAlignment="1">
      <alignment horizontal="left" vertical="center"/>
    </xf>
    <xf numFmtId="167" fontId="6" fillId="3" borderId="27" xfId="0" applyNumberFormat="1" applyFont="1" applyFill="1" applyBorder="1" applyAlignment="1">
      <alignment horizontal="center" vertical="center"/>
    </xf>
    <xf numFmtId="3" fontId="6" fillId="3" borderId="27" xfId="0" applyNumberFormat="1" applyFont="1" applyFill="1" applyBorder="1" applyAlignment="1">
      <alignment horizontal="center" vertical="center"/>
    </xf>
    <xf numFmtId="164" fontId="6" fillId="3" borderId="27" xfId="0" applyNumberFormat="1" applyFont="1" applyFill="1" applyBorder="1" applyAlignment="1">
      <alignment horizontal="center" vertical="center"/>
    </xf>
    <xf numFmtId="3" fontId="6" fillId="3" borderId="32" xfId="0" applyNumberFormat="1" applyFont="1" applyFill="1" applyBorder="1" applyAlignment="1">
      <alignment horizontal="center" vertical="center"/>
    </xf>
    <xf numFmtId="5" fontId="6" fillId="3" borderId="1" xfId="0" applyNumberFormat="1" applyFont="1" applyFill="1" applyBorder="1" applyAlignment="1">
      <alignment horizontal="center" vertical="center"/>
    </xf>
    <xf numFmtId="3" fontId="1" fillId="0" borderId="11" xfId="0" quotePrefix="1" applyNumberFormat="1" applyFont="1" applyFill="1" applyBorder="1" applyAlignment="1">
      <alignment horizontal="center"/>
    </xf>
    <xf numFmtId="37" fontId="5" fillId="0" borderId="19" xfId="0" applyNumberFormat="1" applyFont="1" applyFill="1" applyBorder="1" applyAlignment="1" applyProtection="1">
      <alignment horizontal="center" vertical="center"/>
      <protection locked="0"/>
    </xf>
    <xf numFmtId="168" fontId="5" fillId="0" borderId="24" xfId="0" applyNumberFormat="1" applyFont="1" applyFill="1" applyBorder="1" applyAlignment="1" applyProtection="1">
      <alignment horizontal="center" vertical="center"/>
      <protection locked="0"/>
    </xf>
    <xf numFmtId="0" fontId="29" fillId="0" borderId="1" xfId="0" applyFont="1" applyBorder="1" applyAlignment="1">
      <alignment horizontal="center" vertical="center" wrapText="1"/>
    </xf>
    <xf numFmtId="6" fontId="29" fillId="0" borderId="1" xfId="0" applyNumberFormat="1" applyFont="1" applyBorder="1" applyAlignment="1">
      <alignment horizontal="center" vertical="center" wrapText="1"/>
    </xf>
    <xf numFmtId="0" fontId="27" fillId="0" borderId="0" xfId="0" applyFont="1"/>
    <xf numFmtId="0" fontId="30" fillId="0" borderId="1" xfId="0" applyFont="1" applyFill="1" applyBorder="1" applyAlignment="1">
      <alignment horizontal="left"/>
    </xf>
    <xf numFmtId="1" fontId="29" fillId="0" borderId="1" xfId="0" applyNumberFormat="1" applyFont="1" applyBorder="1" applyAlignment="1">
      <alignment horizontal="center" vertical="center" wrapText="1"/>
    </xf>
    <xf numFmtId="0" fontId="30" fillId="0" borderId="11" xfId="0" applyFont="1" applyFill="1" applyBorder="1" applyAlignment="1">
      <alignment horizontal="left" wrapText="1"/>
    </xf>
    <xf numFmtId="6" fontId="29" fillId="0" borderId="11" xfId="0" applyNumberFormat="1" applyFont="1" applyBorder="1" applyAlignment="1">
      <alignment horizontal="center" vertical="center" wrapText="1"/>
    </xf>
    <xf numFmtId="1" fontId="29" fillId="0" borderId="11" xfId="0" applyNumberFormat="1" applyFont="1" applyBorder="1" applyAlignment="1">
      <alignment horizontal="center" vertical="center" wrapText="1"/>
    </xf>
    <xf numFmtId="0" fontId="29" fillId="0" borderId="42" xfId="0" applyFont="1" applyBorder="1" applyAlignment="1">
      <alignment horizontal="center" vertical="center" wrapText="1"/>
    </xf>
    <xf numFmtId="0" fontId="29" fillId="0" borderId="11" xfId="0" applyFont="1" applyBorder="1" applyAlignment="1">
      <alignment horizontal="center" vertical="center" wrapText="1"/>
    </xf>
    <xf numFmtId="0" fontId="10" fillId="0" borderId="1" xfId="0" applyFont="1" applyBorder="1"/>
    <xf numFmtId="0" fontId="10" fillId="0" borderId="2" xfId="0" applyFont="1" applyBorder="1"/>
    <xf numFmtId="0" fontId="10" fillId="0" borderId="3" xfId="0" applyFont="1" applyBorder="1"/>
    <xf numFmtId="0" fontId="6" fillId="3" borderId="48" xfId="0" applyFont="1" applyFill="1" applyBorder="1"/>
    <xf numFmtId="167" fontId="6" fillId="3" borderId="29" xfId="0" applyNumberFormat="1" applyFont="1" applyFill="1" applyBorder="1" applyAlignment="1">
      <alignment horizontal="left" vertical="center"/>
    </xf>
    <xf numFmtId="167" fontId="6" fillId="3" borderId="29" xfId="0" applyNumberFormat="1" applyFont="1" applyFill="1" applyBorder="1" applyAlignment="1">
      <alignment horizontal="center" vertical="center"/>
    </xf>
    <xf numFmtId="3" fontId="6" fillId="3" borderId="29" xfId="0" applyNumberFormat="1" applyFont="1" applyFill="1" applyBorder="1" applyAlignment="1">
      <alignment horizontal="center" vertical="center"/>
    </xf>
    <xf numFmtId="164" fontId="6" fillId="3" borderId="29" xfId="0" applyNumberFormat="1" applyFont="1" applyFill="1" applyBorder="1" applyAlignment="1">
      <alignment horizontal="center" vertical="center"/>
    </xf>
    <xf numFmtId="0" fontId="6" fillId="3" borderId="50" xfId="0" applyFont="1" applyFill="1" applyBorder="1"/>
    <xf numFmtId="0" fontId="6" fillId="3" borderId="51" xfId="0" applyFont="1" applyFill="1" applyBorder="1"/>
    <xf numFmtId="167" fontId="6" fillId="3" borderId="27" xfId="0" applyNumberFormat="1" applyFont="1" applyFill="1" applyBorder="1" applyAlignment="1">
      <alignment horizontal="left" vertical="center"/>
    </xf>
    <xf numFmtId="164" fontId="6" fillId="3" borderId="32" xfId="0" applyNumberFormat="1" applyFont="1" applyFill="1" applyBorder="1" applyAlignment="1">
      <alignment horizontal="center" vertical="center"/>
    </xf>
    <xf numFmtId="0" fontId="13" fillId="3" borderId="11" xfId="0" applyFont="1" applyFill="1" applyBorder="1" applyAlignment="1">
      <alignment vertical="center"/>
    </xf>
    <xf numFmtId="167" fontId="1" fillId="3" borderId="15" xfId="0" applyNumberFormat="1" applyFont="1" applyFill="1" applyBorder="1" applyAlignment="1">
      <alignment horizontal="center"/>
    </xf>
    <xf numFmtId="167" fontId="1" fillId="3" borderId="15" xfId="0" applyNumberFormat="1" applyFont="1" applyFill="1" applyBorder="1" applyAlignment="1">
      <alignment horizontal="center" wrapText="1"/>
    </xf>
    <xf numFmtId="167" fontId="1" fillId="3" borderId="11" xfId="0" applyNumberFormat="1" applyFont="1" applyFill="1" applyBorder="1" applyAlignment="1">
      <alignment horizontal="center"/>
    </xf>
    <xf numFmtId="167" fontId="1" fillId="3" borderId="1" xfId="0" applyNumberFormat="1" applyFont="1" applyFill="1" applyBorder="1" applyAlignment="1">
      <alignment horizontal="center"/>
    </xf>
    <xf numFmtId="164" fontId="1" fillId="0" borderId="1" xfId="0" applyNumberFormat="1" applyFont="1" applyFill="1" applyBorder="1" applyAlignment="1">
      <alignment horizontal="center"/>
    </xf>
    <xf numFmtId="0" fontId="14" fillId="4" borderId="50" xfId="0" applyFont="1" applyFill="1" applyBorder="1"/>
    <xf numFmtId="0" fontId="14" fillId="4" borderId="21" xfId="0" applyFont="1" applyFill="1" applyBorder="1"/>
    <xf numFmtId="167" fontId="1" fillId="0" borderId="15" xfId="0" applyNumberFormat="1" applyFont="1" applyFill="1" applyBorder="1" applyAlignment="1">
      <alignment horizontal="center" wrapText="1"/>
    </xf>
    <xf numFmtId="167" fontId="5" fillId="3" borderId="48" xfId="0" applyNumberFormat="1" applyFont="1" applyFill="1" applyBorder="1" applyAlignment="1" applyProtection="1">
      <alignment horizontal="centerContinuous"/>
    </xf>
    <xf numFmtId="167" fontId="5" fillId="3" borderId="29" xfId="0" applyNumberFormat="1" applyFont="1" applyFill="1" applyBorder="1" applyAlignment="1">
      <alignment horizontal="centerContinuous"/>
    </xf>
    <xf numFmtId="167" fontId="26" fillId="3" borderId="30" xfId="0" applyNumberFormat="1" applyFont="1" applyFill="1" applyBorder="1" applyAlignment="1">
      <alignment horizontal="center" vertical="center"/>
    </xf>
    <xf numFmtId="167" fontId="26" fillId="3" borderId="52" xfId="0" applyNumberFormat="1" applyFont="1" applyFill="1" applyBorder="1" applyAlignment="1">
      <alignment horizontal="center" vertical="center"/>
    </xf>
    <xf numFmtId="167" fontId="26" fillId="3" borderId="49" xfId="0" applyNumberFormat="1" applyFont="1" applyFill="1" applyBorder="1" applyAlignment="1">
      <alignment horizontal="center" vertical="center"/>
    </xf>
    <xf numFmtId="167" fontId="26" fillId="3" borderId="42" xfId="0" applyNumberFormat="1" applyFont="1" applyFill="1" applyBorder="1" applyAlignment="1">
      <alignment horizontal="center" vertical="center"/>
    </xf>
    <xf numFmtId="167" fontId="5" fillId="3" borderId="54" xfId="0" applyNumberFormat="1" applyFont="1" applyFill="1" applyBorder="1" applyAlignment="1" applyProtection="1">
      <alignment horizontal="center" vertical="center"/>
    </xf>
    <xf numFmtId="167" fontId="5" fillId="3" borderId="50" xfId="0" applyNumberFormat="1" applyFont="1" applyFill="1" applyBorder="1" applyAlignment="1" applyProtection="1">
      <alignment horizontal="center" vertical="center"/>
    </xf>
    <xf numFmtId="167" fontId="5" fillId="3" borderId="47" xfId="0" applyNumberFormat="1" applyFont="1" applyFill="1" applyBorder="1" applyAlignment="1" applyProtection="1">
      <alignment horizontal="center" vertical="center"/>
    </xf>
    <xf numFmtId="166" fontId="15" fillId="3" borderId="50" xfId="0" applyNumberFormat="1" applyFont="1" applyFill="1" applyBorder="1" applyAlignment="1" applyProtection="1">
      <alignment vertical="center"/>
      <protection locked="0"/>
    </xf>
    <xf numFmtId="5" fontId="5" fillId="3" borderId="20" xfId="0" applyNumberFormat="1" applyFont="1" applyFill="1" applyBorder="1" applyAlignment="1">
      <alignment horizontal="center" vertical="center"/>
    </xf>
    <xf numFmtId="166" fontId="15" fillId="3" borderId="55" xfId="0" applyNumberFormat="1" applyFont="1" applyFill="1" applyBorder="1" applyAlignment="1" applyProtection="1">
      <alignment vertical="center"/>
      <protection locked="0"/>
    </xf>
    <xf numFmtId="166" fontId="15" fillId="3" borderId="47" xfId="0" applyNumberFormat="1" applyFont="1" applyFill="1" applyBorder="1" applyAlignment="1" applyProtection="1">
      <alignment vertical="center"/>
      <protection locked="0"/>
    </xf>
    <xf numFmtId="166" fontId="15" fillId="3" borderId="51" xfId="0" applyNumberFormat="1" applyFont="1" applyFill="1" applyBorder="1" applyAlignment="1" applyProtection="1">
      <alignment vertical="center"/>
      <protection locked="0"/>
    </xf>
    <xf numFmtId="167" fontId="5" fillId="3" borderId="51" xfId="0" applyNumberFormat="1" applyFont="1" applyFill="1" applyBorder="1" applyAlignment="1" applyProtection="1">
      <alignment horizontal="center" vertical="center"/>
    </xf>
    <xf numFmtId="167" fontId="2" fillId="3" borderId="46" xfId="0" quotePrefix="1" applyNumberFormat="1" applyFont="1" applyFill="1" applyBorder="1" applyAlignment="1" applyProtection="1">
      <alignment horizontal="center" vertical="center"/>
      <protection locked="0"/>
    </xf>
    <xf numFmtId="5" fontId="5" fillId="3" borderId="56" xfId="0" applyNumberFormat="1" applyFont="1" applyFill="1" applyBorder="1" applyAlignment="1">
      <alignment horizontal="center" vertical="center"/>
    </xf>
    <xf numFmtId="9" fontId="5" fillId="3" borderId="51" xfId="0" applyNumberFormat="1" applyFont="1" applyFill="1" applyBorder="1" applyAlignment="1" applyProtection="1">
      <alignment vertical="center"/>
    </xf>
    <xf numFmtId="9" fontId="5" fillId="3" borderId="17" xfId="0" applyNumberFormat="1" applyFont="1" applyFill="1" applyBorder="1" applyAlignment="1" applyProtection="1">
      <alignment vertical="center"/>
    </xf>
    <xf numFmtId="167" fontId="5" fillId="3" borderId="17" xfId="0" applyNumberFormat="1" applyFont="1" applyFill="1" applyBorder="1" applyAlignment="1">
      <alignment vertical="center"/>
    </xf>
    <xf numFmtId="168" fontId="15" fillId="3" borderId="17" xfId="0" applyNumberFormat="1" applyFont="1" applyFill="1" applyBorder="1" applyAlignment="1" applyProtection="1">
      <alignment horizontal="center" vertical="center"/>
      <protection locked="0"/>
    </xf>
    <xf numFmtId="1" fontId="5" fillId="3" borderId="57" xfId="0" applyNumberFormat="1" applyFont="1" applyFill="1" applyBorder="1" applyAlignment="1" applyProtection="1">
      <alignment horizontal="center" vertical="center"/>
    </xf>
    <xf numFmtId="1" fontId="5" fillId="3" borderId="16" xfId="0" applyNumberFormat="1" applyFont="1" applyFill="1" applyBorder="1" applyAlignment="1" applyProtection="1">
      <alignment horizontal="center" vertical="center"/>
    </xf>
    <xf numFmtId="5" fontId="5" fillId="3" borderId="11" xfId="0" applyNumberFormat="1" applyFont="1" applyFill="1" applyBorder="1" applyAlignment="1">
      <alignment horizontal="center" vertical="center"/>
    </xf>
    <xf numFmtId="0" fontId="17" fillId="2" borderId="1" xfId="0" quotePrefix="1" applyFont="1" applyFill="1" applyBorder="1" applyAlignment="1">
      <alignment horizontal="center" vertical="center"/>
    </xf>
    <xf numFmtId="0" fontId="17" fillId="2" borderId="1" xfId="0" applyFont="1" applyFill="1" applyBorder="1" applyAlignment="1">
      <alignment horizontal="center" vertical="center"/>
    </xf>
    <xf numFmtId="6" fontId="33" fillId="0" borderId="2" xfId="6" applyNumberFormat="1" applyFont="1" applyFill="1" applyBorder="1" applyAlignment="1">
      <alignment horizontal="center" vertical="center"/>
    </xf>
    <xf numFmtId="0" fontId="34" fillId="3" borderId="0" xfId="0" applyFont="1" applyFill="1"/>
    <xf numFmtId="0" fontId="36" fillId="0" borderId="5" xfId="6" applyFont="1" applyFill="1" applyBorder="1"/>
    <xf numFmtId="0" fontId="33" fillId="0" borderId="34" xfId="6" applyFont="1" applyFill="1" applyBorder="1"/>
    <xf numFmtId="0" fontId="37" fillId="2" borderId="9" xfId="6" applyFont="1" applyFill="1" applyBorder="1" applyAlignment="1">
      <alignment horizontal="center" vertical="center"/>
    </xf>
    <xf numFmtId="0" fontId="37" fillId="2" borderId="2" xfId="6" applyFont="1" applyFill="1" applyBorder="1" applyAlignment="1">
      <alignment horizontal="center" vertical="center"/>
    </xf>
    <xf numFmtId="0" fontId="33" fillId="0" borderId="9" xfId="6" applyFont="1" applyFill="1" applyBorder="1" applyAlignment="1">
      <alignment horizontal="left"/>
    </xf>
    <xf numFmtId="0" fontId="33" fillId="0" borderId="2" xfId="6" quotePrefix="1" applyNumberFormat="1" applyFont="1" applyFill="1" applyBorder="1" applyAlignment="1">
      <alignment horizontal="center" vertical="center"/>
    </xf>
    <xf numFmtId="8" fontId="37" fillId="7" borderId="2" xfId="6" applyNumberFormat="1" applyFont="1" applyFill="1" applyBorder="1" applyAlignment="1">
      <alignment horizontal="center" vertical="center"/>
    </xf>
    <xf numFmtId="0" fontId="33" fillId="0" borderId="10" xfId="6" applyFont="1" applyFill="1" applyBorder="1" applyAlignment="1">
      <alignment horizontal="left"/>
    </xf>
    <xf numFmtId="8" fontId="33" fillId="0" borderId="4" xfId="6" applyNumberFormat="1" applyFont="1" applyFill="1" applyBorder="1" applyAlignment="1">
      <alignment horizontal="center" vertical="center"/>
    </xf>
    <xf numFmtId="0" fontId="19" fillId="0" borderId="2" xfId="6" applyNumberFormat="1" applyFont="1" applyFill="1" applyBorder="1" applyAlignment="1">
      <alignment horizontal="center" vertical="center"/>
    </xf>
    <xf numFmtId="0" fontId="22" fillId="0" borderId="10" xfId="0" applyFont="1" applyBorder="1" applyAlignment="1">
      <alignment vertical="center" wrapText="1"/>
    </xf>
    <xf numFmtId="0" fontId="22" fillId="0" borderId="0" xfId="0" applyFont="1" applyBorder="1" applyAlignment="1">
      <alignment vertical="center" wrapText="1"/>
    </xf>
    <xf numFmtId="0" fontId="22" fillId="0" borderId="58" xfId="0" applyFont="1" applyBorder="1" applyAlignment="1">
      <alignment vertical="center" wrapText="1"/>
    </xf>
    <xf numFmtId="0" fontId="22" fillId="0" borderId="6" xfId="0" applyFont="1" applyBorder="1" applyAlignment="1">
      <alignment vertical="center" wrapText="1"/>
    </xf>
    <xf numFmtId="8" fontId="19" fillId="0" borderId="0" xfId="6" applyNumberFormat="1" applyFont="1" applyFill="1" applyBorder="1" applyAlignment="1">
      <alignment horizontal="center" vertical="center"/>
    </xf>
    <xf numFmtId="6" fontId="19" fillId="0" borderId="0" xfId="6" applyNumberFormat="1" applyFont="1" applyFill="1" applyBorder="1" applyAlignment="1">
      <alignment horizontal="center" vertical="center"/>
    </xf>
    <xf numFmtId="0" fontId="19" fillId="0" borderId="8" xfId="6" applyNumberFormat="1" applyFont="1" applyFill="1" applyBorder="1" applyAlignment="1">
      <alignment horizontal="center" vertical="center"/>
    </xf>
    <xf numFmtId="6" fontId="19" fillId="0" borderId="59" xfId="6" applyNumberFormat="1" applyFont="1" applyFill="1" applyBorder="1" applyAlignment="1">
      <alignment horizontal="center" vertical="center"/>
    </xf>
    <xf numFmtId="6" fontId="19" fillId="8" borderId="2" xfId="6" applyNumberFormat="1" applyFont="1" applyFill="1" applyBorder="1" applyAlignment="1">
      <alignment horizontal="center" vertical="center"/>
    </xf>
    <xf numFmtId="0" fontId="22" fillId="0" borderId="38" xfId="0" applyFont="1" applyBorder="1" applyAlignment="1">
      <alignment vertical="center" wrapText="1"/>
    </xf>
    <xf numFmtId="6" fontId="10" fillId="0" borderId="31" xfId="0" applyNumberFormat="1" applyFont="1" applyBorder="1"/>
    <xf numFmtId="6" fontId="10" fillId="0" borderId="39" xfId="0" applyNumberFormat="1" applyFont="1" applyBorder="1"/>
    <xf numFmtId="6" fontId="19" fillId="0" borderId="31" xfId="6" applyNumberFormat="1" applyFont="1" applyFill="1" applyBorder="1" applyAlignment="1">
      <alignment horizontal="center" vertical="center"/>
    </xf>
    <xf numFmtId="0" fontId="17" fillId="2" borderId="8" xfId="0" quotePrefix="1" applyFont="1" applyFill="1" applyBorder="1" applyAlignment="1">
      <alignment horizontal="center" vertical="center"/>
    </xf>
    <xf numFmtId="0" fontId="17" fillId="2" borderId="2" xfId="0" quotePrefix="1" applyFont="1" applyFill="1" applyBorder="1" applyAlignment="1">
      <alignment horizontal="center" vertical="center" wrapText="1"/>
    </xf>
    <xf numFmtId="0" fontId="6" fillId="3" borderId="0" xfId="0" applyFont="1" applyFill="1" applyAlignment="1">
      <alignment horizontal="left" wrapText="1"/>
    </xf>
    <xf numFmtId="8" fontId="10" fillId="0" borderId="0" xfId="0" applyNumberFormat="1" applyFont="1"/>
    <xf numFmtId="6" fontId="17" fillId="8" borderId="31" xfId="0" applyNumberFormat="1" applyFont="1" applyFill="1" applyBorder="1"/>
    <xf numFmtId="6" fontId="17" fillId="8" borderId="39" xfId="0" applyNumberFormat="1" applyFont="1" applyFill="1" applyBorder="1"/>
    <xf numFmtId="0" fontId="22" fillId="0" borderId="41" xfId="0" applyFont="1" applyBorder="1" applyAlignment="1">
      <alignment vertical="center" wrapText="1"/>
    </xf>
    <xf numFmtId="1" fontId="10" fillId="0" borderId="42" xfId="7" applyNumberFormat="1" applyFont="1" applyBorder="1" applyAlignment="1">
      <alignment horizontal="right" vertical="center" wrapText="1"/>
    </xf>
    <xf numFmtId="1" fontId="10" fillId="0" borderId="43" xfId="7" applyNumberFormat="1" applyFont="1" applyBorder="1" applyAlignment="1">
      <alignment horizontal="right" vertical="center" wrapText="1"/>
    </xf>
    <xf numFmtId="0" fontId="19" fillId="0" borderId="59" xfId="6" applyNumberFormat="1" applyFont="1" applyFill="1" applyBorder="1" applyAlignment="1">
      <alignment horizontal="center" vertical="center"/>
    </xf>
    <xf numFmtId="0" fontId="22" fillId="0" borderId="63" xfId="0" applyFont="1" applyBorder="1" applyAlignment="1">
      <alignment vertical="center" wrapText="1"/>
    </xf>
    <xf numFmtId="0" fontId="19" fillId="0" borderId="64" xfId="6" applyNumberFormat="1" applyFont="1" applyFill="1" applyBorder="1" applyAlignment="1">
      <alignment horizontal="center" vertical="center"/>
    </xf>
    <xf numFmtId="6" fontId="19" fillId="8" borderId="4" xfId="6" applyNumberFormat="1" applyFont="1" applyFill="1" applyBorder="1" applyAlignment="1">
      <alignment horizontal="center" vertical="center"/>
    </xf>
    <xf numFmtId="0" fontId="6" fillId="3" borderId="29" xfId="0" applyFont="1" applyFill="1" applyBorder="1" applyAlignment="1">
      <alignment vertical="center"/>
    </xf>
    <xf numFmtId="0" fontId="6" fillId="3" borderId="49" xfId="0" applyFont="1" applyFill="1" applyBorder="1" applyAlignment="1">
      <alignment vertical="center"/>
    </xf>
    <xf numFmtId="0" fontId="6" fillId="3" borderId="0" xfId="0" applyFont="1" applyFill="1" applyBorder="1" applyAlignment="1">
      <alignment vertical="center"/>
    </xf>
    <xf numFmtId="0" fontId="6" fillId="3" borderId="21" xfId="0" applyFont="1" applyFill="1" applyBorder="1" applyAlignment="1">
      <alignment vertical="center"/>
    </xf>
    <xf numFmtId="0" fontId="6" fillId="3" borderId="32" xfId="0" applyFont="1" applyFill="1" applyBorder="1" applyAlignment="1">
      <alignment vertical="center"/>
    </xf>
    <xf numFmtId="0" fontId="6" fillId="3" borderId="17" xfId="0" applyFont="1" applyFill="1" applyBorder="1" applyAlignment="1">
      <alignment vertical="center"/>
    </xf>
    <xf numFmtId="0" fontId="6" fillId="3" borderId="20" xfId="0" applyFont="1" applyFill="1" applyBorder="1" applyAlignment="1">
      <alignment vertical="center"/>
    </xf>
    <xf numFmtId="0" fontId="6" fillId="3" borderId="1" xfId="0" applyFont="1" applyFill="1" applyBorder="1" applyAlignment="1">
      <alignment horizontal="left" indent="2"/>
    </xf>
    <xf numFmtId="0" fontId="6" fillId="3" borderId="1" xfId="0" applyFont="1" applyFill="1" applyBorder="1" applyAlignment="1">
      <alignment horizontal="center" vertical="center"/>
    </xf>
    <xf numFmtId="1" fontId="6" fillId="3" borderId="1" xfId="0" applyNumberFormat="1" applyFont="1" applyFill="1" applyBorder="1" applyAlignment="1">
      <alignment horizontal="center" vertical="center"/>
    </xf>
    <xf numFmtId="0" fontId="6" fillId="3" borderId="1" xfId="0" applyFont="1" applyFill="1" applyBorder="1" applyAlignment="1">
      <alignment horizontal="center" vertical="center" wrapText="1"/>
    </xf>
    <xf numFmtId="0" fontId="6" fillId="3" borderId="1" xfId="0" applyFont="1" applyFill="1" applyBorder="1" applyAlignment="1">
      <alignment horizontal="left" indent="4"/>
    </xf>
    <xf numFmtId="0" fontId="6" fillId="3" borderId="1" xfId="0" applyFont="1" applyFill="1" applyBorder="1" applyAlignment="1">
      <alignment horizontal="left" wrapText="1" indent="4"/>
    </xf>
    <xf numFmtId="0" fontId="21" fillId="9" borderId="5" xfId="0" applyFont="1" applyFill="1" applyBorder="1"/>
    <xf numFmtId="0" fontId="10" fillId="9" borderId="12" xfId="0" applyFont="1" applyFill="1" applyBorder="1"/>
    <xf numFmtId="0" fontId="10" fillId="9" borderId="34" xfId="0" applyFont="1" applyFill="1" applyBorder="1"/>
    <xf numFmtId="0" fontId="19" fillId="0" borderId="1" xfId="6" applyFont="1" applyFill="1" applyBorder="1"/>
    <xf numFmtId="0" fontId="6" fillId="3" borderId="1" xfId="0" applyFont="1" applyFill="1" applyBorder="1" applyAlignment="1">
      <alignment horizontal="center" wrapText="1"/>
    </xf>
    <xf numFmtId="1" fontId="6" fillId="3" borderId="1" xfId="0" applyNumberFormat="1" applyFont="1" applyFill="1" applyBorder="1" applyAlignment="1">
      <alignment horizontal="center" wrapText="1"/>
    </xf>
    <xf numFmtId="3" fontId="6" fillId="3" borderId="1" xfId="0" applyNumberFormat="1" applyFont="1" applyFill="1" applyBorder="1" applyAlignment="1">
      <alignment horizontal="center" wrapText="1"/>
    </xf>
    <xf numFmtId="0" fontId="6" fillId="3" borderId="1" xfId="0" applyFont="1" applyFill="1" applyBorder="1" applyAlignment="1">
      <alignment horizontal="center" textRotation="90" wrapText="1"/>
    </xf>
    <xf numFmtId="0" fontId="6" fillId="3" borderId="1" xfId="0" applyFont="1" applyFill="1" applyBorder="1" applyAlignment="1">
      <alignment horizontal="left" wrapText="1" indent="5"/>
    </xf>
    <xf numFmtId="0" fontId="6" fillId="3" borderId="1" xfId="0" applyFont="1" applyFill="1" applyBorder="1" applyAlignment="1">
      <alignment horizontal="left" wrapText="1" indent="6"/>
    </xf>
    <xf numFmtId="0" fontId="6" fillId="3" borderId="1" xfId="0" applyFont="1" applyFill="1" applyBorder="1" applyAlignment="1">
      <alignment horizontal="left" indent="6"/>
    </xf>
    <xf numFmtId="1" fontId="6" fillId="3" borderId="1" xfId="0" applyNumberFormat="1" applyFont="1" applyFill="1" applyBorder="1" applyAlignment="1" applyProtection="1">
      <alignment horizontal="center" vertical="center"/>
    </xf>
    <xf numFmtId="0" fontId="6" fillId="3" borderId="1" xfId="0" applyFont="1" applyFill="1" applyBorder="1" applyAlignment="1">
      <alignment horizontal="center"/>
    </xf>
    <xf numFmtId="164" fontId="6" fillId="3" borderId="1" xfId="0" applyNumberFormat="1" applyFont="1" applyFill="1" applyBorder="1" applyAlignment="1">
      <alignment horizontal="center"/>
    </xf>
    <xf numFmtId="1" fontId="6" fillId="3" borderId="1" xfId="0" applyNumberFormat="1" applyFont="1" applyFill="1" applyBorder="1" applyAlignment="1">
      <alignment horizontal="center"/>
    </xf>
    <xf numFmtId="0" fontId="12" fillId="3" borderId="1" xfId="0" applyFont="1" applyFill="1" applyBorder="1"/>
    <xf numFmtId="0" fontId="12" fillId="3" borderId="15" xfId="0" applyFont="1" applyFill="1" applyBorder="1"/>
    <xf numFmtId="0" fontId="6" fillId="3" borderId="1" xfId="0" applyFont="1" applyFill="1" applyBorder="1"/>
    <xf numFmtId="3" fontId="6" fillId="3" borderId="1" xfId="0" applyNumberFormat="1" applyFont="1" applyFill="1" applyBorder="1" applyAlignment="1" applyProtection="1">
      <alignment horizontal="center" vertical="center"/>
    </xf>
    <xf numFmtId="0" fontId="6" fillId="3" borderId="0" xfId="0" applyFont="1" applyFill="1" applyAlignment="1">
      <alignment horizontal="left"/>
    </xf>
    <xf numFmtId="0" fontId="13" fillId="3" borderId="1" xfId="0" applyFont="1" applyFill="1" applyBorder="1" applyAlignment="1">
      <alignment horizontal="center" vertical="center"/>
    </xf>
    <xf numFmtId="164" fontId="13" fillId="3" borderId="1" xfId="0" applyNumberFormat="1" applyFont="1" applyFill="1" applyBorder="1" applyAlignment="1">
      <alignment horizontal="center" vertical="center"/>
    </xf>
    <xf numFmtId="0" fontId="13" fillId="3" borderId="0" xfId="0" applyFont="1" applyFill="1"/>
    <xf numFmtId="3" fontId="12" fillId="3" borderId="1" xfId="0" applyNumberFormat="1" applyFont="1" applyFill="1" applyBorder="1" applyAlignment="1">
      <alignment horizontal="center" vertical="center"/>
    </xf>
    <xf numFmtId="164" fontId="12" fillId="3" borderId="1" xfId="0" applyNumberFormat="1" applyFont="1" applyFill="1" applyBorder="1" applyAlignment="1">
      <alignment horizontal="center" vertical="center"/>
    </xf>
    <xf numFmtId="0" fontId="12" fillId="3" borderId="15" xfId="0" applyFont="1" applyFill="1" applyBorder="1" applyAlignment="1">
      <alignment horizontal="center" vertical="center"/>
    </xf>
    <xf numFmtId="3" fontId="12" fillId="3" borderId="15" xfId="0" applyNumberFormat="1" applyFont="1" applyFill="1" applyBorder="1" applyAlignment="1">
      <alignment horizontal="center" vertical="center"/>
    </xf>
    <xf numFmtId="164" fontId="12" fillId="3" borderId="15" xfId="0" applyNumberFormat="1" applyFont="1" applyFill="1" applyBorder="1" applyAlignment="1">
      <alignment horizontal="center" vertical="center"/>
    </xf>
    <xf numFmtId="0" fontId="12" fillId="3" borderId="0" xfId="0" applyFont="1" applyFill="1"/>
    <xf numFmtId="0" fontId="40" fillId="3" borderId="0" xfId="0" applyFont="1" applyFill="1"/>
    <xf numFmtId="0" fontId="13" fillId="3" borderId="11" xfId="0" applyFont="1" applyFill="1" applyBorder="1" applyAlignment="1">
      <alignment horizontal="center" vertical="center"/>
    </xf>
    <xf numFmtId="3" fontId="13" fillId="3" borderId="11" xfId="0" applyNumberFormat="1" applyFont="1" applyFill="1" applyBorder="1" applyAlignment="1">
      <alignment horizontal="center" vertical="center"/>
    </xf>
    <xf numFmtId="164" fontId="13" fillId="3" borderId="11" xfId="0" applyNumberFormat="1" applyFont="1" applyFill="1" applyBorder="1" applyAlignment="1">
      <alignment horizontal="center" vertical="center"/>
    </xf>
    <xf numFmtId="0" fontId="13" fillId="3" borderId="0" xfId="0" applyFont="1" applyFill="1" applyAlignment="1">
      <alignment vertical="center"/>
    </xf>
    <xf numFmtId="0" fontId="39" fillId="3" borderId="0" xfId="0" applyFont="1" applyFill="1" applyAlignment="1">
      <alignment vertical="center"/>
    </xf>
    <xf numFmtId="0" fontId="17" fillId="0" borderId="31" xfId="0" applyFont="1" applyBorder="1"/>
    <xf numFmtId="0" fontId="17" fillId="0" borderId="0" xfId="0" applyFont="1"/>
    <xf numFmtId="0" fontId="27" fillId="0" borderId="1" xfId="0" applyFont="1" applyBorder="1" applyAlignment="1">
      <alignment horizontal="left" vertical="center" wrapText="1"/>
    </xf>
    <xf numFmtId="0" fontId="27" fillId="0" borderId="1" xfId="0" applyFont="1" applyBorder="1" applyAlignment="1">
      <alignment horizontal="left" vertical="center" wrapText="1" indent="1"/>
    </xf>
    <xf numFmtId="0" fontId="30" fillId="0" borderId="11" xfId="0" applyFont="1" applyFill="1" applyBorder="1" applyAlignment="1">
      <alignment horizontal="left" wrapText="1" indent="1"/>
    </xf>
    <xf numFmtId="0" fontId="41" fillId="0" borderId="1" xfId="0" applyFont="1" applyFill="1" applyBorder="1" applyAlignment="1">
      <alignment horizontal="left"/>
    </xf>
    <xf numFmtId="6" fontId="42" fillId="0" borderId="1" xfId="0" applyNumberFormat="1" applyFont="1" applyBorder="1" applyAlignment="1">
      <alignment horizontal="center" vertical="center" wrapText="1"/>
    </xf>
    <xf numFmtId="1" fontId="42" fillId="0" borderId="1" xfId="0" applyNumberFormat="1" applyFont="1" applyBorder="1" applyAlignment="1">
      <alignment horizontal="center" vertical="center" wrapText="1"/>
    </xf>
    <xf numFmtId="0" fontId="42" fillId="0" borderId="1" xfId="0" applyFont="1" applyBorder="1" applyAlignment="1">
      <alignment horizontal="center" vertical="center" wrapText="1"/>
    </xf>
    <xf numFmtId="0" fontId="43" fillId="0" borderId="0" xfId="0" applyFont="1"/>
    <xf numFmtId="167" fontId="5" fillId="0" borderId="0" xfId="0" applyNumberFormat="1" applyFont="1" applyFill="1" applyBorder="1"/>
    <xf numFmtId="167" fontId="5" fillId="0" borderId="0" xfId="0" applyNumberFormat="1" applyFont="1" applyFill="1" applyBorder="1" applyAlignment="1">
      <alignment horizontal="right"/>
    </xf>
    <xf numFmtId="0" fontId="5" fillId="0" borderId="0" xfId="0" applyFont="1" applyFill="1"/>
    <xf numFmtId="167" fontId="6" fillId="0" borderId="0" xfId="0" applyNumberFormat="1" applyFont="1" applyFill="1" applyBorder="1"/>
    <xf numFmtId="167" fontId="6" fillId="0" borderId="0" xfId="0" applyNumberFormat="1" applyFont="1" applyFill="1" applyBorder="1" applyAlignment="1"/>
    <xf numFmtId="167" fontId="6" fillId="0" borderId="0" xfId="0" applyNumberFormat="1" applyFont="1" applyFill="1" applyBorder="1" applyAlignment="1">
      <alignment horizontal="center"/>
    </xf>
    <xf numFmtId="3" fontId="6" fillId="0" borderId="0" xfId="2" applyNumberFormat="1" applyFont="1" applyFill="1" applyBorder="1" applyAlignment="1">
      <alignment horizontal="right"/>
    </xf>
    <xf numFmtId="164" fontId="6" fillId="0" borderId="1" xfId="0" applyNumberFormat="1" applyFont="1" applyFill="1" applyBorder="1" applyAlignment="1">
      <alignment horizontal="center" vertical="center"/>
    </xf>
    <xf numFmtId="0" fontId="17" fillId="2" borderId="7"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7" xfId="0" quotePrefix="1" applyFont="1" applyFill="1" applyBorder="1" applyAlignment="1">
      <alignment horizontal="center" vertical="center"/>
    </xf>
    <xf numFmtId="0" fontId="10" fillId="0" borderId="6" xfId="0" applyFont="1" applyBorder="1" applyAlignment="1">
      <alignment horizontal="center"/>
    </xf>
    <xf numFmtId="0" fontId="10" fillId="0" borderId="9" xfId="0" applyFont="1" applyBorder="1" applyAlignment="1">
      <alignment horizontal="center"/>
    </xf>
    <xf numFmtId="0" fontId="35" fillId="0" borderId="12" xfId="0" applyFont="1" applyBorder="1" applyAlignment="1">
      <alignment horizontal="left" wrapText="1"/>
    </xf>
    <xf numFmtId="0" fontId="35" fillId="0" borderId="0" xfId="0" applyFont="1" applyAlignment="1">
      <alignment horizontal="left" wrapText="1"/>
    </xf>
    <xf numFmtId="0" fontId="10" fillId="0" borderId="13" xfId="0" applyFont="1" applyBorder="1" applyAlignment="1">
      <alignment horizontal="left" wrapText="1"/>
    </xf>
    <xf numFmtId="0" fontId="10" fillId="0" borderId="0" xfId="0" applyFont="1" applyAlignment="1">
      <alignment horizontal="left" wrapText="1"/>
    </xf>
    <xf numFmtId="0" fontId="17" fillId="2" borderId="9"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38" fillId="0" borderId="60" xfId="0" applyFont="1" applyFill="1" applyBorder="1" applyAlignment="1">
      <alignment horizontal="left" vertical="center"/>
    </xf>
    <xf numFmtId="0" fontId="38" fillId="0" borderId="61" xfId="0" applyFont="1" applyFill="1" applyBorder="1" applyAlignment="1">
      <alignment horizontal="left" vertical="center"/>
    </xf>
    <xf numFmtId="0" fontId="38" fillId="0" borderId="62" xfId="0" applyFont="1" applyFill="1" applyBorder="1" applyAlignment="1">
      <alignment horizontal="left" vertical="center"/>
    </xf>
    <xf numFmtId="0" fontId="21" fillId="0" borderId="5" xfId="0" applyFont="1" applyBorder="1" applyAlignment="1">
      <alignment horizontal="left" wrapText="1"/>
    </xf>
    <xf numFmtId="0" fontId="21" fillId="0" borderId="34" xfId="0" applyFont="1" applyBorder="1" applyAlignment="1">
      <alignment horizontal="left" wrapText="1"/>
    </xf>
    <xf numFmtId="0" fontId="31" fillId="0" borderId="1" xfId="0" applyFont="1" applyBorder="1" applyAlignment="1">
      <alignment horizontal="center" vertical="center"/>
    </xf>
    <xf numFmtId="0" fontId="27" fillId="0" borderId="47" xfId="0" applyFont="1" applyBorder="1" applyAlignment="1">
      <alignment horizontal="left" vertical="center" wrapText="1"/>
    </xf>
    <xf numFmtId="0" fontId="27" fillId="0" borderId="27" xfId="0" applyFont="1" applyBorder="1" applyAlignment="1">
      <alignment horizontal="left" vertical="center" wrapText="1"/>
    </xf>
    <xf numFmtId="0" fontId="27" fillId="0" borderId="32" xfId="0" applyFont="1" applyBorder="1" applyAlignment="1">
      <alignment horizontal="left" vertical="center" wrapText="1"/>
    </xf>
    <xf numFmtId="0" fontId="28" fillId="0" borderId="42" xfId="0" applyFont="1" applyBorder="1" applyAlignment="1">
      <alignment horizontal="center" vertical="center" wrapText="1"/>
    </xf>
    <xf numFmtId="0" fontId="6" fillId="3" borderId="0" xfId="0" applyFont="1" applyFill="1" applyBorder="1" applyAlignment="1">
      <alignment horizontal="left" vertical="top" wrapText="1"/>
    </xf>
    <xf numFmtId="0" fontId="6" fillId="3" borderId="0" xfId="0" applyFont="1" applyFill="1" applyAlignment="1">
      <alignment horizontal="left" wrapText="1"/>
    </xf>
    <xf numFmtId="167" fontId="4" fillId="3" borderId="0" xfId="0" applyNumberFormat="1" applyFont="1" applyFill="1" applyBorder="1" applyAlignment="1" applyProtection="1">
      <alignment horizontal="center" vertical="top" wrapText="1"/>
    </xf>
    <xf numFmtId="167" fontId="4" fillId="3" borderId="0" xfId="0" applyNumberFormat="1" applyFont="1" applyFill="1" applyBorder="1" applyAlignment="1" applyProtection="1">
      <alignment horizontal="center" wrapText="1"/>
    </xf>
    <xf numFmtId="167" fontId="14" fillId="3" borderId="1" xfId="0" applyNumberFormat="1" applyFont="1" applyFill="1" applyBorder="1" applyAlignment="1">
      <alignment horizontal="center"/>
    </xf>
    <xf numFmtId="0" fontId="5" fillId="3" borderId="26" xfId="0" applyNumberFormat="1" applyFont="1" applyFill="1" applyBorder="1" applyAlignment="1" applyProtection="1">
      <alignment horizontal="center" vertical="center"/>
      <protection locked="0"/>
    </xf>
    <xf numFmtId="0" fontId="5" fillId="3" borderId="27" xfId="0" applyNumberFormat="1" applyFont="1" applyFill="1" applyBorder="1" applyAlignment="1" applyProtection="1">
      <alignment horizontal="center" vertical="center"/>
      <protection locked="0"/>
    </xf>
    <xf numFmtId="0" fontId="5" fillId="3" borderId="32" xfId="0" applyNumberFormat="1" applyFont="1" applyFill="1" applyBorder="1" applyAlignment="1" applyProtection="1">
      <alignment horizontal="center" vertical="center"/>
      <protection locked="0"/>
    </xf>
    <xf numFmtId="0" fontId="5" fillId="3" borderId="30" xfId="0" applyNumberFormat="1" applyFont="1" applyFill="1" applyBorder="1" applyAlignment="1" applyProtection="1">
      <alignment horizontal="center" vertical="center"/>
      <protection locked="0"/>
    </xf>
    <xf numFmtId="0" fontId="5" fillId="3" borderId="29" xfId="0" applyNumberFormat="1" applyFont="1" applyFill="1" applyBorder="1" applyAlignment="1" applyProtection="1">
      <alignment horizontal="center" vertical="center"/>
      <protection locked="0"/>
    </xf>
    <xf numFmtId="0" fontId="5" fillId="3" borderId="49" xfId="0" applyNumberFormat="1" applyFont="1" applyFill="1" applyBorder="1" applyAlignment="1" applyProtection="1">
      <alignment horizontal="center" vertical="center"/>
      <protection locked="0"/>
    </xf>
    <xf numFmtId="167" fontId="5" fillId="3" borderId="18" xfId="0" applyNumberFormat="1" applyFont="1" applyFill="1" applyBorder="1" applyAlignment="1" applyProtection="1">
      <alignment horizontal="left" vertical="center" wrapText="1"/>
    </xf>
    <xf numFmtId="167" fontId="5" fillId="3" borderId="18" xfId="0" applyNumberFormat="1" applyFont="1" applyFill="1" applyBorder="1" applyAlignment="1">
      <alignment vertical="center" wrapText="1"/>
    </xf>
    <xf numFmtId="167" fontId="5" fillId="3" borderId="22" xfId="0" applyNumberFormat="1" applyFont="1" applyFill="1" applyBorder="1" applyAlignment="1">
      <alignment vertical="center" wrapText="1"/>
    </xf>
    <xf numFmtId="0" fontId="5" fillId="3" borderId="49" xfId="0" applyFont="1" applyFill="1" applyBorder="1" applyAlignment="1">
      <alignment horizontal="center" textRotation="90" wrapText="1"/>
    </xf>
    <xf numFmtId="0" fontId="5" fillId="3" borderId="53" xfId="0" applyFont="1" applyFill="1" applyBorder="1" applyAlignment="1">
      <alignment horizontal="center" textRotation="90" wrapText="1"/>
    </xf>
    <xf numFmtId="167" fontId="16" fillId="3" borderId="0" xfId="0" applyNumberFormat="1" applyFont="1" applyFill="1" applyBorder="1" applyAlignment="1" applyProtection="1">
      <alignment horizontal="center" wrapText="1"/>
    </xf>
    <xf numFmtId="167" fontId="5" fillId="3" borderId="46" xfId="0" applyNumberFormat="1" applyFont="1" applyFill="1" applyBorder="1" applyAlignment="1" applyProtection="1">
      <alignment horizontal="center"/>
    </xf>
    <xf numFmtId="167" fontId="5" fillId="3" borderId="35" xfId="0" applyNumberFormat="1" applyFont="1" applyFill="1" applyBorder="1" applyAlignment="1" applyProtection="1">
      <alignment horizontal="center"/>
    </xf>
    <xf numFmtId="167" fontId="5" fillId="3" borderId="36" xfId="0" applyNumberFormat="1" applyFont="1" applyFill="1" applyBorder="1" applyAlignment="1" applyProtection="1">
      <alignment horizontal="center"/>
    </xf>
    <xf numFmtId="167" fontId="5" fillId="3" borderId="16" xfId="0" applyNumberFormat="1" applyFont="1" applyFill="1" applyBorder="1" applyAlignment="1">
      <alignment horizontal="center" vertical="center" wrapText="1"/>
    </xf>
    <xf numFmtId="167" fontId="5" fillId="3" borderId="17" xfId="0" applyNumberFormat="1" applyFont="1" applyFill="1" applyBorder="1" applyAlignment="1">
      <alignment horizontal="center" vertical="center" wrapText="1"/>
    </xf>
    <xf numFmtId="167" fontId="5" fillId="3" borderId="20" xfId="0" applyNumberFormat="1" applyFont="1" applyFill="1" applyBorder="1" applyAlignment="1">
      <alignment horizontal="center" vertical="center" wrapText="1"/>
    </xf>
  </cellXfs>
  <cellStyles count="9">
    <cellStyle name="Comma" xfId="2" builtinId="3"/>
    <cellStyle name="Currency" xfId="7" builtinId="4"/>
    <cellStyle name="Currency 2" xfId="8" xr:uid="{00000000-0005-0000-0000-000002000000}"/>
    <cellStyle name="Hyperlink" xfId="4" builtinId="8"/>
    <cellStyle name="Normal" xfId="0" builtinId="0"/>
    <cellStyle name="Normal 2" xfId="6" xr:uid="{00000000-0005-0000-0000-000005000000}"/>
    <cellStyle name="Normal_HMIWI EG SS" xfId="5" xr:uid="{00000000-0005-0000-0000-000007000000}"/>
    <cellStyle name="Normal_ICR Cost Inputs" xfId="1" xr:uid="{00000000-0005-0000-0000-000008000000}"/>
    <cellStyle name="Normal_Sheet1" xfId="3"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87E4F-D391-401C-ACC5-8AB0454456D3}">
  <dimension ref="A1:H84"/>
  <sheetViews>
    <sheetView workbookViewId="0"/>
  </sheetViews>
  <sheetFormatPr defaultRowHeight="12.75" x14ac:dyDescent="0.2"/>
  <cols>
    <col min="1" max="1" width="5" style="21" customWidth="1"/>
    <col min="2" max="2" width="31.85546875" style="21" customWidth="1"/>
    <col min="3" max="3" width="16" style="21" bestFit="1" customWidth="1"/>
    <col min="4" max="4" width="17.42578125" style="21" customWidth="1"/>
    <col min="5" max="5" width="14.7109375" style="21" bestFit="1" customWidth="1"/>
    <col min="6" max="6" width="11.85546875" style="21" customWidth="1"/>
    <col min="7" max="7" width="15.5703125" style="21" customWidth="1"/>
    <col min="8" max="16384" width="9.140625" style="21"/>
  </cols>
  <sheetData>
    <row r="1" spans="1:6" ht="15.75" customHeight="1" x14ac:dyDescent="0.2">
      <c r="B1" s="334"/>
      <c r="C1" s="331" t="s">
        <v>161</v>
      </c>
      <c r="D1" s="333" t="s">
        <v>160</v>
      </c>
      <c r="E1" s="333"/>
      <c r="F1" s="252" t="s">
        <v>188</v>
      </c>
    </row>
    <row r="2" spans="1:6" ht="38.25" x14ac:dyDescent="0.2">
      <c r="B2" s="335"/>
      <c r="C2" s="332"/>
      <c r="D2" s="225" t="s">
        <v>162</v>
      </c>
      <c r="E2" s="226" t="s">
        <v>163</v>
      </c>
      <c r="F2" s="253" t="s">
        <v>189</v>
      </c>
    </row>
    <row r="3" spans="1:6" x14ac:dyDescent="0.2">
      <c r="B3" s="79" t="s">
        <v>158</v>
      </c>
      <c r="C3" s="180">
        <v>177</v>
      </c>
      <c r="D3" s="180">
        <v>27</v>
      </c>
      <c r="E3" s="180">
        <v>16</v>
      </c>
      <c r="F3" s="181">
        <v>171</v>
      </c>
    </row>
    <row r="4" spans="1:6" x14ac:dyDescent="0.2">
      <c r="B4" s="79" t="s">
        <v>159</v>
      </c>
      <c r="C4" s="180">
        <v>4</v>
      </c>
      <c r="D4" s="180">
        <v>0</v>
      </c>
      <c r="E4" s="180">
        <v>0</v>
      </c>
      <c r="F4" s="181">
        <v>0</v>
      </c>
    </row>
    <row r="5" spans="1:6" ht="13.5" thickBot="1" x14ac:dyDescent="0.25">
      <c r="A5" s="64"/>
      <c r="B5" s="80" t="s">
        <v>47</v>
      </c>
      <c r="C5" s="182">
        <f>SUM(C3:C4)</f>
        <v>181</v>
      </c>
      <c r="D5" s="182"/>
      <c r="E5" s="182"/>
      <c r="F5" s="122"/>
    </row>
    <row r="6" spans="1:6" ht="13.5" thickBot="1" x14ac:dyDescent="0.25">
      <c r="A6" s="64"/>
      <c r="B6" s="64"/>
      <c r="C6" s="65"/>
      <c r="D6" s="66"/>
    </row>
    <row r="7" spans="1:6" ht="15" x14ac:dyDescent="0.25">
      <c r="B7" s="278" t="s">
        <v>170</v>
      </c>
      <c r="C7" s="279"/>
      <c r="D7" s="280"/>
    </row>
    <row r="8" spans="1:6" x14ac:dyDescent="0.2">
      <c r="B8" s="118" t="s">
        <v>119</v>
      </c>
      <c r="C8" s="111" t="s">
        <v>99</v>
      </c>
      <c r="D8" s="119" t="s">
        <v>118</v>
      </c>
    </row>
    <row r="9" spans="1:6" x14ac:dyDescent="0.2">
      <c r="B9" s="120" t="s">
        <v>187</v>
      </c>
      <c r="C9" s="112">
        <v>0</v>
      </c>
      <c r="D9" s="121">
        <v>29651</v>
      </c>
    </row>
    <row r="10" spans="1:6" ht="25.5" x14ac:dyDescent="0.2">
      <c r="B10" s="120" t="s">
        <v>186</v>
      </c>
      <c r="C10" s="142"/>
      <c r="D10" s="143">
        <v>149</v>
      </c>
    </row>
    <row r="11" spans="1:6" x14ac:dyDescent="0.2">
      <c r="B11" s="258" t="s">
        <v>208</v>
      </c>
      <c r="C11" s="259"/>
      <c r="D11" s="260">
        <v>85</v>
      </c>
    </row>
    <row r="12" spans="1:6" ht="13.5" thickBot="1" x14ac:dyDescent="0.25">
      <c r="B12" s="116" t="s">
        <v>209</v>
      </c>
      <c r="C12" s="156" t="e">
        <f>ROUND(C9/C10,-3)</f>
        <v>#DIV/0!</v>
      </c>
      <c r="D12" s="157">
        <f>ROUND(D9/D11,0)</f>
        <v>349</v>
      </c>
    </row>
    <row r="13" spans="1:6" ht="13.5" thickBot="1" x14ac:dyDescent="0.25"/>
    <row r="14" spans="1:6" ht="15" x14ac:dyDescent="0.25">
      <c r="B14" s="346" t="s">
        <v>177</v>
      </c>
      <c r="C14" s="347"/>
      <c r="D14" s="21" t="s">
        <v>185</v>
      </c>
    </row>
    <row r="15" spans="1:6" x14ac:dyDescent="0.2">
      <c r="B15" s="115" t="s">
        <v>119</v>
      </c>
      <c r="C15" s="145" t="s">
        <v>122</v>
      </c>
    </row>
    <row r="16" spans="1:6" ht="25.5" x14ac:dyDescent="0.2">
      <c r="B16" s="120" t="s">
        <v>171</v>
      </c>
      <c r="C16" s="238">
        <v>90</v>
      </c>
    </row>
    <row r="17" spans="2:4" x14ac:dyDescent="0.2">
      <c r="B17" s="120" t="s">
        <v>172</v>
      </c>
      <c r="C17" s="146">
        <v>1256.96</v>
      </c>
    </row>
    <row r="18" spans="2:4" x14ac:dyDescent="0.2">
      <c r="B18" s="120" t="s">
        <v>173</v>
      </c>
      <c r="C18" s="146">
        <f>C17*C16</f>
        <v>113126.40000000001</v>
      </c>
    </row>
    <row r="19" spans="2:4" x14ac:dyDescent="0.2">
      <c r="B19" s="120" t="s">
        <v>217</v>
      </c>
      <c r="C19" s="238">
        <v>40</v>
      </c>
      <c r="D19" s="255" t="s">
        <v>244</v>
      </c>
    </row>
    <row r="20" spans="2:4" ht="13.5" thickBot="1" x14ac:dyDescent="0.25">
      <c r="B20" s="239" t="s">
        <v>206</v>
      </c>
      <c r="C20" s="155">
        <f>ROUND(C18/C19,0)</f>
        <v>2828</v>
      </c>
      <c r="D20" s="255"/>
    </row>
    <row r="21" spans="2:4" ht="25.5" x14ac:dyDescent="0.2">
      <c r="B21" s="120" t="s">
        <v>174</v>
      </c>
      <c r="C21" s="238">
        <v>0.02</v>
      </c>
    </row>
    <row r="22" spans="2:4" ht="25.5" x14ac:dyDescent="0.2">
      <c r="B22" s="120" t="s">
        <v>175</v>
      </c>
      <c r="C22" s="238">
        <v>2</v>
      </c>
    </row>
    <row r="23" spans="2:4" ht="13.5" thickBot="1" x14ac:dyDescent="0.25">
      <c r="B23" s="239" t="s">
        <v>176</v>
      </c>
      <c r="C23" s="155">
        <f>C22*C17</f>
        <v>2513.92</v>
      </c>
    </row>
    <row r="24" spans="2:4" ht="13.5" thickBot="1" x14ac:dyDescent="0.25">
      <c r="B24" s="240"/>
      <c r="C24" s="243"/>
    </row>
    <row r="25" spans="2:4" ht="12.75" customHeight="1" x14ac:dyDescent="0.25">
      <c r="B25" s="346" t="s">
        <v>183</v>
      </c>
      <c r="C25" s="347"/>
      <c r="D25" s="21" t="s">
        <v>184</v>
      </c>
    </row>
    <row r="26" spans="2:4" ht="12.75" customHeight="1" x14ac:dyDescent="0.2">
      <c r="B26" s="115" t="s">
        <v>119</v>
      </c>
      <c r="C26" s="145" t="s">
        <v>122</v>
      </c>
    </row>
    <row r="27" spans="2:4" x14ac:dyDescent="0.2">
      <c r="B27" s="120" t="s">
        <v>179</v>
      </c>
      <c r="C27" s="247">
        <v>7440</v>
      </c>
    </row>
    <row r="28" spans="2:4" x14ac:dyDescent="0.2">
      <c r="B28" s="120" t="s">
        <v>180</v>
      </c>
      <c r="C28" s="247">
        <v>963.51403774299786</v>
      </c>
    </row>
    <row r="29" spans="2:4" ht="26.25" thickBot="1" x14ac:dyDescent="0.25">
      <c r="B29" s="120" t="s">
        <v>181</v>
      </c>
      <c r="C29" s="238">
        <v>40</v>
      </c>
      <c r="D29" s="21" t="s">
        <v>182</v>
      </c>
    </row>
    <row r="30" spans="2:4" ht="38.25" x14ac:dyDescent="0.2">
      <c r="B30" s="242" t="s">
        <v>190</v>
      </c>
      <c r="C30" s="245">
        <v>91</v>
      </c>
      <c r="D30" s="21" t="s">
        <v>191</v>
      </c>
    </row>
    <row r="31" spans="2:4" x14ac:dyDescent="0.2">
      <c r="B31" s="241" t="s">
        <v>210</v>
      </c>
      <c r="C31" s="246">
        <v>181.74</v>
      </c>
    </row>
    <row r="32" spans="2:4" x14ac:dyDescent="0.2">
      <c r="B32" s="241" t="s">
        <v>214</v>
      </c>
      <c r="C32" s="246">
        <f>C31*C30</f>
        <v>16538.34</v>
      </c>
    </row>
    <row r="33" spans="2:8" x14ac:dyDescent="0.2">
      <c r="B33" s="262" t="s">
        <v>211</v>
      </c>
      <c r="C33" s="263">
        <v>40</v>
      </c>
      <c r="D33" s="255" t="s">
        <v>244</v>
      </c>
    </row>
    <row r="34" spans="2:8" ht="26.25" thickBot="1" x14ac:dyDescent="0.25">
      <c r="B34" s="239" t="s">
        <v>212</v>
      </c>
      <c r="C34" s="264">
        <f>ROUND(C32/C33,0)</f>
        <v>413</v>
      </c>
    </row>
    <row r="35" spans="2:8" x14ac:dyDescent="0.2">
      <c r="B35" s="241" t="s">
        <v>213</v>
      </c>
      <c r="C35" s="261">
        <v>2</v>
      </c>
      <c r="D35" s="21" t="s">
        <v>216</v>
      </c>
    </row>
    <row r="36" spans="2:8" ht="26.25" thickBot="1" x14ac:dyDescent="0.25">
      <c r="B36" s="239" t="s">
        <v>215</v>
      </c>
      <c r="C36" s="264">
        <f>ROUND(C31,0)</f>
        <v>182</v>
      </c>
    </row>
    <row r="37" spans="2:8" ht="13.5" thickBot="1" x14ac:dyDescent="0.25"/>
    <row r="38" spans="2:8" ht="15" x14ac:dyDescent="0.2">
      <c r="B38" s="343" t="s">
        <v>204</v>
      </c>
      <c r="C38" s="344"/>
      <c r="D38" s="344"/>
      <c r="E38" s="344"/>
      <c r="F38" s="344"/>
      <c r="G38" s="345"/>
      <c r="H38" s="314" t="s">
        <v>263</v>
      </c>
    </row>
    <row r="39" spans="2:8" x14ac:dyDescent="0.2">
      <c r="B39" s="340" t="s">
        <v>192</v>
      </c>
      <c r="C39" s="341" t="s">
        <v>193</v>
      </c>
      <c r="D39" s="341"/>
      <c r="E39" s="341" t="s">
        <v>194</v>
      </c>
      <c r="F39" s="341"/>
      <c r="G39" s="342"/>
    </row>
    <row r="40" spans="2:8" ht="38.25" x14ac:dyDescent="0.2">
      <c r="B40" s="340"/>
      <c r="C40" s="150" t="s">
        <v>195</v>
      </c>
      <c r="D40" s="150" t="s">
        <v>196</v>
      </c>
      <c r="E40" s="150" t="s">
        <v>197</v>
      </c>
      <c r="F40" s="150" t="s">
        <v>195</v>
      </c>
      <c r="G40" s="152" t="s">
        <v>196</v>
      </c>
    </row>
    <row r="41" spans="2:8" x14ac:dyDescent="0.2">
      <c r="B41" s="120" t="s">
        <v>198</v>
      </c>
      <c r="C41" s="144">
        <v>3038.2533430967533</v>
      </c>
      <c r="D41" s="144">
        <v>416.69989033512292</v>
      </c>
      <c r="E41" s="180">
        <v>0</v>
      </c>
      <c r="F41" s="144">
        <f>E41*C41</f>
        <v>0</v>
      </c>
      <c r="G41" s="146">
        <f>E41*D41</f>
        <v>0</v>
      </c>
    </row>
    <row r="42" spans="2:8" x14ac:dyDescent="0.2">
      <c r="B42" s="120" t="s">
        <v>199</v>
      </c>
      <c r="C42" s="144">
        <v>13692.933430967531</v>
      </c>
      <c r="D42" s="144">
        <v>6641.619349007743</v>
      </c>
      <c r="E42" s="180">
        <v>57</v>
      </c>
      <c r="F42" s="144">
        <f t="shared" ref="F42:F46" si="0">E42*C42</f>
        <v>780497.2055651492</v>
      </c>
      <c r="G42" s="146">
        <f t="shared" ref="G42:G46" si="1">E42*D42</f>
        <v>378572.30289344135</v>
      </c>
    </row>
    <row r="43" spans="2:8" ht="12" customHeight="1" x14ac:dyDescent="0.2">
      <c r="B43" s="120" t="s">
        <v>200</v>
      </c>
      <c r="C43" s="144">
        <v>49208.533723870125</v>
      </c>
      <c r="D43" s="144">
        <v>11938.017544583143</v>
      </c>
      <c r="E43" s="180">
        <v>13</v>
      </c>
      <c r="F43" s="144">
        <f t="shared" si="0"/>
        <v>639710.93841031159</v>
      </c>
      <c r="G43" s="146">
        <f t="shared" si="1"/>
        <v>155194.22807958085</v>
      </c>
    </row>
    <row r="44" spans="2:8" x14ac:dyDescent="0.2">
      <c r="B44" s="120" t="s">
        <v>201</v>
      </c>
      <c r="C44" s="144">
        <v>1183.853343096753</v>
      </c>
      <c r="D44" s="144">
        <v>176.54660651917996</v>
      </c>
      <c r="E44" s="180">
        <v>105</v>
      </c>
      <c r="F44" s="144">
        <f t="shared" si="0"/>
        <v>124304.60102515906</v>
      </c>
      <c r="G44" s="146">
        <f t="shared" si="1"/>
        <v>18537.393684513896</v>
      </c>
    </row>
    <row r="45" spans="2:8" ht="25.5" x14ac:dyDescent="0.2">
      <c r="B45" s="120" t="s">
        <v>202</v>
      </c>
      <c r="C45" s="144">
        <v>11838.533430967531</v>
      </c>
      <c r="D45" s="144">
        <v>1765.4660651917998</v>
      </c>
      <c r="E45" s="180">
        <v>4</v>
      </c>
      <c r="F45" s="144">
        <f t="shared" si="0"/>
        <v>47354.133723870124</v>
      </c>
      <c r="G45" s="146">
        <f t="shared" si="1"/>
        <v>7061.8642607671991</v>
      </c>
    </row>
    <row r="46" spans="2:8" x14ac:dyDescent="0.2">
      <c r="B46" s="120" t="s">
        <v>203</v>
      </c>
      <c r="C46" s="144">
        <v>47354.133723870124</v>
      </c>
      <c r="D46" s="144">
        <v>7061.8642607671991</v>
      </c>
      <c r="E46" s="180">
        <v>1</v>
      </c>
      <c r="F46" s="144">
        <f t="shared" si="0"/>
        <v>47354.133723870124</v>
      </c>
      <c r="G46" s="146">
        <f t="shared" si="1"/>
        <v>7061.8642607671991</v>
      </c>
    </row>
    <row r="47" spans="2:8" ht="13.5" thickBot="1" x14ac:dyDescent="0.25">
      <c r="B47" s="248"/>
      <c r="C47" s="89"/>
      <c r="D47" s="89" t="s">
        <v>47</v>
      </c>
      <c r="E47" s="313">
        <f>SUM(E41:E46)</f>
        <v>180</v>
      </c>
      <c r="F47" s="249">
        <f>SUM(F41:F46)</f>
        <v>1639221.0124483602</v>
      </c>
      <c r="G47" s="250">
        <f>SUM(G41:G46)</f>
        <v>566427.65317907056</v>
      </c>
    </row>
    <row r="48" spans="2:8" ht="13.5" thickBot="1" x14ac:dyDescent="0.25">
      <c r="B48" s="248"/>
      <c r="C48" s="251"/>
      <c r="D48" s="89" t="s">
        <v>205</v>
      </c>
      <c r="E48" s="89"/>
      <c r="F48" s="256">
        <f>ROUND(F47/$E$47,-1)</f>
        <v>9110</v>
      </c>
      <c r="G48" s="257">
        <f>ROUND(G47/$E$47,-1)</f>
        <v>3150</v>
      </c>
    </row>
    <row r="49" spans="2:8" ht="13.5" thickBot="1" x14ac:dyDescent="0.25">
      <c r="B49" s="240"/>
      <c r="C49" s="244"/>
    </row>
    <row r="50" spans="2:8" ht="15" x14ac:dyDescent="0.25">
      <c r="B50" s="229" t="s">
        <v>120</v>
      </c>
      <c r="C50" s="230"/>
      <c r="D50" s="338" t="s">
        <v>168</v>
      </c>
      <c r="E50" s="339"/>
    </row>
    <row r="51" spans="2:8" x14ac:dyDescent="0.2">
      <c r="B51" s="231" t="s">
        <v>119</v>
      </c>
      <c r="C51" s="232" t="s">
        <v>122</v>
      </c>
      <c r="D51" s="338"/>
      <c r="E51" s="339"/>
    </row>
    <row r="52" spans="2:8" x14ac:dyDescent="0.2">
      <c r="B52" s="233" t="s">
        <v>121</v>
      </c>
      <c r="C52" s="227"/>
      <c r="D52" s="338"/>
      <c r="E52" s="339"/>
    </row>
    <row r="53" spans="2:8" x14ac:dyDescent="0.2">
      <c r="B53" s="233" t="s">
        <v>165</v>
      </c>
      <c r="C53" s="234"/>
      <c r="D53" s="338"/>
      <c r="E53" s="339"/>
    </row>
    <row r="54" spans="2:8" x14ac:dyDescent="0.2">
      <c r="B54" s="233" t="s">
        <v>166</v>
      </c>
      <c r="C54" s="235"/>
      <c r="D54" s="338"/>
      <c r="E54" s="339"/>
    </row>
    <row r="55" spans="2:8" ht="13.5" thickBot="1" x14ac:dyDescent="0.25">
      <c r="B55" s="236" t="s">
        <v>167</v>
      </c>
      <c r="C55" s="237"/>
      <c r="D55" s="338"/>
      <c r="E55" s="339"/>
    </row>
    <row r="57" spans="2:8" ht="13.5" thickBot="1" x14ac:dyDescent="0.25"/>
    <row r="58" spans="2:8" ht="15" x14ac:dyDescent="0.25">
      <c r="B58" s="117" t="s">
        <v>130</v>
      </c>
      <c r="C58" s="81"/>
      <c r="D58" s="81"/>
      <c r="E58" s="81"/>
      <c r="F58" s="81"/>
      <c r="G58" s="82"/>
    </row>
    <row r="59" spans="2:8" ht="51" x14ac:dyDescent="0.2">
      <c r="B59" s="151" t="s">
        <v>131</v>
      </c>
      <c r="C59" s="150" t="s">
        <v>123</v>
      </c>
      <c r="D59" s="150" t="s">
        <v>124</v>
      </c>
      <c r="E59" s="150" t="s">
        <v>125</v>
      </c>
      <c r="F59" s="150" t="s">
        <v>128</v>
      </c>
      <c r="G59" s="152" t="s">
        <v>129</v>
      </c>
      <c r="H59" s="21" t="s">
        <v>264</v>
      </c>
    </row>
    <row r="60" spans="2:8" ht="25.5" x14ac:dyDescent="0.2">
      <c r="B60" s="153" t="s">
        <v>164</v>
      </c>
      <c r="C60" s="149">
        <v>7000</v>
      </c>
      <c r="D60" s="149">
        <v>13160</v>
      </c>
      <c r="E60" s="148">
        <f>D3</f>
        <v>27</v>
      </c>
      <c r="F60" s="144">
        <f>C60*E60</f>
        <v>189000</v>
      </c>
      <c r="G60" s="146">
        <f>D60*E60</f>
        <v>355320</v>
      </c>
    </row>
    <row r="61" spans="2:8" ht="13.5" thickBot="1" x14ac:dyDescent="0.25">
      <c r="B61" s="147" t="s">
        <v>206</v>
      </c>
      <c r="C61" s="89"/>
      <c r="D61" s="89"/>
      <c r="E61" s="89"/>
      <c r="F61" s="154">
        <f>ROUND(SUM(F60:F60)/($E$3+$E$4),-3)</f>
        <v>12000</v>
      </c>
      <c r="G61" s="155">
        <f>ROUND(SUM(G60:G60)/($E$3+$E$4),-3)</f>
        <v>22000</v>
      </c>
    </row>
    <row r="62" spans="2:8" x14ac:dyDescent="0.2">
      <c r="B62" s="336" t="s">
        <v>169</v>
      </c>
      <c r="C62" s="336"/>
      <c r="D62" s="336"/>
      <c r="E62" s="336"/>
      <c r="F62" s="336"/>
      <c r="G62" s="336"/>
    </row>
    <row r="63" spans="2:8" x14ac:dyDescent="0.2">
      <c r="B63" s="337"/>
      <c r="C63" s="337"/>
      <c r="D63" s="337"/>
      <c r="E63" s="337"/>
      <c r="F63" s="337"/>
      <c r="G63" s="337"/>
    </row>
    <row r="64" spans="2:8" x14ac:dyDescent="0.2">
      <c r="B64" s="337"/>
      <c r="C64" s="337"/>
      <c r="D64" s="337"/>
      <c r="E64" s="337"/>
      <c r="F64" s="337"/>
      <c r="G64" s="337"/>
    </row>
    <row r="65" spans="2:6" ht="13.5" thickBot="1" x14ac:dyDescent="0.25"/>
    <row r="66" spans="2:6" ht="15" x14ac:dyDescent="0.25">
      <c r="B66" s="123" t="s">
        <v>127</v>
      </c>
      <c r="C66" s="81"/>
      <c r="D66" s="81"/>
      <c r="E66" s="81"/>
      <c r="F66" s="82"/>
    </row>
    <row r="67" spans="2:6" x14ac:dyDescent="0.2">
      <c r="B67" s="86" t="s">
        <v>132</v>
      </c>
      <c r="C67" s="64"/>
      <c r="D67" s="64"/>
      <c r="E67" s="64"/>
      <c r="F67" s="83"/>
    </row>
    <row r="68" spans="2:6" x14ac:dyDescent="0.2">
      <c r="B68" s="67" t="s">
        <v>234</v>
      </c>
      <c r="C68" s="64"/>
      <c r="D68" s="64"/>
      <c r="E68" s="64"/>
      <c r="F68" s="83"/>
    </row>
    <row r="69" spans="2:6" x14ac:dyDescent="0.2">
      <c r="B69" s="68" t="s">
        <v>81</v>
      </c>
      <c r="C69" s="69" t="s">
        <v>82</v>
      </c>
      <c r="D69" s="70" t="s">
        <v>83</v>
      </c>
      <c r="E69" s="110" t="s">
        <v>136</v>
      </c>
      <c r="F69" s="114" t="s">
        <v>84</v>
      </c>
    </row>
    <row r="70" spans="2:6" x14ac:dyDescent="0.2">
      <c r="B70" s="79" t="s">
        <v>1</v>
      </c>
      <c r="C70" s="71" t="s">
        <v>135</v>
      </c>
      <c r="D70" s="71" t="s">
        <v>137</v>
      </c>
      <c r="E70" s="84">
        <v>49.95</v>
      </c>
      <c r="F70" s="85">
        <f>E70+E70*1.1</f>
        <v>104.89500000000001</v>
      </c>
    </row>
    <row r="71" spans="2:6" x14ac:dyDescent="0.2">
      <c r="B71" s="79" t="s">
        <v>2</v>
      </c>
      <c r="C71" s="71" t="s">
        <v>235</v>
      </c>
      <c r="D71" s="281" t="s">
        <v>138</v>
      </c>
      <c r="E71" s="84">
        <v>20.66</v>
      </c>
      <c r="F71" s="85">
        <f>E71+E71*1.1</f>
        <v>43.386000000000003</v>
      </c>
    </row>
    <row r="72" spans="2:6" x14ac:dyDescent="0.2">
      <c r="B72" s="79" t="s">
        <v>0</v>
      </c>
      <c r="C72" s="72" t="s">
        <v>133</v>
      </c>
      <c r="D72" s="159" t="s">
        <v>134</v>
      </c>
      <c r="E72" s="84">
        <v>68.36</v>
      </c>
      <c r="F72" s="85">
        <f>E72+E72*1.1</f>
        <v>143.55600000000001</v>
      </c>
    </row>
    <row r="73" spans="2:6" x14ac:dyDescent="0.2">
      <c r="B73" s="79"/>
      <c r="C73" s="72"/>
      <c r="D73" s="71"/>
      <c r="E73" s="84"/>
      <c r="F73" s="85"/>
    </row>
    <row r="74" spans="2:6" x14ac:dyDescent="0.2">
      <c r="B74" s="86"/>
      <c r="C74" s="73"/>
      <c r="D74" s="74"/>
      <c r="E74" s="87"/>
      <c r="F74" s="83"/>
    </row>
    <row r="75" spans="2:6" ht="13.5" thickBot="1" x14ac:dyDescent="0.25">
      <c r="B75" s="158" t="s">
        <v>236</v>
      </c>
      <c r="C75" s="88"/>
      <c r="D75" s="88"/>
      <c r="E75" s="89"/>
      <c r="F75" s="90"/>
    </row>
    <row r="76" spans="2:6" ht="13.5" thickBot="1" x14ac:dyDescent="0.25">
      <c r="B76" s="91"/>
      <c r="C76" s="92"/>
      <c r="D76" s="92"/>
    </row>
    <row r="77" spans="2:6" ht="15" x14ac:dyDescent="0.25">
      <c r="B77" s="124" t="s">
        <v>126</v>
      </c>
      <c r="C77" s="102"/>
      <c r="D77" s="103"/>
    </row>
    <row r="78" spans="2:6" ht="25.5" x14ac:dyDescent="0.2">
      <c r="B78" s="104"/>
      <c r="C78" s="101" t="s">
        <v>49</v>
      </c>
      <c r="D78" s="105" t="s">
        <v>237</v>
      </c>
    </row>
    <row r="79" spans="2:6" x14ac:dyDescent="0.2">
      <c r="B79" s="94" t="s">
        <v>50</v>
      </c>
      <c r="C79" s="76">
        <v>29.76</v>
      </c>
      <c r="D79" s="106">
        <f>C79*1.6</f>
        <v>47.616000000000007</v>
      </c>
    </row>
    <row r="80" spans="2:6" x14ac:dyDescent="0.2">
      <c r="B80" s="93" t="s">
        <v>51</v>
      </c>
      <c r="C80" s="75">
        <v>40.1</v>
      </c>
      <c r="D80" s="106">
        <f>C80*1.6</f>
        <v>64.160000000000011</v>
      </c>
    </row>
    <row r="81" spans="2:4" x14ac:dyDescent="0.2">
      <c r="B81" s="94" t="s">
        <v>52</v>
      </c>
      <c r="C81" s="76">
        <v>16.100000000000001</v>
      </c>
      <c r="D81" s="106">
        <f>C81*1.6</f>
        <v>25.760000000000005</v>
      </c>
    </row>
    <row r="82" spans="2:4" x14ac:dyDescent="0.2">
      <c r="B82" s="96" t="s">
        <v>103</v>
      </c>
      <c r="C82" s="78"/>
      <c r="D82" s="95"/>
    </row>
    <row r="83" spans="2:4" x14ac:dyDescent="0.2">
      <c r="B83" s="96" t="s">
        <v>104</v>
      </c>
      <c r="C83" s="77"/>
      <c r="D83" s="97"/>
    </row>
    <row r="84" spans="2:4" ht="13.5" thickBot="1" x14ac:dyDescent="0.25">
      <c r="B84" s="98"/>
      <c r="C84" s="99"/>
      <c r="D84" s="100"/>
    </row>
  </sheetData>
  <mergeCells count="11">
    <mergeCell ref="C1:C2"/>
    <mergeCell ref="D1:E1"/>
    <mergeCell ref="B1:B2"/>
    <mergeCell ref="B62:G64"/>
    <mergeCell ref="D50:E55"/>
    <mergeCell ref="B39:B40"/>
    <mergeCell ref="C39:D39"/>
    <mergeCell ref="E39:G39"/>
    <mergeCell ref="B38:G38"/>
    <mergeCell ref="B14:C14"/>
    <mergeCell ref="B25:C2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B2:I8"/>
  <sheetViews>
    <sheetView zoomScaleNormal="100" workbookViewId="0">
      <selection activeCell="A4" sqref="A4"/>
    </sheetView>
  </sheetViews>
  <sheetFormatPr defaultRowHeight="15" x14ac:dyDescent="0.25"/>
  <cols>
    <col min="1" max="1" width="3.5703125" style="1" customWidth="1"/>
    <col min="2" max="2" width="8.5703125" style="8" customWidth="1"/>
    <col min="3" max="3" width="11.5703125" style="8" customWidth="1"/>
    <col min="4" max="4" width="18.28515625" style="8" customWidth="1"/>
    <col min="5" max="5" width="14" style="8" customWidth="1"/>
    <col min="6" max="6" width="12.85546875" style="8" customWidth="1"/>
    <col min="7" max="7" width="13" style="8" customWidth="1"/>
    <col min="8" max="8" width="10.5703125" style="8" customWidth="1"/>
    <col min="9" max="9" width="12.7109375" style="8" customWidth="1"/>
    <col min="10" max="16384" width="9.140625" style="1"/>
  </cols>
  <sheetData>
    <row r="2" spans="2:9" ht="39" customHeight="1" x14ac:dyDescent="0.25">
      <c r="B2" s="356" t="s">
        <v>262</v>
      </c>
      <c r="C2" s="356"/>
      <c r="D2" s="356"/>
      <c r="E2" s="356"/>
      <c r="F2" s="356"/>
      <c r="G2" s="356"/>
      <c r="H2" s="356"/>
      <c r="I2" s="356"/>
    </row>
    <row r="3" spans="2:9" ht="29.25" customHeight="1" thickBot="1" x14ac:dyDescent="0.3">
      <c r="B3" s="193" t="s">
        <v>39</v>
      </c>
      <c r="C3" s="194" t="s">
        <v>40</v>
      </c>
      <c r="D3" s="194" t="s">
        <v>41</v>
      </c>
      <c r="E3" s="194" t="s">
        <v>42</v>
      </c>
      <c r="F3" s="194" t="s">
        <v>54</v>
      </c>
      <c r="G3" s="194" t="s">
        <v>44</v>
      </c>
      <c r="H3" s="194" t="s">
        <v>55</v>
      </c>
      <c r="I3" s="194" t="s">
        <v>46</v>
      </c>
    </row>
    <row r="4" spans="2:9" ht="15.75" thickTop="1" x14ac:dyDescent="0.25">
      <c r="B4" s="195">
        <v>1</v>
      </c>
      <c r="C4" s="2">
        <f>EPA_YR1!I23</f>
        <v>1114</v>
      </c>
      <c r="D4" s="2">
        <f>EPA_YR1!J23</f>
        <v>55.7</v>
      </c>
      <c r="E4" s="2">
        <f>EPA_YR1!K23</f>
        <v>111.4</v>
      </c>
      <c r="F4" s="2">
        <f>SUM(C4:E4)</f>
        <v>1281.1000000000001</v>
      </c>
      <c r="G4" s="3">
        <f>EPA_YR1!M23</f>
        <v>59487.600000000006</v>
      </c>
      <c r="H4" s="3">
        <v>0</v>
      </c>
      <c r="I4" s="3">
        <f>+G4+H4</f>
        <v>59487.600000000006</v>
      </c>
    </row>
    <row r="5" spans="2:9" x14ac:dyDescent="0.25">
      <c r="B5" s="196">
        <v>2</v>
      </c>
      <c r="C5" s="4">
        <f>EPA_YR2!I23</f>
        <v>478</v>
      </c>
      <c r="D5" s="4">
        <f>EPA_YR2!J23</f>
        <v>23.9</v>
      </c>
      <c r="E5" s="4">
        <f>EPA_YR2!K23</f>
        <v>47.8</v>
      </c>
      <c r="F5" s="2">
        <f>SUM(C5:E5)</f>
        <v>549.69999999999993</v>
      </c>
      <c r="G5" s="5">
        <f>EPA_YR2!M23</f>
        <v>25525.200000000004</v>
      </c>
      <c r="H5" s="5">
        <v>0</v>
      </c>
      <c r="I5" s="5">
        <f>+G5+H5</f>
        <v>25525.200000000004</v>
      </c>
    </row>
    <row r="6" spans="2:9" ht="15.75" thickBot="1" x14ac:dyDescent="0.3">
      <c r="B6" s="193">
        <v>3</v>
      </c>
      <c r="C6" s="6">
        <f>EPA_YR3!I23</f>
        <v>1270</v>
      </c>
      <c r="D6" s="6">
        <f>EPA_YR3!J23</f>
        <v>63.5</v>
      </c>
      <c r="E6" s="6">
        <f>EPA_YR3!K23</f>
        <v>127</v>
      </c>
      <c r="F6" s="6">
        <f>SUM(C6:E6)</f>
        <v>1460.5</v>
      </c>
      <c r="G6" s="7">
        <f>EPA_YR3!M23</f>
        <v>67818.000000000015</v>
      </c>
      <c r="H6" s="7">
        <v>0</v>
      </c>
      <c r="I6" s="7">
        <f>+G6+H6</f>
        <v>67818.000000000015</v>
      </c>
    </row>
    <row r="7" spans="2:9" ht="15.75" thickTop="1" x14ac:dyDescent="0.25">
      <c r="B7" s="195" t="s">
        <v>47</v>
      </c>
      <c r="C7" s="2">
        <f t="shared" ref="C7:I7" si="0">SUM(C4:C6)</f>
        <v>2862</v>
      </c>
      <c r="D7" s="2">
        <f t="shared" si="0"/>
        <v>143.1</v>
      </c>
      <c r="E7" s="2">
        <f t="shared" si="0"/>
        <v>286.2</v>
      </c>
      <c r="F7" s="2">
        <f t="shared" si="0"/>
        <v>3291.3</v>
      </c>
      <c r="G7" s="3">
        <f t="shared" si="0"/>
        <v>152830.80000000005</v>
      </c>
      <c r="H7" s="3">
        <f t="shared" si="0"/>
        <v>0</v>
      </c>
      <c r="I7" s="3">
        <f t="shared" si="0"/>
        <v>152830.80000000005</v>
      </c>
    </row>
    <row r="8" spans="2:9" x14ac:dyDescent="0.25">
      <c r="B8" s="196" t="s">
        <v>48</v>
      </c>
      <c r="C8" s="4">
        <f t="shared" ref="C8:I8" si="1">AVERAGE(C4:C6)</f>
        <v>954</v>
      </c>
      <c r="D8" s="4">
        <f t="shared" si="1"/>
        <v>47.699999999999996</v>
      </c>
      <c r="E8" s="4">
        <f t="shared" si="1"/>
        <v>95.399999999999991</v>
      </c>
      <c r="F8" s="4">
        <f t="shared" si="1"/>
        <v>1097.1000000000001</v>
      </c>
      <c r="G8" s="5">
        <f t="shared" si="1"/>
        <v>50943.600000000013</v>
      </c>
      <c r="H8" s="5">
        <f t="shared" si="1"/>
        <v>0</v>
      </c>
      <c r="I8" s="5">
        <f t="shared" si="1"/>
        <v>50943.600000000013</v>
      </c>
    </row>
  </sheetData>
  <mergeCells count="1">
    <mergeCell ref="B2:I2"/>
  </mergeCells>
  <printOptions horizontalCentered="1"/>
  <pageMargins left="0.5" right="0.5" top="0.5" bottom="0.5" header="0.3" footer="0.3"/>
  <pageSetup fitToHeight="0" orientation="landscape" r:id="rId1"/>
  <headerFooter>
    <oddFooter>&amp;CA.2-&amp;P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CA704-0BDB-48D9-9FB6-06C875D99756}">
  <sheetPr>
    <tabColor theme="4"/>
  </sheetPr>
  <dimension ref="B2:H28"/>
  <sheetViews>
    <sheetView workbookViewId="0"/>
  </sheetViews>
  <sheetFormatPr defaultRowHeight="12.75" x14ac:dyDescent="0.2"/>
  <cols>
    <col min="1" max="1" width="9.140625" style="172"/>
    <col min="2" max="2" width="29.7109375" style="172" customWidth="1"/>
    <col min="3" max="4" width="12.42578125" style="172" bestFit="1" customWidth="1"/>
    <col min="5" max="5" width="16.140625" style="172" customWidth="1"/>
    <col min="6" max="6" width="13.140625" style="172" bestFit="1" customWidth="1"/>
    <col min="7" max="7" width="12.85546875" style="172" customWidth="1"/>
    <col min="8" max="8" width="10" style="172" bestFit="1" customWidth="1"/>
    <col min="9" max="16384" width="9.140625" style="172"/>
  </cols>
  <sheetData>
    <row r="2" spans="2:8" ht="15.75" x14ac:dyDescent="0.2">
      <c r="B2" s="352" t="s">
        <v>117</v>
      </c>
      <c r="C2" s="352"/>
      <c r="D2" s="352"/>
      <c r="E2" s="352"/>
      <c r="F2" s="352"/>
      <c r="G2" s="352"/>
      <c r="H2" s="352"/>
    </row>
    <row r="3" spans="2:8" x14ac:dyDescent="0.2">
      <c r="B3" s="178" t="s">
        <v>6</v>
      </c>
      <c r="C3" s="178" t="s">
        <v>7</v>
      </c>
      <c r="D3" s="178" t="s">
        <v>8</v>
      </c>
      <c r="E3" s="178" t="s">
        <v>9</v>
      </c>
      <c r="F3" s="178" t="s">
        <v>10</v>
      </c>
      <c r="G3" s="178" t="s">
        <v>11</v>
      </c>
      <c r="H3" s="178" t="s">
        <v>112</v>
      </c>
    </row>
    <row r="4" spans="2:8" ht="63.75" x14ac:dyDescent="0.2">
      <c r="B4" s="179" t="s">
        <v>148</v>
      </c>
      <c r="C4" s="179" t="s">
        <v>143</v>
      </c>
      <c r="D4" s="179" t="s">
        <v>144</v>
      </c>
      <c r="E4" s="179" t="s">
        <v>146</v>
      </c>
      <c r="F4" s="179" t="s">
        <v>145</v>
      </c>
      <c r="G4" s="179" t="s">
        <v>155</v>
      </c>
      <c r="H4" s="179" t="s">
        <v>147</v>
      </c>
    </row>
    <row r="5" spans="2:8" x14ac:dyDescent="0.2">
      <c r="B5" s="175" t="s">
        <v>269</v>
      </c>
      <c r="C5" s="176"/>
      <c r="D5" s="177"/>
      <c r="E5" s="176"/>
      <c r="F5" s="176"/>
      <c r="G5" s="177"/>
      <c r="H5" s="176"/>
    </row>
    <row r="6" spans="2:8" x14ac:dyDescent="0.2">
      <c r="B6" s="317" t="s">
        <v>270</v>
      </c>
      <c r="C6" s="176">
        <v>0</v>
      </c>
      <c r="D6" s="177">
        <v>0</v>
      </c>
      <c r="E6" s="176">
        <f>C6*D6</f>
        <v>0</v>
      </c>
      <c r="F6" s="176">
        <f>'YR3'!D11</f>
        <v>2828</v>
      </c>
      <c r="G6" s="177">
        <f>'YR2'!G11+'YR3'!G11</f>
        <v>40</v>
      </c>
      <c r="H6" s="176">
        <f>F6*G6</f>
        <v>113120</v>
      </c>
    </row>
    <row r="7" spans="2:8" x14ac:dyDescent="0.2">
      <c r="B7" s="317" t="s">
        <v>271</v>
      </c>
      <c r="C7" s="176">
        <v>0</v>
      </c>
      <c r="D7" s="177">
        <v>0</v>
      </c>
      <c r="E7" s="176">
        <f>C7*D7</f>
        <v>0</v>
      </c>
      <c r="F7" s="176">
        <f>'YR3'!D12</f>
        <v>1256.96</v>
      </c>
      <c r="G7" s="177">
        <f>'YR2'!G12+'YR3'!G12</f>
        <v>4</v>
      </c>
      <c r="H7" s="176">
        <f>F7*G7</f>
        <v>5027.84</v>
      </c>
    </row>
    <row r="8" spans="2:8" x14ac:dyDescent="0.2">
      <c r="B8" s="175" t="s">
        <v>272</v>
      </c>
      <c r="C8" s="176"/>
      <c r="D8" s="177"/>
      <c r="E8" s="176"/>
      <c r="F8" s="176"/>
      <c r="G8" s="177"/>
      <c r="H8" s="176"/>
    </row>
    <row r="9" spans="2:8" x14ac:dyDescent="0.2">
      <c r="B9" s="317" t="s">
        <v>273</v>
      </c>
      <c r="C9" s="176">
        <f>'OLD Inputs'!C27</f>
        <v>7440</v>
      </c>
      <c r="D9" s="177">
        <f>'YR2'!G14+'YR3'!G14</f>
        <v>40</v>
      </c>
      <c r="E9" s="176">
        <f>C9*D9</f>
        <v>297600</v>
      </c>
      <c r="F9" s="176">
        <f>'OLD Inputs'!C28</f>
        <v>963.51403774299786</v>
      </c>
      <c r="G9" s="177">
        <f>'YR2'!G15+'YR3'!G15</f>
        <v>53</v>
      </c>
      <c r="H9" s="176">
        <f>F9*G9</f>
        <v>51066.244000378887</v>
      </c>
    </row>
    <row r="10" spans="2:8" x14ac:dyDescent="0.2">
      <c r="B10" s="317" t="s">
        <v>270</v>
      </c>
      <c r="C10" s="176">
        <v>0</v>
      </c>
      <c r="D10" s="177">
        <v>0</v>
      </c>
      <c r="E10" s="176">
        <f>C10*D10</f>
        <v>0</v>
      </c>
      <c r="F10" s="176">
        <f>'YR3'!D17</f>
        <v>413</v>
      </c>
      <c r="G10" s="177">
        <f>'YR2'!G17+'YR3'!G17</f>
        <v>40</v>
      </c>
      <c r="H10" s="176">
        <f>F10*G10</f>
        <v>16520</v>
      </c>
    </row>
    <row r="11" spans="2:8" x14ac:dyDescent="0.2">
      <c r="B11" s="317" t="s">
        <v>271</v>
      </c>
      <c r="C11" s="176">
        <v>0</v>
      </c>
      <c r="D11" s="177">
        <v>0</v>
      </c>
      <c r="E11" s="176">
        <f>C11*D11</f>
        <v>0</v>
      </c>
      <c r="F11" s="176">
        <f>'YR3'!D18</f>
        <v>182</v>
      </c>
      <c r="G11" s="177">
        <f>'YR2'!G18+'YR3'!G18</f>
        <v>4</v>
      </c>
      <c r="H11" s="176">
        <f>F11*G11</f>
        <v>728</v>
      </c>
    </row>
    <row r="12" spans="2:8" x14ac:dyDescent="0.2">
      <c r="B12" s="173" t="s">
        <v>142</v>
      </c>
      <c r="C12" s="171">
        <f>'OLD Inputs'!F61</f>
        <v>12000</v>
      </c>
      <c r="D12" s="177">
        <f>'YR2'!G20+'YR3'!G20</f>
        <v>16</v>
      </c>
      <c r="E12" s="171">
        <f>C12*D12</f>
        <v>192000</v>
      </c>
      <c r="F12" s="171">
        <f>'OLD Inputs'!G61</f>
        <v>22000</v>
      </c>
      <c r="G12" s="174">
        <f>'YR2'!G21+'YR3'!G21</f>
        <v>21</v>
      </c>
      <c r="H12" s="171">
        <f>F12*G12</f>
        <v>462000</v>
      </c>
    </row>
    <row r="13" spans="2:8" s="322" customFormat="1" x14ac:dyDescent="0.2">
      <c r="B13" s="318" t="s">
        <v>34</v>
      </c>
      <c r="C13" s="319"/>
      <c r="D13" s="320"/>
      <c r="E13" s="319">
        <f>SUM(E5:E12)</f>
        <v>489600</v>
      </c>
      <c r="F13" s="319"/>
      <c r="G13" s="321"/>
      <c r="H13" s="319">
        <f>SUM(H5:H12)</f>
        <v>648462.08400037885</v>
      </c>
    </row>
    <row r="14" spans="2:8" x14ac:dyDescent="0.2">
      <c r="B14" s="172" t="s">
        <v>266</v>
      </c>
    </row>
    <row r="17" spans="2:6" ht="14.25" x14ac:dyDescent="0.2">
      <c r="B17" s="348" t="s">
        <v>151</v>
      </c>
      <c r="C17" s="348"/>
      <c r="D17" s="348"/>
      <c r="E17" s="348"/>
      <c r="F17" s="348"/>
    </row>
    <row r="18" spans="2:6" x14ac:dyDescent="0.2">
      <c r="B18" s="170" t="s">
        <v>6</v>
      </c>
      <c r="C18" s="170" t="s">
        <v>7</v>
      </c>
      <c r="D18" s="170" t="s">
        <v>8</v>
      </c>
      <c r="E18" s="170" t="s">
        <v>9</v>
      </c>
      <c r="F18" s="170" t="s">
        <v>10</v>
      </c>
    </row>
    <row r="19" spans="2:6" ht="63.75" x14ac:dyDescent="0.2">
      <c r="B19" s="170" t="s">
        <v>149</v>
      </c>
      <c r="C19" s="170" t="s">
        <v>108</v>
      </c>
      <c r="D19" s="170" t="s">
        <v>85</v>
      </c>
      <c r="E19" s="170" t="s">
        <v>150</v>
      </c>
      <c r="F19" s="170" t="s">
        <v>154</v>
      </c>
    </row>
    <row r="20" spans="2:6" x14ac:dyDescent="0.2">
      <c r="B20" s="315" t="s">
        <v>152</v>
      </c>
      <c r="C20" s="170"/>
      <c r="D20" s="170"/>
      <c r="E20" s="170"/>
      <c r="F20" s="170"/>
    </row>
    <row r="21" spans="2:6" x14ac:dyDescent="0.2">
      <c r="B21" s="316" t="s">
        <v>267</v>
      </c>
      <c r="C21" s="174">
        <f>'YR1'!G26+'YR2'!G26+'YR3'!G26</f>
        <v>40</v>
      </c>
      <c r="D21" s="170">
        <v>1</v>
      </c>
      <c r="E21" s="170">
        <v>0</v>
      </c>
      <c r="F21" s="170">
        <f>C21*D21</f>
        <v>40</v>
      </c>
    </row>
    <row r="22" spans="2:6" x14ac:dyDescent="0.2">
      <c r="B22" s="316" t="s">
        <v>268</v>
      </c>
      <c r="C22" s="174">
        <f>'YR1'!G27+'YR2'!G27+'YR3'!G27</f>
        <v>180</v>
      </c>
      <c r="D22" s="170">
        <v>1</v>
      </c>
      <c r="E22" s="170">
        <v>0</v>
      </c>
      <c r="F22" s="170">
        <f>C22*D22</f>
        <v>180</v>
      </c>
    </row>
    <row r="23" spans="2:6" x14ac:dyDescent="0.2">
      <c r="B23" s="316" t="s">
        <v>160</v>
      </c>
      <c r="C23" s="174">
        <f>'YR1'!G28+'YR2'!G28+'YR3'!G28</f>
        <v>16</v>
      </c>
      <c r="D23" s="170">
        <v>1</v>
      </c>
      <c r="E23" s="170">
        <v>0</v>
      </c>
      <c r="F23" s="170">
        <f>C23*D23</f>
        <v>16</v>
      </c>
    </row>
    <row r="24" spans="2:6" x14ac:dyDescent="0.2">
      <c r="B24" s="315" t="s">
        <v>153</v>
      </c>
      <c r="C24" s="170"/>
      <c r="D24" s="170"/>
      <c r="E24" s="170"/>
      <c r="F24" s="170"/>
    </row>
    <row r="25" spans="2:6" x14ac:dyDescent="0.2">
      <c r="B25" s="316" t="s">
        <v>267</v>
      </c>
      <c r="C25" s="174">
        <f>'YR1'!G30+'YR2'!G30+'YR3'!G30</f>
        <v>53</v>
      </c>
      <c r="D25" s="170">
        <v>2</v>
      </c>
      <c r="E25" s="170">
        <v>0</v>
      </c>
      <c r="F25" s="170">
        <f t="shared" ref="F25:F27" si="0">C25*D25</f>
        <v>106</v>
      </c>
    </row>
    <row r="26" spans="2:6" x14ac:dyDescent="0.2">
      <c r="B26" s="316" t="s">
        <v>268</v>
      </c>
      <c r="C26" s="174">
        <f>'YR1'!G31+'YR2'!G31+'YR3'!G31</f>
        <v>240</v>
      </c>
      <c r="D26" s="170">
        <v>2</v>
      </c>
      <c r="E26" s="170">
        <v>0</v>
      </c>
      <c r="F26" s="170">
        <f t="shared" si="0"/>
        <v>480</v>
      </c>
    </row>
    <row r="27" spans="2:6" x14ac:dyDescent="0.2">
      <c r="B27" s="316" t="s">
        <v>160</v>
      </c>
      <c r="C27" s="174">
        <f>'YR1'!G32+'YR2'!G32+'YR3'!G32</f>
        <v>21</v>
      </c>
      <c r="D27" s="170">
        <v>2</v>
      </c>
      <c r="E27" s="170">
        <v>0</v>
      </c>
      <c r="F27" s="170">
        <f t="shared" si="0"/>
        <v>42</v>
      </c>
    </row>
    <row r="28" spans="2:6" x14ac:dyDescent="0.2">
      <c r="B28" s="349" t="s">
        <v>34</v>
      </c>
      <c r="C28" s="350"/>
      <c r="D28" s="350"/>
      <c r="E28" s="351"/>
      <c r="F28" s="170">
        <f>SUM(F20:F27)</f>
        <v>864</v>
      </c>
    </row>
  </sheetData>
  <mergeCells count="3">
    <mergeCell ref="B17:F17"/>
    <mergeCell ref="B28:E28"/>
    <mergeCell ref="B2:H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7030A0"/>
    <pageSetUpPr fitToPage="1"/>
  </sheetPr>
  <dimension ref="B2:Q69"/>
  <sheetViews>
    <sheetView tabSelected="1" zoomScaleNormal="100" zoomScaleSheetLayoutView="80" workbookViewId="0">
      <pane ySplit="3" topLeftCell="A46" activePane="bottomLeft" state="frozen"/>
      <selection activeCell="A4" sqref="A4"/>
      <selection pane="bottomLeft" activeCell="A4" sqref="A4"/>
    </sheetView>
  </sheetViews>
  <sheetFormatPr defaultRowHeight="11.25" x14ac:dyDescent="0.2"/>
  <cols>
    <col min="1" max="1" width="2.140625" style="19" customWidth="1"/>
    <col min="2" max="2" width="32.5703125" style="19" customWidth="1"/>
    <col min="3" max="4" width="9.28515625" style="19" bestFit="1" customWidth="1"/>
    <col min="5" max="5" width="10.140625" style="19" bestFit="1" customWidth="1"/>
    <col min="6" max="6" width="9.7109375" style="19" customWidth="1"/>
    <col min="7" max="7" width="10.140625" style="19" bestFit="1" customWidth="1"/>
    <col min="8" max="8" width="7.85546875" style="19" bestFit="1" customWidth="1"/>
    <col min="9" max="9" width="8.85546875" style="19" bestFit="1" customWidth="1"/>
    <col min="10" max="10" width="9.7109375" style="19" bestFit="1" customWidth="1"/>
    <col min="11" max="11" width="8.85546875" style="19" bestFit="1" customWidth="1"/>
    <col min="12" max="12" width="9.5703125" style="19" bestFit="1" customWidth="1"/>
    <col min="13" max="13" width="9.42578125" style="19" bestFit="1" customWidth="1"/>
    <col min="14" max="14" width="8.85546875" style="19" bestFit="1" customWidth="1"/>
    <col min="15" max="15" width="4" style="19" customWidth="1"/>
    <col min="16" max="16" width="2.5703125" style="19" customWidth="1"/>
    <col min="17" max="17" width="29.140625" style="113" hidden="1" customWidth="1"/>
    <col min="18" max="16384" width="9.140625" style="19"/>
  </cols>
  <sheetData>
    <row r="2" spans="2:17" ht="33" customHeight="1" x14ac:dyDescent="0.2">
      <c r="B2" s="355" t="s">
        <v>233</v>
      </c>
      <c r="C2" s="355"/>
      <c r="D2" s="355"/>
      <c r="E2" s="355"/>
      <c r="F2" s="355"/>
      <c r="G2" s="355"/>
      <c r="H2" s="355"/>
      <c r="I2" s="355"/>
      <c r="J2" s="355"/>
      <c r="K2" s="355"/>
      <c r="L2" s="355"/>
      <c r="M2" s="355"/>
      <c r="N2" s="355"/>
      <c r="O2" s="355"/>
    </row>
    <row r="3" spans="2:17" s="22" customFormat="1" ht="69.75" customHeight="1" x14ac:dyDescent="0.2">
      <c r="B3" s="282" t="s">
        <v>3</v>
      </c>
      <c r="C3" s="282" t="s">
        <v>4</v>
      </c>
      <c r="D3" s="282" t="s">
        <v>80</v>
      </c>
      <c r="E3" s="282" t="s">
        <v>89</v>
      </c>
      <c r="F3" s="282" t="s">
        <v>107</v>
      </c>
      <c r="G3" s="283" t="s">
        <v>90</v>
      </c>
      <c r="H3" s="284" t="s">
        <v>97</v>
      </c>
      <c r="I3" s="284" t="s">
        <v>91</v>
      </c>
      <c r="J3" s="284" t="s">
        <v>92</v>
      </c>
      <c r="K3" s="284" t="s">
        <v>113</v>
      </c>
      <c r="L3" s="282" t="s">
        <v>114</v>
      </c>
      <c r="M3" s="284" t="s">
        <v>115</v>
      </c>
      <c r="N3" s="284" t="s">
        <v>116</v>
      </c>
      <c r="O3" s="285" t="s">
        <v>5</v>
      </c>
    </row>
    <row r="4" spans="2:17" ht="10.5" customHeight="1" x14ac:dyDescent="0.2">
      <c r="B4" s="295" t="s">
        <v>60</v>
      </c>
      <c r="C4" s="275" t="s">
        <v>61</v>
      </c>
      <c r="D4" s="273"/>
      <c r="E4" s="273"/>
      <c r="F4" s="273"/>
      <c r="G4" s="273"/>
      <c r="H4" s="273"/>
      <c r="I4" s="273"/>
      <c r="J4" s="273"/>
      <c r="K4" s="273"/>
      <c r="L4" s="273"/>
      <c r="M4" s="273"/>
      <c r="N4" s="273"/>
      <c r="O4" s="273"/>
    </row>
    <row r="5" spans="2:17" ht="10.5" customHeight="1" x14ac:dyDescent="0.2">
      <c r="B5" s="295" t="s">
        <v>62</v>
      </c>
      <c r="C5" s="275" t="s">
        <v>61</v>
      </c>
      <c r="D5" s="273"/>
      <c r="E5" s="273"/>
      <c r="F5" s="273"/>
      <c r="G5" s="273"/>
      <c r="H5" s="273"/>
      <c r="I5" s="273"/>
      <c r="J5" s="273"/>
      <c r="K5" s="273"/>
      <c r="L5" s="273"/>
      <c r="M5" s="273"/>
      <c r="N5" s="273"/>
      <c r="O5" s="273"/>
    </row>
    <row r="6" spans="2:17" ht="10.5" customHeight="1" x14ac:dyDescent="0.2">
      <c r="B6" s="295" t="s">
        <v>63</v>
      </c>
      <c r="C6" s="275"/>
      <c r="D6" s="273"/>
      <c r="E6" s="273"/>
      <c r="F6" s="273"/>
      <c r="G6" s="273"/>
      <c r="H6" s="273"/>
      <c r="I6" s="273"/>
      <c r="J6" s="273"/>
      <c r="K6" s="273"/>
      <c r="L6" s="273"/>
      <c r="M6" s="273"/>
      <c r="N6" s="273"/>
      <c r="O6" s="273"/>
    </row>
    <row r="7" spans="2:17" x14ac:dyDescent="0.2">
      <c r="B7" s="272" t="s">
        <v>64</v>
      </c>
      <c r="C7" s="273">
        <v>24</v>
      </c>
      <c r="D7" s="130">
        <v>0</v>
      </c>
      <c r="E7" s="273">
        <v>1</v>
      </c>
      <c r="F7" s="273">
        <f>C7*E7</f>
        <v>24</v>
      </c>
      <c r="G7" s="274">
        <f>'OLD Inputs'!C5</f>
        <v>181</v>
      </c>
      <c r="H7" s="160">
        <f>G7*F7</f>
        <v>4344</v>
      </c>
      <c r="I7" s="160">
        <f>H7*0.1</f>
        <v>434.40000000000003</v>
      </c>
      <c r="J7" s="160">
        <f>H7*0.05</f>
        <v>217.20000000000002</v>
      </c>
      <c r="K7" s="296">
        <f>SUM(H7:J7)</f>
        <v>4995.5999999999995</v>
      </c>
      <c r="L7" s="130">
        <f>ROUND(H7*'OLD Inputs'!$F$70+I7*'OLD Inputs'!$F$71+J7*'OLD Inputs'!$F$72,0)</f>
        <v>505691</v>
      </c>
      <c r="M7" s="130">
        <f>D7*E7*G7</f>
        <v>0</v>
      </c>
      <c r="N7" s="273">
        <v>0</v>
      </c>
      <c r="O7" s="273" t="s">
        <v>140</v>
      </c>
    </row>
    <row r="8" spans="2:17" x14ac:dyDescent="0.2">
      <c r="B8" s="272" t="s">
        <v>65</v>
      </c>
      <c r="C8" s="275"/>
      <c r="D8" s="273"/>
      <c r="E8" s="273"/>
      <c r="F8" s="273"/>
      <c r="G8" s="273"/>
      <c r="H8" s="273"/>
      <c r="I8" s="273"/>
      <c r="J8" s="273"/>
      <c r="K8" s="273"/>
      <c r="L8" s="273"/>
      <c r="M8" s="273"/>
      <c r="N8" s="273"/>
      <c r="O8" s="273"/>
    </row>
    <row r="9" spans="2:17" x14ac:dyDescent="0.2">
      <c r="B9" s="277" t="s">
        <v>157</v>
      </c>
      <c r="C9" s="275"/>
      <c r="D9" s="273"/>
      <c r="E9" s="273"/>
      <c r="F9" s="273"/>
      <c r="G9" s="273"/>
      <c r="H9" s="273"/>
      <c r="I9" s="273"/>
      <c r="J9" s="273"/>
      <c r="K9" s="273"/>
      <c r="L9" s="273"/>
      <c r="M9" s="273"/>
      <c r="N9" s="273"/>
      <c r="O9" s="273"/>
      <c r="Q9" s="19"/>
    </row>
    <row r="10" spans="2:17" ht="22.5" x14ac:dyDescent="0.2">
      <c r="B10" s="286" t="s">
        <v>239</v>
      </c>
      <c r="C10" s="275"/>
      <c r="D10" s="273"/>
      <c r="E10" s="273"/>
      <c r="F10" s="273"/>
      <c r="G10" s="273"/>
      <c r="H10" s="273"/>
      <c r="I10" s="273"/>
      <c r="J10" s="273"/>
      <c r="K10" s="273"/>
      <c r="L10" s="273"/>
      <c r="M10" s="273"/>
      <c r="N10" s="273"/>
      <c r="O10" s="273"/>
      <c r="Q10" s="19" t="s">
        <v>207</v>
      </c>
    </row>
    <row r="11" spans="2:17" x14ac:dyDescent="0.2">
      <c r="B11" s="287" t="s">
        <v>220</v>
      </c>
      <c r="C11" s="273">
        <v>0</v>
      </c>
      <c r="D11" s="130">
        <f>'OLD Inputs'!C20</f>
        <v>2828</v>
      </c>
      <c r="E11" s="273">
        <v>1</v>
      </c>
      <c r="F11" s="273">
        <f>C11*E11</f>
        <v>0</v>
      </c>
      <c r="G11" s="274">
        <v>0</v>
      </c>
      <c r="H11" s="273">
        <f>G11*F11</f>
        <v>0</v>
      </c>
      <c r="I11" s="274">
        <f>H11*0.1</f>
        <v>0</v>
      </c>
      <c r="J11" s="274">
        <f>H11*0.05</f>
        <v>0</v>
      </c>
      <c r="K11" s="289">
        <f>SUM(H11:J11)</f>
        <v>0</v>
      </c>
      <c r="L11" s="130">
        <f>ROUND(H11*'OLD Inputs'!$F$70+I11*'OLD Inputs'!$F$71+J11*'OLD Inputs'!$F$72,0)</f>
        <v>0</v>
      </c>
      <c r="M11" s="130">
        <f>D11*E11*G11</f>
        <v>0</v>
      </c>
      <c r="N11" s="273">
        <v>0</v>
      </c>
      <c r="O11" s="273" t="s">
        <v>252</v>
      </c>
      <c r="Q11" s="19" t="s">
        <v>218</v>
      </c>
    </row>
    <row r="12" spans="2:17" ht="22.5" x14ac:dyDescent="0.2">
      <c r="B12" s="287" t="s">
        <v>221</v>
      </c>
      <c r="C12" s="273">
        <v>0</v>
      </c>
      <c r="D12" s="130">
        <f>'OLD Inputs'!C17</f>
        <v>1256.96</v>
      </c>
      <c r="E12" s="273">
        <v>1</v>
      </c>
      <c r="F12" s="273">
        <f>C12*E12</f>
        <v>0</v>
      </c>
      <c r="G12" s="274">
        <v>0</v>
      </c>
      <c r="H12" s="273">
        <f>G12*F12</f>
        <v>0</v>
      </c>
      <c r="I12" s="274">
        <f>H12*0.1</f>
        <v>0</v>
      </c>
      <c r="J12" s="274">
        <f>H12*0.05</f>
        <v>0</v>
      </c>
      <c r="K12" s="289">
        <f>SUM(H12:J12)</f>
        <v>0</v>
      </c>
      <c r="L12" s="130">
        <f>ROUND(H12*'OLD Inputs'!$F$70+I12*'OLD Inputs'!$F$71+J12*'OLD Inputs'!$F$72,0)</f>
        <v>0</v>
      </c>
      <c r="M12" s="130">
        <f>D12*E12*G12</f>
        <v>0</v>
      </c>
      <c r="N12" s="273">
        <v>0</v>
      </c>
      <c r="O12" s="273" t="s">
        <v>156</v>
      </c>
      <c r="Q12" s="19" t="s">
        <v>219</v>
      </c>
    </row>
    <row r="13" spans="2:17" ht="22.5" x14ac:dyDescent="0.2">
      <c r="B13" s="286" t="s">
        <v>240</v>
      </c>
      <c r="C13" s="275"/>
      <c r="D13" s="273"/>
      <c r="E13" s="273"/>
      <c r="F13" s="273"/>
      <c r="G13" s="273"/>
      <c r="H13" s="273"/>
      <c r="I13" s="273"/>
      <c r="J13" s="273"/>
      <c r="K13" s="273"/>
      <c r="L13" s="273"/>
      <c r="M13" s="273"/>
      <c r="N13" s="273"/>
      <c r="O13" s="273"/>
      <c r="Q13" s="19"/>
    </row>
    <row r="14" spans="2:17" x14ac:dyDescent="0.2">
      <c r="B14" s="288" t="s">
        <v>222</v>
      </c>
      <c r="C14" s="273">
        <v>0</v>
      </c>
      <c r="D14" s="130">
        <f>'OLD Inputs'!C27</f>
        <v>7440</v>
      </c>
      <c r="E14" s="273">
        <v>1</v>
      </c>
      <c r="F14" s="273">
        <f>C14*E14</f>
        <v>0</v>
      </c>
      <c r="G14" s="274">
        <v>0</v>
      </c>
      <c r="H14" s="273">
        <f>G14*F14</f>
        <v>0</v>
      </c>
      <c r="I14" s="274">
        <f>H14*0.1</f>
        <v>0</v>
      </c>
      <c r="J14" s="274">
        <f>H14*0.05</f>
        <v>0</v>
      </c>
      <c r="K14" s="289">
        <f>SUM(H14:J14)</f>
        <v>0</v>
      </c>
      <c r="L14" s="130">
        <f>ROUND(H14*'OLD Inputs'!$F$70+I14*'OLD Inputs'!$F$71+J14*'OLD Inputs'!$F$72,0)</f>
        <v>0</v>
      </c>
      <c r="M14" s="130">
        <f>D14*E14*G14</f>
        <v>0</v>
      </c>
      <c r="N14" s="273">
        <v>0</v>
      </c>
      <c r="O14" s="273" t="s">
        <v>252</v>
      </c>
      <c r="Q14" s="19" t="s">
        <v>218</v>
      </c>
    </row>
    <row r="15" spans="2:17" x14ac:dyDescent="0.2">
      <c r="B15" s="288" t="s">
        <v>223</v>
      </c>
      <c r="C15" s="273">
        <v>0</v>
      </c>
      <c r="D15" s="130">
        <f>'OLD Inputs'!C28</f>
        <v>963.51403774299786</v>
      </c>
      <c r="E15" s="273">
        <v>1</v>
      </c>
      <c r="F15" s="273">
        <f>C15*E15</f>
        <v>0</v>
      </c>
      <c r="G15" s="274">
        <v>0</v>
      </c>
      <c r="H15" s="273">
        <f>G15*F15</f>
        <v>0</v>
      </c>
      <c r="I15" s="274">
        <f>H15*0.1</f>
        <v>0</v>
      </c>
      <c r="J15" s="274">
        <f>H15*0.05</f>
        <v>0</v>
      </c>
      <c r="K15" s="289">
        <f>SUM(H15:J15)</f>
        <v>0</v>
      </c>
      <c r="L15" s="130">
        <f>ROUND(H15*'OLD Inputs'!$F$70+I15*'OLD Inputs'!$F$71+J15*'OLD Inputs'!$F$72,0)</f>
        <v>0</v>
      </c>
      <c r="M15" s="130">
        <f>D15*E15*G15</f>
        <v>0</v>
      </c>
      <c r="N15" s="273">
        <v>0</v>
      </c>
      <c r="O15" s="273" t="s">
        <v>252</v>
      </c>
      <c r="Q15" s="19"/>
    </row>
    <row r="16" spans="2:17" x14ac:dyDescent="0.2">
      <c r="B16" s="286" t="s">
        <v>241</v>
      </c>
      <c r="C16" s="275"/>
      <c r="D16" s="273"/>
      <c r="E16" s="273"/>
      <c r="F16" s="273"/>
      <c r="G16" s="273"/>
      <c r="H16" s="273"/>
      <c r="I16" s="273"/>
      <c r="J16" s="273"/>
      <c r="K16" s="273"/>
      <c r="L16" s="273"/>
      <c r="M16" s="273"/>
      <c r="N16" s="273"/>
      <c r="O16" s="273"/>
      <c r="Q16" s="19" t="s">
        <v>207</v>
      </c>
    </row>
    <row r="17" spans="2:17" x14ac:dyDescent="0.2">
      <c r="B17" s="287" t="s">
        <v>220</v>
      </c>
      <c r="C17" s="273">
        <v>0</v>
      </c>
      <c r="D17" s="130">
        <f>'OLD Inputs'!C34</f>
        <v>413</v>
      </c>
      <c r="E17" s="273">
        <v>1</v>
      </c>
      <c r="F17" s="273">
        <f>C17*E17</f>
        <v>0</v>
      </c>
      <c r="G17" s="274">
        <v>0</v>
      </c>
      <c r="H17" s="273">
        <f>G17*F17</f>
        <v>0</v>
      </c>
      <c r="I17" s="274">
        <f>H17*0.1</f>
        <v>0</v>
      </c>
      <c r="J17" s="274">
        <f>H17*0.05</f>
        <v>0</v>
      </c>
      <c r="K17" s="289">
        <f>SUM(H17:J17)</f>
        <v>0</v>
      </c>
      <c r="L17" s="130">
        <f>ROUND(H17*'OLD Inputs'!$F$70+I17*'OLD Inputs'!$F$71+J17*'OLD Inputs'!$F$72,0)</f>
        <v>0</v>
      </c>
      <c r="M17" s="130">
        <f>D17*E17*G17</f>
        <v>0</v>
      </c>
      <c r="N17" s="273">
        <v>0</v>
      </c>
      <c r="O17" s="273" t="s">
        <v>252</v>
      </c>
      <c r="Q17" s="19" t="s">
        <v>218</v>
      </c>
    </row>
    <row r="18" spans="2:17" ht="22.5" x14ac:dyDescent="0.2">
      <c r="B18" s="287" t="s">
        <v>221</v>
      </c>
      <c r="C18" s="273">
        <v>0</v>
      </c>
      <c r="D18" s="130">
        <f>'OLD Inputs'!C36</f>
        <v>182</v>
      </c>
      <c r="E18" s="273">
        <v>1</v>
      </c>
      <c r="F18" s="273">
        <f>C18*E18</f>
        <v>0</v>
      </c>
      <c r="G18" s="274">
        <v>0</v>
      </c>
      <c r="H18" s="273">
        <f>G18*F18</f>
        <v>0</v>
      </c>
      <c r="I18" s="274">
        <f>H18*0.1</f>
        <v>0</v>
      </c>
      <c r="J18" s="274">
        <f>H18*0.05</f>
        <v>0</v>
      </c>
      <c r="K18" s="289">
        <f>SUM(H18:J18)</f>
        <v>0</v>
      </c>
      <c r="L18" s="130">
        <f>ROUND(H18*'OLD Inputs'!$F$70+I18*'OLD Inputs'!$F$71+J18*'OLD Inputs'!$F$72,0)</f>
        <v>0</v>
      </c>
      <c r="M18" s="130">
        <f>D18*E18*G18</f>
        <v>0</v>
      </c>
      <c r="N18" s="273">
        <v>0</v>
      </c>
      <c r="O18" s="273" t="s">
        <v>156</v>
      </c>
      <c r="Q18" s="19" t="s">
        <v>219</v>
      </c>
    </row>
    <row r="19" spans="2:17" x14ac:dyDescent="0.2">
      <c r="B19" s="276" t="s">
        <v>242</v>
      </c>
      <c r="C19" s="275"/>
      <c r="D19" s="273"/>
      <c r="E19" s="273"/>
      <c r="F19" s="273"/>
      <c r="G19" s="273"/>
      <c r="H19" s="273"/>
      <c r="I19" s="273"/>
      <c r="J19" s="273"/>
      <c r="K19" s="273"/>
      <c r="L19" s="273"/>
      <c r="M19" s="273"/>
      <c r="N19" s="273"/>
      <c r="O19" s="273"/>
      <c r="Q19" s="19"/>
    </row>
    <row r="20" spans="2:17" x14ac:dyDescent="0.2">
      <c r="B20" s="288" t="s">
        <v>100</v>
      </c>
      <c r="C20" s="273">
        <v>0</v>
      </c>
      <c r="D20" s="130">
        <f>'OLD Inputs'!F61</f>
        <v>12000</v>
      </c>
      <c r="E20" s="273">
        <v>1</v>
      </c>
      <c r="F20" s="273">
        <f>C20*E20</f>
        <v>0</v>
      </c>
      <c r="G20" s="274">
        <v>0</v>
      </c>
      <c r="H20" s="273">
        <f>G20*F20</f>
        <v>0</v>
      </c>
      <c r="I20" s="274">
        <f>H20*0.1</f>
        <v>0</v>
      </c>
      <c r="J20" s="274">
        <f>H20*0.05</f>
        <v>0</v>
      </c>
      <c r="K20" s="289">
        <f>SUM(H20:J20)</f>
        <v>0</v>
      </c>
      <c r="L20" s="130">
        <f>ROUND(H20*'OLD Inputs'!$F$70+I20*'OLD Inputs'!$F$71+J20*'OLD Inputs'!$F$72,0)</f>
        <v>0</v>
      </c>
      <c r="M20" s="130">
        <f>D20*E20*G20</f>
        <v>0</v>
      </c>
      <c r="N20" s="273">
        <v>0</v>
      </c>
      <c r="O20" s="273" t="s">
        <v>253</v>
      </c>
      <c r="Q20" s="19" t="s">
        <v>218</v>
      </c>
    </row>
    <row r="21" spans="2:17" x14ac:dyDescent="0.2">
      <c r="B21" s="288" t="s">
        <v>101</v>
      </c>
      <c r="C21" s="273">
        <v>0</v>
      </c>
      <c r="D21" s="130">
        <f>'OLD Inputs'!G61</f>
        <v>22000</v>
      </c>
      <c r="E21" s="273">
        <v>1</v>
      </c>
      <c r="F21" s="273">
        <f>C21*E21</f>
        <v>0</v>
      </c>
      <c r="G21" s="274">
        <v>0</v>
      </c>
      <c r="H21" s="273">
        <f>G21*F21</f>
        <v>0</v>
      </c>
      <c r="I21" s="274">
        <f>H21*0.1</f>
        <v>0</v>
      </c>
      <c r="J21" s="274">
        <f>H21*0.05</f>
        <v>0</v>
      </c>
      <c r="K21" s="289">
        <f>SUM(H21:J21)</f>
        <v>0</v>
      </c>
      <c r="L21" s="130">
        <f>ROUND(H21*'OLD Inputs'!$F$70+I21*'OLD Inputs'!$F$71+J21*'OLD Inputs'!$F$72,0)</f>
        <v>0</v>
      </c>
      <c r="M21" s="130">
        <f>D21*E21*G21</f>
        <v>0</v>
      </c>
      <c r="N21" s="273">
        <v>0</v>
      </c>
      <c r="O21" s="273" t="s">
        <v>253</v>
      </c>
      <c r="Q21" s="19" t="s">
        <v>218</v>
      </c>
    </row>
    <row r="22" spans="2:17" x14ac:dyDescent="0.2">
      <c r="B22" s="272" t="s">
        <v>66</v>
      </c>
      <c r="C22" s="275" t="s">
        <v>68</v>
      </c>
      <c r="D22" s="273"/>
      <c r="E22" s="273"/>
      <c r="F22" s="273"/>
      <c r="G22" s="273"/>
      <c r="H22" s="273"/>
      <c r="I22" s="273"/>
      <c r="J22" s="273"/>
      <c r="K22" s="273"/>
      <c r="L22" s="273"/>
      <c r="M22" s="273"/>
      <c r="N22" s="273"/>
      <c r="O22" s="273"/>
      <c r="Q22" s="19"/>
    </row>
    <row r="23" spans="2:17" x14ac:dyDescent="0.2">
      <c r="B23" s="272" t="s">
        <v>67</v>
      </c>
      <c r="C23" s="275" t="s">
        <v>69</v>
      </c>
      <c r="D23" s="273"/>
      <c r="E23" s="273"/>
      <c r="F23" s="273"/>
      <c r="G23" s="273"/>
      <c r="H23" s="273"/>
      <c r="I23" s="273"/>
      <c r="J23" s="273"/>
      <c r="K23" s="273"/>
      <c r="L23" s="273"/>
      <c r="M23" s="273"/>
      <c r="N23" s="273"/>
      <c r="O23" s="273"/>
      <c r="Q23" s="19"/>
    </row>
    <row r="24" spans="2:17" x14ac:dyDescent="0.2">
      <c r="B24" s="272" t="s">
        <v>70</v>
      </c>
      <c r="C24" s="275"/>
      <c r="D24" s="273"/>
      <c r="E24" s="273"/>
      <c r="F24" s="273"/>
      <c r="G24" s="273"/>
      <c r="H24" s="273"/>
      <c r="I24" s="273"/>
      <c r="J24" s="273"/>
      <c r="K24" s="273"/>
      <c r="L24" s="273"/>
      <c r="M24" s="273"/>
      <c r="N24" s="273"/>
      <c r="O24" s="273"/>
    </row>
    <row r="25" spans="2:17" x14ac:dyDescent="0.2">
      <c r="B25" s="277" t="s">
        <v>224</v>
      </c>
      <c r="C25" s="275"/>
      <c r="D25" s="273"/>
      <c r="E25" s="273"/>
      <c r="F25" s="273"/>
      <c r="G25" s="273"/>
      <c r="H25" s="273"/>
      <c r="I25" s="273"/>
      <c r="J25" s="273"/>
      <c r="K25" s="273"/>
      <c r="L25" s="273"/>
      <c r="M25" s="273"/>
      <c r="N25" s="273"/>
      <c r="O25" s="273"/>
      <c r="Q25" s="19"/>
    </row>
    <row r="26" spans="2:17" x14ac:dyDescent="0.2">
      <c r="B26" s="288" t="s">
        <v>227</v>
      </c>
      <c r="C26" s="290">
        <v>1</v>
      </c>
      <c r="D26" s="291">
        <v>0</v>
      </c>
      <c r="E26" s="290">
        <v>1</v>
      </c>
      <c r="F26" s="290">
        <f t="shared" ref="F26" si="0">C26*E26</f>
        <v>1</v>
      </c>
      <c r="G26" s="292">
        <f>G14</f>
        <v>0</v>
      </c>
      <c r="H26" s="290">
        <f t="shared" ref="H26" si="1">G26*F26</f>
        <v>0</v>
      </c>
      <c r="I26" s="292">
        <f t="shared" ref="I26" si="2">H26*0.1</f>
        <v>0</v>
      </c>
      <c r="J26" s="292">
        <f t="shared" ref="J26" si="3">H26*0.05</f>
        <v>0</v>
      </c>
      <c r="K26" s="289">
        <f t="shared" ref="K26" si="4">SUM(H26:J26)</f>
        <v>0</v>
      </c>
      <c r="L26" s="130">
        <f>ROUND(H26*'OLD Inputs'!$F$70+I26*'OLD Inputs'!$F$71+J26*'OLD Inputs'!$F$72,0)</f>
        <v>0</v>
      </c>
      <c r="M26" s="291">
        <f t="shared" ref="M26" si="5">D26*E26*G26</f>
        <v>0</v>
      </c>
      <c r="N26" s="290">
        <f t="shared" ref="N26" si="6">G26*E26</f>
        <v>0</v>
      </c>
      <c r="O26" s="290" t="s">
        <v>252</v>
      </c>
    </row>
    <row r="27" spans="2:17" x14ac:dyDescent="0.2">
      <c r="B27" s="288" t="s">
        <v>225</v>
      </c>
      <c r="C27" s="290">
        <v>4</v>
      </c>
      <c r="D27" s="291">
        <v>0</v>
      </c>
      <c r="E27" s="290">
        <v>1</v>
      </c>
      <c r="F27" s="290">
        <f t="shared" ref="F27:F28" si="7">C27*E27</f>
        <v>4</v>
      </c>
      <c r="G27" s="292">
        <f>G15</f>
        <v>0</v>
      </c>
      <c r="H27" s="290">
        <f t="shared" ref="H27:H28" si="8">G27*F27</f>
        <v>0</v>
      </c>
      <c r="I27" s="292">
        <f t="shared" ref="I27:I28" si="9">H27*0.1</f>
        <v>0</v>
      </c>
      <c r="J27" s="292">
        <f t="shared" ref="J27:J28" si="10">H27*0.05</f>
        <v>0</v>
      </c>
      <c r="K27" s="289">
        <f t="shared" ref="K27:K28" si="11">SUM(H27:J27)</f>
        <v>0</v>
      </c>
      <c r="L27" s="130">
        <f>ROUND(H27*'OLD Inputs'!$F$70+I27*'OLD Inputs'!$F$71+J27*'OLD Inputs'!$F$72,0)</f>
        <v>0</v>
      </c>
      <c r="M27" s="291">
        <f t="shared" ref="M27:M28" si="12">D27*E27*G27</f>
        <v>0</v>
      </c>
      <c r="N27" s="290">
        <f t="shared" ref="N27:N28" si="13">G27*E27</f>
        <v>0</v>
      </c>
      <c r="O27" s="290" t="s">
        <v>254</v>
      </c>
      <c r="Q27" s="19" t="s">
        <v>226</v>
      </c>
    </row>
    <row r="28" spans="2:17" x14ac:dyDescent="0.2">
      <c r="B28" s="288" t="s">
        <v>228</v>
      </c>
      <c r="C28" s="290">
        <v>5</v>
      </c>
      <c r="D28" s="291">
        <v>0</v>
      </c>
      <c r="E28" s="290">
        <v>1</v>
      </c>
      <c r="F28" s="290">
        <f t="shared" si="7"/>
        <v>5</v>
      </c>
      <c r="G28" s="292">
        <f>G18</f>
        <v>0</v>
      </c>
      <c r="H28" s="290">
        <f t="shared" si="8"/>
        <v>0</v>
      </c>
      <c r="I28" s="292">
        <f t="shared" si="9"/>
        <v>0</v>
      </c>
      <c r="J28" s="292">
        <f t="shared" si="10"/>
        <v>0</v>
      </c>
      <c r="K28" s="289">
        <f t="shared" si="11"/>
        <v>0</v>
      </c>
      <c r="L28" s="130">
        <f>ROUND(H28*'OLD Inputs'!$F$70+I28*'OLD Inputs'!$F$71+J28*'OLD Inputs'!$F$72,0)</f>
        <v>0</v>
      </c>
      <c r="M28" s="291">
        <f t="shared" si="12"/>
        <v>0</v>
      </c>
      <c r="N28" s="290">
        <f t="shared" si="13"/>
        <v>0</v>
      </c>
      <c r="O28" s="290" t="s">
        <v>255</v>
      </c>
      <c r="Q28" s="19"/>
    </row>
    <row r="29" spans="2:17" x14ac:dyDescent="0.2">
      <c r="B29" s="277" t="s">
        <v>232</v>
      </c>
      <c r="C29" s="275"/>
      <c r="D29" s="273"/>
      <c r="E29" s="273"/>
      <c r="F29" s="273"/>
      <c r="G29" s="273"/>
      <c r="H29" s="273"/>
      <c r="I29" s="273"/>
      <c r="J29" s="273"/>
      <c r="K29" s="273"/>
      <c r="L29" s="273"/>
      <c r="M29" s="273"/>
      <c r="N29" s="273"/>
      <c r="O29" s="273"/>
      <c r="Q29" s="19"/>
    </row>
    <row r="30" spans="2:17" x14ac:dyDescent="0.2">
      <c r="B30" s="288" t="s">
        <v>227</v>
      </c>
      <c r="C30" s="290">
        <v>1</v>
      </c>
      <c r="D30" s="291">
        <v>0</v>
      </c>
      <c r="E30" s="290">
        <v>2</v>
      </c>
      <c r="F30" s="290">
        <f t="shared" ref="F30" si="14">C30*E30</f>
        <v>2</v>
      </c>
      <c r="G30" s="292">
        <v>0</v>
      </c>
      <c r="H30" s="290">
        <f t="shared" ref="H30" si="15">G30*F30</f>
        <v>0</v>
      </c>
      <c r="I30" s="292">
        <f t="shared" ref="I30" si="16">H30*0.1</f>
        <v>0</v>
      </c>
      <c r="J30" s="292">
        <f t="shared" ref="J30" si="17">H30*0.05</f>
        <v>0</v>
      </c>
      <c r="K30" s="289">
        <f t="shared" ref="K30" si="18">SUM(H30:J30)</f>
        <v>0</v>
      </c>
      <c r="L30" s="130">
        <f>ROUND(H30*'OLD Inputs'!$F$70+I30*'OLD Inputs'!$F$71+J30*'OLD Inputs'!$F$72,0)</f>
        <v>0</v>
      </c>
      <c r="M30" s="291">
        <f t="shared" ref="M30" si="19">D30*E30*G30</f>
        <v>0</v>
      </c>
      <c r="N30" s="290">
        <f t="shared" ref="N30" si="20">G30*E30</f>
        <v>0</v>
      </c>
      <c r="O30" s="290" t="s">
        <v>252</v>
      </c>
      <c r="Q30" s="19"/>
    </row>
    <row r="31" spans="2:17" x14ac:dyDescent="0.2">
      <c r="B31" s="288" t="s">
        <v>225</v>
      </c>
      <c r="C31" s="290">
        <v>4</v>
      </c>
      <c r="D31" s="291">
        <v>0</v>
      </c>
      <c r="E31" s="290">
        <v>2</v>
      </c>
      <c r="F31" s="290">
        <f t="shared" ref="F31:F32" si="21">C31*E31</f>
        <v>8</v>
      </c>
      <c r="G31" s="292">
        <v>0</v>
      </c>
      <c r="H31" s="290">
        <f t="shared" ref="H31:H32" si="22">G31*F31</f>
        <v>0</v>
      </c>
      <c r="I31" s="292">
        <f t="shared" ref="I31:I32" si="23">H31*0.1</f>
        <v>0</v>
      </c>
      <c r="J31" s="292">
        <f t="shared" ref="J31:J32" si="24">H31*0.05</f>
        <v>0</v>
      </c>
      <c r="K31" s="289">
        <f t="shared" ref="K31:K32" si="25">SUM(H31:J31)</f>
        <v>0</v>
      </c>
      <c r="L31" s="130">
        <f>ROUND(H31*'OLD Inputs'!$F$70+I31*'OLD Inputs'!$F$71+J31*'OLD Inputs'!$F$72,0)</f>
        <v>0</v>
      </c>
      <c r="M31" s="291">
        <f t="shared" ref="M31:M32" si="26">D31*E31*G31</f>
        <v>0</v>
      </c>
      <c r="N31" s="290">
        <f t="shared" ref="N31:N32" si="27">G31*E31</f>
        <v>0</v>
      </c>
      <c r="O31" s="290" t="s">
        <v>254</v>
      </c>
      <c r="Q31" s="19"/>
    </row>
    <row r="32" spans="2:17" x14ac:dyDescent="0.2">
      <c r="B32" s="288" t="s">
        <v>228</v>
      </c>
      <c r="C32" s="290">
        <v>5</v>
      </c>
      <c r="D32" s="291">
        <v>0</v>
      </c>
      <c r="E32" s="290">
        <v>2</v>
      </c>
      <c r="F32" s="290">
        <f t="shared" si="21"/>
        <v>10</v>
      </c>
      <c r="G32" s="292">
        <v>0</v>
      </c>
      <c r="H32" s="290">
        <f t="shared" si="22"/>
        <v>0</v>
      </c>
      <c r="I32" s="292">
        <f t="shared" si="23"/>
        <v>0</v>
      </c>
      <c r="J32" s="292">
        <f t="shared" si="24"/>
        <v>0</v>
      </c>
      <c r="K32" s="289">
        <f t="shared" si="25"/>
        <v>0</v>
      </c>
      <c r="L32" s="130">
        <f>ROUND(H32*'OLD Inputs'!$F$70+I32*'OLD Inputs'!$F$71+J32*'OLD Inputs'!$F$72,0)</f>
        <v>0</v>
      </c>
      <c r="M32" s="291">
        <f t="shared" si="26"/>
        <v>0</v>
      </c>
      <c r="N32" s="290">
        <f t="shared" si="27"/>
        <v>0</v>
      </c>
      <c r="O32" s="290" t="s">
        <v>255</v>
      </c>
      <c r="Q32" s="19"/>
    </row>
    <row r="33" spans="2:17" s="300" customFormat="1" x14ac:dyDescent="0.2">
      <c r="B33" s="293" t="s">
        <v>71</v>
      </c>
      <c r="C33" s="298"/>
      <c r="D33" s="299"/>
      <c r="E33" s="298"/>
      <c r="F33" s="298"/>
      <c r="G33" s="298"/>
      <c r="H33" s="301">
        <f>SUM(H7:H32)</f>
        <v>4344</v>
      </c>
      <c r="I33" s="301">
        <f>SUM(I7:I32)</f>
        <v>434.40000000000003</v>
      </c>
      <c r="J33" s="301">
        <f>SUM(J7:J32)</f>
        <v>217.20000000000002</v>
      </c>
      <c r="K33" s="301">
        <f>SUM(K7:K32)</f>
        <v>4995.5999999999995</v>
      </c>
      <c r="L33" s="302">
        <f>SUM(L7:L32)</f>
        <v>505691</v>
      </c>
      <c r="M33" s="302">
        <f>SUM(M7:M32)-M20-M14</f>
        <v>0</v>
      </c>
      <c r="N33" s="301">
        <f>SUM(N7:N32)</f>
        <v>0</v>
      </c>
      <c r="O33" s="298"/>
    </row>
    <row r="34" spans="2:17" ht="10.5" customHeight="1" x14ac:dyDescent="0.2">
      <c r="B34" s="295" t="s">
        <v>56</v>
      </c>
      <c r="C34" s="275"/>
      <c r="D34" s="273"/>
      <c r="E34" s="273"/>
      <c r="F34" s="273"/>
      <c r="G34" s="273"/>
      <c r="H34" s="273"/>
      <c r="I34" s="273"/>
      <c r="J34" s="273"/>
      <c r="K34" s="273"/>
      <c r="L34" s="273"/>
      <c r="M34" s="273"/>
      <c r="N34" s="273"/>
      <c r="O34" s="273"/>
      <c r="Q34" s="19"/>
    </row>
    <row r="35" spans="2:17" x14ac:dyDescent="0.2">
      <c r="B35" s="272" t="s">
        <v>57</v>
      </c>
      <c r="C35" s="275" t="s">
        <v>102</v>
      </c>
      <c r="D35" s="273"/>
      <c r="E35" s="273"/>
      <c r="F35" s="273"/>
      <c r="G35" s="273"/>
      <c r="H35" s="273"/>
      <c r="I35" s="273"/>
      <c r="J35" s="273"/>
      <c r="K35" s="273"/>
      <c r="L35" s="273"/>
      <c r="M35" s="273"/>
      <c r="N35" s="273"/>
      <c r="O35" s="273"/>
      <c r="Q35" s="19"/>
    </row>
    <row r="36" spans="2:17" x14ac:dyDescent="0.2">
      <c r="B36" s="272" t="s">
        <v>98</v>
      </c>
      <c r="C36" s="275" t="s">
        <v>61</v>
      </c>
      <c r="D36" s="273"/>
      <c r="E36" s="273"/>
      <c r="F36" s="273"/>
      <c r="G36" s="273"/>
      <c r="H36" s="273"/>
      <c r="I36" s="273"/>
      <c r="J36" s="273"/>
      <c r="K36" s="273"/>
      <c r="L36" s="273"/>
      <c r="M36" s="273"/>
      <c r="N36" s="273"/>
      <c r="O36" s="273"/>
      <c r="Q36" s="19"/>
    </row>
    <row r="37" spans="2:17" x14ac:dyDescent="0.2">
      <c r="B37" s="272" t="s">
        <v>58</v>
      </c>
      <c r="C37" s="275" t="s">
        <v>61</v>
      </c>
      <c r="D37" s="273"/>
      <c r="E37" s="273"/>
      <c r="F37" s="273"/>
      <c r="G37" s="273"/>
      <c r="H37" s="273"/>
      <c r="I37" s="273"/>
      <c r="J37" s="273"/>
      <c r="K37" s="273"/>
      <c r="L37" s="273"/>
      <c r="M37" s="273"/>
      <c r="N37" s="273"/>
      <c r="O37" s="273"/>
      <c r="Q37" s="19"/>
    </row>
    <row r="38" spans="2:17" x14ac:dyDescent="0.2">
      <c r="B38" s="272" t="s">
        <v>72</v>
      </c>
      <c r="C38" s="275"/>
      <c r="D38" s="273"/>
      <c r="E38" s="273"/>
      <c r="F38" s="273"/>
      <c r="G38" s="273"/>
      <c r="H38" s="273"/>
      <c r="I38" s="273"/>
      <c r="J38" s="273"/>
      <c r="K38" s="273"/>
      <c r="L38" s="273"/>
      <c r="M38" s="273"/>
      <c r="N38" s="273"/>
      <c r="O38" s="273"/>
      <c r="Q38" s="19"/>
    </row>
    <row r="39" spans="2:17" x14ac:dyDescent="0.2">
      <c r="B39" s="277" t="s">
        <v>157</v>
      </c>
      <c r="C39" s="273">
        <v>5</v>
      </c>
      <c r="D39" s="130">
        <v>0</v>
      </c>
      <c r="E39" s="273">
        <v>1</v>
      </c>
      <c r="F39" s="273">
        <f t="shared" ref="F39" si="28">C39*E39</f>
        <v>5</v>
      </c>
      <c r="G39" s="274">
        <v>0</v>
      </c>
      <c r="H39" s="160">
        <f t="shared" ref="H39" si="29">G39*F39</f>
        <v>0</v>
      </c>
      <c r="I39" s="160">
        <f t="shared" ref="I39" si="30">H39*0.1</f>
        <v>0</v>
      </c>
      <c r="J39" s="160">
        <f t="shared" ref="J39" si="31">H39*0.05</f>
        <v>0</v>
      </c>
      <c r="K39" s="296">
        <f t="shared" ref="K39" si="32">SUM(H39:J39)</f>
        <v>0</v>
      </c>
      <c r="L39" s="130">
        <f>ROUND(H39*'OLD Inputs'!$F$70+I39*'OLD Inputs'!$F$71+J39*'OLD Inputs'!$F$72,0)</f>
        <v>0</v>
      </c>
      <c r="M39" s="130">
        <f t="shared" ref="M39" si="33">D39*E39*G39</f>
        <v>0</v>
      </c>
      <c r="N39" s="273">
        <v>0</v>
      </c>
      <c r="O39" s="290" t="s">
        <v>252</v>
      </c>
      <c r="Q39" s="19" t="s">
        <v>231</v>
      </c>
    </row>
    <row r="40" spans="2:17" x14ac:dyDescent="0.2">
      <c r="B40" s="276" t="s">
        <v>229</v>
      </c>
      <c r="C40" s="273">
        <v>8</v>
      </c>
      <c r="D40" s="130">
        <v>0</v>
      </c>
      <c r="E40" s="273">
        <v>1</v>
      </c>
      <c r="F40" s="273">
        <f t="shared" ref="F40" si="34">C40*E40</f>
        <v>8</v>
      </c>
      <c r="G40" s="274">
        <v>0</v>
      </c>
      <c r="H40" s="160">
        <f t="shared" ref="H40" si="35">G40*F40</f>
        <v>0</v>
      </c>
      <c r="I40" s="160">
        <f t="shared" ref="I40" si="36">H40*0.1</f>
        <v>0</v>
      </c>
      <c r="J40" s="160">
        <f t="shared" ref="J40" si="37">H40*0.05</f>
        <v>0</v>
      </c>
      <c r="K40" s="296">
        <f t="shared" ref="K40" si="38">SUM(H40:J40)</f>
        <v>0</v>
      </c>
      <c r="L40" s="130">
        <f>ROUND(H40*'OLD Inputs'!$F$70+I40*'OLD Inputs'!$F$71+J40*'OLD Inputs'!$F$72,0)</f>
        <v>0</v>
      </c>
      <c r="M40" s="130">
        <f t="shared" ref="M40" si="39">D40*E40*G40</f>
        <v>0</v>
      </c>
      <c r="N40" s="273">
        <v>0</v>
      </c>
      <c r="O40" s="290" t="s">
        <v>254</v>
      </c>
    </row>
    <row r="41" spans="2:17" x14ac:dyDescent="0.2">
      <c r="B41" s="276" t="s">
        <v>230</v>
      </c>
      <c r="C41" s="273">
        <v>0.4</v>
      </c>
      <c r="D41" s="130">
        <v>0</v>
      </c>
      <c r="E41" s="273">
        <v>365</v>
      </c>
      <c r="F41" s="273">
        <f t="shared" ref="F41" si="40">C41*E41</f>
        <v>146</v>
      </c>
      <c r="G41" s="274">
        <v>0</v>
      </c>
      <c r="H41" s="160">
        <f t="shared" ref="H41" si="41">G41*F41</f>
        <v>0</v>
      </c>
      <c r="I41" s="160">
        <f t="shared" ref="I41" si="42">H41*0.1</f>
        <v>0</v>
      </c>
      <c r="J41" s="160">
        <f t="shared" ref="J41" si="43">H41*0.05</f>
        <v>0</v>
      </c>
      <c r="K41" s="296">
        <f t="shared" ref="K41:K43" si="44">SUM(H41:J41)</f>
        <v>0</v>
      </c>
      <c r="L41" s="130">
        <f>ROUND(H41*'OLD Inputs'!$F$70+I41*'OLD Inputs'!$F$71+J41*'OLD Inputs'!$F$72,0)</f>
        <v>0</v>
      </c>
      <c r="M41" s="130">
        <f t="shared" ref="M41" si="45">D41*E41*G41</f>
        <v>0</v>
      </c>
      <c r="N41" s="273">
        <v>0</v>
      </c>
      <c r="O41" s="290" t="s">
        <v>255</v>
      </c>
    </row>
    <row r="42" spans="2:17" x14ac:dyDescent="0.2">
      <c r="B42" s="276" t="s">
        <v>238</v>
      </c>
      <c r="C42" s="273">
        <v>25</v>
      </c>
      <c r="D42" s="130">
        <v>0</v>
      </c>
      <c r="E42" s="273">
        <v>1</v>
      </c>
      <c r="F42" s="273">
        <f>C42*E42</f>
        <v>25</v>
      </c>
      <c r="G42" s="274">
        <v>0</v>
      </c>
      <c r="H42" s="160">
        <f t="shared" ref="H42" si="46">G42*F42</f>
        <v>0</v>
      </c>
      <c r="I42" s="160">
        <f t="shared" ref="I42" si="47">H42*0.1</f>
        <v>0</v>
      </c>
      <c r="J42" s="160">
        <f t="shared" ref="J42" si="48">H42*0.05</f>
        <v>0</v>
      </c>
      <c r="K42" s="296">
        <f t="shared" si="44"/>
        <v>0</v>
      </c>
      <c r="L42" s="130">
        <f>ROUND(H42*'OLD Inputs'!$F$70+I42*'OLD Inputs'!$F$71+J42*'OLD Inputs'!$F$72,0)</f>
        <v>0</v>
      </c>
      <c r="M42" s="130">
        <f t="shared" ref="M42" si="49">D42*E42*G42</f>
        <v>0</v>
      </c>
      <c r="N42" s="273">
        <v>0</v>
      </c>
      <c r="O42" s="273" t="s">
        <v>248</v>
      </c>
    </row>
    <row r="43" spans="2:17" x14ac:dyDescent="0.2">
      <c r="B43" s="272" t="s">
        <v>73</v>
      </c>
      <c r="C43" s="273">
        <v>16</v>
      </c>
      <c r="D43" s="130">
        <v>0</v>
      </c>
      <c r="E43" s="273">
        <v>1</v>
      </c>
      <c r="F43" s="273">
        <f t="shared" ref="F43" si="50">C43*E43</f>
        <v>16</v>
      </c>
      <c r="G43" s="274">
        <f>'OLD Inputs'!C5</f>
        <v>181</v>
      </c>
      <c r="H43" s="160">
        <f>G43*F43</f>
        <v>2896</v>
      </c>
      <c r="I43" s="160">
        <f t="shared" ref="I43" si="51">H43*0.1</f>
        <v>289.60000000000002</v>
      </c>
      <c r="J43" s="160">
        <f t="shared" ref="J43" si="52">H43*0.05</f>
        <v>144.80000000000001</v>
      </c>
      <c r="K43" s="296">
        <f t="shared" si="44"/>
        <v>3330.4</v>
      </c>
      <c r="L43" s="130">
        <f>ROUND(H43*'OLD Inputs'!$F$70+I43*'OLD Inputs'!$F$71+J43*'OLD Inputs'!$F$72,0)</f>
        <v>337127</v>
      </c>
      <c r="M43" s="130">
        <f t="shared" ref="M43" si="53">D43*E43*G43</f>
        <v>0</v>
      </c>
      <c r="N43" s="273">
        <v>0</v>
      </c>
      <c r="O43" s="273"/>
    </row>
    <row r="44" spans="2:17" x14ac:dyDescent="0.2">
      <c r="B44" s="272" t="s">
        <v>74</v>
      </c>
      <c r="C44" s="275" t="s">
        <v>61</v>
      </c>
      <c r="D44" s="273"/>
      <c r="E44" s="273"/>
      <c r="F44" s="273"/>
      <c r="G44" s="273"/>
      <c r="H44" s="273"/>
      <c r="I44" s="273"/>
      <c r="J44" s="273"/>
      <c r="K44" s="273"/>
      <c r="L44" s="273"/>
      <c r="M44" s="273"/>
      <c r="N44" s="273"/>
      <c r="O44" s="273"/>
    </row>
    <row r="45" spans="2:17" s="306" customFormat="1" thickBot="1" x14ac:dyDescent="0.2">
      <c r="B45" s="294" t="s">
        <v>59</v>
      </c>
      <c r="C45" s="303"/>
      <c r="D45" s="303"/>
      <c r="E45" s="303"/>
      <c r="F45" s="303"/>
      <c r="G45" s="303"/>
      <c r="H45" s="304">
        <f>SUM(H39:H43)</f>
        <v>2896</v>
      </c>
      <c r="I45" s="304">
        <f t="shared" ref="I45:N45" si="54">SUM(I39:I43)</f>
        <v>289.60000000000002</v>
      </c>
      <c r="J45" s="304">
        <f t="shared" si="54"/>
        <v>144.80000000000001</v>
      </c>
      <c r="K45" s="304">
        <f t="shared" si="54"/>
        <v>3330.4</v>
      </c>
      <c r="L45" s="305">
        <f>SUM(L39:L43)</f>
        <v>337127</v>
      </c>
      <c r="M45" s="305">
        <f t="shared" si="54"/>
        <v>0</v>
      </c>
      <c r="N45" s="304">
        <f t="shared" si="54"/>
        <v>0</v>
      </c>
      <c r="O45" s="303"/>
      <c r="Q45" s="307"/>
    </row>
    <row r="46" spans="2:17" s="311" customFormat="1" ht="13.5" customHeight="1" thickTop="1" x14ac:dyDescent="0.25">
      <c r="B46" s="192" t="s">
        <v>34</v>
      </c>
      <c r="C46" s="308"/>
      <c r="D46" s="308"/>
      <c r="E46" s="308"/>
      <c r="F46" s="308"/>
      <c r="G46" s="308"/>
      <c r="H46" s="309">
        <f t="shared" ref="H46:N46" si="55">H45+H33</f>
        <v>7240</v>
      </c>
      <c r="I46" s="309">
        <f t="shared" si="55"/>
        <v>724</v>
      </c>
      <c r="J46" s="309">
        <f t="shared" si="55"/>
        <v>362</v>
      </c>
      <c r="K46" s="309">
        <f>K45+K33</f>
        <v>8326</v>
      </c>
      <c r="L46" s="310">
        <f>L45+L33</f>
        <v>842818</v>
      </c>
      <c r="M46" s="310">
        <f t="shared" si="55"/>
        <v>0</v>
      </c>
      <c r="N46" s="308">
        <f t="shared" si="55"/>
        <v>0</v>
      </c>
      <c r="O46" s="308"/>
      <c r="Q46" s="312"/>
    </row>
    <row r="47" spans="2:17" ht="7.5" customHeight="1" x14ac:dyDescent="0.2">
      <c r="B47" s="183"/>
      <c r="C47" s="265"/>
      <c r="D47" s="265"/>
      <c r="E47" s="265"/>
      <c r="F47" s="265"/>
      <c r="G47" s="184"/>
      <c r="H47" s="185"/>
      <c r="I47" s="186"/>
      <c r="J47" s="186"/>
      <c r="K47" s="187"/>
      <c r="L47" s="187"/>
      <c r="M47" s="187"/>
      <c r="N47" s="265"/>
      <c r="O47" s="266"/>
    </row>
    <row r="48" spans="2:17" x14ac:dyDescent="0.2">
      <c r="B48" s="188"/>
      <c r="C48" s="267"/>
      <c r="D48" s="267"/>
      <c r="E48" s="267"/>
      <c r="F48" s="267"/>
      <c r="G48" s="9"/>
      <c r="H48" s="9"/>
      <c r="I48" s="10"/>
      <c r="J48" s="160" t="s">
        <v>54</v>
      </c>
      <c r="K48" s="160" t="s">
        <v>75</v>
      </c>
      <c r="L48" s="166" t="s">
        <v>76</v>
      </c>
      <c r="M48" s="166" t="s">
        <v>47</v>
      </c>
      <c r="N48" s="267"/>
      <c r="O48" s="268"/>
    </row>
    <row r="49" spans="2:15" x14ac:dyDescent="0.2">
      <c r="B49" s="188"/>
      <c r="C49" s="267"/>
      <c r="D49" s="267"/>
      <c r="E49" s="267"/>
      <c r="F49" s="267"/>
      <c r="G49" s="161" t="s">
        <v>77</v>
      </c>
      <c r="H49" s="162"/>
      <c r="I49" s="165"/>
      <c r="J49" s="160">
        <f>H46+I46+J46</f>
        <v>8326</v>
      </c>
      <c r="K49" s="130">
        <f>L46</f>
        <v>842818</v>
      </c>
      <c r="L49" s="130">
        <f>M46</f>
        <v>0</v>
      </c>
      <c r="M49" s="130">
        <f>L49+K49</f>
        <v>842818</v>
      </c>
      <c r="N49" s="267"/>
      <c r="O49" s="268"/>
    </row>
    <row r="50" spans="2:15" ht="7.5" customHeight="1" x14ac:dyDescent="0.2">
      <c r="B50" s="188"/>
      <c r="C50" s="267"/>
      <c r="D50" s="267"/>
      <c r="E50" s="267"/>
      <c r="F50" s="267"/>
      <c r="G50" s="11"/>
      <c r="H50" s="9"/>
      <c r="I50" s="10"/>
      <c r="J50" s="10"/>
      <c r="K50" s="12"/>
      <c r="L50" s="12"/>
      <c r="M50" s="12"/>
      <c r="N50" s="267"/>
      <c r="O50" s="268"/>
    </row>
    <row r="51" spans="2:15" x14ac:dyDescent="0.2">
      <c r="B51" s="188"/>
      <c r="C51" s="267"/>
      <c r="D51" s="267"/>
      <c r="E51" s="267"/>
      <c r="F51" s="267"/>
      <c r="G51" s="161" t="s">
        <v>78</v>
      </c>
      <c r="H51" s="162"/>
      <c r="I51" s="163"/>
      <c r="J51" s="163"/>
      <c r="K51" s="164"/>
      <c r="L51" s="269"/>
      <c r="M51" s="130">
        <f>L7+M20+M14</f>
        <v>505691</v>
      </c>
      <c r="N51" s="267"/>
      <c r="O51" s="268"/>
    </row>
    <row r="52" spans="2:15" x14ac:dyDescent="0.2">
      <c r="B52" s="189"/>
      <c r="C52" s="270"/>
      <c r="D52" s="270"/>
      <c r="E52" s="270"/>
      <c r="F52" s="270"/>
      <c r="G52" s="161" t="s">
        <v>79</v>
      </c>
      <c r="H52" s="190"/>
      <c r="I52" s="190"/>
      <c r="J52" s="190"/>
      <c r="K52" s="164"/>
      <c r="L52" s="191"/>
      <c r="M52" s="330">
        <f>M46</f>
        <v>0</v>
      </c>
      <c r="N52" s="270"/>
      <c r="O52" s="271"/>
    </row>
    <row r="53" spans="2:15" ht="8.25" customHeight="1" x14ac:dyDescent="0.2"/>
    <row r="54" spans="2:15" x14ac:dyDescent="0.2">
      <c r="B54" s="19" t="s">
        <v>93</v>
      </c>
      <c r="L54" s="23"/>
    </row>
    <row r="55" spans="2:15" x14ac:dyDescent="0.2">
      <c r="B55" s="354" t="s">
        <v>178</v>
      </c>
      <c r="C55" s="354"/>
      <c r="D55" s="354"/>
      <c r="E55" s="354"/>
      <c r="F55" s="354"/>
      <c r="G55" s="354"/>
      <c r="H55" s="354"/>
      <c r="I55" s="354"/>
      <c r="J55" s="354"/>
      <c r="K55" s="354"/>
      <c r="L55" s="354"/>
      <c r="M55" s="354"/>
      <c r="N55" s="354"/>
    </row>
    <row r="56" spans="2:15" s="228" customFormat="1" x14ac:dyDescent="0.2">
      <c r="B56" s="19" t="s">
        <v>139</v>
      </c>
      <c r="C56" s="19"/>
      <c r="D56" s="19"/>
      <c r="E56" s="19"/>
      <c r="F56" s="19"/>
      <c r="G56" s="19"/>
      <c r="H56" s="19"/>
      <c r="I56" s="19"/>
      <c r="J56" s="19"/>
      <c r="K56" s="19"/>
      <c r="L56" s="19"/>
      <c r="M56" s="19"/>
      <c r="N56" s="19"/>
    </row>
    <row r="57" spans="2:15" ht="22.5" customHeight="1" x14ac:dyDescent="0.2">
      <c r="B57" s="354" t="s">
        <v>243</v>
      </c>
      <c r="C57" s="354"/>
      <c r="D57" s="354"/>
      <c r="E57" s="354"/>
      <c r="F57" s="354"/>
      <c r="G57" s="354"/>
      <c r="H57" s="354"/>
      <c r="I57" s="354"/>
      <c r="J57" s="354"/>
      <c r="K57" s="354"/>
      <c r="L57" s="354"/>
      <c r="M57" s="354"/>
      <c r="N57" s="354"/>
    </row>
    <row r="58" spans="2:15" x14ac:dyDescent="0.2">
      <c r="B58" s="354" t="s">
        <v>245</v>
      </c>
      <c r="C58" s="354"/>
      <c r="D58" s="354"/>
      <c r="E58" s="354"/>
      <c r="F58" s="354"/>
      <c r="G58" s="354"/>
      <c r="H58" s="354"/>
      <c r="I58" s="354"/>
      <c r="J58" s="354"/>
      <c r="K58" s="354"/>
      <c r="L58" s="354"/>
      <c r="M58" s="354"/>
      <c r="N58" s="354"/>
    </row>
    <row r="59" spans="2:15" ht="24" customHeight="1" x14ac:dyDescent="0.2">
      <c r="B59" s="354" t="s">
        <v>246</v>
      </c>
      <c r="C59" s="354"/>
      <c r="D59" s="354"/>
      <c r="E59" s="354"/>
      <c r="F59" s="354"/>
      <c r="G59" s="354"/>
      <c r="H59" s="354"/>
      <c r="I59" s="354"/>
      <c r="J59" s="354"/>
      <c r="K59" s="354"/>
      <c r="L59" s="354"/>
      <c r="M59" s="354"/>
      <c r="N59" s="354"/>
    </row>
    <row r="60" spans="2:15" x14ac:dyDescent="0.2">
      <c r="B60" s="354" t="s">
        <v>247</v>
      </c>
      <c r="C60" s="354"/>
      <c r="D60" s="354"/>
      <c r="E60" s="354"/>
      <c r="F60" s="354"/>
      <c r="G60" s="354"/>
      <c r="H60" s="354"/>
      <c r="I60" s="354"/>
      <c r="J60" s="354"/>
      <c r="K60" s="354"/>
      <c r="L60" s="354"/>
      <c r="M60" s="354"/>
      <c r="N60" s="354"/>
    </row>
    <row r="61" spans="2:15" x14ac:dyDescent="0.2">
      <c r="B61" s="354" t="s">
        <v>249</v>
      </c>
      <c r="C61" s="354"/>
      <c r="D61" s="354"/>
      <c r="E61" s="354"/>
      <c r="F61" s="354"/>
      <c r="G61" s="354"/>
      <c r="H61" s="354"/>
      <c r="I61" s="354"/>
      <c r="J61" s="354"/>
      <c r="K61" s="354"/>
      <c r="L61" s="354"/>
      <c r="M61" s="354"/>
      <c r="N61" s="354"/>
    </row>
    <row r="62" spans="2:15" x14ac:dyDescent="0.2">
      <c r="B62" s="297" t="s">
        <v>250</v>
      </c>
      <c r="C62" s="254"/>
      <c r="D62" s="254"/>
      <c r="E62" s="254"/>
      <c r="F62" s="254"/>
      <c r="G62" s="254"/>
      <c r="H62" s="254"/>
      <c r="I62" s="254"/>
      <c r="J62" s="254"/>
      <c r="K62" s="254"/>
      <c r="L62" s="254"/>
      <c r="M62" s="254"/>
      <c r="N62" s="254"/>
    </row>
    <row r="63" spans="2:15" x14ac:dyDescent="0.2">
      <c r="B63" s="354" t="s">
        <v>251</v>
      </c>
      <c r="C63" s="354"/>
      <c r="D63" s="354"/>
      <c r="E63" s="354"/>
      <c r="F63" s="354"/>
      <c r="G63" s="354"/>
      <c r="H63" s="354"/>
      <c r="I63" s="354"/>
      <c r="J63" s="354"/>
      <c r="K63" s="354"/>
      <c r="L63" s="354"/>
      <c r="M63" s="354"/>
      <c r="N63" s="354"/>
    </row>
    <row r="64" spans="2:15" x14ac:dyDescent="0.2">
      <c r="B64" s="354"/>
      <c r="C64" s="354"/>
      <c r="D64" s="354"/>
      <c r="E64" s="354"/>
      <c r="F64" s="354"/>
      <c r="G64" s="354"/>
      <c r="H64" s="354"/>
      <c r="I64" s="354"/>
      <c r="J64" s="354"/>
      <c r="K64" s="354"/>
      <c r="L64" s="354"/>
      <c r="M64" s="354"/>
      <c r="N64" s="354"/>
    </row>
    <row r="69" spans="2:14" x14ac:dyDescent="0.2">
      <c r="B69" s="353"/>
      <c r="C69" s="353"/>
      <c r="D69" s="353"/>
      <c r="E69" s="353"/>
      <c r="F69" s="353"/>
      <c r="G69" s="353"/>
      <c r="H69" s="353"/>
      <c r="I69" s="353"/>
      <c r="J69" s="353"/>
      <c r="K69" s="353"/>
      <c r="L69" s="353"/>
      <c r="M69" s="353"/>
      <c r="N69" s="353"/>
    </row>
  </sheetData>
  <mergeCells count="10">
    <mergeCell ref="B69:N69"/>
    <mergeCell ref="B61:N61"/>
    <mergeCell ref="B2:O2"/>
    <mergeCell ref="B58:N58"/>
    <mergeCell ref="B64:N64"/>
    <mergeCell ref="B63:N63"/>
    <mergeCell ref="B55:N55"/>
    <mergeCell ref="B57:N57"/>
    <mergeCell ref="B59:N59"/>
    <mergeCell ref="B60:N60"/>
  </mergeCells>
  <printOptions horizontalCentered="1"/>
  <pageMargins left="0.5" right="0.5" top="0.5" bottom="0.5" header="0.3" footer="0.3"/>
  <pageSetup scale="85" fitToHeight="0" orientation="landscape" r:id="rId1"/>
  <headerFooter>
    <oddFooter>&amp;CA.1-&amp;P</oddFooter>
  </headerFooter>
  <rowBreaks count="1" manualBreakCount="1">
    <brk id="33" min="1"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7381A-D401-4A53-A130-9F92EFBB456F}">
  <sheetPr>
    <tabColor rgb="FF7030A0"/>
    <pageSetUpPr fitToPage="1"/>
  </sheetPr>
  <dimension ref="B2:Q69"/>
  <sheetViews>
    <sheetView tabSelected="1" zoomScaleNormal="100" zoomScaleSheetLayoutView="80" workbookViewId="0">
      <pane ySplit="3" topLeftCell="A4" activePane="bottomLeft" state="frozen"/>
      <selection activeCell="A4" sqref="A4"/>
      <selection pane="bottomLeft" activeCell="A4" sqref="A4"/>
    </sheetView>
  </sheetViews>
  <sheetFormatPr defaultRowHeight="11.25" x14ac:dyDescent="0.2"/>
  <cols>
    <col min="1" max="1" width="2.140625" style="19" customWidth="1"/>
    <col min="2" max="2" width="32.5703125" style="19" customWidth="1"/>
    <col min="3" max="4" width="9.28515625" style="19" bestFit="1" customWidth="1"/>
    <col min="5" max="5" width="10.140625" style="19" bestFit="1" customWidth="1"/>
    <col min="6" max="6" width="9.7109375" style="19" customWidth="1"/>
    <col min="7" max="7" width="10.140625" style="19" bestFit="1" customWidth="1"/>
    <col min="8" max="8" width="7.85546875" style="19" bestFit="1" customWidth="1"/>
    <col min="9" max="9" width="8.85546875" style="19" bestFit="1" customWidth="1"/>
    <col min="10" max="10" width="9.7109375" style="19" bestFit="1" customWidth="1"/>
    <col min="11" max="11" width="8.85546875" style="19" bestFit="1" customWidth="1"/>
    <col min="12" max="12" width="9.5703125" style="19" bestFit="1" customWidth="1"/>
    <col min="13" max="13" width="9.42578125" style="19" bestFit="1" customWidth="1"/>
    <col min="14" max="14" width="8.85546875" style="19" bestFit="1" customWidth="1"/>
    <col min="15" max="15" width="4" style="19" customWidth="1"/>
    <col min="16" max="16" width="2.5703125" style="19" customWidth="1"/>
    <col min="17" max="17" width="29.140625" style="113" hidden="1" customWidth="1"/>
    <col min="18" max="16384" width="9.140625" style="19"/>
  </cols>
  <sheetData>
    <row r="2" spans="2:17" ht="33" customHeight="1" x14ac:dyDescent="0.2">
      <c r="B2" s="355" t="s">
        <v>256</v>
      </c>
      <c r="C2" s="355"/>
      <c r="D2" s="355"/>
      <c r="E2" s="355"/>
      <c r="F2" s="355"/>
      <c r="G2" s="355"/>
      <c r="H2" s="355"/>
      <c r="I2" s="355"/>
      <c r="J2" s="355"/>
      <c r="K2" s="355"/>
      <c r="L2" s="355"/>
      <c r="M2" s="355"/>
      <c r="N2" s="355"/>
      <c r="O2" s="355"/>
    </row>
    <row r="3" spans="2:17" s="22" customFormat="1" ht="69.75" customHeight="1" x14ac:dyDescent="0.2">
      <c r="B3" s="282" t="s">
        <v>3</v>
      </c>
      <c r="C3" s="282" t="s">
        <v>4</v>
      </c>
      <c r="D3" s="282" t="s">
        <v>80</v>
      </c>
      <c r="E3" s="282" t="s">
        <v>89</v>
      </c>
      <c r="F3" s="282" t="s">
        <v>107</v>
      </c>
      <c r="G3" s="283" t="s">
        <v>90</v>
      </c>
      <c r="H3" s="284" t="s">
        <v>97</v>
      </c>
      <c r="I3" s="284" t="s">
        <v>91</v>
      </c>
      <c r="J3" s="284" t="s">
        <v>92</v>
      </c>
      <c r="K3" s="284" t="s">
        <v>113</v>
      </c>
      <c r="L3" s="282" t="s">
        <v>114</v>
      </c>
      <c r="M3" s="284" t="s">
        <v>115</v>
      </c>
      <c r="N3" s="284" t="s">
        <v>116</v>
      </c>
      <c r="O3" s="285" t="s">
        <v>5</v>
      </c>
    </row>
    <row r="4" spans="2:17" ht="10.5" customHeight="1" x14ac:dyDescent="0.2">
      <c r="B4" s="295" t="s">
        <v>60</v>
      </c>
      <c r="C4" s="275" t="s">
        <v>61</v>
      </c>
      <c r="D4" s="273"/>
      <c r="E4" s="273"/>
      <c r="F4" s="273"/>
      <c r="G4" s="273"/>
      <c r="H4" s="273"/>
      <c r="I4" s="273"/>
      <c r="J4" s="273"/>
      <c r="K4" s="273"/>
      <c r="L4" s="273"/>
      <c r="M4" s="273"/>
      <c r="N4" s="273"/>
      <c r="O4" s="273"/>
    </row>
    <row r="5" spans="2:17" ht="10.5" customHeight="1" x14ac:dyDescent="0.2">
      <c r="B5" s="295" t="s">
        <v>62</v>
      </c>
      <c r="C5" s="275" t="s">
        <v>61</v>
      </c>
      <c r="D5" s="273"/>
      <c r="E5" s="273"/>
      <c r="F5" s="273"/>
      <c r="G5" s="273"/>
      <c r="H5" s="273"/>
      <c r="I5" s="273"/>
      <c r="J5" s="273"/>
      <c r="K5" s="273"/>
      <c r="L5" s="273"/>
      <c r="M5" s="273"/>
      <c r="N5" s="273"/>
      <c r="O5" s="273"/>
    </row>
    <row r="6" spans="2:17" ht="10.5" customHeight="1" x14ac:dyDescent="0.2">
      <c r="B6" s="295" t="s">
        <v>63</v>
      </c>
      <c r="C6" s="275"/>
      <c r="D6" s="273"/>
      <c r="E6" s="273"/>
      <c r="F6" s="273"/>
      <c r="G6" s="273"/>
      <c r="H6" s="273"/>
      <c r="I6" s="273"/>
      <c r="J6" s="273"/>
      <c r="K6" s="273"/>
      <c r="L6" s="273"/>
      <c r="M6" s="273"/>
      <c r="N6" s="273"/>
      <c r="O6" s="273"/>
    </row>
    <row r="7" spans="2:17" x14ac:dyDescent="0.2">
      <c r="B7" s="272" t="s">
        <v>64</v>
      </c>
      <c r="C7" s="273">
        <v>24</v>
      </c>
      <c r="D7" s="130">
        <v>0</v>
      </c>
      <c r="E7" s="273">
        <v>1</v>
      </c>
      <c r="F7" s="273">
        <f>C7*E7</f>
        <v>24</v>
      </c>
      <c r="G7" s="274">
        <v>0</v>
      </c>
      <c r="H7" s="160">
        <f>G7*F7</f>
        <v>0</v>
      </c>
      <c r="I7" s="160">
        <f>H7*0.1</f>
        <v>0</v>
      </c>
      <c r="J7" s="160">
        <f>H7*0.05</f>
        <v>0</v>
      </c>
      <c r="K7" s="296">
        <f>SUM(H7:J7)</f>
        <v>0</v>
      </c>
      <c r="L7" s="130">
        <f>ROUND(H7*'OLD Inputs'!$F$70+I7*'OLD Inputs'!$F$71+J7*'OLD Inputs'!$F$72,0)</f>
        <v>0</v>
      </c>
      <c r="M7" s="130">
        <f>D7*E7*G7</f>
        <v>0</v>
      </c>
      <c r="N7" s="273">
        <v>0</v>
      </c>
      <c r="O7" s="273" t="s">
        <v>140</v>
      </c>
    </row>
    <row r="8" spans="2:17" x14ac:dyDescent="0.2">
      <c r="B8" s="272" t="s">
        <v>65</v>
      </c>
      <c r="C8" s="275"/>
      <c r="D8" s="273"/>
      <c r="E8" s="273"/>
      <c r="F8" s="273"/>
      <c r="G8" s="273"/>
      <c r="H8" s="273"/>
      <c r="I8" s="273"/>
      <c r="J8" s="273"/>
      <c r="K8" s="273"/>
      <c r="L8" s="273"/>
      <c r="M8" s="273"/>
      <c r="N8" s="273"/>
      <c r="O8" s="273"/>
    </row>
    <row r="9" spans="2:17" x14ac:dyDescent="0.2">
      <c r="B9" s="277" t="s">
        <v>157</v>
      </c>
      <c r="C9" s="275"/>
      <c r="D9" s="273"/>
      <c r="E9" s="273"/>
      <c r="F9" s="273"/>
      <c r="G9" s="273"/>
      <c r="H9" s="273"/>
      <c r="I9" s="273"/>
      <c r="J9" s="273"/>
      <c r="K9" s="273"/>
      <c r="L9" s="273"/>
      <c r="M9" s="273"/>
      <c r="N9" s="273"/>
      <c r="O9" s="273"/>
      <c r="Q9" s="19"/>
    </row>
    <row r="10" spans="2:17" ht="22.5" x14ac:dyDescent="0.2">
      <c r="B10" s="286" t="s">
        <v>239</v>
      </c>
      <c r="C10" s="275"/>
      <c r="D10" s="273"/>
      <c r="E10" s="273"/>
      <c r="F10" s="273"/>
      <c r="G10" s="273"/>
      <c r="H10" s="273"/>
      <c r="I10" s="273"/>
      <c r="J10" s="273"/>
      <c r="K10" s="273"/>
      <c r="L10" s="273"/>
      <c r="M10" s="273"/>
      <c r="N10" s="273"/>
      <c r="O10" s="273"/>
      <c r="Q10" s="19" t="s">
        <v>207</v>
      </c>
    </row>
    <row r="11" spans="2:17" x14ac:dyDescent="0.2">
      <c r="B11" s="287" t="s">
        <v>220</v>
      </c>
      <c r="C11" s="273">
        <v>0</v>
      </c>
      <c r="D11" s="130">
        <f>'OLD Inputs'!C20</f>
        <v>2828</v>
      </c>
      <c r="E11" s="273">
        <v>1</v>
      </c>
      <c r="F11" s="273">
        <f>C11*E11</f>
        <v>0</v>
      </c>
      <c r="G11" s="274">
        <f>ROUND('OLD Inputs'!C19/3,0)</f>
        <v>13</v>
      </c>
      <c r="H11" s="273">
        <f>G11*F11</f>
        <v>0</v>
      </c>
      <c r="I11" s="274">
        <f>H11*0.1</f>
        <v>0</v>
      </c>
      <c r="J11" s="274">
        <f>H11*0.05</f>
        <v>0</v>
      </c>
      <c r="K11" s="289">
        <f>SUM(H11:J11)</f>
        <v>0</v>
      </c>
      <c r="L11" s="130">
        <f>ROUND(H11*'OLD Inputs'!$F$70+I11*'OLD Inputs'!$F$71+J11*'OLD Inputs'!$F$72,0)</f>
        <v>0</v>
      </c>
      <c r="M11" s="130">
        <f>D11*E11*G11</f>
        <v>36764</v>
      </c>
      <c r="N11" s="273">
        <v>0</v>
      </c>
      <c r="O11" s="273" t="s">
        <v>252</v>
      </c>
      <c r="Q11" s="19" t="s">
        <v>218</v>
      </c>
    </row>
    <row r="12" spans="2:17" ht="22.5" x14ac:dyDescent="0.2">
      <c r="B12" s="287" t="s">
        <v>221</v>
      </c>
      <c r="C12" s="273">
        <v>0</v>
      </c>
      <c r="D12" s="130">
        <f>'OLD Inputs'!C17</f>
        <v>1256.96</v>
      </c>
      <c r="E12" s="273">
        <v>1</v>
      </c>
      <c r="F12" s="273">
        <f>C12*E12</f>
        <v>0</v>
      </c>
      <c r="G12" s="274">
        <v>2</v>
      </c>
      <c r="H12" s="273">
        <f>G12*F12</f>
        <v>0</v>
      </c>
      <c r="I12" s="274">
        <f>H12*0.1</f>
        <v>0</v>
      </c>
      <c r="J12" s="274">
        <f>H12*0.05</f>
        <v>0</v>
      </c>
      <c r="K12" s="289">
        <f>SUM(H12:J12)</f>
        <v>0</v>
      </c>
      <c r="L12" s="130">
        <f>ROUND(H12*'OLD Inputs'!$F$70+I12*'OLD Inputs'!$F$71+J12*'OLD Inputs'!$F$72,0)</f>
        <v>0</v>
      </c>
      <c r="M12" s="130">
        <f>D12*E12*G12</f>
        <v>2513.92</v>
      </c>
      <c r="N12" s="273">
        <v>0</v>
      </c>
      <c r="O12" s="273" t="s">
        <v>156</v>
      </c>
      <c r="Q12" s="19" t="s">
        <v>219</v>
      </c>
    </row>
    <row r="13" spans="2:17" ht="22.5" x14ac:dyDescent="0.2">
      <c r="B13" s="286" t="s">
        <v>240</v>
      </c>
      <c r="C13" s="275"/>
      <c r="D13" s="273"/>
      <c r="E13" s="273"/>
      <c r="F13" s="273"/>
      <c r="G13" s="273"/>
      <c r="H13" s="273"/>
      <c r="I13" s="273"/>
      <c r="J13" s="273"/>
      <c r="K13" s="273"/>
      <c r="L13" s="273"/>
      <c r="M13" s="273"/>
      <c r="N13" s="273"/>
      <c r="O13" s="273"/>
      <c r="Q13" s="19"/>
    </row>
    <row r="14" spans="2:17" x14ac:dyDescent="0.2">
      <c r="B14" s="288" t="s">
        <v>222</v>
      </c>
      <c r="C14" s="273">
        <v>0</v>
      </c>
      <c r="D14" s="130">
        <f>'OLD Inputs'!C27</f>
        <v>7440</v>
      </c>
      <c r="E14" s="273">
        <v>1</v>
      </c>
      <c r="F14" s="273">
        <f>C14*E14</f>
        <v>0</v>
      </c>
      <c r="G14" s="274">
        <f>ROUND('OLD Inputs'!C29/3,0)</f>
        <v>13</v>
      </c>
      <c r="H14" s="273">
        <f>G14*F14</f>
        <v>0</v>
      </c>
      <c r="I14" s="274">
        <f>H14*0.1</f>
        <v>0</v>
      </c>
      <c r="J14" s="274">
        <f>H14*0.05</f>
        <v>0</v>
      </c>
      <c r="K14" s="289">
        <f>SUM(H14:J14)</f>
        <v>0</v>
      </c>
      <c r="L14" s="130">
        <f>ROUND(H14*'OLD Inputs'!$F$70+I14*'OLD Inputs'!$F$71+J14*'OLD Inputs'!$F$72,0)</f>
        <v>0</v>
      </c>
      <c r="M14" s="130">
        <f>D14*E14*G14</f>
        <v>96720</v>
      </c>
      <c r="N14" s="273">
        <v>0</v>
      </c>
      <c r="O14" s="273" t="s">
        <v>252</v>
      </c>
      <c r="Q14" s="19" t="s">
        <v>218</v>
      </c>
    </row>
    <row r="15" spans="2:17" x14ac:dyDescent="0.2">
      <c r="B15" s="288" t="s">
        <v>223</v>
      </c>
      <c r="C15" s="273">
        <v>0</v>
      </c>
      <c r="D15" s="130">
        <f>'OLD Inputs'!C28</f>
        <v>963.51403774299786</v>
      </c>
      <c r="E15" s="273">
        <v>1</v>
      </c>
      <c r="F15" s="273">
        <f>C15*E15</f>
        <v>0</v>
      </c>
      <c r="G15" s="274">
        <f>G14</f>
        <v>13</v>
      </c>
      <c r="H15" s="273">
        <f>G15*F15</f>
        <v>0</v>
      </c>
      <c r="I15" s="274">
        <f>H15*0.1</f>
        <v>0</v>
      </c>
      <c r="J15" s="274">
        <f>H15*0.05</f>
        <v>0</v>
      </c>
      <c r="K15" s="289">
        <f>SUM(H15:J15)</f>
        <v>0</v>
      </c>
      <c r="L15" s="130">
        <f>ROUND(H15*'OLD Inputs'!$F$70+I15*'OLD Inputs'!$F$71+J15*'OLD Inputs'!$F$72,0)</f>
        <v>0</v>
      </c>
      <c r="M15" s="130">
        <f>D15*E15*G15</f>
        <v>12525.682490658972</v>
      </c>
      <c r="N15" s="273">
        <v>0</v>
      </c>
      <c r="O15" s="273" t="s">
        <v>252</v>
      </c>
      <c r="Q15" s="19"/>
    </row>
    <row r="16" spans="2:17" x14ac:dyDescent="0.2">
      <c r="B16" s="286" t="s">
        <v>241</v>
      </c>
      <c r="C16" s="275"/>
      <c r="D16" s="273"/>
      <c r="E16" s="273"/>
      <c r="F16" s="273"/>
      <c r="G16" s="273"/>
      <c r="H16" s="273"/>
      <c r="I16" s="273"/>
      <c r="J16" s="273"/>
      <c r="K16" s="273"/>
      <c r="L16" s="273"/>
      <c r="M16" s="273"/>
      <c r="N16" s="273"/>
      <c r="O16" s="273"/>
      <c r="Q16" s="19" t="s">
        <v>207</v>
      </c>
    </row>
    <row r="17" spans="2:17" x14ac:dyDescent="0.2">
      <c r="B17" s="287" t="s">
        <v>220</v>
      </c>
      <c r="C17" s="273">
        <v>0</v>
      </c>
      <c r="D17" s="330">
        <f>'OLD Inputs'!C34</f>
        <v>413</v>
      </c>
      <c r="E17" s="273">
        <v>1</v>
      </c>
      <c r="F17" s="273">
        <f>C17*E17</f>
        <v>0</v>
      </c>
      <c r="G17" s="274">
        <f>G15</f>
        <v>13</v>
      </c>
      <c r="H17" s="273">
        <f>G17*F17</f>
        <v>0</v>
      </c>
      <c r="I17" s="274">
        <f>H17*0.1</f>
        <v>0</v>
      </c>
      <c r="J17" s="274">
        <f>H17*0.05</f>
        <v>0</v>
      </c>
      <c r="K17" s="289">
        <f>SUM(H17:J17)</f>
        <v>0</v>
      </c>
      <c r="L17" s="130">
        <f>ROUND(H17*'OLD Inputs'!$F$70+I17*'OLD Inputs'!$F$71+J17*'OLD Inputs'!$F$72,0)</f>
        <v>0</v>
      </c>
      <c r="M17" s="130">
        <f>D17*E17*G17</f>
        <v>5369</v>
      </c>
      <c r="N17" s="273">
        <v>0</v>
      </c>
      <c r="O17" s="273" t="s">
        <v>252</v>
      </c>
      <c r="Q17" s="19" t="s">
        <v>218</v>
      </c>
    </row>
    <row r="18" spans="2:17" ht="22.5" x14ac:dyDescent="0.2">
      <c r="B18" s="287" t="s">
        <v>221</v>
      </c>
      <c r="C18" s="273">
        <v>0</v>
      </c>
      <c r="D18" s="330">
        <f>'OLD Inputs'!C36</f>
        <v>182</v>
      </c>
      <c r="E18" s="273">
        <v>1</v>
      </c>
      <c r="F18" s="273">
        <f>C18*E18</f>
        <v>0</v>
      </c>
      <c r="G18" s="274">
        <v>2</v>
      </c>
      <c r="H18" s="273">
        <f>G18*F18</f>
        <v>0</v>
      </c>
      <c r="I18" s="274">
        <f>H18*0.1</f>
        <v>0</v>
      </c>
      <c r="J18" s="274">
        <f>H18*0.05</f>
        <v>0</v>
      </c>
      <c r="K18" s="289">
        <f>SUM(H18:J18)</f>
        <v>0</v>
      </c>
      <c r="L18" s="130">
        <f>ROUND(H18*'OLD Inputs'!$F$70+I18*'OLD Inputs'!$F$71+J18*'OLD Inputs'!$F$72,0)</f>
        <v>0</v>
      </c>
      <c r="M18" s="130">
        <f>D18*E18*G18</f>
        <v>364</v>
      </c>
      <c r="N18" s="273">
        <v>0</v>
      </c>
      <c r="O18" s="273" t="s">
        <v>156</v>
      </c>
      <c r="Q18" s="19" t="s">
        <v>219</v>
      </c>
    </row>
    <row r="19" spans="2:17" x14ac:dyDescent="0.2">
      <c r="B19" s="276" t="s">
        <v>242</v>
      </c>
      <c r="C19" s="275"/>
      <c r="D19" s="273"/>
      <c r="E19" s="273"/>
      <c r="F19" s="273"/>
      <c r="G19" s="273"/>
      <c r="H19" s="273"/>
      <c r="I19" s="273"/>
      <c r="J19" s="273"/>
      <c r="K19" s="273"/>
      <c r="L19" s="273"/>
      <c r="M19" s="273"/>
      <c r="N19" s="273"/>
      <c r="O19" s="273"/>
      <c r="Q19" s="19"/>
    </row>
    <row r="20" spans="2:17" x14ac:dyDescent="0.2">
      <c r="B20" s="288" t="s">
        <v>100</v>
      </c>
      <c r="C20" s="273">
        <v>0</v>
      </c>
      <c r="D20" s="130">
        <f>'OLD Inputs'!F61</f>
        <v>12000</v>
      </c>
      <c r="E20" s="273">
        <v>1</v>
      </c>
      <c r="F20" s="273">
        <f>C20*E20</f>
        <v>0</v>
      </c>
      <c r="G20" s="274">
        <f>ROUND(16/3,0)</f>
        <v>5</v>
      </c>
      <c r="H20" s="273">
        <f>G20*F20</f>
        <v>0</v>
      </c>
      <c r="I20" s="274">
        <f>H20*0.1</f>
        <v>0</v>
      </c>
      <c r="J20" s="274">
        <f>H20*0.05</f>
        <v>0</v>
      </c>
      <c r="K20" s="289">
        <f>SUM(H20:J20)</f>
        <v>0</v>
      </c>
      <c r="L20" s="130">
        <f>ROUND(H20*'OLD Inputs'!$F$70+I20*'OLD Inputs'!$F$71+J20*'OLD Inputs'!$F$72,0)</f>
        <v>0</v>
      </c>
      <c r="M20" s="130">
        <f>D20*E20*G20</f>
        <v>60000</v>
      </c>
      <c r="N20" s="273">
        <v>0</v>
      </c>
      <c r="O20" s="273" t="s">
        <v>253</v>
      </c>
      <c r="Q20" s="19" t="s">
        <v>218</v>
      </c>
    </row>
    <row r="21" spans="2:17" x14ac:dyDescent="0.2">
      <c r="B21" s="288" t="s">
        <v>101</v>
      </c>
      <c r="C21" s="273">
        <v>0</v>
      </c>
      <c r="D21" s="130">
        <f>'OLD Inputs'!G61</f>
        <v>22000</v>
      </c>
      <c r="E21" s="273">
        <v>1</v>
      </c>
      <c r="F21" s="273">
        <f>C21*E21</f>
        <v>0</v>
      </c>
      <c r="G21" s="274">
        <f>ROUND(16/3,0)</f>
        <v>5</v>
      </c>
      <c r="H21" s="273">
        <f>G21*F21</f>
        <v>0</v>
      </c>
      <c r="I21" s="274">
        <f>H21*0.1</f>
        <v>0</v>
      </c>
      <c r="J21" s="274">
        <f>H21*0.05</f>
        <v>0</v>
      </c>
      <c r="K21" s="289">
        <f>SUM(H21:J21)</f>
        <v>0</v>
      </c>
      <c r="L21" s="130">
        <f>ROUND(H21*'OLD Inputs'!$F$70+I21*'OLD Inputs'!$F$71+J21*'OLD Inputs'!$F$72,0)</f>
        <v>0</v>
      </c>
      <c r="M21" s="130">
        <f>D21*E21*G21</f>
        <v>110000</v>
      </c>
      <c r="N21" s="273">
        <v>0</v>
      </c>
      <c r="O21" s="273" t="s">
        <v>253</v>
      </c>
      <c r="Q21" s="19" t="s">
        <v>218</v>
      </c>
    </row>
    <row r="22" spans="2:17" x14ac:dyDescent="0.2">
      <c r="B22" s="272" t="s">
        <v>66</v>
      </c>
      <c r="C22" s="275" t="s">
        <v>68</v>
      </c>
      <c r="D22" s="273"/>
      <c r="E22" s="273"/>
      <c r="F22" s="273"/>
      <c r="G22" s="273"/>
      <c r="H22" s="273"/>
      <c r="I22" s="273"/>
      <c r="J22" s="273"/>
      <c r="K22" s="273"/>
      <c r="L22" s="273"/>
      <c r="M22" s="273"/>
      <c r="N22" s="273"/>
      <c r="O22" s="273"/>
      <c r="Q22" s="19"/>
    </row>
    <row r="23" spans="2:17" x14ac:dyDescent="0.2">
      <c r="B23" s="272" t="s">
        <v>67</v>
      </c>
      <c r="C23" s="275" t="s">
        <v>69</v>
      </c>
      <c r="D23" s="273"/>
      <c r="E23" s="273"/>
      <c r="F23" s="273"/>
      <c r="G23" s="273"/>
      <c r="H23" s="273"/>
      <c r="I23" s="273"/>
      <c r="J23" s="273"/>
      <c r="K23" s="273"/>
      <c r="L23" s="273"/>
      <c r="M23" s="273"/>
      <c r="N23" s="273"/>
      <c r="O23" s="273"/>
      <c r="Q23" s="19"/>
    </row>
    <row r="24" spans="2:17" x14ac:dyDescent="0.2">
      <c r="B24" s="272" t="s">
        <v>70</v>
      </c>
      <c r="C24" s="275"/>
      <c r="D24" s="273"/>
      <c r="E24" s="273"/>
      <c r="F24" s="273"/>
      <c r="G24" s="273"/>
      <c r="H24" s="273"/>
      <c r="I24" s="273"/>
      <c r="J24" s="273"/>
      <c r="K24" s="273"/>
      <c r="L24" s="273"/>
      <c r="M24" s="273"/>
      <c r="N24" s="273"/>
      <c r="O24" s="273"/>
    </row>
    <row r="25" spans="2:17" x14ac:dyDescent="0.2">
      <c r="B25" s="277" t="s">
        <v>224</v>
      </c>
      <c r="C25" s="275"/>
      <c r="D25" s="273"/>
      <c r="E25" s="273"/>
      <c r="F25" s="273"/>
      <c r="G25" s="273"/>
      <c r="H25" s="273"/>
      <c r="I25" s="273"/>
      <c r="J25" s="273"/>
      <c r="K25" s="273"/>
      <c r="L25" s="273"/>
      <c r="M25" s="273"/>
      <c r="N25" s="273"/>
      <c r="O25" s="273"/>
      <c r="Q25" s="19"/>
    </row>
    <row r="26" spans="2:17" x14ac:dyDescent="0.2">
      <c r="B26" s="288" t="s">
        <v>227</v>
      </c>
      <c r="C26" s="290">
        <v>1</v>
      </c>
      <c r="D26" s="291">
        <v>0</v>
      </c>
      <c r="E26" s="290">
        <v>1</v>
      </c>
      <c r="F26" s="290">
        <f t="shared" ref="F26:F28" si="0">C26*E26</f>
        <v>1</v>
      </c>
      <c r="G26" s="292">
        <f>G14</f>
        <v>13</v>
      </c>
      <c r="H26" s="290">
        <f t="shared" ref="H26:H28" si="1">G26*F26</f>
        <v>13</v>
      </c>
      <c r="I26" s="292">
        <f t="shared" ref="I26:I28" si="2">H26*0.1</f>
        <v>1.3</v>
      </c>
      <c r="J26" s="292">
        <f t="shared" ref="J26:J28" si="3">H26*0.05</f>
        <v>0.65</v>
      </c>
      <c r="K26" s="289">
        <f t="shared" ref="K26:K28" si="4">SUM(H26:J26)</f>
        <v>14.950000000000001</v>
      </c>
      <c r="L26" s="130">
        <f>ROUND(H26*'OLD Inputs'!$F$70+I26*'OLD Inputs'!$F$71+J26*'OLD Inputs'!$F$72,0)</f>
        <v>1513</v>
      </c>
      <c r="M26" s="291">
        <f t="shared" ref="M26:M28" si="5">D26*E26*G26</f>
        <v>0</v>
      </c>
      <c r="N26" s="290">
        <f t="shared" ref="N26:N28" si="6">G26*E26</f>
        <v>13</v>
      </c>
      <c r="O26" s="290" t="s">
        <v>252</v>
      </c>
    </row>
    <row r="27" spans="2:17" x14ac:dyDescent="0.2">
      <c r="B27" s="288" t="s">
        <v>225</v>
      </c>
      <c r="C27" s="290">
        <v>4</v>
      </c>
      <c r="D27" s="291">
        <v>0</v>
      </c>
      <c r="E27" s="290">
        <v>1</v>
      </c>
      <c r="F27" s="290">
        <f t="shared" si="0"/>
        <v>4</v>
      </c>
      <c r="G27" s="292">
        <f>ROUND('OLD Inputs'!E47/3,0)</f>
        <v>60</v>
      </c>
      <c r="H27" s="290">
        <f t="shared" si="1"/>
        <v>240</v>
      </c>
      <c r="I27" s="292">
        <f t="shared" si="2"/>
        <v>24</v>
      </c>
      <c r="J27" s="292">
        <f t="shared" si="3"/>
        <v>12</v>
      </c>
      <c r="K27" s="289">
        <f t="shared" si="4"/>
        <v>276</v>
      </c>
      <c r="L27" s="130">
        <f>ROUND(H27*'OLD Inputs'!$F$70+I27*'OLD Inputs'!$F$71+J27*'OLD Inputs'!$F$72,0)</f>
        <v>27939</v>
      </c>
      <c r="M27" s="291">
        <f t="shared" si="5"/>
        <v>0</v>
      </c>
      <c r="N27" s="290">
        <f t="shared" si="6"/>
        <v>60</v>
      </c>
      <c r="O27" s="290" t="s">
        <v>254</v>
      </c>
      <c r="Q27" s="19" t="s">
        <v>226</v>
      </c>
    </row>
    <row r="28" spans="2:17" x14ac:dyDescent="0.2">
      <c r="B28" s="288" t="s">
        <v>228</v>
      </c>
      <c r="C28" s="290">
        <v>5</v>
      </c>
      <c r="D28" s="291">
        <v>0</v>
      </c>
      <c r="E28" s="290">
        <v>1</v>
      </c>
      <c r="F28" s="290">
        <f t="shared" si="0"/>
        <v>5</v>
      </c>
      <c r="G28" s="292">
        <f>G20</f>
        <v>5</v>
      </c>
      <c r="H28" s="290">
        <f t="shared" si="1"/>
        <v>25</v>
      </c>
      <c r="I28" s="292">
        <f t="shared" si="2"/>
        <v>2.5</v>
      </c>
      <c r="J28" s="292">
        <f t="shared" si="3"/>
        <v>1.25</v>
      </c>
      <c r="K28" s="289">
        <f t="shared" si="4"/>
        <v>28.75</v>
      </c>
      <c r="L28" s="130">
        <f>ROUND(H28*'OLD Inputs'!$F$70+I28*'OLD Inputs'!$F$71+J28*'OLD Inputs'!$F$72,0)</f>
        <v>2910</v>
      </c>
      <c r="M28" s="291">
        <f t="shared" si="5"/>
        <v>0</v>
      </c>
      <c r="N28" s="290">
        <f t="shared" si="6"/>
        <v>5</v>
      </c>
      <c r="O28" s="290" t="s">
        <v>255</v>
      </c>
      <c r="Q28" s="19"/>
    </row>
    <row r="29" spans="2:17" x14ac:dyDescent="0.2">
      <c r="B29" s="277" t="s">
        <v>232</v>
      </c>
      <c r="C29" s="275"/>
      <c r="D29" s="273"/>
      <c r="E29" s="273"/>
      <c r="F29" s="273"/>
      <c r="G29" s="273"/>
      <c r="H29" s="273"/>
      <c r="I29" s="273"/>
      <c r="J29" s="273"/>
      <c r="K29" s="273"/>
      <c r="L29" s="273"/>
      <c r="M29" s="273"/>
      <c r="N29" s="273"/>
      <c r="O29" s="273"/>
      <c r="Q29" s="19"/>
    </row>
    <row r="30" spans="2:17" x14ac:dyDescent="0.2">
      <c r="B30" s="288" t="s">
        <v>227</v>
      </c>
      <c r="C30" s="290">
        <v>1</v>
      </c>
      <c r="D30" s="291">
        <v>0</v>
      </c>
      <c r="E30" s="290">
        <v>2</v>
      </c>
      <c r="F30" s="290">
        <f t="shared" ref="F30:F32" si="7">C30*E30</f>
        <v>2</v>
      </c>
      <c r="G30" s="292">
        <f>G26</f>
        <v>13</v>
      </c>
      <c r="H30" s="290">
        <f t="shared" ref="H30:H32" si="8">G30*F30</f>
        <v>26</v>
      </c>
      <c r="I30" s="292">
        <f t="shared" ref="I30:I32" si="9">H30*0.1</f>
        <v>2.6</v>
      </c>
      <c r="J30" s="292">
        <f t="shared" ref="J30:J32" si="10">H30*0.05</f>
        <v>1.3</v>
      </c>
      <c r="K30" s="289">
        <f t="shared" ref="K30" si="11">SUM(H30:J30)</f>
        <v>29.900000000000002</v>
      </c>
      <c r="L30" s="330">
        <f>ROUND(H30*'OLD Inputs'!$F$70+I30*'OLD Inputs'!$F$71+J30*'OLD Inputs'!$F$72,0)</f>
        <v>3027</v>
      </c>
      <c r="M30" s="291">
        <f t="shared" ref="M30:M32" si="12">D30*E30*G30</f>
        <v>0</v>
      </c>
      <c r="N30" s="290">
        <f t="shared" ref="N30:N32" si="13">G30*E30</f>
        <v>26</v>
      </c>
      <c r="O30" s="290" t="s">
        <v>252</v>
      </c>
      <c r="Q30" s="19"/>
    </row>
    <row r="31" spans="2:17" x14ac:dyDescent="0.2">
      <c r="B31" s="288" t="s">
        <v>225</v>
      </c>
      <c r="C31" s="290">
        <v>4</v>
      </c>
      <c r="D31" s="291">
        <v>0</v>
      </c>
      <c r="E31" s="290">
        <v>2</v>
      </c>
      <c r="F31" s="290">
        <f t="shared" si="7"/>
        <v>8</v>
      </c>
      <c r="G31" s="292">
        <f>G27</f>
        <v>60</v>
      </c>
      <c r="H31" s="290">
        <f t="shared" si="8"/>
        <v>480</v>
      </c>
      <c r="I31" s="292">
        <f t="shared" si="9"/>
        <v>48</v>
      </c>
      <c r="J31" s="292">
        <f t="shared" si="10"/>
        <v>24</v>
      </c>
      <c r="K31" s="289">
        <f t="shared" ref="K31:K32" si="14">SUM(H31:J31)</f>
        <v>552</v>
      </c>
      <c r="L31" s="330">
        <f>ROUND(H31*'OLD Inputs'!$F$70+I31*'OLD Inputs'!$F$71+J31*'OLD Inputs'!$F$72,0)</f>
        <v>55877</v>
      </c>
      <c r="M31" s="291">
        <f t="shared" si="12"/>
        <v>0</v>
      </c>
      <c r="N31" s="290">
        <f>G31*E31</f>
        <v>120</v>
      </c>
      <c r="O31" s="290" t="s">
        <v>254</v>
      </c>
      <c r="Q31" s="19"/>
    </row>
    <row r="32" spans="2:17" x14ac:dyDescent="0.2">
      <c r="B32" s="288" t="s">
        <v>228</v>
      </c>
      <c r="C32" s="290">
        <v>5</v>
      </c>
      <c r="D32" s="291">
        <v>0</v>
      </c>
      <c r="E32" s="290">
        <v>2</v>
      </c>
      <c r="F32" s="290">
        <f t="shared" si="7"/>
        <v>10</v>
      </c>
      <c r="G32" s="292">
        <f>G28</f>
        <v>5</v>
      </c>
      <c r="H32" s="290">
        <f t="shared" si="8"/>
        <v>50</v>
      </c>
      <c r="I32" s="292">
        <f t="shared" si="9"/>
        <v>5</v>
      </c>
      <c r="J32" s="292">
        <f t="shared" si="10"/>
        <v>2.5</v>
      </c>
      <c r="K32" s="289">
        <f t="shared" si="14"/>
        <v>57.5</v>
      </c>
      <c r="L32" s="330">
        <f>ROUND(H32*'OLD Inputs'!$F$70+I32*'OLD Inputs'!$F$71+J32*'OLD Inputs'!$F$72,0)</f>
        <v>5821</v>
      </c>
      <c r="M32" s="291">
        <f t="shared" si="12"/>
        <v>0</v>
      </c>
      <c r="N32" s="290">
        <f t="shared" si="13"/>
        <v>10</v>
      </c>
      <c r="O32" s="290" t="s">
        <v>255</v>
      </c>
      <c r="Q32" s="19"/>
    </row>
    <row r="33" spans="2:17" s="300" customFormat="1" x14ac:dyDescent="0.2">
      <c r="B33" s="293" t="s">
        <v>71</v>
      </c>
      <c r="C33" s="298"/>
      <c r="D33" s="299"/>
      <c r="E33" s="298"/>
      <c r="F33" s="298"/>
      <c r="G33" s="298"/>
      <c r="H33" s="301">
        <f>SUM(H7:H32)</f>
        <v>834</v>
      </c>
      <c r="I33" s="301">
        <f>SUM(I7:I32)</f>
        <v>83.4</v>
      </c>
      <c r="J33" s="301">
        <f>SUM(J7:J32)</f>
        <v>41.7</v>
      </c>
      <c r="K33" s="301">
        <f>SUM(K7:K32)</f>
        <v>959.09999999999991</v>
      </c>
      <c r="L33" s="302">
        <f>SUM(L7:L32)</f>
        <v>97087</v>
      </c>
      <c r="M33" s="302">
        <f>SUM(M7:M32)-M20-M14</f>
        <v>167536.60249065899</v>
      </c>
      <c r="N33" s="301">
        <f>SUM(N7:N32)</f>
        <v>234</v>
      </c>
      <c r="O33" s="298"/>
    </row>
    <row r="34" spans="2:17" ht="10.5" customHeight="1" x14ac:dyDescent="0.2">
      <c r="B34" s="295" t="s">
        <v>56</v>
      </c>
      <c r="C34" s="275"/>
      <c r="D34" s="273"/>
      <c r="E34" s="273"/>
      <c r="F34" s="273"/>
      <c r="G34" s="273"/>
      <c r="H34" s="273"/>
      <c r="I34" s="273"/>
      <c r="J34" s="273"/>
      <c r="K34" s="273"/>
      <c r="L34" s="273"/>
      <c r="M34" s="273"/>
      <c r="N34" s="273"/>
      <c r="O34" s="273"/>
      <c r="Q34" s="19"/>
    </row>
    <row r="35" spans="2:17" x14ac:dyDescent="0.2">
      <c r="B35" s="272" t="s">
        <v>57</v>
      </c>
      <c r="C35" s="275" t="s">
        <v>102</v>
      </c>
      <c r="D35" s="273"/>
      <c r="E35" s="273"/>
      <c r="F35" s="273"/>
      <c r="G35" s="273"/>
      <c r="H35" s="273"/>
      <c r="I35" s="273"/>
      <c r="J35" s="273"/>
      <c r="K35" s="273"/>
      <c r="L35" s="273"/>
      <c r="M35" s="273"/>
      <c r="N35" s="273"/>
      <c r="O35" s="273"/>
      <c r="Q35" s="19"/>
    </row>
    <row r="36" spans="2:17" x14ac:dyDescent="0.2">
      <c r="B36" s="272" t="s">
        <v>98</v>
      </c>
      <c r="C36" s="275" t="s">
        <v>61</v>
      </c>
      <c r="D36" s="273"/>
      <c r="E36" s="273"/>
      <c r="F36" s="273"/>
      <c r="G36" s="273"/>
      <c r="H36" s="273"/>
      <c r="I36" s="273"/>
      <c r="J36" s="273"/>
      <c r="K36" s="273"/>
      <c r="L36" s="273"/>
      <c r="M36" s="273"/>
      <c r="N36" s="273"/>
      <c r="O36" s="273"/>
      <c r="Q36" s="19"/>
    </row>
    <row r="37" spans="2:17" x14ac:dyDescent="0.2">
      <c r="B37" s="272" t="s">
        <v>58</v>
      </c>
      <c r="C37" s="275" t="s">
        <v>61</v>
      </c>
      <c r="D37" s="273"/>
      <c r="E37" s="273"/>
      <c r="F37" s="273"/>
      <c r="G37" s="273"/>
      <c r="H37" s="273"/>
      <c r="I37" s="273"/>
      <c r="J37" s="273"/>
      <c r="K37" s="273"/>
      <c r="L37" s="273"/>
      <c r="M37" s="273"/>
      <c r="N37" s="273"/>
      <c r="O37" s="273"/>
      <c r="Q37" s="19"/>
    </row>
    <row r="38" spans="2:17" x14ac:dyDescent="0.2">
      <c r="B38" s="272" t="s">
        <v>72</v>
      </c>
      <c r="C38" s="275"/>
      <c r="D38" s="273"/>
      <c r="E38" s="273"/>
      <c r="F38" s="273"/>
      <c r="G38" s="273"/>
      <c r="H38" s="273"/>
      <c r="I38" s="273"/>
      <c r="J38" s="273"/>
      <c r="K38" s="273"/>
      <c r="L38" s="273"/>
      <c r="M38" s="273"/>
      <c r="N38" s="273"/>
      <c r="O38" s="273"/>
      <c r="Q38" s="19"/>
    </row>
    <row r="39" spans="2:17" x14ac:dyDescent="0.2">
      <c r="B39" s="277" t="s">
        <v>157</v>
      </c>
      <c r="C39" s="273">
        <v>5</v>
      </c>
      <c r="D39" s="130">
        <v>0</v>
      </c>
      <c r="E39" s="273">
        <v>1</v>
      </c>
      <c r="F39" s="273">
        <f t="shared" ref="F39:F41" si="15">C39*E39</f>
        <v>5</v>
      </c>
      <c r="G39" s="274">
        <f>G30</f>
        <v>13</v>
      </c>
      <c r="H39" s="160">
        <f t="shared" ref="H39:H43" si="16">G39*F39</f>
        <v>65</v>
      </c>
      <c r="I39" s="160">
        <f t="shared" ref="I39:I43" si="17">H39*0.1</f>
        <v>6.5</v>
      </c>
      <c r="J39" s="160">
        <f t="shared" ref="J39:J43" si="18">H39*0.05</f>
        <v>3.25</v>
      </c>
      <c r="K39" s="296">
        <f t="shared" ref="K39" si="19">SUM(H39:J39)</f>
        <v>74.75</v>
      </c>
      <c r="L39" s="130">
        <f>ROUND(H39*'OLD Inputs'!$F$70+I39*'OLD Inputs'!$F$71+J39*'OLD Inputs'!$F$72,0)</f>
        <v>7567</v>
      </c>
      <c r="M39" s="130">
        <f t="shared" ref="M39:M43" si="20">D39*E39*G39</f>
        <v>0</v>
      </c>
      <c r="N39" s="273">
        <v>0</v>
      </c>
      <c r="O39" s="290" t="s">
        <v>252</v>
      </c>
      <c r="Q39" s="19" t="s">
        <v>231</v>
      </c>
    </row>
    <row r="40" spans="2:17" x14ac:dyDescent="0.2">
      <c r="B40" s="276" t="s">
        <v>229</v>
      </c>
      <c r="C40" s="273">
        <v>8</v>
      </c>
      <c r="D40" s="130">
        <v>0</v>
      </c>
      <c r="E40" s="273">
        <v>1</v>
      </c>
      <c r="F40" s="273">
        <f t="shared" si="15"/>
        <v>8</v>
      </c>
      <c r="G40" s="274">
        <f>G31</f>
        <v>60</v>
      </c>
      <c r="H40" s="160">
        <f t="shared" si="16"/>
        <v>480</v>
      </c>
      <c r="I40" s="160">
        <f t="shared" si="17"/>
        <v>48</v>
      </c>
      <c r="J40" s="160">
        <f t="shared" si="18"/>
        <v>24</v>
      </c>
      <c r="K40" s="296">
        <f t="shared" ref="K40:K43" si="21">SUM(H40:J40)</f>
        <v>552</v>
      </c>
      <c r="L40" s="130">
        <f>ROUND(H40*'OLD Inputs'!$F$70+I40*'OLD Inputs'!$F$71+J40*'OLD Inputs'!$F$72,0)</f>
        <v>55877</v>
      </c>
      <c r="M40" s="130">
        <f t="shared" si="20"/>
        <v>0</v>
      </c>
      <c r="N40" s="273">
        <v>0</v>
      </c>
      <c r="O40" s="290" t="s">
        <v>254</v>
      </c>
    </row>
    <row r="41" spans="2:17" x14ac:dyDescent="0.2">
      <c r="B41" s="276" t="s">
        <v>230</v>
      </c>
      <c r="C41" s="273">
        <v>0.4</v>
      </c>
      <c r="D41" s="130">
        <v>0</v>
      </c>
      <c r="E41" s="273">
        <v>365</v>
      </c>
      <c r="F41" s="273">
        <f t="shared" si="15"/>
        <v>146</v>
      </c>
      <c r="G41" s="274">
        <f>G32</f>
        <v>5</v>
      </c>
      <c r="H41" s="160">
        <f t="shared" si="16"/>
        <v>730</v>
      </c>
      <c r="I41" s="160">
        <f t="shared" si="17"/>
        <v>73</v>
      </c>
      <c r="J41" s="160">
        <f t="shared" si="18"/>
        <v>36.5</v>
      </c>
      <c r="K41" s="296">
        <f t="shared" si="21"/>
        <v>839.5</v>
      </c>
      <c r="L41" s="130">
        <f>ROUND(H41*'OLD Inputs'!$F$70+I41*'OLD Inputs'!$F$71+J41*'OLD Inputs'!$F$72,0)</f>
        <v>84980</v>
      </c>
      <c r="M41" s="130">
        <f t="shared" si="20"/>
        <v>0</v>
      </c>
      <c r="N41" s="273">
        <v>0</v>
      </c>
      <c r="O41" s="290" t="s">
        <v>255</v>
      </c>
    </row>
    <row r="42" spans="2:17" x14ac:dyDescent="0.2">
      <c r="B42" s="276" t="s">
        <v>238</v>
      </c>
      <c r="C42" s="273">
        <v>25</v>
      </c>
      <c r="D42" s="130">
        <v>0</v>
      </c>
      <c r="E42" s="273">
        <v>1</v>
      </c>
      <c r="F42" s="273">
        <f>C42*E42</f>
        <v>25</v>
      </c>
      <c r="G42" s="274">
        <v>0</v>
      </c>
      <c r="H42" s="160">
        <f t="shared" si="16"/>
        <v>0</v>
      </c>
      <c r="I42" s="160">
        <f t="shared" si="17"/>
        <v>0</v>
      </c>
      <c r="J42" s="160">
        <f t="shared" si="18"/>
        <v>0</v>
      </c>
      <c r="K42" s="296">
        <f t="shared" si="21"/>
        <v>0</v>
      </c>
      <c r="L42" s="130">
        <f>ROUND(H42*'OLD Inputs'!$F$70+I42*'OLD Inputs'!$F$71+J42*'OLD Inputs'!$F$72,0)</f>
        <v>0</v>
      </c>
      <c r="M42" s="130">
        <f t="shared" si="20"/>
        <v>0</v>
      </c>
      <c r="N42" s="273">
        <v>0</v>
      </c>
      <c r="O42" s="273" t="s">
        <v>248</v>
      </c>
    </row>
    <row r="43" spans="2:17" x14ac:dyDescent="0.2">
      <c r="B43" s="272" t="s">
        <v>73</v>
      </c>
      <c r="C43" s="273">
        <v>16</v>
      </c>
      <c r="D43" s="130">
        <v>0</v>
      </c>
      <c r="E43" s="273">
        <v>1</v>
      </c>
      <c r="F43" s="273">
        <f t="shared" ref="F43" si="22">C43*E43</f>
        <v>16</v>
      </c>
      <c r="G43" s="274">
        <v>0</v>
      </c>
      <c r="H43" s="160">
        <f t="shared" si="16"/>
        <v>0</v>
      </c>
      <c r="I43" s="160">
        <f t="shared" si="17"/>
        <v>0</v>
      </c>
      <c r="J43" s="160">
        <f t="shared" si="18"/>
        <v>0</v>
      </c>
      <c r="K43" s="296">
        <f t="shared" si="21"/>
        <v>0</v>
      </c>
      <c r="L43" s="130">
        <f>ROUND(H43*'OLD Inputs'!$F$70+I43*'OLD Inputs'!$F$71+J43*'OLD Inputs'!$F$72,0)</f>
        <v>0</v>
      </c>
      <c r="M43" s="130">
        <f t="shared" si="20"/>
        <v>0</v>
      </c>
      <c r="N43" s="273">
        <v>0</v>
      </c>
      <c r="O43" s="273"/>
    </row>
    <row r="44" spans="2:17" x14ac:dyDescent="0.2">
      <c r="B44" s="272" t="s">
        <v>74</v>
      </c>
      <c r="C44" s="275" t="s">
        <v>61</v>
      </c>
      <c r="D44" s="273"/>
      <c r="E44" s="273"/>
      <c r="F44" s="273"/>
      <c r="G44" s="273"/>
      <c r="H44" s="273"/>
      <c r="I44" s="273"/>
      <c r="J44" s="273"/>
      <c r="K44" s="273"/>
      <c r="L44" s="273"/>
      <c r="M44" s="273"/>
      <c r="N44" s="273"/>
      <c r="O44" s="273"/>
    </row>
    <row r="45" spans="2:17" s="306" customFormat="1" thickBot="1" x14ac:dyDescent="0.2">
      <c r="B45" s="294" t="s">
        <v>59</v>
      </c>
      <c r="C45" s="303"/>
      <c r="D45" s="303"/>
      <c r="E45" s="303"/>
      <c r="F45" s="303"/>
      <c r="G45" s="303"/>
      <c r="H45" s="304">
        <f t="shared" ref="H45:N45" si="23">SUM(H39:H43)</f>
        <v>1275</v>
      </c>
      <c r="I45" s="304">
        <f t="shared" si="23"/>
        <v>127.5</v>
      </c>
      <c r="J45" s="304">
        <f t="shared" si="23"/>
        <v>63.75</v>
      </c>
      <c r="K45" s="304">
        <f>SUM(K39:K43)</f>
        <v>1466.25</v>
      </c>
      <c r="L45" s="305">
        <f>SUM(L39:L43)</f>
        <v>148424</v>
      </c>
      <c r="M45" s="305">
        <f t="shared" si="23"/>
        <v>0</v>
      </c>
      <c r="N45" s="304">
        <f t="shared" si="23"/>
        <v>0</v>
      </c>
      <c r="O45" s="303"/>
      <c r="Q45" s="307"/>
    </row>
    <row r="46" spans="2:17" s="311" customFormat="1" ht="13.5" customHeight="1" thickTop="1" x14ac:dyDescent="0.25">
      <c r="B46" s="192" t="s">
        <v>34</v>
      </c>
      <c r="C46" s="308"/>
      <c r="D46" s="308"/>
      <c r="E46" s="308"/>
      <c r="F46" s="308"/>
      <c r="G46" s="308"/>
      <c r="H46" s="309">
        <f t="shared" ref="H46:N46" si="24">H45+H33</f>
        <v>2109</v>
      </c>
      <c r="I46" s="309">
        <f t="shared" si="24"/>
        <v>210.9</v>
      </c>
      <c r="J46" s="309">
        <f t="shared" si="24"/>
        <v>105.45</v>
      </c>
      <c r="K46" s="309">
        <f>K45+K33</f>
        <v>2425.35</v>
      </c>
      <c r="L46" s="310">
        <f>L45+L33</f>
        <v>245511</v>
      </c>
      <c r="M46" s="310">
        <f>M45+M33</f>
        <v>167536.60249065899</v>
      </c>
      <c r="N46" s="308">
        <f t="shared" si="24"/>
        <v>234</v>
      </c>
      <c r="O46" s="308"/>
      <c r="Q46" s="312"/>
    </row>
    <row r="47" spans="2:17" ht="7.5" customHeight="1" x14ac:dyDescent="0.2">
      <c r="B47" s="183"/>
      <c r="C47" s="265"/>
      <c r="D47" s="265"/>
      <c r="E47" s="265"/>
      <c r="F47" s="265"/>
      <c r="G47" s="184"/>
      <c r="H47" s="185"/>
      <c r="I47" s="186"/>
      <c r="J47" s="186"/>
      <c r="K47" s="187"/>
      <c r="L47" s="187"/>
      <c r="M47" s="187"/>
      <c r="N47" s="265"/>
      <c r="O47" s="266"/>
    </row>
    <row r="48" spans="2:17" x14ac:dyDescent="0.2">
      <c r="B48" s="188"/>
      <c r="C48" s="267"/>
      <c r="D48" s="267"/>
      <c r="E48" s="267"/>
      <c r="F48" s="267"/>
      <c r="G48" s="9"/>
      <c r="H48" s="9"/>
      <c r="I48" s="10"/>
      <c r="J48" s="160" t="s">
        <v>54</v>
      </c>
      <c r="K48" s="160" t="s">
        <v>75</v>
      </c>
      <c r="L48" s="166" t="s">
        <v>76</v>
      </c>
      <c r="M48" s="166" t="s">
        <v>47</v>
      </c>
      <c r="N48" s="267"/>
      <c r="O48" s="268"/>
    </row>
    <row r="49" spans="2:15" x14ac:dyDescent="0.2">
      <c r="B49" s="188"/>
      <c r="C49" s="267"/>
      <c r="D49" s="267"/>
      <c r="E49" s="267"/>
      <c r="F49" s="267"/>
      <c r="G49" s="161" t="s">
        <v>77</v>
      </c>
      <c r="H49" s="162"/>
      <c r="I49" s="165"/>
      <c r="J49" s="160">
        <f>H46+I46+J46</f>
        <v>2425.35</v>
      </c>
      <c r="K49" s="130">
        <f>L46</f>
        <v>245511</v>
      </c>
      <c r="L49" s="130">
        <f>M46</f>
        <v>167536.60249065899</v>
      </c>
      <c r="M49" s="130">
        <f>L49+K49</f>
        <v>413047.60249065899</v>
      </c>
      <c r="N49" s="267"/>
      <c r="O49" s="268"/>
    </row>
    <row r="50" spans="2:15" ht="7.5" customHeight="1" x14ac:dyDescent="0.2">
      <c r="B50" s="188"/>
      <c r="C50" s="267"/>
      <c r="D50" s="267"/>
      <c r="E50" s="267"/>
      <c r="F50" s="267"/>
      <c r="G50" s="11"/>
      <c r="H50" s="9"/>
      <c r="I50" s="10"/>
      <c r="J50" s="10"/>
      <c r="K50" s="12"/>
      <c r="L50" s="12"/>
      <c r="M50" s="12"/>
      <c r="N50" s="267"/>
      <c r="O50" s="268"/>
    </row>
    <row r="51" spans="2:15" x14ac:dyDescent="0.2">
      <c r="B51" s="188"/>
      <c r="C51" s="267"/>
      <c r="D51" s="267"/>
      <c r="E51" s="267"/>
      <c r="F51" s="267"/>
      <c r="G51" s="161" t="s">
        <v>78</v>
      </c>
      <c r="H51" s="162"/>
      <c r="I51" s="163"/>
      <c r="J51" s="163"/>
      <c r="K51" s="164"/>
      <c r="L51" s="269"/>
      <c r="M51" s="130">
        <f>L7+M20+M14</f>
        <v>156720</v>
      </c>
      <c r="N51" s="267"/>
      <c r="O51" s="268"/>
    </row>
    <row r="52" spans="2:15" x14ac:dyDescent="0.2">
      <c r="B52" s="189"/>
      <c r="C52" s="270"/>
      <c r="D52" s="270"/>
      <c r="E52" s="270"/>
      <c r="F52" s="270"/>
      <c r="G52" s="161" t="s">
        <v>79</v>
      </c>
      <c r="H52" s="190"/>
      <c r="I52" s="190"/>
      <c r="J52" s="190"/>
      <c r="K52" s="164"/>
      <c r="L52" s="191"/>
      <c r="M52" s="130">
        <f>M46</f>
        <v>167536.60249065899</v>
      </c>
      <c r="N52" s="270"/>
      <c r="O52" s="271"/>
    </row>
    <row r="53" spans="2:15" ht="8.25" customHeight="1" x14ac:dyDescent="0.2"/>
    <row r="54" spans="2:15" x14ac:dyDescent="0.2">
      <c r="B54" s="19" t="s">
        <v>93</v>
      </c>
      <c r="L54" s="23"/>
    </row>
    <row r="55" spans="2:15" x14ac:dyDescent="0.2">
      <c r="B55" s="354" t="s">
        <v>178</v>
      </c>
      <c r="C55" s="354"/>
      <c r="D55" s="354"/>
      <c r="E55" s="354"/>
      <c r="F55" s="354"/>
      <c r="G55" s="354"/>
      <c r="H55" s="354"/>
      <c r="I55" s="354"/>
      <c r="J55" s="354"/>
      <c r="K55" s="354"/>
      <c r="L55" s="354"/>
      <c r="M55" s="354"/>
      <c r="N55" s="354"/>
    </row>
    <row r="56" spans="2:15" s="228" customFormat="1" x14ac:dyDescent="0.2">
      <c r="B56" s="19" t="s">
        <v>139</v>
      </c>
      <c r="C56" s="19"/>
      <c r="D56" s="19"/>
      <c r="E56" s="19"/>
      <c r="F56" s="19"/>
      <c r="G56" s="19"/>
      <c r="H56" s="19"/>
      <c r="I56" s="19"/>
      <c r="J56" s="19"/>
      <c r="K56" s="19"/>
      <c r="L56" s="19"/>
      <c r="M56" s="19"/>
      <c r="N56" s="19"/>
    </row>
    <row r="57" spans="2:15" ht="22.5" customHeight="1" x14ac:dyDescent="0.2">
      <c r="B57" s="354" t="s">
        <v>243</v>
      </c>
      <c r="C57" s="354"/>
      <c r="D57" s="354"/>
      <c r="E57" s="354"/>
      <c r="F57" s="354"/>
      <c r="G57" s="354"/>
      <c r="H57" s="354"/>
      <c r="I57" s="354"/>
      <c r="J57" s="354"/>
      <c r="K57" s="354"/>
      <c r="L57" s="354"/>
      <c r="M57" s="354"/>
      <c r="N57" s="354"/>
    </row>
    <row r="58" spans="2:15" x14ac:dyDescent="0.2">
      <c r="B58" s="354" t="s">
        <v>245</v>
      </c>
      <c r="C58" s="354"/>
      <c r="D58" s="354"/>
      <c r="E58" s="354"/>
      <c r="F58" s="354"/>
      <c r="G58" s="354"/>
      <c r="H58" s="354"/>
      <c r="I58" s="354"/>
      <c r="J58" s="354"/>
      <c r="K58" s="354"/>
      <c r="L58" s="354"/>
      <c r="M58" s="354"/>
      <c r="N58" s="354"/>
    </row>
    <row r="59" spans="2:15" ht="24" customHeight="1" x14ac:dyDescent="0.2">
      <c r="B59" s="354" t="s">
        <v>246</v>
      </c>
      <c r="C59" s="354"/>
      <c r="D59" s="354"/>
      <c r="E59" s="354"/>
      <c r="F59" s="354"/>
      <c r="G59" s="354"/>
      <c r="H59" s="354"/>
      <c r="I59" s="354"/>
      <c r="J59" s="354"/>
      <c r="K59" s="354"/>
      <c r="L59" s="354"/>
      <c r="M59" s="354"/>
      <c r="N59" s="354"/>
    </row>
    <row r="60" spans="2:15" x14ac:dyDescent="0.2">
      <c r="B60" s="354" t="s">
        <v>247</v>
      </c>
      <c r="C60" s="354"/>
      <c r="D60" s="354"/>
      <c r="E60" s="354"/>
      <c r="F60" s="354"/>
      <c r="G60" s="354"/>
      <c r="H60" s="354"/>
      <c r="I60" s="354"/>
      <c r="J60" s="354"/>
      <c r="K60" s="354"/>
      <c r="L60" s="354"/>
      <c r="M60" s="354"/>
      <c r="N60" s="354"/>
    </row>
    <row r="61" spans="2:15" x14ac:dyDescent="0.2">
      <c r="B61" s="354" t="s">
        <v>249</v>
      </c>
      <c r="C61" s="354"/>
      <c r="D61" s="354"/>
      <c r="E61" s="354"/>
      <c r="F61" s="354"/>
      <c r="G61" s="354"/>
      <c r="H61" s="354"/>
      <c r="I61" s="354"/>
      <c r="J61" s="354"/>
      <c r="K61" s="354"/>
      <c r="L61" s="354"/>
      <c r="M61" s="354"/>
      <c r="N61" s="354"/>
    </row>
    <row r="62" spans="2:15" x14ac:dyDescent="0.2">
      <c r="B62" s="297" t="s">
        <v>250</v>
      </c>
      <c r="C62" s="254"/>
      <c r="D62" s="254"/>
      <c r="E62" s="254"/>
      <c r="F62" s="254"/>
      <c r="G62" s="254"/>
      <c r="H62" s="254"/>
      <c r="I62" s="254"/>
      <c r="J62" s="254"/>
      <c r="K62" s="254"/>
      <c r="L62" s="254"/>
      <c r="M62" s="254"/>
      <c r="N62" s="254"/>
    </row>
    <row r="63" spans="2:15" x14ac:dyDescent="0.2">
      <c r="B63" s="354" t="s">
        <v>251</v>
      </c>
      <c r="C63" s="354"/>
      <c r="D63" s="354"/>
      <c r="E63" s="354"/>
      <c r="F63" s="354"/>
      <c r="G63" s="354"/>
      <c r="H63" s="354"/>
      <c r="I63" s="354"/>
      <c r="J63" s="354"/>
      <c r="K63" s="354"/>
      <c r="L63" s="354"/>
      <c r="M63" s="354"/>
      <c r="N63" s="354"/>
    </row>
    <row r="64" spans="2:15" x14ac:dyDescent="0.2">
      <c r="B64" s="354"/>
      <c r="C64" s="354"/>
      <c r="D64" s="354"/>
      <c r="E64" s="354"/>
      <c r="F64" s="354"/>
      <c r="G64" s="354"/>
      <c r="H64" s="354"/>
      <c r="I64" s="354"/>
      <c r="J64" s="354"/>
      <c r="K64" s="354"/>
      <c r="L64" s="354"/>
      <c r="M64" s="354"/>
      <c r="N64" s="354"/>
    </row>
    <row r="69" spans="2:14" x14ac:dyDescent="0.2">
      <c r="B69" s="353"/>
      <c r="C69" s="353"/>
      <c r="D69" s="353"/>
      <c r="E69" s="353"/>
      <c r="F69" s="353"/>
      <c r="G69" s="353"/>
      <c r="H69" s="353"/>
      <c r="I69" s="353"/>
      <c r="J69" s="353"/>
      <c r="K69" s="353"/>
      <c r="L69" s="353"/>
      <c r="M69" s="353"/>
      <c r="N69" s="353"/>
    </row>
  </sheetData>
  <mergeCells count="10">
    <mergeCell ref="B61:N61"/>
    <mergeCell ref="B63:N63"/>
    <mergeCell ref="B64:N64"/>
    <mergeCell ref="B69:N69"/>
    <mergeCell ref="B2:O2"/>
    <mergeCell ref="B55:N55"/>
    <mergeCell ref="B57:N57"/>
    <mergeCell ref="B58:N58"/>
    <mergeCell ref="B59:N59"/>
    <mergeCell ref="B60:N60"/>
  </mergeCells>
  <printOptions horizontalCentered="1"/>
  <pageMargins left="0.5" right="0.5" top="0.5" bottom="0.5" header="0.3" footer="0.3"/>
  <pageSetup scale="85" fitToHeight="0" orientation="landscape" r:id="rId1"/>
  <headerFooter>
    <oddFooter>&amp;CA.1-&amp;P</oddFooter>
  </headerFooter>
  <rowBreaks count="1" manualBreakCount="1">
    <brk id="33" min="1"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8B240-36CF-46DB-86D9-3E0C374B7E78}">
  <sheetPr>
    <tabColor rgb="FF7030A0"/>
    <pageSetUpPr fitToPage="1"/>
  </sheetPr>
  <dimension ref="B2:Q69"/>
  <sheetViews>
    <sheetView tabSelected="1" zoomScaleNormal="100" zoomScaleSheetLayoutView="80" workbookViewId="0">
      <pane ySplit="3" topLeftCell="A4" activePane="bottomLeft" state="frozen"/>
      <selection activeCell="A4" sqref="A4"/>
      <selection pane="bottomLeft" activeCell="A4" sqref="A4"/>
    </sheetView>
  </sheetViews>
  <sheetFormatPr defaultRowHeight="11.25" x14ac:dyDescent="0.2"/>
  <cols>
    <col min="1" max="1" width="2.140625" style="19" customWidth="1"/>
    <col min="2" max="2" width="32.5703125" style="19" customWidth="1"/>
    <col min="3" max="4" width="9.28515625" style="19" bestFit="1" customWidth="1"/>
    <col min="5" max="5" width="10.140625" style="19" bestFit="1" customWidth="1"/>
    <col min="6" max="6" width="9.7109375" style="19" customWidth="1"/>
    <col min="7" max="7" width="10.140625" style="19" bestFit="1" customWidth="1"/>
    <col min="8" max="8" width="7.85546875" style="19" bestFit="1" customWidth="1"/>
    <col min="9" max="9" width="8.85546875" style="19" bestFit="1" customWidth="1"/>
    <col min="10" max="10" width="9.7109375" style="19" bestFit="1" customWidth="1"/>
    <col min="11" max="11" width="8.85546875" style="19" bestFit="1" customWidth="1"/>
    <col min="12" max="12" width="9.5703125" style="19" bestFit="1" customWidth="1"/>
    <col min="13" max="13" width="9.42578125" style="19" bestFit="1" customWidth="1"/>
    <col min="14" max="14" width="8.85546875" style="19" bestFit="1" customWidth="1"/>
    <col min="15" max="15" width="4" style="19" customWidth="1"/>
    <col min="16" max="16" width="2.5703125" style="19" customWidth="1"/>
    <col min="17" max="17" width="29.140625" style="113" hidden="1" customWidth="1"/>
    <col min="18" max="16384" width="9.140625" style="19"/>
  </cols>
  <sheetData>
    <row r="2" spans="2:17" ht="33" customHeight="1" x14ac:dyDescent="0.2">
      <c r="B2" s="355" t="s">
        <v>257</v>
      </c>
      <c r="C2" s="355"/>
      <c r="D2" s="355"/>
      <c r="E2" s="355"/>
      <c r="F2" s="355"/>
      <c r="G2" s="355"/>
      <c r="H2" s="355"/>
      <c r="I2" s="355"/>
      <c r="J2" s="355"/>
      <c r="K2" s="355"/>
      <c r="L2" s="355"/>
      <c r="M2" s="355"/>
      <c r="N2" s="355"/>
      <c r="O2" s="355"/>
    </row>
    <row r="3" spans="2:17" s="22" customFormat="1" ht="69.75" customHeight="1" x14ac:dyDescent="0.2">
      <c r="B3" s="282" t="s">
        <v>3</v>
      </c>
      <c r="C3" s="282" t="s">
        <v>4</v>
      </c>
      <c r="D3" s="282" t="s">
        <v>80</v>
      </c>
      <c r="E3" s="282" t="s">
        <v>89</v>
      </c>
      <c r="F3" s="282" t="s">
        <v>107</v>
      </c>
      <c r="G3" s="283" t="s">
        <v>90</v>
      </c>
      <c r="H3" s="284" t="s">
        <v>97</v>
      </c>
      <c r="I3" s="284" t="s">
        <v>91</v>
      </c>
      <c r="J3" s="284" t="s">
        <v>92</v>
      </c>
      <c r="K3" s="284" t="s">
        <v>113</v>
      </c>
      <c r="L3" s="282" t="s">
        <v>114</v>
      </c>
      <c r="M3" s="284" t="s">
        <v>115</v>
      </c>
      <c r="N3" s="284" t="s">
        <v>116</v>
      </c>
      <c r="O3" s="285" t="s">
        <v>5</v>
      </c>
    </row>
    <row r="4" spans="2:17" ht="10.5" customHeight="1" x14ac:dyDescent="0.2">
      <c r="B4" s="295" t="s">
        <v>60</v>
      </c>
      <c r="C4" s="275" t="s">
        <v>61</v>
      </c>
      <c r="D4" s="273"/>
      <c r="E4" s="273"/>
      <c r="F4" s="273"/>
      <c r="G4" s="273"/>
      <c r="H4" s="273"/>
      <c r="I4" s="273"/>
      <c r="J4" s="273"/>
      <c r="K4" s="273"/>
      <c r="L4" s="273"/>
      <c r="M4" s="273"/>
      <c r="N4" s="273"/>
      <c r="O4" s="273"/>
    </row>
    <row r="5" spans="2:17" ht="10.5" customHeight="1" x14ac:dyDescent="0.2">
      <c r="B5" s="295" t="s">
        <v>62</v>
      </c>
      <c r="C5" s="275" t="s">
        <v>61</v>
      </c>
      <c r="D5" s="273"/>
      <c r="E5" s="273"/>
      <c r="F5" s="273"/>
      <c r="G5" s="273"/>
      <c r="H5" s="273"/>
      <c r="I5" s="273"/>
      <c r="J5" s="273"/>
      <c r="K5" s="273"/>
      <c r="L5" s="273"/>
      <c r="M5" s="273"/>
      <c r="N5" s="273"/>
      <c r="O5" s="273"/>
    </row>
    <row r="6" spans="2:17" ht="10.5" customHeight="1" x14ac:dyDescent="0.2">
      <c r="B6" s="295" t="s">
        <v>63</v>
      </c>
      <c r="C6" s="275"/>
      <c r="D6" s="273"/>
      <c r="E6" s="273"/>
      <c r="F6" s="273"/>
      <c r="G6" s="273"/>
      <c r="H6" s="273"/>
      <c r="I6" s="273"/>
      <c r="J6" s="273"/>
      <c r="K6" s="273"/>
      <c r="L6" s="273"/>
      <c r="M6" s="273"/>
      <c r="N6" s="273"/>
      <c r="O6" s="273"/>
    </row>
    <row r="7" spans="2:17" x14ac:dyDescent="0.2">
      <c r="B7" s="272" t="s">
        <v>64</v>
      </c>
      <c r="C7" s="273">
        <v>24</v>
      </c>
      <c r="D7" s="130">
        <v>0</v>
      </c>
      <c r="E7" s="273">
        <v>1</v>
      </c>
      <c r="F7" s="273">
        <f>C7*E7</f>
        <v>24</v>
      </c>
      <c r="G7" s="274">
        <v>0</v>
      </c>
      <c r="H7" s="160">
        <f>G7*F7</f>
        <v>0</v>
      </c>
      <c r="I7" s="160">
        <f>H7*0.1</f>
        <v>0</v>
      </c>
      <c r="J7" s="160">
        <f>H7*0.05</f>
        <v>0</v>
      </c>
      <c r="K7" s="296">
        <f>SUM(H7:J7)</f>
        <v>0</v>
      </c>
      <c r="L7" s="130">
        <f>ROUND(H7*'OLD Inputs'!$F$70+I7*'OLD Inputs'!$F$71+J7*'OLD Inputs'!$F$72,0)</f>
        <v>0</v>
      </c>
      <c r="M7" s="130">
        <f>D7*E7*G7</f>
        <v>0</v>
      </c>
      <c r="N7" s="273">
        <v>0</v>
      </c>
      <c r="O7" s="273" t="s">
        <v>140</v>
      </c>
    </row>
    <row r="8" spans="2:17" x14ac:dyDescent="0.2">
      <c r="B8" s="272" t="s">
        <v>65</v>
      </c>
      <c r="C8" s="275"/>
      <c r="D8" s="273"/>
      <c r="E8" s="273"/>
      <c r="F8" s="273"/>
      <c r="G8" s="273"/>
      <c r="H8" s="273"/>
      <c r="I8" s="273"/>
      <c r="J8" s="273"/>
      <c r="K8" s="273"/>
      <c r="L8" s="273"/>
      <c r="M8" s="273"/>
      <c r="N8" s="273"/>
      <c r="O8" s="273"/>
    </row>
    <row r="9" spans="2:17" x14ac:dyDescent="0.2">
      <c r="B9" s="277" t="s">
        <v>157</v>
      </c>
      <c r="C9" s="275"/>
      <c r="D9" s="273"/>
      <c r="E9" s="273"/>
      <c r="F9" s="273"/>
      <c r="G9" s="273"/>
      <c r="H9" s="273"/>
      <c r="I9" s="273"/>
      <c r="J9" s="273"/>
      <c r="K9" s="273"/>
      <c r="L9" s="273"/>
      <c r="M9" s="273"/>
      <c r="N9" s="273"/>
      <c r="O9" s="273"/>
      <c r="Q9" s="19"/>
    </row>
    <row r="10" spans="2:17" ht="22.5" x14ac:dyDescent="0.2">
      <c r="B10" s="286" t="s">
        <v>239</v>
      </c>
      <c r="C10" s="275"/>
      <c r="D10" s="273"/>
      <c r="E10" s="273"/>
      <c r="F10" s="273"/>
      <c r="G10" s="273"/>
      <c r="H10" s="273"/>
      <c r="I10" s="273"/>
      <c r="J10" s="273"/>
      <c r="K10" s="273"/>
      <c r="L10" s="273"/>
      <c r="M10" s="273"/>
      <c r="N10" s="273"/>
      <c r="O10" s="273"/>
      <c r="Q10" s="19" t="s">
        <v>207</v>
      </c>
    </row>
    <row r="11" spans="2:17" x14ac:dyDescent="0.2">
      <c r="B11" s="287" t="s">
        <v>220</v>
      </c>
      <c r="C11" s="273">
        <v>0</v>
      </c>
      <c r="D11" s="130">
        <f>'OLD Inputs'!C20</f>
        <v>2828</v>
      </c>
      <c r="E11" s="273">
        <v>1</v>
      </c>
      <c r="F11" s="273">
        <f>C11*E11</f>
        <v>0</v>
      </c>
      <c r="G11" s="274">
        <f>'OLD Inputs'!C19-'YR2'!G11</f>
        <v>27</v>
      </c>
      <c r="H11" s="273">
        <f>G11*F11</f>
        <v>0</v>
      </c>
      <c r="I11" s="274">
        <f>H11*0.1</f>
        <v>0</v>
      </c>
      <c r="J11" s="274">
        <f>H11*0.05</f>
        <v>0</v>
      </c>
      <c r="K11" s="289">
        <f>SUM(H11:J11)</f>
        <v>0</v>
      </c>
      <c r="L11" s="130">
        <f>ROUND(H11*'OLD Inputs'!$F$70+I11*'OLD Inputs'!$F$71+J11*'OLD Inputs'!$F$72,0)</f>
        <v>0</v>
      </c>
      <c r="M11" s="130">
        <f>D11*E11*G11</f>
        <v>76356</v>
      </c>
      <c r="N11" s="273">
        <v>0</v>
      </c>
      <c r="O11" s="273" t="s">
        <v>252</v>
      </c>
      <c r="Q11" s="19" t="s">
        <v>218</v>
      </c>
    </row>
    <row r="12" spans="2:17" ht="22.5" x14ac:dyDescent="0.2">
      <c r="B12" s="287" t="s">
        <v>221</v>
      </c>
      <c r="C12" s="273">
        <v>0</v>
      </c>
      <c r="D12" s="130">
        <f>'OLD Inputs'!C17</f>
        <v>1256.96</v>
      </c>
      <c r="E12" s="273">
        <v>1</v>
      </c>
      <c r="F12" s="273">
        <f>C12*E12</f>
        <v>0</v>
      </c>
      <c r="G12" s="274">
        <v>2</v>
      </c>
      <c r="H12" s="273">
        <f>G12*F12</f>
        <v>0</v>
      </c>
      <c r="I12" s="274">
        <f>H12*0.1</f>
        <v>0</v>
      </c>
      <c r="J12" s="274">
        <f>H12*0.05</f>
        <v>0</v>
      </c>
      <c r="K12" s="289">
        <f>SUM(H12:J12)</f>
        <v>0</v>
      </c>
      <c r="L12" s="130">
        <f>ROUND(H12*'OLD Inputs'!$F$70+I12*'OLD Inputs'!$F$71+J12*'OLD Inputs'!$F$72,0)</f>
        <v>0</v>
      </c>
      <c r="M12" s="130">
        <f>D12*E12*G12</f>
        <v>2513.92</v>
      </c>
      <c r="N12" s="273">
        <v>0</v>
      </c>
      <c r="O12" s="273" t="s">
        <v>156</v>
      </c>
      <c r="Q12" s="19" t="s">
        <v>219</v>
      </c>
    </row>
    <row r="13" spans="2:17" ht="22.5" x14ac:dyDescent="0.2">
      <c r="B13" s="286" t="s">
        <v>240</v>
      </c>
      <c r="C13" s="275"/>
      <c r="D13" s="273"/>
      <c r="E13" s="273"/>
      <c r="F13" s="273"/>
      <c r="G13" s="273"/>
      <c r="H13" s="273"/>
      <c r="I13" s="273"/>
      <c r="J13" s="273"/>
      <c r="K13" s="273"/>
      <c r="L13" s="273"/>
      <c r="M13" s="273"/>
      <c r="N13" s="273"/>
      <c r="O13" s="273"/>
      <c r="Q13" s="19"/>
    </row>
    <row r="14" spans="2:17" x14ac:dyDescent="0.2">
      <c r="B14" s="288" t="s">
        <v>222</v>
      </c>
      <c r="C14" s="273">
        <v>0</v>
      </c>
      <c r="D14" s="130">
        <f>'OLD Inputs'!C27</f>
        <v>7440</v>
      </c>
      <c r="E14" s="273">
        <v>1</v>
      </c>
      <c r="F14" s="273">
        <f>C14*E14</f>
        <v>0</v>
      </c>
      <c r="G14" s="274">
        <f>'OLD Inputs'!C29-'YR2'!G14</f>
        <v>27</v>
      </c>
      <c r="H14" s="273">
        <f>G14*F14</f>
        <v>0</v>
      </c>
      <c r="I14" s="274">
        <f>H14*0.1</f>
        <v>0</v>
      </c>
      <c r="J14" s="274">
        <f>H14*0.05</f>
        <v>0</v>
      </c>
      <c r="K14" s="289">
        <f>SUM(H14:J14)</f>
        <v>0</v>
      </c>
      <c r="L14" s="130">
        <f>ROUND(H14*'OLD Inputs'!$F$70+I14*'OLD Inputs'!$F$71+J14*'OLD Inputs'!$F$72,0)</f>
        <v>0</v>
      </c>
      <c r="M14" s="130">
        <f>D14*E14*G14</f>
        <v>200880</v>
      </c>
      <c r="N14" s="273">
        <v>0</v>
      </c>
      <c r="O14" s="273" t="s">
        <v>252</v>
      </c>
      <c r="Q14" s="19" t="s">
        <v>218</v>
      </c>
    </row>
    <row r="15" spans="2:17" x14ac:dyDescent="0.2">
      <c r="B15" s="288" t="s">
        <v>223</v>
      </c>
      <c r="C15" s="273">
        <v>0</v>
      </c>
      <c r="D15" s="130">
        <f>'OLD Inputs'!C28</f>
        <v>963.51403774299786</v>
      </c>
      <c r="E15" s="273">
        <v>1</v>
      </c>
      <c r="F15" s="273">
        <f>C15*E15</f>
        <v>0</v>
      </c>
      <c r="G15" s="274">
        <f>'OLD Inputs'!C29</f>
        <v>40</v>
      </c>
      <c r="H15" s="273">
        <f>G15*F15</f>
        <v>0</v>
      </c>
      <c r="I15" s="274">
        <f>H15*0.1</f>
        <v>0</v>
      </c>
      <c r="J15" s="274">
        <f>H15*0.05</f>
        <v>0</v>
      </c>
      <c r="K15" s="289">
        <f>SUM(H15:J15)</f>
        <v>0</v>
      </c>
      <c r="L15" s="130">
        <f>ROUND(H15*'OLD Inputs'!$F$70+I15*'OLD Inputs'!$F$71+J15*'OLD Inputs'!$F$72,0)</f>
        <v>0</v>
      </c>
      <c r="M15" s="130">
        <f>D15*E15*G15</f>
        <v>38540.561509719912</v>
      </c>
      <c r="N15" s="273">
        <v>0</v>
      </c>
      <c r="O15" s="273" t="s">
        <v>252</v>
      </c>
      <c r="Q15" s="19"/>
    </row>
    <row r="16" spans="2:17" x14ac:dyDescent="0.2">
      <c r="B16" s="286" t="s">
        <v>241</v>
      </c>
      <c r="C16" s="275"/>
      <c r="D16" s="273"/>
      <c r="E16" s="273"/>
      <c r="F16" s="273"/>
      <c r="G16" s="273"/>
      <c r="H16" s="273"/>
      <c r="I16" s="273"/>
      <c r="J16" s="273"/>
      <c r="K16" s="273"/>
      <c r="L16" s="273"/>
      <c r="M16" s="273"/>
      <c r="N16" s="273"/>
      <c r="O16" s="273"/>
      <c r="Q16" s="19" t="s">
        <v>207</v>
      </c>
    </row>
    <row r="17" spans="2:17" x14ac:dyDescent="0.2">
      <c r="B17" s="287" t="s">
        <v>220</v>
      </c>
      <c r="C17" s="273">
        <v>0</v>
      </c>
      <c r="D17" s="130">
        <f>'OLD Inputs'!C34</f>
        <v>413</v>
      </c>
      <c r="E17" s="273">
        <v>1</v>
      </c>
      <c r="F17" s="273">
        <f>C17*E17</f>
        <v>0</v>
      </c>
      <c r="G17" s="274">
        <f>G11</f>
        <v>27</v>
      </c>
      <c r="H17" s="273">
        <f>G17*F17</f>
        <v>0</v>
      </c>
      <c r="I17" s="274">
        <f>H17*0.1</f>
        <v>0</v>
      </c>
      <c r="J17" s="274">
        <f>H17*0.05</f>
        <v>0</v>
      </c>
      <c r="K17" s="289">
        <f>SUM(H17:J17)</f>
        <v>0</v>
      </c>
      <c r="L17" s="130">
        <f>ROUND(H17*'OLD Inputs'!$F$70+I17*'OLD Inputs'!$F$71+J17*'OLD Inputs'!$F$72,0)</f>
        <v>0</v>
      </c>
      <c r="M17" s="130">
        <f>D17*E17*G17</f>
        <v>11151</v>
      </c>
      <c r="N17" s="273">
        <v>0</v>
      </c>
      <c r="O17" s="273" t="s">
        <v>252</v>
      </c>
      <c r="Q17" s="19" t="s">
        <v>218</v>
      </c>
    </row>
    <row r="18" spans="2:17" ht="22.5" x14ac:dyDescent="0.2">
      <c r="B18" s="287" t="s">
        <v>221</v>
      </c>
      <c r="C18" s="273">
        <v>0</v>
      </c>
      <c r="D18" s="130">
        <f>'OLD Inputs'!C36</f>
        <v>182</v>
      </c>
      <c r="E18" s="273">
        <v>1</v>
      </c>
      <c r="F18" s="273">
        <f>C18*E18</f>
        <v>0</v>
      </c>
      <c r="G18" s="274">
        <v>2</v>
      </c>
      <c r="H18" s="273">
        <f>G18*F18</f>
        <v>0</v>
      </c>
      <c r="I18" s="274">
        <f>H18*0.1</f>
        <v>0</v>
      </c>
      <c r="J18" s="274">
        <f>H18*0.05</f>
        <v>0</v>
      </c>
      <c r="K18" s="289">
        <f>SUM(H18:J18)</f>
        <v>0</v>
      </c>
      <c r="L18" s="130">
        <f>ROUND(H18*'OLD Inputs'!$F$70+I18*'OLD Inputs'!$F$71+J18*'OLD Inputs'!$F$72,0)</f>
        <v>0</v>
      </c>
      <c r="M18" s="130">
        <f>D18*E18*G18</f>
        <v>364</v>
      </c>
      <c r="N18" s="273">
        <v>0</v>
      </c>
      <c r="O18" s="273" t="s">
        <v>156</v>
      </c>
      <c r="Q18" s="19" t="s">
        <v>219</v>
      </c>
    </row>
    <row r="19" spans="2:17" x14ac:dyDescent="0.2">
      <c r="B19" s="276" t="s">
        <v>242</v>
      </c>
      <c r="C19" s="275"/>
      <c r="D19" s="273"/>
      <c r="E19" s="273"/>
      <c r="F19" s="273"/>
      <c r="G19" s="273"/>
      <c r="H19" s="273"/>
      <c r="I19" s="273"/>
      <c r="J19" s="273"/>
      <c r="K19" s="273"/>
      <c r="L19" s="273"/>
      <c r="M19" s="273"/>
      <c r="N19" s="273"/>
      <c r="O19" s="273"/>
      <c r="Q19" s="19"/>
    </row>
    <row r="20" spans="2:17" x14ac:dyDescent="0.2">
      <c r="B20" s="288" t="s">
        <v>100</v>
      </c>
      <c r="C20" s="273">
        <v>0</v>
      </c>
      <c r="D20" s="130">
        <f>'OLD Inputs'!F61</f>
        <v>12000</v>
      </c>
      <c r="E20" s="273">
        <v>1</v>
      </c>
      <c r="F20" s="273">
        <f>C20*E20</f>
        <v>0</v>
      </c>
      <c r="G20" s="274">
        <f>16-'YR2'!G20</f>
        <v>11</v>
      </c>
      <c r="H20" s="273">
        <f>G20*F20</f>
        <v>0</v>
      </c>
      <c r="I20" s="274">
        <f>H20*0.1</f>
        <v>0</v>
      </c>
      <c r="J20" s="274">
        <f>H20*0.05</f>
        <v>0</v>
      </c>
      <c r="K20" s="289">
        <f>SUM(H20:J20)</f>
        <v>0</v>
      </c>
      <c r="L20" s="130">
        <f>ROUND(H20*'OLD Inputs'!$F$70+I20*'OLD Inputs'!$F$71+J20*'OLD Inputs'!$F$72,0)</f>
        <v>0</v>
      </c>
      <c r="M20" s="130">
        <f>D20*E20*G20</f>
        <v>132000</v>
      </c>
      <c r="N20" s="273">
        <v>0</v>
      </c>
      <c r="O20" s="273" t="s">
        <v>253</v>
      </c>
      <c r="Q20" s="19" t="s">
        <v>218</v>
      </c>
    </row>
    <row r="21" spans="2:17" x14ac:dyDescent="0.2">
      <c r="B21" s="288" t="s">
        <v>101</v>
      </c>
      <c r="C21" s="273">
        <v>0</v>
      </c>
      <c r="D21" s="130">
        <f>'OLD Inputs'!G61</f>
        <v>22000</v>
      </c>
      <c r="E21" s="273">
        <v>1</v>
      </c>
      <c r="F21" s="273">
        <f>C21*E21</f>
        <v>0</v>
      </c>
      <c r="G21" s="274">
        <v>16</v>
      </c>
      <c r="H21" s="273">
        <f>G21*F21</f>
        <v>0</v>
      </c>
      <c r="I21" s="274">
        <f>H21*0.1</f>
        <v>0</v>
      </c>
      <c r="J21" s="274">
        <f>H21*0.05</f>
        <v>0</v>
      </c>
      <c r="K21" s="289">
        <f>SUM(H21:J21)</f>
        <v>0</v>
      </c>
      <c r="L21" s="130">
        <f>ROUND(H21*'OLD Inputs'!$F$70+I21*'OLD Inputs'!$F$71+J21*'OLD Inputs'!$F$72,0)</f>
        <v>0</v>
      </c>
      <c r="M21" s="130">
        <f>D21*E21*G21</f>
        <v>352000</v>
      </c>
      <c r="N21" s="273">
        <v>0</v>
      </c>
      <c r="O21" s="273" t="s">
        <v>253</v>
      </c>
      <c r="Q21" s="19" t="s">
        <v>218</v>
      </c>
    </row>
    <row r="22" spans="2:17" x14ac:dyDescent="0.2">
      <c r="B22" s="272" t="s">
        <v>66</v>
      </c>
      <c r="C22" s="275" t="s">
        <v>68</v>
      </c>
      <c r="D22" s="273"/>
      <c r="E22" s="273"/>
      <c r="F22" s="273"/>
      <c r="G22" s="273"/>
      <c r="H22" s="273"/>
      <c r="I22" s="273"/>
      <c r="J22" s="273"/>
      <c r="K22" s="273"/>
      <c r="L22" s="273"/>
      <c r="M22" s="273"/>
      <c r="N22" s="273"/>
      <c r="O22" s="273"/>
      <c r="Q22" s="19"/>
    </row>
    <row r="23" spans="2:17" x14ac:dyDescent="0.2">
      <c r="B23" s="272" t="s">
        <v>67</v>
      </c>
      <c r="C23" s="275" t="s">
        <v>69</v>
      </c>
      <c r="D23" s="273"/>
      <c r="E23" s="273"/>
      <c r="F23" s="273"/>
      <c r="G23" s="273"/>
      <c r="H23" s="273"/>
      <c r="I23" s="273"/>
      <c r="J23" s="273"/>
      <c r="K23" s="273"/>
      <c r="L23" s="273"/>
      <c r="M23" s="273"/>
      <c r="N23" s="273"/>
      <c r="O23" s="273"/>
      <c r="Q23" s="19"/>
    </row>
    <row r="24" spans="2:17" x14ac:dyDescent="0.2">
      <c r="B24" s="272" t="s">
        <v>70</v>
      </c>
      <c r="C24" s="275"/>
      <c r="D24" s="273"/>
      <c r="E24" s="273"/>
      <c r="F24" s="273"/>
      <c r="G24" s="273"/>
      <c r="H24" s="273"/>
      <c r="I24" s="273"/>
      <c r="J24" s="273"/>
      <c r="K24" s="273"/>
      <c r="L24" s="273"/>
      <c r="M24" s="273"/>
      <c r="N24" s="273"/>
      <c r="O24" s="273"/>
    </row>
    <row r="25" spans="2:17" x14ac:dyDescent="0.2">
      <c r="B25" s="277" t="s">
        <v>224</v>
      </c>
      <c r="C25" s="275"/>
      <c r="D25" s="273"/>
      <c r="E25" s="273"/>
      <c r="F25" s="273"/>
      <c r="G25" s="273"/>
      <c r="H25" s="273"/>
      <c r="I25" s="273"/>
      <c r="J25" s="273"/>
      <c r="K25" s="273"/>
      <c r="L25" s="273"/>
      <c r="M25" s="273"/>
      <c r="N25" s="273"/>
      <c r="O25" s="273"/>
      <c r="Q25" s="19"/>
    </row>
    <row r="26" spans="2:17" x14ac:dyDescent="0.2">
      <c r="B26" s="288" t="s">
        <v>227</v>
      </c>
      <c r="C26" s="290">
        <v>1</v>
      </c>
      <c r="D26" s="291">
        <v>0</v>
      </c>
      <c r="E26" s="290">
        <v>1</v>
      </c>
      <c r="F26" s="290">
        <f t="shared" ref="F26:F28" si="0">C26*E26</f>
        <v>1</v>
      </c>
      <c r="G26" s="292">
        <f>G14</f>
        <v>27</v>
      </c>
      <c r="H26" s="290">
        <f t="shared" ref="H26:H28" si="1">G26*F26</f>
        <v>27</v>
      </c>
      <c r="I26" s="292">
        <f t="shared" ref="I26:I28" si="2">H26*0.1</f>
        <v>2.7</v>
      </c>
      <c r="J26" s="292">
        <f t="shared" ref="J26:J28" si="3">H26*0.05</f>
        <v>1.35</v>
      </c>
      <c r="K26" s="289">
        <f t="shared" ref="K26:K28" si="4">SUM(H26:J26)</f>
        <v>31.05</v>
      </c>
      <c r="L26" s="130">
        <f>ROUND(H26*'OLD Inputs'!$F$70+I26*'OLD Inputs'!$F$71+J26*'OLD Inputs'!$F$72,0)</f>
        <v>3143</v>
      </c>
      <c r="M26" s="291">
        <f t="shared" ref="M26:M28" si="5">D26*E26*G26</f>
        <v>0</v>
      </c>
      <c r="N26" s="290">
        <f t="shared" ref="N26:N28" si="6">G26*E26</f>
        <v>27</v>
      </c>
      <c r="O26" s="290" t="s">
        <v>252</v>
      </c>
    </row>
    <row r="27" spans="2:17" x14ac:dyDescent="0.2">
      <c r="B27" s="288" t="s">
        <v>225</v>
      </c>
      <c r="C27" s="290">
        <v>4</v>
      </c>
      <c r="D27" s="291">
        <v>0</v>
      </c>
      <c r="E27" s="290">
        <v>1</v>
      </c>
      <c r="F27" s="290">
        <f t="shared" si="0"/>
        <v>4</v>
      </c>
      <c r="G27" s="292">
        <f>'OLD Inputs'!E47-'YR2'!G27</f>
        <v>120</v>
      </c>
      <c r="H27" s="290">
        <f t="shared" si="1"/>
        <v>480</v>
      </c>
      <c r="I27" s="292">
        <f t="shared" si="2"/>
        <v>48</v>
      </c>
      <c r="J27" s="292">
        <f t="shared" si="3"/>
        <v>24</v>
      </c>
      <c r="K27" s="289">
        <f t="shared" si="4"/>
        <v>552</v>
      </c>
      <c r="L27" s="130">
        <f>ROUND(H27*'OLD Inputs'!$F$70+I27*'OLD Inputs'!$F$71+J27*'OLD Inputs'!$F$72,0)</f>
        <v>55877</v>
      </c>
      <c r="M27" s="291">
        <f t="shared" si="5"/>
        <v>0</v>
      </c>
      <c r="N27" s="290">
        <f t="shared" si="6"/>
        <v>120</v>
      </c>
      <c r="O27" s="290" t="s">
        <v>254</v>
      </c>
      <c r="Q27" s="19" t="s">
        <v>226</v>
      </c>
    </row>
    <row r="28" spans="2:17" x14ac:dyDescent="0.2">
      <c r="B28" s="288" t="s">
        <v>228</v>
      </c>
      <c r="C28" s="290">
        <v>5</v>
      </c>
      <c r="D28" s="291">
        <v>0</v>
      </c>
      <c r="E28" s="290">
        <v>1</v>
      </c>
      <c r="F28" s="290">
        <f t="shared" si="0"/>
        <v>5</v>
      </c>
      <c r="G28" s="292">
        <f>G20</f>
        <v>11</v>
      </c>
      <c r="H28" s="290">
        <f t="shared" si="1"/>
        <v>55</v>
      </c>
      <c r="I28" s="292">
        <f t="shared" si="2"/>
        <v>5.5</v>
      </c>
      <c r="J28" s="292">
        <f t="shared" si="3"/>
        <v>2.75</v>
      </c>
      <c r="K28" s="289">
        <f t="shared" si="4"/>
        <v>63.25</v>
      </c>
      <c r="L28" s="130">
        <f>ROUND(H28*'OLD Inputs'!$F$70+I28*'OLD Inputs'!$F$71+J28*'OLD Inputs'!$F$72,0)</f>
        <v>6403</v>
      </c>
      <c r="M28" s="291">
        <f t="shared" si="5"/>
        <v>0</v>
      </c>
      <c r="N28" s="290">
        <f t="shared" si="6"/>
        <v>11</v>
      </c>
      <c r="O28" s="290" t="s">
        <v>255</v>
      </c>
      <c r="Q28" s="19"/>
    </row>
    <row r="29" spans="2:17" x14ac:dyDescent="0.2">
      <c r="B29" s="277" t="s">
        <v>232</v>
      </c>
      <c r="C29" s="275"/>
      <c r="D29" s="273"/>
      <c r="E29" s="273"/>
      <c r="F29" s="273"/>
      <c r="G29" s="273"/>
      <c r="H29" s="273"/>
      <c r="I29" s="273"/>
      <c r="J29" s="273"/>
      <c r="K29" s="273"/>
      <c r="L29" s="273"/>
      <c r="M29" s="273"/>
      <c r="N29" s="273"/>
      <c r="O29" s="273"/>
      <c r="Q29" s="19"/>
    </row>
    <row r="30" spans="2:17" x14ac:dyDescent="0.2">
      <c r="B30" s="288" t="s">
        <v>227</v>
      </c>
      <c r="C30" s="290">
        <v>1</v>
      </c>
      <c r="D30" s="291">
        <v>0</v>
      </c>
      <c r="E30" s="290">
        <v>2</v>
      </c>
      <c r="F30" s="290">
        <f t="shared" ref="F30:F32" si="7">C30*E30</f>
        <v>2</v>
      </c>
      <c r="G30" s="292">
        <f>G15</f>
        <v>40</v>
      </c>
      <c r="H30" s="290">
        <f t="shared" ref="H30:H32" si="8">G30*F30</f>
        <v>80</v>
      </c>
      <c r="I30" s="292">
        <f t="shared" ref="I30:I32" si="9">H30*0.1</f>
        <v>8</v>
      </c>
      <c r="J30" s="292">
        <f t="shared" ref="J30:J32" si="10">H30*0.05</f>
        <v>4</v>
      </c>
      <c r="K30" s="289">
        <f t="shared" ref="K30" si="11">SUM(H30:J30)</f>
        <v>92</v>
      </c>
      <c r="L30" s="130">
        <f>ROUND(H30*'OLD Inputs'!$F$70+I30*'OLD Inputs'!$F$71+J30*'OLD Inputs'!$F$72,0)</f>
        <v>9313</v>
      </c>
      <c r="M30" s="291">
        <f t="shared" ref="M30:M32" si="12">D30*E30*G30</f>
        <v>0</v>
      </c>
      <c r="N30" s="290">
        <f t="shared" ref="N30:N32" si="13">G30*E30</f>
        <v>80</v>
      </c>
      <c r="O30" s="290" t="s">
        <v>252</v>
      </c>
      <c r="Q30" s="19"/>
    </row>
    <row r="31" spans="2:17" x14ac:dyDescent="0.2">
      <c r="B31" s="288" t="s">
        <v>225</v>
      </c>
      <c r="C31" s="290">
        <v>4</v>
      </c>
      <c r="D31" s="291">
        <v>0</v>
      </c>
      <c r="E31" s="290">
        <v>2</v>
      </c>
      <c r="F31" s="290">
        <f t="shared" si="7"/>
        <v>8</v>
      </c>
      <c r="G31" s="292">
        <f>'OLD Inputs'!E47</f>
        <v>180</v>
      </c>
      <c r="H31" s="290">
        <f t="shared" si="8"/>
        <v>1440</v>
      </c>
      <c r="I31" s="292">
        <f t="shared" si="9"/>
        <v>144</v>
      </c>
      <c r="J31" s="292">
        <f t="shared" si="10"/>
        <v>72</v>
      </c>
      <c r="K31" s="289">
        <f t="shared" ref="K31:K32" si="14">SUM(H31:J31)</f>
        <v>1656</v>
      </c>
      <c r="L31" s="130">
        <f>ROUND(H31*'OLD Inputs'!$F$70+I31*'OLD Inputs'!$F$71+J31*'OLD Inputs'!$F$72,0)</f>
        <v>167632</v>
      </c>
      <c r="M31" s="291">
        <f t="shared" si="12"/>
        <v>0</v>
      </c>
      <c r="N31" s="290">
        <f t="shared" si="13"/>
        <v>360</v>
      </c>
      <c r="O31" s="290" t="s">
        <v>254</v>
      </c>
      <c r="Q31" s="19"/>
    </row>
    <row r="32" spans="2:17" x14ac:dyDescent="0.2">
      <c r="B32" s="288" t="s">
        <v>228</v>
      </c>
      <c r="C32" s="290">
        <v>5</v>
      </c>
      <c r="D32" s="291">
        <v>0</v>
      </c>
      <c r="E32" s="290">
        <v>2</v>
      </c>
      <c r="F32" s="290">
        <f t="shared" si="7"/>
        <v>10</v>
      </c>
      <c r="G32" s="292">
        <f>G21</f>
        <v>16</v>
      </c>
      <c r="H32" s="290">
        <f t="shared" si="8"/>
        <v>160</v>
      </c>
      <c r="I32" s="292">
        <f t="shared" si="9"/>
        <v>16</v>
      </c>
      <c r="J32" s="292">
        <f t="shared" si="10"/>
        <v>8</v>
      </c>
      <c r="K32" s="289">
        <f t="shared" si="14"/>
        <v>184</v>
      </c>
      <c r="L32" s="130">
        <f>ROUND(H32*'OLD Inputs'!$F$70+I32*'OLD Inputs'!$F$71+J32*'OLD Inputs'!$F$72,0)</f>
        <v>18626</v>
      </c>
      <c r="M32" s="291">
        <f t="shared" si="12"/>
        <v>0</v>
      </c>
      <c r="N32" s="290">
        <f t="shared" si="13"/>
        <v>32</v>
      </c>
      <c r="O32" s="290" t="s">
        <v>255</v>
      </c>
      <c r="Q32" s="19"/>
    </row>
    <row r="33" spans="2:17" s="300" customFormat="1" x14ac:dyDescent="0.2">
      <c r="B33" s="293" t="s">
        <v>71</v>
      </c>
      <c r="C33" s="298"/>
      <c r="D33" s="299"/>
      <c r="E33" s="298"/>
      <c r="F33" s="298"/>
      <c r="G33" s="298"/>
      <c r="H33" s="301">
        <f>SUM(H7:H32)</f>
        <v>2242</v>
      </c>
      <c r="I33" s="301">
        <f>SUM(I7:I32)</f>
        <v>224.2</v>
      </c>
      <c r="J33" s="301">
        <f>SUM(J7:J32)</f>
        <v>112.1</v>
      </c>
      <c r="K33" s="301">
        <f>SUM(K7:K32)</f>
        <v>2578.3000000000002</v>
      </c>
      <c r="L33" s="302">
        <f>SUM(L7:L32)</f>
        <v>260994</v>
      </c>
      <c r="M33" s="302">
        <f>SUM(M7:M32)-M20-M14</f>
        <v>480925.48150971998</v>
      </c>
      <c r="N33" s="301">
        <f>SUM(N7:N32)</f>
        <v>630</v>
      </c>
      <c r="O33" s="298"/>
    </row>
    <row r="34" spans="2:17" ht="10.5" customHeight="1" x14ac:dyDescent="0.2">
      <c r="B34" s="295" t="s">
        <v>56</v>
      </c>
      <c r="C34" s="275"/>
      <c r="D34" s="273"/>
      <c r="E34" s="273"/>
      <c r="F34" s="273"/>
      <c r="G34" s="273"/>
      <c r="H34" s="273"/>
      <c r="I34" s="273"/>
      <c r="J34" s="273"/>
      <c r="K34" s="273"/>
      <c r="L34" s="273"/>
      <c r="M34" s="273"/>
      <c r="N34" s="273"/>
      <c r="O34" s="273"/>
      <c r="Q34" s="19"/>
    </row>
    <row r="35" spans="2:17" x14ac:dyDescent="0.2">
      <c r="B35" s="272" t="s">
        <v>57</v>
      </c>
      <c r="C35" s="275" t="s">
        <v>102</v>
      </c>
      <c r="D35" s="273"/>
      <c r="E35" s="273"/>
      <c r="F35" s="273"/>
      <c r="G35" s="273"/>
      <c r="H35" s="273"/>
      <c r="I35" s="273"/>
      <c r="J35" s="273"/>
      <c r="K35" s="273"/>
      <c r="L35" s="273"/>
      <c r="M35" s="273"/>
      <c r="N35" s="273"/>
      <c r="O35" s="273"/>
      <c r="Q35" s="19"/>
    </row>
    <row r="36" spans="2:17" x14ac:dyDescent="0.2">
      <c r="B36" s="272" t="s">
        <v>98</v>
      </c>
      <c r="C36" s="275" t="s">
        <v>61</v>
      </c>
      <c r="D36" s="273"/>
      <c r="E36" s="273"/>
      <c r="F36" s="273"/>
      <c r="G36" s="273"/>
      <c r="H36" s="273"/>
      <c r="I36" s="273"/>
      <c r="J36" s="273"/>
      <c r="K36" s="273"/>
      <c r="L36" s="273"/>
      <c r="M36" s="273"/>
      <c r="N36" s="273"/>
      <c r="O36" s="273"/>
      <c r="Q36" s="19"/>
    </row>
    <row r="37" spans="2:17" x14ac:dyDescent="0.2">
      <c r="B37" s="272" t="s">
        <v>58</v>
      </c>
      <c r="C37" s="275" t="s">
        <v>61</v>
      </c>
      <c r="D37" s="273"/>
      <c r="E37" s="273"/>
      <c r="F37" s="273"/>
      <c r="G37" s="273"/>
      <c r="H37" s="273"/>
      <c r="I37" s="273"/>
      <c r="J37" s="273"/>
      <c r="K37" s="273"/>
      <c r="L37" s="273"/>
      <c r="M37" s="273"/>
      <c r="N37" s="273"/>
      <c r="O37" s="273"/>
      <c r="Q37" s="19"/>
    </row>
    <row r="38" spans="2:17" x14ac:dyDescent="0.2">
      <c r="B38" s="272" t="s">
        <v>72</v>
      </c>
      <c r="C38" s="275"/>
      <c r="D38" s="273"/>
      <c r="E38" s="273"/>
      <c r="F38" s="273"/>
      <c r="G38" s="273"/>
      <c r="H38" s="273"/>
      <c r="I38" s="273"/>
      <c r="J38" s="273"/>
      <c r="K38" s="273"/>
      <c r="L38" s="273"/>
      <c r="M38" s="273"/>
      <c r="N38" s="273"/>
      <c r="O38" s="273"/>
      <c r="Q38" s="19"/>
    </row>
    <row r="39" spans="2:17" x14ac:dyDescent="0.2">
      <c r="B39" s="277" t="s">
        <v>157</v>
      </c>
      <c r="C39" s="273">
        <v>5</v>
      </c>
      <c r="D39" s="130">
        <v>0</v>
      </c>
      <c r="E39" s="273">
        <v>1</v>
      </c>
      <c r="F39" s="273">
        <f t="shared" ref="F39:F41" si="15">C39*E39</f>
        <v>5</v>
      </c>
      <c r="G39" s="274">
        <f>G30</f>
        <v>40</v>
      </c>
      <c r="H39" s="160">
        <f t="shared" ref="H39:H43" si="16">G39*F39</f>
        <v>200</v>
      </c>
      <c r="I39" s="160">
        <f t="shared" ref="I39:I43" si="17">H39*0.1</f>
        <v>20</v>
      </c>
      <c r="J39" s="160">
        <f t="shared" ref="J39:J43" si="18">H39*0.05</f>
        <v>10</v>
      </c>
      <c r="K39" s="296">
        <f t="shared" ref="K39" si="19">SUM(H39:J39)</f>
        <v>230</v>
      </c>
      <c r="L39" s="130">
        <f>ROUND(H39*'OLD Inputs'!$F$70+I39*'OLD Inputs'!$F$71+J39*'OLD Inputs'!$F$72,0)</f>
        <v>23282</v>
      </c>
      <c r="M39" s="130">
        <f t="shared" ref="M39:M43" si="20">D39*E39*G39</f>
        <v>0</v>
      </c>
      <c r="N39" s="273">
        <v>0</v>
      </c>
      <c r="O39" s="290" t="s">
        <v>252</v>
      </c>
      <c r="Q39" s="19" t="s">
        <v>231</v>
      </c>
    </row>
    <row r="40" spans="2:17" x14ac:dyDescent="0.2">
      <c r="B40" s="276" t="s">
        <v>229</v>
      </c>
      <c r="C40" s="273">
        <v>8</v>
      </c>
      <c r="D40" s="130">
        <v>0</v>
      </c>
      <c r="E40" s="273">
        <v>1</v>
      </c>
      <c r="F40" s="273">
        <f t="shared" si="15"/>
        <v>8</v>
      </c>
      <c r="G40" s="274">
        <f>G31</f>
        <v>180</v>
      </c>
      <c r="H40" s="160">
        <f t="shared" si="16"/>
        <v>1440</v>
      </c>
      <c r="I40" s="160">
        <f t="shared" si="17"/>
        <v>144</v>
      </c>
      <c r="J40" s="160">
        <f t="shared" si="18"/>
        <v>72</v>
      </c>
      <c r="K40" s="296">
        <f t="shared" ref="K40:K43" si="21">SUM(H40:J40)</f>
        <v>1656</v>
      </c>
      <c r="L40" s="130">
        <f>ROUND(H40*'OLD Inputs'!$F$70+I40*'OLD Inputs'!$F$71+J40*'OLD Inputs'!$F$72,0)</f>
        <v>167632</v>
      </c>
      <c r="M40" s="130">
        <f t="shared" si="20"/>
        <v>0</v>
      </c>
      <c r="N40" s="273">
        <v>0</v>
      </c>
      <c r="O40" s="290" t="s">
        <v>254</v>
      </c>
    </row>
    <row r="41" spans="2:17" x14ac:dyDescent="0.2">
      <c r="B41" s="276" t="s">
        <v>230</v>
      </c>
      <c r="C41" s="273">
        <v>0.4</v>
      </c>
      <c r="D41" s="130">
        <v>0</v>
      </c>
      <c r="E41" s="273">
        <v>365</v>
      </c>
      <c r="F41" s="273">
        <f t="shared" si="15"/>
        <v>146</v>
      </c>
      <c r="G41" s="274">
        <f>G32</f>
        <v>16</v>
      </c>
      <c r="H41" s="160">
        <f t="shared" si="16"/>
        <v>2336</v>
      </c>
      <c r="I41" s="160">
        <f t="shared" si="17"/>
        <v>233.60000000000002</v>
      </c>
      <c r="J41" s="160">
        <f t="shared" si="18"/>
        <v>116.80000000000001</v>
      </c>
      <c r="K41" s="296">
        <f t="shared" si="21"/>
        <v>2686.4</v>
      </c>
      <c r="L41" s="130">
        <f>ROUND(H41*'OLD Inputs'!$F$70+I41*'OLD Inputs'!$F$71+J41*'OLD Inputs'!$F$72,0)</f>
        <v>271937</v>
      </c>
      <c r="M41" s="130">
        <f t="shared" si="20"/>
        <v>0</v>
      </c>
      <c r="N41" s="273">
        <v>0</v>
      </c>
      <c r="O41" s="290" t="s">
        <v>255</v>
      </c>
    </row>
    <row r="42" spans="2:17" x14ac:dyDescent="0.2">
      <c r="B42" s="276" t="s">
        <v>238</v>
      </c>
      <c r="C42" s="273">
        <v>25</v>
      </c>
      <c r="D42" s="130">
        <v>0</v>
      </c>
      <c r="E42" s="273">
        <v>1</v>
      </c>
      <c r="F42" s="273">
        <f>C42*E42</f>
        <v>25</v>
      </c>
      <c r="G42" s="274">
        <v>0</v>
      </c>
      <c r="H42" s="160">
        <f t="shared" si="16"/>
        <v>0</v>
      </c>
      <c r="I42" s="160">
        <f t="shared" si="17"/>
        <v>0</v>
      </c>
      <c r="J42" s="160">
        <f t="shared" si="18"/>
        <v>0</v>
      </c>
      <c r="K42" s="296">
        <f t="shared" si="21"/>
        <v>0</v>
      </c>
      <c r="L42" s="130">
        <f>ROUND(H42*'OLD Inputs'!$F$70+I42*'OLD Inputs'!$F$71+J42*'OLD Inputs'!$F$72,0)</f>
        <v>0</v>
      </c>
      <c r="M42" s="130">
        <f t="shared" si="20"/>
        <v>0</v>
      </c>
      <c r="N42" s="273">
        <v>0</v>
      </c>
      <c r="O42" s="273" t="s">
        <v>248</v>
      </c>
    </row>
    <row r="43" spans="2:17" x14ac:dyDescent="0.2">
      <c r="B43" s="272" t="s">
        <v>73</v>
      </c>
      <c r="C43" s="273">
        <v>16</v>
      </c>
      <c r="D43" s="130">
        <v>0</v>
      </c>
      <c r="E43" s="273">
        <v>1</v>
      </c>
      <c r="F43" s="273">
        <f t="shared" ref="F43" si="22">C43*E43</f>
        <v>16</v>
      </c>
      <c r="G43" s="274">
        <v>0</v>
      </c>
      <c r="H43" s="160">
        <f t="shared" si="16"/>
        <v>0</v>
      </c>
      <c r="I43" s="160">
        <f t="shared" si="17"/>
        <v>0</v>
      </c>
      <c r="J43" s="160">
        <f t="shared" si="18"/>
        <v>0</v>
      </c>
      <c r="K43" s="296">
        <f t="shared" si="21"/>
        <v>0</v>
      </c>
      <c r="L43" s="130">
        <f>ROUND(H43*'OLD Inputs'!$F$70+I43*'OLD Inputs'!$F$71+J43*'OLD Inputs'!$F$72,0)</f>
        <v>0</v>
      </c>
      <c r="M43" s="130">
        <f t="shared" si="20"/>
        <v>0</v>
      </c>
      <c r="N43" s="273">
        <v>0</v>
      </c>
      <c r="O43" s="273"/>
    </row>
    <row r="44" spans="2:17" x14ac:dyDescent="0.2">
      <c r="B44" s="272" t="s">
        <v>74</v>
      </c>
      <c r="C44" s="275" t="s">
        <v>61</v>
      </c>
      <c r="D44" s="273"/>
      <c r="E44" s="273"/>
      <c r="F44" s="273"/>
      <c r="G44" s="273"/>
      <c r="H44" s="273"/>
      <c r="I44" s="273"/>
      <c r="J44" s="273"/>
      <c r="K44" s="273"/>
      <c r="L44" s="273"/>
      <c r="M44" s="273"/>
      <c r="N44" s="273"/>
      <c r="O44" s="273"/>
    </row>
    <row r="45" spans="2:17" s="306" customFormat="1" thickBot="1" x14ac:dyDescent="0.2">
      <c r="B45" s="294" t="s">
        <v>59</v>
      </c>
      <c r="C45" s="303"/>
      <c r="D45" s="303"/>
      <c r="E45" s="303"/>
      <c r="F45" s="303"/>
      <c r="G45" s="303"/>
      <c r="H45" s="304">
        <f t="shared" ref="H45:N45" si="23">SUM(H39:H43)</f>
        <v>3976</v>
      </c>
      <c r="I45" s="304">
        <f t="shared" si="23"/>
        <v>397.6</v>
      </c>
      <c r="J45" s="304">
        <f t="shared" si="23"/>
        <v>198.8</v>
      </c>
      <c r="K45" s="304">
        <f t="shared" si="23"/>
        <v>4572.3999999999996</v>
      </c>
      <c r="L45" s="305">
        <f t="shared" si="23"/>
        <v>462851</v>
      </c>
      <c r="M45" s="305">
        <f t="shared" si="23"/>
        <v>0</v>
      </c>
      <c r="N45" s="304">
        <f t="shared" si="23"/>
        <v>0</v>
      </c>
      <c r="O45" s="303"/>
      <c r="Q45" s="307"/>
    </row>
    <row r="46" spans="2:17" s="311" customFormat="1" ht="13.5" customHeight="1" thickTop="1" x14ac:dyDescent="0.25">
      <c r="B46" s="192" t="s">
        <v>34</v>
      </c>
      <c r="C46" s="308"/>
      <c r="D46" s="308"/>
      <c r="E46" s="308"/>
      <c r="F46" s="308"/>
      <c r="G46" s="308"/>
      <c r="H46" s="309">
        <f t="shared" ref="H46:N46" si="24">H45+H33</f>
        <v>6218</v>
      </c>
      <c r="I46" s="309">
        <f t="shared" si="24"/>
        <v>621.79999999999995</v>
      </c>
      <c r="J46" s="309">
        <f t="shared" si="24"/>
        <v>310.89999999999998</v>
      </c>
      <c r="K46" s="309">
        <f t="shared" si="24"/>
        <v>7150.7</v>
      </c>
      <c r="L46" s="310">
        <f>L45+L33</f>
        <v>723845</v>
      </c>
      <c r="M46" s="310">
        <f>M45+M33</f>
        <v>480925.48150971998</v>
      </c>
      <c r="N46" s="308">
        <f t="shared" si="24"/>
        <v>630</v>
      </c>
      <c r="O46" s="308"/>
      <c r="Q46" s="312"/>
    </row>
    <row r="47" spans="2:17" ht="7.5" customHeight="1" x14ac:dyDescent="0.2">
      <c r="B47" s="183"/>
      <c r="C47" s="265"/>
      <c r="D47" s="265"/>
      <c r="E47" s="265"/>
      <c r="F47" s="265"/>
      <c r="G47" s="184"/>
      <c r="H47" s="185"/>
      <c r="I47" s="186"/>
      <c r="J47" s="186"/>
      <c r="K47" s="187"/>
      <c r="L47" s="187"/>
      <c r="M47" s="187"/>
      <c r="N47" s="265"/>
      <c r="O47" s="266"/>
    </row>
    <row r="48" spans="2:17" x14ac:dyDescent="0.2">
      <c r="B48" s="188"/>
      <c r="C48" s="267"/>
      <c r="D48" s="267"/>
      <c r="E48" s="267"/>
      <c r="F48" s="267"/>
      <c r="G48" s="9"/>
      <c r="H48" s="9"/>
      <c r="I48" s="10"/>
      <c r="J48" s="160" t="s">
        <v>54</v>
      </c>
      <c r="K48" s="160" t="s">
        <v>75</v>
      </c>
      <c r="L48" s="166" t="s">
        <v>76</v>
      </c>
      <c r="M48" s="166" t="s">
        <v>47</v>
      </c>
      <c r="N48" s="267"/>
      <c r="O48" s="268"/>
    </row>
    <row r="49" spans="2:15" x14ac:dyDescent="0.2">
      <c r="B49" s="188"/>
      <c r="C49" s="267"/>
      <c r="D49" s="267"/>
      <c r="E49" s="267"/>
      <c r="F49" s="267"/>
      <c r="G49" s="161" t="s">
        <v>77</v>
      </c>
      <c r="H49" s="162"/>
      <c r="I49" s="165"/>
      <c r="J49" s="160">
        <f>H46+I46+J46</f>
        <v>7150.7</v>
      </c>
      <c r="K49" s="130">
        <f>L46</f>
        <v>723845</v>
      </c>
      <c r="L49" s="130">
        <f>M46</f>
        <v>480925.48150971998</v>
      </c>
      <c r="M49" s="130">
        <f>L49+K49</f>
        <v>1204770.48150972</v>
      </c>
      <c r="N49" s="267"/>
      <c r="O49" s="268"/>
    </row>
    <row r="50" spans="2:15" ht="7.5" customHeight="1" x14ac:dyDescent="0.2">
      <c r="B50" s="188"/>
      <c r="C50" s="267"/>
      <c r="D50" s="267"/>
      <c r="E50" s="267"/>
      <c r="F50" s="267"/>
      <c r="G50" s="11"/>
      <c r="H50" s="9"/>
      <c r="I50" s="10"/>
      <c r="J50" s="10"/>
      <c r="K50" s="12"/>
      <c r="L50" s="12"/>
      <c r="M50" s="12"/>
      <c r="N50" s="267"/>
      <c r="O50" s="268"/>
    </row>
    <row r="51" spans="2:15" x14ac:dyDescent="0.2">
      <c r="B51" s="188"/>
      <c r="C51" s="267"/>
      <c r="D51" s="267"/>
      <c r="E51" s="267"/>
      <c r="F51" s="267"/>
      <c r="G51" s="161" t="s">
        <v>78</v>
      </c>
      <c r="H51" s="162"/>
      <c r="I51" s="163"/>
      <c r="J51" s="163"/>
      <c r="K51" s="164"/>
      <c r="L51" s="269"/>
      <c r="M51" s="130">
        <f>L7+M20+M14</f>
        <v>332880</v>
      </c>
      <c r="N51" s="267"/>
      <c r="O51" s="268"/>
    </row>
    <row r="52" spans="2:15" x14ac:dyDescent="0.2">
      <c r="B52" s="189"/>
      <c r="C52" s="270"/>
      <c r="D52" s="270"/>
      <c r="E52" s="270"/>
      <c r="F52" s="270"/>
      <c r="G52" s="161" t="s">
        <v>79</v>
      </c>
      <c r="H52" s="190"/>
      <c r="I52" s="190"/>
      <c r="J52" s="190"/>
      <c r="K52" s="164"/>
      <c r="L52" s="191"/>
      <c r="M52" s="130">
        <f>M46</f>
        <v>480925.48150971998</v>
      </c>
      <c r="N52" s="270"/>
      <c r="O52" s="271"/>
    </row>
    <row r="53" spans="2:15" ht="8.25" customHeight="1" x14ac:dyDescent="0.2"/>
    <row r="54" spans="2:15" x14ac:dyDescent="0.2">
      <c r="B54" s="19" t="s">
        <v>93</v>
      </c>
      <c r="L54" s="23"/>
    </row>
    <row r="55" spans="2:15" x14ac:dyDescent="0.2">
      <c r="B55" s="354" t="s">
        <v>178</v>
      </c>
      <c r="C55" s="354"/>
      <c r="D55" s="354"/>
      <c r="E55" s="354"/>
      <c r="F55" s="354"/>
      <c r="G55" s="354"/>
      <c r="H55" s="354"/>
      <c r="I55" s="354"/>
      <c r="J55" s="354"/>
      <c r="K55" s="354"/>
      <c r="L55" s="354"/>
      <c r="M55" s="354"/>
      <c r="N55" s="354"/>
    </row>
    <row r="56" spans="2:15" s="228" customFormat="1" x14ac:dyDescent="0.2">
      <c r="B56" s="19" t="s">
        <v>139</v>
      </c>
      <c r="C56" s="19"/>
      <c r="D56" s="19"/>
      <c r="E56" s="19"/>
      <c r="F56" s="19"/>
      <c r="G56" s="19"/>
      <c r="H56" s="19"/>
      <c r="I56" s="19"/>
      <c r="J56" s="19"/>
      <c r="K56" s="19"/>
      <c r="L56" s="19"/>
      <c r="M56" s="19"/>
      <c r="N56" s="19"/>
    </row>
    <row r="57" spans="2:15" ht="22.5" customHeight="1" x14ac:dyDescent="0.2">
      <c r="B57" s="354" t="s">
        <v>243</v>
      </c>
      <c r="C57" s="354"/>
      <c r="D57" s="354"/>
      <c r="E57" s="354"/>
      <c r="F57" s="354"/>
      <c r="G57" s="354"/>
      <c r="H57" s="354"/>
      <c r="I57" s="354"/>
      <c r="J57" s="354"/>
      <c r="K57" s="354"/>
      <c r="L57" s="354"/>
      <c r="M57" s="354"/>
      <c r="N57" s="354"/>
    </row>
    <row r="58" spans="2:15" x14ac:dyDescent="0.2">
      <c r="B58" s="354" t="s">
        <v>245</v>
      </c>
      <c r="C58" s="354"/>
      <c r="D58" s="354"/>
      <c r="E58" s="354"/>
      <c r="F58" s="354"/>
      <c r="G58" s="354"/>
      <c r="H58" s="354"/>
      <c r="I58" s="354"/>
      <c r="J58" s="354"/>
      <c r="K58" s="354"/>
      <c r="L58" s="354"/>
      <c r="M58" s="354"/>
      <c r="N58" s="354"/>
    </row>
    <row r="59" spans="2:15" ht="24" customHeight="1" x14ac:dyDescent="0.2">
      <c r="B59" s="354" t="s">
        <v>246</v>
      </c>
      <c r="C59" s="354"/>
      <c r="D59" s="354"/>
      <c r="E59" s="354"/>
      <c r="F59" s="354"/>
      <c r="G59" s="354"/>
      <c r="H59" s="354"/>
      <c r="I59" s="354"/>
      <c r="J59" s="354"/>
      <c r="K59" s="354"/>
      <c r="L59" s="354"/>
      <c r="M59" s="354"/>
      <c r="N59" s="354"/>
    </row>
    <row r="60" spans="2:15" x14ac:dyDescent="0.2">
      <c r="B60" s="354" t="s">
        <v>247</v>
      </c>
      <c r="C60" s="354"/>
      <c r="D60" s="354"/>
      <c r="E60" s="354"/>
      <c r="F60" s="354"/>
      <c r="G60" s="354"/>
      <c r="H60" s="354"/>
      <c r="I60" s="354"/>
      <c r="J60" s="354"/>
      <c r="K60" s="354"/>
      <c r="L60" s="354"/>
      <c r="M60" s="354"/>
      <c r="N60" s="354"/>
    </row>
    <row r="61" spans="2:15" x14ac:dyDescent="0.2">
      <c r="B61" s="354" t="s">
        <v>249</v>
      </c>
      <c r="C61" s="354"/>
      <c r="D61" s="354"/>
      <c r="E61" s="354"/>
      <c r="F61" s="354"/>
      <c r="G61" s="354"/>
      <c r="H61" s="354"/>
      <c r="I61" s="354"/>
      <c r="J61" s="354"/>
      <c r="K61" s="354"/>
      <c r="L61" s="354"/>
      <c r="M61" s="354"/>
      <c r="N61" s="354"/>
    </row>
    <row r="62" spans="2:15" x14ac:dyDescent="0.2">
      <c r="B62" s="297" t="s">
        <v>250</v>
      </c>
      <c r="C62" s="254"/>
      <c r="D62" s="254"/>
      <c r="E62" s="254"/>
      <c r="F62" s="254"/>
      <c r="G62" s="254"/>
      <c r="H62" s="254"/>
      <c r="I62" s="254"/>
      <c r="J62" s="254"/>
      <c r="K62" s="254"/>
      <c r="L62" s="254"/>
      <c r="M62" s="254"/>
      <c r="N62" s="254"/>
    </row>
    <row r="63" spans="2:15" x14ac:dyDescent="0.2">
      <c r="B63" s="354" t="s">
        <v>251</v>
      </c>
      <c r="C63" s="354"/>
      <c r="D63" s="354"/>
      <c r="E63" s="354"/>
      <c r="F63" s="354"/>
      <c r="G63" s="354"/>
      <c r="H63" s="354"/>
      <c r="I63" s="354"/>
      <c r="J63" s="354"/>
      <c r="K63" s="354"/>
      <c r="L63" s="354"/>
      <c r="M63" s="354"/>
      <c r="N63" s="354"/>
    </row>
    <row r="64" spans="2:15" x14ac:dyDescent="0.2">
      <c r="B64" s="354"/>
      <c r="C64" s="354"/>
      <c r="D64" s="354"/>
      <c r="E64" s="354"/>
      <c r="F64" s="354"/>
      <c r="G64" s="354"/>
      <c r="H64" s="354"/>
      <c r="I64" s="354"/>
      <c r="J64" s="354"/>
      <c r="K64" s="354"/>
      <c r="L64" s="354"/>
      <c r="M64" s="354"/>
      <c r="N64" s="354"/>
    </row>
    <row r="69" spans="2:14" x14ac:dyDescent="0.2">
      <c r="B69" s="353"/>
      <c r="C69" s="353"/>
      <c r="D69" s="353"/>
      <c r="E69" s="353"/>
      <c r="F69" s="353"/>
      <c r="G69" s="353"/>
      <c r="H69" s="353"/>
      <c r="I69" s="353"/>
      <c r="J69" s="353"/>
      <c r="K69" s="353"/>
      <c r="L69" s="353"/>
      <c r="M69" s="353"/>
      <c r="N69" s="353"/>
    </row>
  </sheetData>
  <mergeCells count="10">
    <mergeCell ref="B61:N61"/>
    <mergeCell ref="B63:N63"/>
    <mergeCell ref="B64:N64"/>
    <mergeCell ref="B69:N69"/>
    <mergeCell ref="B2:O2"/>
    <mergeCell ref="B55:N55"/>
    <mergeCell ref="B57:N57"/>
    <mergeCell ref="B58:N58"/>
    <mergeCell ref="B59:N59"/>
    <mergeCell ref="B60:N60"/>
  </mergeCells>
  <printOptions horizontalCentered="1"/>
  <pageMargins left="0.5" right="0.5" top="0.5" bottom="0.5" header="0.3" footer="0.3"/>
  <pageSetup scale="85" fitToHeight="0" orientation="landscape" r:id="rId1"/>
  <headerFooter>
    <oddFooter>&amp;CA.1-&amp;P</oddFooter>
  </headerFooter>
  <rowBreaks count="1" manualBreakCount="1">
    <brk id="33" min="1"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B1:O15"/>
  <sheetViews>
    <sheetView tabSelected="1" zoomScaleNormal="100" workbookViewId="0">
      <selection activeCell="A4" sqref="A4"/>
    </sheetView>
  </sheetViews>
  <sheetFormatPr defaultRowHeight="14.25" x14ac:dyDescent="0.2"/>
  <cols>
    <col min="1" max="1" width="3.28515625" style="26" customWidth="1"/>
    <col min="2" max="2" width="13.28515625" style="26" customWidth="1"/>
    <col min="3" max="3" width="13.42578125" style="26" customWidth="1"/>
    <col min="4" max="4" width="12.42578125" style="26" customWidth="1"/>
    <col min="5" max="5" width="12.7109375" style="26" customWidth="1"/>
    <col min="6" max="6" width="13.5703125" style="26" customWidth="1"/>
    <col min="7" max="7" width="13.28515625" style="26" customWidth="1"/>
    <col min="8" max="8" width="22.28515625" style="26" customWidth="1"/>
    <col min="9" max="9" width="13" style="26" customWidth="1"/>
    <col min="10" max="10" width="9.140625" style="26"/>
    <col min="11" max="11" width="12.85546875" style="26" customWidth="1"/>
    <col min="12" max="16384" width="9.140625" style="26"/>
  </cols>
  <sheetData>
    <row r="1" spans="2:15" ht="39.75" customHeight="1" x14ac:dyDescent="0.25">
      <c r="B1" s="356" t="s">
        <v>258</v>
      </c>
      <c r="C1" s="356"/>
      <c r="D1" s="356"/>
      <c r="E1" s="356"/>
      <c r="F1" s="356"/>
      <c r="G1" s="356"/>
      <c r="H1" s="356"/>
      <c r="I1" s="356"/>
      <c r="J1" s="25"/>
      <c r="K1" s="25"/>
      <c r="L1" s="25"/>
      <c r="M1" s="25"/>
      <c r="N1" s="25"/>
      <c r="O1" s="25"/>
    </row>
    <row r="2" spans="2:15" ht="40.5" customHeight="1" thickBot="1" x14ac:dyDescent="0.25">
      <c r="B2" s="193" t="s">
        <v>39</v>
      </c>
      <c r="C2" s="194" t="s">
        <v>40</v>
      </c>
      <c r="D2" s="194" t="s">
        <v>42</v>
      </c>
      <c r="E2" s="194" t="s">
        <v>41</v>
      </c>
      <c r="F2" s="194" t="s">
        <v>43</v>
      </c>
      <c r="G2" s="194" t="s">
        <v>44</v>
      </c>
      <c r="H2" s="194" t="s">
        <v>45</v>
      </c>
      <c r="I2" s="194" t="s">
        <v>46</v>
      </c>
    </row>
    <row r="3" spans="2:15" ht="15" thickTop="1" x14ac:dyDescent="0.2">
      <c r="B3" s="195">
        <v>1</v>
      </c>
      <c r="C3" s="2">
        <f>'YR1'!H46</f>
        <v>7240</v>
      </c>
      <c r="D3" s="2">
        <f>'YR1'!I46</f>
        <v>724</v>
      </c>
      <c r="E3" s="2">
        <f>'YR1'!J46</f>
        <v>362</v>
      </c>
      <c r="F3" s="2">
        <f>SUM(C3:E3)</f>
        <v>8326</v>
      </c>
      <c r="G3" s="3">
        <f>'YR1'!L46</f>
        <v>842818</v>
      </c>
      <c r="H3" s="3">
        <f>'YR1'!M46</f>
        <v>0</v>
      </c>
      <c r="I3" s="3">
        <f>+G3+H3</f>
        <v>842818</v>
      </c>
    </row>
    <row r="4" spans="2:15" x14ac:dyDescent="0.2">
      <c r="B4" s="196">
        <v>2</v>
      </c>
      <c r="C4" s="4">
        <f>'YR2'!H46</f>
        <v>2109</v>
      </c>
      <c r="D4" s="4">
        <f>'YR2'!I46</f>
        <v>210.9</v>
      </c>
      <c r="E4" s="4">
        <f>'YR2'!J46</f>
        <v>105.45</v>
      </c>
      <c r="F4" s="4">
        <f>SUM(C4:E4)</f>
        <v>2425.35</v>
      </c>
      <c r="G4" s="5">
        <f>'YR2'!L46</f>
        <v>245511</v>
      </c>
      <c r="H4" s="5">
        <f>'YR2'!M46</f>
        <v>167536.60249065899</v>
      </c>
      <c r="I4" s="5">
        <f>+G4+H4</f>
        <v>413047.60249065899</v>
      </c>
    </row>
    <row r="5" spans="2:15" ht="15" thickBot="1" x14ac:dyDescent="0.25">
      <c r="B5" s="193">
        <v>3</v>
      </c>
      <c r="C5" s="6">
        <f>'YR3'!H46</f>
        <v>6218</v>
      </c>
      <c r="D5" s="6">
        <f>'YR3'!I46</f>
        <v>621.79999999999995</v>
      </c>
      <c r="E5" s="6">
        <f>'YR3'!J46</f>
        <v>310.89999999999998</v>
      </c>
      <c r="F5" s="6">
        <f>SUM(C5:E5)</f>
        <v>7150.7</v>
      </c>
      <c r="G5" s="7">
        <f>'YR3'!L46</f>
        <v>723845</v>
      </c>
      <c r="H5" s="7">
        <f>'YR3'!M46</f>
        <v>480925.48150971998</v>
      </c>
      <c r="I5" s="7">
        <f>+G5+H5</f>
        <v>1204770.48150972</v>
      </c>
    </row>
    <row r="6" spans="2:15" ht="15" thickTop="1" x14ac:dyDescent="0.2">
      <c r="B6" s="195" t="s">
        <v>47</v>
      </c>
      <c r="C6" s="2">
        <f t="shared" ref="C6:I6" si="0">SUM(C3:C5)</f>
        <v>15567</v>
      </c>
      <c r="D6" s="2">
        <f t="shared" si="0"/>
        <v>1556.6999999999998</v>
      </c>
      <c r="E6" s="2">
        <f t="shared" si="0"/>
        <v>778.34999999999991</v>
      </c>
      <c r="F6" s="2">
        <f>SUM(F3:F5)</f>
        <v>17902.05</v>
      </c>
      <c r="G6" s="3">
        <f t="shared" si="0"/>
        <v>1812174</v>
      </c>
      <c r="H6" s="3">
        <f t="shared" si="0"/>
        <v>648462.08400037896</v>
      </c>
      <c r="I6" s="3">
        <f t="shared" si="0"/>
        <v>2460636.0840003788</v>
      </c>
    </row>
    <row r="7" spans="2:15" x14ac:dyDescent="0.2">
      <c r="B7" s="196" t="s">
        <v>48</v>
      </c>
      <c r="C7" s="4">
        <f t="shared" ref="C7:I7" si="1">AVERAGE(C3:C5)</f>
        <v>5189</v>
      </c>
      <c r="D7" s="4">
        <f t="shared" si="1"/>
        <v>518.9</v>
      </c>
      <c r="E7" s="4">
        <f t="shared" si="1"/>
        <v>259.45</v>
      </c>
      <c r="F7" s="4">
        <f>AVERAGE(F3:F5)</f>
        <v>5967.3499999999995</v>
      </c>
      <c r="G7" s="197">
        <f t="shared" si="1"/>
        <v>604058</v>
      </c>
      <c r="H7" s="5">
        <f t="shared" si="1"/>
        <v>216154.02800012633</v>
      </c>
      <c r="I7" s="5">
        <f t="shared" si="1"/>
        <v>820212.02800012624</v>
      </c>
    </row>
    <row r="8" spans="2:15" x14ac:dyDescent="0.2">
      <c r="B8" s="198"/>
      <c r="C8" s="27"/>
      <c r="D8" s="27"/>
      <c r="E8" s="27"/>
      <c r="F8" s="27"/>
      <c r="G8" s="27"/>
      <c r="H8" s="27"/>
      <c r="I8" s="199"/>
    </row>
    <row r="9" spans="2:15" ht="30" customHeight="1" thickBot="1" x14ac:dyDescent="0.25">
      <c r="B9" s="193" t="s">
        <v>39</v>
      </c>
      <c r="C9" s="194" t="s">
        <v>108</v>
      </c>
      <c r="D9" s="194" t="s">
        <v>85</v>
      </c>
      <c r="E9" s="194" t="s">
        <v>86</v>
      </c>
      <c r="F9" s="194" t="s">
        <v>87</v>
      </c>
      <c r="G9" s="194" t="s">
        <v>54</v>
      </c>
      <c r="H9" s="200" t="s">
        <v>88</v>
      </c>
      <c r="I9" s="200" t="s">
        <v>106</v>
      </c>
    </row>
    <row r="10" spans="2:15" ht="15" thickTop="1" x14ac:dyDescent="0.2">
      <c r="B10" s="195">
        <v>1</v>
      </c>
      <c r="C10" s="2">
        <f>MAX('YR1'!G:G)</f>
        <v>181</v>
      </c>
      <c r="D10" s="2">
        <f>'YR1'!N46</f>
        <v>0</v>
      </c>
      <c r="E10" s="2">
        <f>'YR1'!H33+'YR1'!I33+'YR1'!J33</f>
        <v>4995.5999999999995</v>
      </c>
      <c r="F10" s="2">
        <f>'YR1'!H45+'YR1'!I45+'YR1'!J45</f>
        <v>3330.4</v>
      </c>
      <c r="G10" s="2">
        <f>F10+E10</f>
        <v>8326</v>
      </c>
      <c r="H10" s="167" t="s">
        <v>274</v>
      </c>
      <c r="I10" s="107">
        <f>G10/C10</f>
        <v>46</v>
      </c>
    </row>
    <row r="11" spans="2:15" x14ac:dyDescent="0.2">
      <c r="B11" s="196">
        <v>2</v>
      </c>
      <c r="C11" s="126">
        <f>MAX('YR2'!G:G)</f>
        <v>60</v>
      </c>
      <c r="D11" s="126">
        <f>'YR2'!N46</f>
        <v>234</v>
      </c>
      <c r="E11" s="126">
        <f>'YR2'!H33+'YR2'!I33+'YR2'!J33</f>
        <v>959.1</v>
      </c>
      <c r="F11" s="126">
        <f>'YR2'!H45+'YR2'!I45+'YR2'!J45</f>
        <v>1466.25</v>
      </c>
      <c r="G11" s="2">
        <f>F11+E11</f>
        <v>2425.35</v>
      </c>
      <c r="H11" s="107">
        <f>G11/D11</f>
        <v>10.36474358974359</v>
      </c>
      <c r="I11" s="107">
        <f>G11/C11</f>
        <v>40.422499999999999</v>
      </c>
    </row>
    <row r="12" spans="2:15" ht="15" thickBot="1" x14ac:dyDescent="0.25">
      <c r="B12" s="193">
        <v>3</v>
      </c>
      <c r="C12" s="108">
        <f>MAX('YR3'!G:G)</f>
        <v>180</v>
      </c>
      <c r="D12" s="108">
        <f>'YR3'!N46</f>
        <v>630</v>
      </c>
      <c r="E12" s="108">
        <f>'YR3'!H33+'YR3'!I33+'YR3'!J33</f>
        <v>2578.2999999999997</v>
      </c>
      <c r="F12" s="108">
        <f>'YR3'!H45+'YR3'!I45+'YR3'!J45</f>
        <v>4572.4000000000005</v>
      </c>
      <c r="G12" s="6">
        <f>F12+E12</f>
        <v>7150.7000000000007</v>
      </c>
      <c r="H12" s="108">
        <f>G12/D12</f>
        <v>11.350317460317461</v>
      </c>
      <c r="I12" s="6">
        <f>G12/C12</f>
        <v>39.726111111111116</v>
      </c>
    </row>
    <row r="13" spans="2:15" ht="15" thickTop="1" x14ac:dyDescent="0.2">
      <c r="B13" s="195" t="s">
        <v>47</v>
      </c>
      <c r="C13" s="2">
        <f>SUM(C10:C12)</f>
        <v>421</v>
      </c>
      <c r="D13" s="2">
        <f>SUM(D10:D12)</f>
        <v>864</v>
      </c>
      <c r="E13" s="2">
        <f t="shared" ref="E13:F13" si="2">SUM(E10:E12)</f>
        <v>8533</v>
      </c>
      <c r="F13" s="2">
        <f t="shared" si="2"/>
        <v>9369.0499999999993</v>
      </c>
      <c r="G13" s="2">
        <f>SUM(G10:G12)</f>
        <v>17902.050000000003</v>
      </c>
      <c r="H13" s="107">
        <f>G13/D13</f>
        <v>20.719965277777781</v>
      </c>
      <c r="I13" s="107">
        <f>G13/C13</f>
        <v>42.522684085510697</v>
      </c>
    </row>
    <row r="14" spans="2:15" x14ac:dyDescent="0.2">
      <c r="B14" s="196" t="s">
        <v>48</v>
      </c>
      <c r="C14" s="4">
        <f t="shared" ref="C14" si="3">AVERAGE(C10:C12)</f>
        <v>140.33333333333334</v>
      </c>
      <c r="D14" s="4">
        <f t="shared" ref="D14:G14" si="4">AVERAGE(D10:D12)</f>
        <v>288</v>
      </c>
      <c r="E14" s="4">
        <f t="shared" si="4"/>
        <v>2844.3333333333335</v>
      </c>
      <c r="F14" s="4">
        <f t="shared" si="4"/>
        <v>3123.0166666666664</v>
      </c>
      <c r="G14" s="4">
        <f t="shared" si="4"/>
        <v>5967.3500000000013</v>
      </c>
      <c r="H14" s="126">
        <f>G14/D14</f>
        <v>20.719965277777781</v>
      </c>
      <c r="I14" s="107">
        <f>G14/C14</f>
        <v>42.522684085510697</v>
      </c>
    </row>
    <row r="15" spans="2:15" x14ac:dyDescent="0.2">
      <c r="G15" s="109"/>
    </row>
  </sheetData>
  <mergeCells count="1">
    <mergeCell ref="B1:I1"/>
  </mergeCells>
  <printOptions horizontalCentered="1"/>
  <pageMargins left="0.5" right="0.5" top="0.5" bottom="0.5" header="0.3" footer="0.3"/>
  <pageSetup fitToHeight="0" orientation="landscape" r:id="rId1"/>
  <headerFooter>
    <oddFooter>&amp;CA.1-&amp;P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B050"/>
    <pageSetUpPr fitToPage="1"/>
  </sheetPr>
  <dimension ref="B2:Z49"/>
  <sheetViews>
    <sheetView zoomScaleNormal="100" workbookViewId="0">
      <selection activeCell="A4" sqref="A4"/>
    </sheetView>
  </sheetViews>
  <sheetFormatPr defaultRowHeight="14.25" x14ac:dyDescent="0.2"/>
  <cols>
    <col min="1" max="1" width="4.140625" style="26" customWidth="1"/>
    <col min="2" max="4" width="3.140625" style="13" customWidth="1"/>
    <col min="5" max="5" width="40.28515625" style="13" customWidth="1"/>
    <col min="6" max="6" width="3.28515625" style="13" customWidth="1"/>
    <col min="7" max="9" width="11.28515625" style="13" customWidth="1"/>
    <col min="10" max="10" width="11.5703125" style="13" bestFit="1" customWidth="1"/>
    <col min="11" max="11" width="10.42578125" style="13" bestFit="1" customWidth="1"/>
    <col min="12" max="12" width="10.140625" style="13" bestFit="1" customWidth="1"/>
    <col min="13" max="13" width="8.42578125" style="13" bestFit="1" customWidth="1"/>
    <col min="14" max="14" width="3.5703125" style="13" customWidth="1"/>
    <col min="15" max="15" width="3.85546875" style="26" customWidth="1"/>
    <col min="16" max="16384" width="9.140625" style="26"/>
  </cols>
  <sheetData>
    <row r="2" spans="2:14" ht="29.25" customHeight="1" x14ac:dyDescent="0.25">
      <c r="B2" s="369" t="s">
        <v>259</v>
      </c>
      <c r="C2" s="369"/>
      <c r="D2" s="369"/>
      <c r="E2" s="369"/>
      <c r="F2" s="369"/>
      <c r="G2" s="369"/>
      <c r="H2" s="369"/>
      <c r="I2" s="369"/>
      <c r="J2" s="369"/>
      <c r="K2" s="369"/>
      <c r="L2" s="369"/>
      <c r="M2" s="369"/>
      <c r="N2" s="369"/>
    </row>
    <row r="3" spans="2:14" x14ac:dyDescent="0.2">
      <c r="B3" s="201"/>
      <c r="C3" s="202"/>
      <c r="D3" s="202"/>
      <c r="E3" s="202"/>
      <c r="F3" s="202"/>
      <c r="G3" s="203" t="s">
        <v>6</v>
      </c>
      <c r="H3" s="204" t="s">
        <v>7</v>
      </c>
      <c r="I3" s="205" t="s">
        <v>8</v>
      </c>
      <c r="J3" s="205" t="s">
        <v>9</v>
      </c>
      <c r="K3" s="205" t="s">
        <v>10</v>
      </c>
      <c r="L3" s="206" t="s">
        <v>11</v>
      </c>
      <c r="M3" s="206" t="s">
        <v>112</v>
      </c>
      <c r="N3" s="367" t="s">
        <v>5</v>
      </c>
    </row>
    <row r="4" spans="2:14" ht="48.75" thickBot="1" x14ac:dyDescent="0.25">
      <c r="B4" s="370" t="s">
        <v>3</v>
      </c>
      <c r="C4" s="371"/>
      <c r="D4" s="371"/>
      <c r="E4" s="371"/>
      <c r="F4" s="372"/>
      <c r="G4" s="127" t="s">
        <v>12</v>
      </c>
      <c r="H4" s="128" t="s">
        <v>109</v>
      </c>
      <c r="I4" s="129" t="s">
        <v>94</v>
      </c>
      <c r="J4" s="129" t="s">
        <v>95</v>
      </c>
      <c r="K4" s="129" t="s">
        <v>96</v>
      </c>
      <c r="L4" s="129" t="s">
        <v>110</v>
      </c>
      <c r="M4" s="129" t="s">
        <v>111</v>
      </c>
      <c r="N4" s="368"/>
    </row>
    <row r="5" spans="2:14" ht="12" customHeight="1" thickTop="1" x14ac:dyDescent="0.2">
      <c r="B5" s="207" t="s">
        <v>13</v>
      </c>
      <c r="C5" s="29" t="s">
        <v>14</v>
      </c>
      <c r="D5" s="30"/>
      <c r="E5" s="30"/>
      <c r="F5" s="31"/>
      <c r="G5" s="373" t="s">
        <v>15</v>
      </c>
      <c r="H5" s="374"/>
      <c r="I5" s="374"/>
      <c r="J5" s="374"/>
      <c r="K5" s="374"/>
      <c r="L5" s="374"/>
      <c r="M5" s="374"/>
      <c r="N5" s="375"/>
    </row>
    <row r="6" spans="2:14" ht="12" customHeight="1" x14ac:dyDescent="0.2">
      <c r="B6" s="208" t="s">
        <v>16</v>
      </c>
      <c r="C6" s="32" t="s">
        <v>17</v>
      </c>
      <c r="D6" s="32"/>
      <c r="E6" s="32"/>
      <c r="F6" s="33"/>
      <c r="G6" s="168">
        <v>46</v>
      </c>
      <c r="H6" s="132">
        <v>24</v>
      </c>
      <c r="I6" s="132">
        <f>(G6*H6)</f>
        <v>1104</v>
      </c>
      <c r="J6" s="132">
        <f>I6*0.05</f>
        <v>55.2</v>
      </c>
      <c r="K6" s="132">
        <f>I6*0.1</f>
        <v>110.4</v>
      </c>
      <c r="L6" s="132">
        <f>SUM(I6:K6)</f>
        <v>1269.6000000000001</v>
      </c>
      <c r="M6" s="133">
        <f>I6*'OLD Inputs'!$D$79+J6*'OLD Inputs'!$D$80+K6*'OLD Inputs'!$D$81</f>
        <v>58953.600000000006</v>
      </c>
      <c r="N6" s="133" t="s">
        <v>35</v>
      </c>
    </row>
    <row r="7" spans="2:14" ht="12" customHeight="1" x14ac:dyDescent="0.2">
      <c r="B7" s="209" t="s">
        <v>18</v>
      </c>
      <c r="C7" s="34" t="s">
        <v>19</v>
      </c>
      <c r="D7" s="34"/>
      <c r="E7" s="34"/>
      <c r="F7" s="35"/>
      <c r="G7" s="358"/>
      <c r="H7" s="359"/>
      <c r="I7" s="359"/>
      <c r="J7" s="359"/>
      <c r="K7" s="359"/>
      <c r="L7" s="359"/>
      <c r="M7" s="359"/>
      <c r="N7" s="360"/>
    </row>
    <row r="8" spans="2:14" ht="12" customHeight="1" x14ac:dyDescent="0.2">
      <c r="B8" s="210">
        <v>0.08</v>
      </c>
      <c r="C8" s="36" t="s">
        <v>20</v>
      </c>
      <c r="D8" s="364" t="s">
        <v>21</v>
      </c>
      <c r="E8" s="365"/>
      <c r="F8" s="366"/>
      <c r="G8" s="134">
        <v>0</v>
      </c>
      <c r="H8" s="135">
        <v>16</v>
      </c>
      <c r="I8" s="136">
        <f>(G8*H8)</f>
        <v>0</v>
      </c>
      <c r="J8" s="136">
        <f>I8*0.05</f>
        <v>0</v>
      </c>
      <c r="K8" s="136">
        <f>I8*0.1</f>
        <v>0</v>
      </c>
      <c r="L8" s="132">
        <f>SUM(I8:K8)</f>
        <v>0</v>
      </c>
      <c r="M8" s="133">
        <f>I8*'OLD Inputs'!$D$79+J8*'OLD Inputs'!$D$80+K8*'OLD Inputs'!$D$81</f>
        <v>0</v>
      </c>
      <c r="N8" s="211"/>
    </row>
    <row r="9" spans="2:14" ht="12" customHeight="1" x14ac:dyDescent="0.2">
      <c r="B9" s="212">
        <f>0.1*0.1</f>
        <v>1.0000000000000002E-2</v>
      </c>
      <c r="C9" s="37" t="s">
        <v>22</v>
      </c>
      <c r="D9" s="38" t="s">
        <v>23</v>
      </c>
      <c r="E9" s="38"/>
      <c r="F9" s="39"/>
      <c r="G9" s="169">
        <v>0</v>
      </c>
      <c r="H9" s="137">
        <v>24</v>
      </c>
      <c r="I9" s="138">
        <f>(G9*H9)</f>
        <v>0</v>
      </c>
      <c r="J9" s="138">
        <f>I9*0.05</f>
        <v>0</v>
      </c>
      <c r="K9" s="138">
        <f>I9*0.1</f>
        <v>0</v>
      </c>
      <c r="L9" s="132">
        <f>SUM(I9:K9)</f>
        <v>0</v>
      </c>
      <c r="M9" s="133">
        <f>I9*'OLD Inputs'!$D$79+J9*'OLD Inputs'!$D$80+K9*'OLD Inputs'!$D$81</f>
        <v>0</v>
      </c>
      <c r="N9" s="211"/>
    </row>
    <row r="10" spans="2:14" ht="12" customHeight="1" x14ac:dyDescent="0.2">
      <c r="B10" s="212"/>
      <c r="C10" s="40" t="s">
        <v>24</v>
      </c>
      <c r="D10" s="29" t="s">
        <v>25</v>
      </c>
      <c r="E10" s="29"/>
      <c r="F10" s="41"/>
      <c r="G10" s="358" t="s">
        <v>15</v>
      </c>
      <c r="H10" s="359"/>
      <c r="I10" s="359"/>
      <c r="J10" s="359"/>
      <c r="K10" s="359"/>
      <c r="L10" s="359"/>
      <c r="M10" s="359"/>
      <c r="N10" s="360"/>
    </row>
    <row r="11" spans="2:14" ht="12" customHeight="1" x14ac:dyDescent="0.2">
      <c r="B11" s="210"/>
      <c r="C11" s="42" t="s">
        <v>26</v>
      </c>
      <c r="D11" s="43" t="s">
        <v>27</v>
      </c>
      <c r="E11" s="43"/>
      <c r="F11" s="44"/>
      <c r="G11" s="361" t="s">
        <v>15</v>
      </c>
      <c r="H11" s="362"/>
      <c r="I11" s="362"/>
      <c r="J11" s="362"/>
      <c r="K11" s="362"/>
      <c r="L11" s="362"/>
      <c r="M11" s="362"/>
      <c r="N11" s="363"/>
    </row>
    <row r="12" spans="2:14" ht="12" customHeight="1" x14ac:dyDescent="0.2">
      <c r="B12" s="213"/>
      <c r="C12" s="45" t="s">
        <v>28</v>
      </c>
      <c r="D12" s="34" t="s">
        <v>29</v>
      </c>
      <c r="E12" s="34"/>
      <c r="F12" s="46"/>
      <c r="G12" s="358"/>
      <c r="H12" s="359"/>
      <c r="I12" s="359"/>
      <c r="J12" s="359"/>
      <c r="K12" s="359"/>
      <c r="L12" s="359"/>
      <c r="M12" s="359"/>
      <c r="N12" s="360"/>
    </row>
    <row r="13" spans="2:14" ht="12" customHeight="1" x14ac:dyDescent="0.2">
      <c r="B13" s="214"/>
      <c r="C13" s="61"/>
      <c r="D13" s="125" t="s">
        <v>13</v>
      </c>
      <c r="E13" s="59" t="s">
        <v>141</v>
      </c>
      <c r="F13" s="62"/>
      <c r="G13" s="131"/>
      <c r="H13" s="139"/>
      <c r="I13" s="140"/>
      <c r="J13" s="140"/>
      <c r="K13" s="140"/>
      <c r="L13" s="132"/>
      <c r="M13" s="133"/>
      <c r="N13" s="211"/>
    </row>
    <row r="14" spans="2:14" ht="12" customHeight="1" x14ac:dyDescent="0.2">
      <c r="B14" s="214"/>
      <c r="C14" s="61"/>
      <c r="D14" s="125"/>
      <c r="E14" s="59" t="s">
        <v>227</v>
      </c>
      <c r="F14" s="62"/>
      <c r="G14" s="131">
        <f>'YR1'!N26</f>
        <v>0</v>
      </c>
      <c r="H14" s="139">
        <v>2</v>
      </c>
      <c r="I14" s="140">
        <f t="shared" ref="I14:I21" si="0">(G14*H14)</f>
        <v>0</v>
      </c>
      <c r="J14" s="140">
        <f t="shared" ref="J14:J20" si="1">I14*0.05</f>
        <v>0</v>
      </c>
      <c r="K14" s="140">
        <f t="shared" ref="K14:K20" si="2">I14*0.1</f>
        <v>0</v>
      </c>
      <c r="L14" s="132">
        <f t="shared" ref="L14:L21" si="3">SUM(I14:K14)</f>
        <v>0</v>
      </c>
      <c r="M14" s="133">
        <f>I14*'OLD Inputs'!$D$79+J14*'OLD Inputs'!$D$80+K14*'OLD Inputs'!$D$81</f>
        <v>0</v>
      </c>
      <c r="N14" s="211"/>
    </row>
    <row r="15" spans="2:14" ht="12" customHeight="1" x14ac:dyDescent="0.2">
      <c r="B15" s="214"/>
      <c r="C15" s="61"/>
      <c r="D15" s="125"/>
      <c r="E15" s="59" t="s">
        <v>225</v>
      </c>
      <c r="F15" s="62"/>
      <c r="G15" s="131">
        <f>'YR1'!N27</f>
        <v>0</v>
      </c>
      <c r="H15" s="139">
        <v>2</v>
      </c>
      <c r="I15" s="140">
        <f t="shared" si="0"/>
        <v>0</v>
      </c>
      <c r="J15" s="140">
        <f t="shared" si="1"/>
        <v>0</v>
      </c>
      <c r="K15" s="140">
        <f t="shared" si="2"/>
        <v>0</v>
      </c>
      <c r="L15" s="132">
        <f t="shared" si="3"/>
        <v>0</v>
      </c>
      <c r="M15" s="133">
        <f>I15*'OLD Inputs'!$D$79+J15*'OLD Inputs'!$D$80+K15*'OLD Inputs'!$D$81</f>
        <v>0</v>
      </c>
      <c r="N15" s="211"/>
    </row>
    <row r="16" spans="2:14" ht="12" customHeight="1" x14ac:dyDescent="0.2">
      <c r="B16" s="214"/>
      <c r="C16" s="61"/>
      <c r="D16" s="125"/>
      <c r="E16" s="59" t="s">
        <v>228</v>
      </c>
      <c r="F16" s="62"/>
      <c r="G16" s="131">
        <f>'YR1'!N28</f>
        <v>0</v>
      </c>
      <c r="H16" s="139">
        <v>2</v>
      </c>
      <c r="I16" s="140">
        <f t="shared" ref="I16" si="4">(G16*H16)</f>
        <v>0</v>
      </c>
      <c r="J16" s="140">
        <f t="shared" ref="J16" si="5">I16*0.05</f>
        <v>0</v>
      </c>
      <c r="K16" s="140">
        <f t="shared" ref="K16" si="6">I16*0.1</f>
        <v>0</v>
      </c>
      <c r="L16" s="132">
        <f t="shared" ref="L16" si="7">SUM(I16:K16)</f>
        <v>0</v>
      </c>
      <c r="M16" s="133">
        <f>I16*'OLD Inputs'!$D$79+J16*'OLD Inputs'!$D$80+K16*'OLD Inputs'!$D$81</f>
        <v>0</v>
      </c>
      <c r="N16" s="211"/>
    </row>
    <row r="17" spans="2:14" ht="12" customHeight="1" x14ac:dyDescent="0.2">
      <c r="B17" s="214"/>
      <c r="C17" s="61"/>
      <c r="D17" s="125" t="s">
        <v>16</v>
      </c>
      <c r="E17" s="63" t="s">
        <v>105</v>
      </c>
      <c r="F17" s="62"/>
      <c r="G17" s="131"/>
      <c r="H17" s="139"/>
      <c r="I17" s="140">
        <f t="shared" si="0"/>
        <v>0</v>
      </c>
      <c r="J17" s="140">
        <f t="shared" si="1"/>
        <v>0</v>
      </c>
      <c r="K17" s="140">
        <f t="shared" si="2"/>
        <v>0</v>
      </c>
      <c r="L17" s="132">
        <f t="shared" si="3"/>
        <v>0</v>
      </c>
      <c r="M17" s="133">
        <f>I17*'OLD Inputs'!$D$79+J17*'OLD Inputs'!$D$80+K17*'OLD Inputs'!$D$81</f>
        <v>0</v>
      </c>
      <c r="N17" s="211"/>
    </row>
    <row r="18" spans="2:14" ht="12" customHeight="1" x14ac:dyDescent="0.2">
      <c r="B18" s="214"/>
      <c r="C18" s="61"/>
      <c r="D18" s="125"/>
      <c r="E18" s="59" t="s">
        <v>227</v>
      </c>
      <c r="F18" s="62"/>
      <c r="G18" s="131">
        <f>'YR1'!N30</f>
        <v>0</v>
      </c>
      <c r="H18" s="139">
        <v>2</v>
      </c>
      <c r="I18" s="140">
        <f t="shared" si="0"/>
        <v>0</v>
      </c>
      <c r="J18" s="140">
        <f t="shared" si="1"/>
        <v>0</v>
      </c>
      <c r="K18" s="140">
        <f t="shared" si="2"/>
        <v>0</v>
      </c>
      <c r="L18" s="132">
        <f t="shared" si="3"/>
        <v>0</v>
      </c>
      <c r="M18" s="133">
        <f>I18*'OLD Inputs'!$D$79+J18*'OLD Inputs'!$D$80+K18*'OLD Inputs'!$D$81</f>
        <v>0</v>
      </c>
      <c r="N18" s="211"/>
    </row>
    <row r="19" spans="2:14" ht="12" customHeight="1" x14ac:dyDescent="0.2">
      <c r="B19" s="214"/>
      <c r="C19" s="61"/>
      <c r="D19" s="125"/>
      <c r="E19" s="59" t="s">
        <v>225</v>
      </c>
      <c r="F19" s="62"/>
      <c r="G19" s="131">
        <f>'YR1'!N31</f>
        <v>0</v>
      </c>
      <c r="H19" s="139">
        <v>2</v>
      </c>
      <c r="I19" s="140">
        <f t="shared" si="0"/>
        <v>0</v>
      </c>
      <c r="J19" s="140">
        <f t="shared" si="1"/>
        <v>0</v>
      </c>
      <c r="K19" s="140">
        <f t="shared" si="2"/>
        <v>0</v>
      </c>
      <c r="L19" s="132">
        <f t="shared" si="3"/>
        <v>0</v>
      </c>
      <c r="M19" s="133">
        <f>I19*'OLD Inputs'!$D$79+J19*'OLD Inputs'!$D$80+K19*'OLD Inputs'!$D$81</f>
        <v>0</v>
      </c>
      <c r="N19" s="211"/>
    </row>
    <row r="20" spans="2:14" ht="12" customHeight="1" x14ac:dyDescent="0.2">
      <c r="B20" s="214"/>
      <c r="C20" s="61"/>
      <c r="D20" s="125"/>
      <c r="E20" s="59" t="s">
        <v>228</v>
      </c>
      <c r="F20" s="62"/>
      <c r="G20" s="131">
        <f>'YR1'!N32</f>
        <v>0</v>
      </c>
      <c r="H20" s="139">
        <v>2</v>
      </c>
      <c r="I20" s="140">
        <f t="shared" si="0"/>
        <v>0</v>
      </c>
      <c r="J20" s="140">
        <f t="shared" si="1"/>
        <v>0</v>
      </c>
      <c r="K20" s="140">
        <f t="shared" si="2"/>
        <v>0</v>
      </c>
      <c r="L20" s="132">
        <f t="shared" si="3"/>
        <v>0</v>
      </c>
      <c r="M20" s="133">
        <f>I20*'OLD Inputs'!$D$79+J20*'OLD Inputs'!$D$80+K20*'OLD Inputs'!$D$81</f>
        <v>0</v>
      </c>
      <c r="N20" s="211"/>
    </row>
    <row r="21" spans="2:14" ht="12" customHeight="1" x14ac:dyDescent="0.2">
      <c r="B21" s="215"/>
      <c r="C21" s="58" t="s">
        <v>30</v>
      </c>
      <c r="D21" s="59" t="s">
        <v>31</v>
      </c>
      <c r="E21" s="59"/>
      <c r="F21" s="60"/>
      <c r="G21" s="141">
        <v>1</v>
      </c>
      <c r="H21" s="140">
        <v>10</v>
      </c>
      <c r="I21" s="140">
        <f t="shared" si="0"/>
        <v>10</v>
      </c>
      <c r="J21" s="140">
        <f t="shared" ref="J21" si="8">I21*0.05</f>
        <v>0.5</v>
      </c>
      <c r="K21" s="140">
        <f t="shared" ref="K21" si="9">I21*0.1</f>
        <v>1</v>
      </c>
      <c r="L21" s="132">
        <f t="shared" si="3"/>
        <v>11.5</v>
      </c>
      <c r="M21" s="133">
        <f>I21*'OLD Inputs'!$D$79+J21*'OLD Inputs'!$D$80+K21*'OLD Inputs'!$D$81</f>
        <v>534.00000000000011</v>
      </c>
      <c r="N21" s="211"/>
    </row>
    <row r="22" spans="2:14" ht="12" customHeight="1" thickBot="1" x14ac:dyDescent="0.25">
      <c r="B22" s="216" t="s">
        <v>53</v>
      </c>
      <c r="C22" s="53" t="s">
        <v>32</v>
      </c>
      <c r="D22" s="54"/>
      <c r="E22" s="54"/>
      <c r="F22" s="54"/>
      <c r="G22" s="55"/>
      <c r="H22" s="47"/>
      <c r="I22" s="47"/>
      <c r="J22" s="56" t="str">
        <f>IF(G8=0,"$0",1*3.75*75+600)</f>
        <v>$0</v>
      </c>
      <c r="K22" s="57" t="s">
        <v>33</v>
      </c>
      <c r="L22" s="57"/>
      <c r="M22" s="48">
        <f>IF(ISTEXT(J22),0,G8*J22)</f>
        <v>0</v>
      </c>
      <c r="N22" s="217"/>
    </row>
    <row r="23" spans="2:14" ht="12" customHeight="1" thickTop="1" x14ac:dyDescent="0.2">
      <c r="B23" s="218"/>
      <c r="C23" s="219" t="s">
        <v>34</v>
      </c>
      <c r="D23" s="220"/>
      <c r="E23" s="220"/>
      <c r="F23" s="59"/>
      <c r="G23" s="221"/>
      <c r="H23" s="222"/>
      <c r="I23" s="223">
        <f>SUM(I6:I21)</f>
        <v>1114</v>
      </c>
      <c r="J23" s="223">
        <f>SUM(J6:J21)</f>
        <v>55.7</v>
      </c>
      <c r="K23" s="223">
        <f>SUM(K6:K21)</f>
        <v>111.4</v>
      </c>
      <c r="L23" s="223">
        <f>SUM(L6:L21)</f>
        <v>1281.1000000000001</v>
      </c>
      <c r="M23" s="224">
        <f>SUM(M6:M22)</f>
        <v>59487.600000000006</v>
      </c>
      <c r="N23" s="211"/>
    </row>
    <row r="24" spans="2:14" ht="12" customHeight="1" x14ac:dyDescent="0.2">
      <c r="B24" s="14"/>
      <c r="C24" s="14"/>
      <c r="D24" s="14"/>
      <c r="E24" s="14"/>
      <c r="F24" s="15"/>
      <c r="G24" s="15"/>
      <c r="H24" s="16"/>
      <c r="I24" s="17"/>
      <c r="J24" s="17"/>
      <c r="K24" s="17"/>
      <c r="L24" s="17"/>
      <c r="M24" s="17"/>
      <c r="N24" s="17"/>
    </row>
    <row r="25" spans="2:14" ht="12" customHeight="1" x14ac:dyDescent="0.2">
      <c r="B25" s="49" t="s">
        <v>93</v>
      </c>
      <c r="C25" s="49"/>
      <c r="D25" s="14"/>
      <c r="E25" s="14"/>
      <c r="F25" s="18"/>
      <c r="G25" s="15"/>
      <c r="H25" s="16"/>
      <c r="I25" s="17"/>
      <c r="J25" s="17"/>
      <c r="K25" s="17"/>
      <c r="L25" s="17"/>
      <c r="M25" s="17"/>
      <c r="N25" s="17"/>
    </row>
    <row r="26" spans="2:14" ht="12" customHeight="1" x14ac:dyDescent="0.2">
      <c r="B26" s="50" t="s">
        <v>35</v>
      </c>
      <c r="C26" s="24" t="s">
        <v>265</v>
      </c>
      <c r="D26" s="14"/>
      <c r="E26" s="14"/>
      <c r="F26" s="15"/>
      <c r="G26" s="15"/>
      <c r="H26" s="16"/>
      <c r="I26" s="17"/>
      <c r="J26" s="17"/>
      <c r="K26" s="17"/>
      <c r="L26" s="17"/>
      <c r="M26" s="17"/>
      <c r="N26" s="17"/>
    </row>
    <row r="27" spans="2:14" ht="12" customHeight="1" x14ac:dyDescent="0.2">
      <c r="B27" s="50"/>
      <c r="C27" s="49"/>
      <c r="D27" s="14"/>
      <c r="E27" s="14"/>
      <c r="F27" s="15"/>
      <c r="G27" s="15"/>
      <c r="H27" s="16"/>
      <c r="I27" s="17"/>
      <c r="J27" s="17"/>
      <c r="K27" s="17"/>
      <c r="L27" s="17"/>
      <c r="M27" s="17"/>
      <c r="N27" s="17"/>
    </row>
    <row r="28" spans="2:14" ht="12" customHeight="1" x14ac:dyDescent="0.2">
      <c r="B28" s="50"/>
      <c r="C28" s="49"/>
      <c r="D28" s="14"/>
      <c r="E28" s="14"/>
      <c r="F28" s="15"/>
      <c r="G28" s="15"/>
      <c r="H28" s="16"/>
      <c r="I28" s="17"/>
      <c r="J28" s="17"/>
      <c r="K28" s="17"/>
      <c r="L28" s="17"/>
      <c r="M28" s="17"/>
      <c r="N28" s="17"/>
    </row>
    <row r="29" spans="2:14" ht="12" customHeight="1" x14ac:dyDescent="0.2">
      <c r="B29" s="50"/>
      <c r="C29" s="49"/>
      <c r="D29" s="14"/>
      <c r="E29" s="14"/>
      <c r="F29" s="15"/>
      <c r="G29" s="15"/>
      <c r="H29" s="16"/>
      <c r="I29" s="17"/>
      <c r="J29" s="17"/>
      <c r="K29" s="17"/>
      <c r="L29" s="17"/>
      <c r="M29" s="17"/>
      <c r="N29" s="17"/>
    </row>
    <row r="30" spans="2:14" ht="12" customHeight="1" x14ac:dyDescent="0.2">
      <c r="B30" s="51"/>
      <c r="C30" s="52"/>
    </row>
    <row r="31" spans="2:14" x14ac:dyDescent="0.2">
      <c r="B31" s="20"/>
    </row>
    <row r="32" spans="2:14" x14ac:dyDescent="0.2">
      <c r="B32" s="20"/>
    </row>
    <row r="33" spans="2:26" x14ac:dyDescent="0.2">
      <c r="B33" s="20"/>
    </row>
    <row r="34" spans="2:26" x14ac:dyDescent="0.2">
      <c r="B34" s="20"/>
    </row>
    <row r="47" spans="2:26" x14ac:dyDescent="0.2">
      <c r="W47" s="357" t="s">
        <v>36</v>
      </c>
      <c r="X47" s="357"/>
      <c r="Y47" s="357"/>
      <c r="Z47" s="28">
        <v>0.2</v>
      </c>
    </row>
    <row r="48" spans="2:26" x14ac:dyDescent="0.2">
      <c r="W48" s="357" t="s">
        <v>37</v>
      </c>
      <c r="X48" s="357"/>
      <c r="Y48" s="357"/>
      <c r="Z48" s="28">
        <v>0.1</v>
      </c>
    </row>
    <row r="49" spans="23:26" x14ac:dyDescent="0.2">
      <c r="W49" s="357" t="s">
        <v>38</v>
      </c>
      <c r="X49" s="357"/>
      <c r="Y49" s="357"/>
      <c r="Z49" s="28">
        <v>0.1</v>
      </c>
    </row>
  </sheetData>
  <mergeCells count="12">
    <mergeCell ref="D8:F8"/>
    <mergeCell ref="N3:N4"/>
    <mergeCell ref="G12:N12"/>
    <mergeCell ref="G7:N7"/>
    <mergeCell ref="B2:N2"/>
    <mergeCell ref="B4:F4"/>
    <mergeCell ref="G5:N5"/>
    <mergeCell ref="W47:Y47"/>
    <mergeCell ref="W48:Y48"/>
    <mergeCell ref="W49:Y49"/>
    <mergeCell ref="G10:N10"/>
    <mergeCell ref="G11:N11"/>
  </mergeCells>
  <printOptions horizontalCentered="1"/>
  <pageMargins left="0.5" right="0.5" top="0.5" bottom="0.5" header="0.3" footer="0.3"/>
  <pageSetup scale="97" fitToHeight="0" orientation="landscape" r:id="rId1"/>
  <headerFooter>
    <oddFooter>&amp;CA.2-&amp;P</oddFooter>
  </headerFooter>
  <ignoredErrors>
    <ignoredError sqref="B5:B8 B22" numberStoredAsText="1"/>
    <ignoredError sqref="B9" numberStoredAsText="1" unlockedFormula="1"/>
    <ignoredError sqref="M10:N12 H9:K9 G10:K12"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372CA-3685-4E46-9B0B-B3403CC1A71E}">
  <sheetPr>
    <tabColor rgb="FF00B050"/>
    <pageSetUpPr fitToPage="1"/>
  </sheetPr>
  <dimension ref="B2:Z49"/>
  <sheetViews>
    <sheetView zoomScaleNormal="100" workbookViewId="0">
      <selection activeCell="A4" sqref="A4"/>
    </sheetView>
  </sheetViews>
  <sheetFormatPr defaultRowHeight="14.25" x14ac:dyDescent="0.2"/>
  <cols>
    <col min="1" max="1" width="4.140625" style="26" customWidth="1"/>
    <col min="2" max="4" width="3.140625" style="13" customWidth="1"/>
    <col min="5" max="5" width="40.28515625" style="13" customWidth="1"/>
    <col min="6" max="6" width="3.28515625" style="13" customWidth="1"/>
    <col min="7" max="9" width="11.28515625" style="13" customWidth="1"/>
    <col min="10" max="10" width="11.5703125" style="13" bestFit="1" customWidth="1"/>
    <col min="11" max="11" width="10.42578125" style="13" bestFit="1" customWidth="1"/>
    <col min="12" max="12" width="10.140625" style="13" bestFit="1" customWidth="1"/>
    <col min="13" max="13" width="8.42578125" style="13" bestFit="1" customWidth="1"/>
    <col min="14" max="14" width="3.5703125" style="13" customWidth="1"/>
    <col min="15" max="15" width="3.85546875" style="26" customWidth="1"/>
    <col min="16" max="16384" width="9.140625" style="26"/>
  </cols>
  <sheetData>
    <row r="2" spans="2:14" ht="29.25" customHeight="1" x14ac:dyDescent="0.25">
      <c r="B2" s="369" t="s">
        <v>260</v>
      </c>
      <c r="C2" s="369"/>
      <c r="D2" s="369"/>
      <c r="E2" s="369"/>
      <c r="F2" s="369"/>
      <c r="G2" s="369"/>
      <c r="H2" s="369"/>
      <c r="I2" s="369"/>
      <c r="J2" s="369"/>
      <c r="K2" s="369"/>
      <c r="L2" s="369"/>
      <c r="M2" s="369"/>
      <c r="N2" s="369"/>
    </row>
    <row r="3" spans="2:14" x14ac:dyDescent="0.2">
      <c r="B3" s="201"/>
      <c r="C3" s="202"/>
      <c r="D3" s="202"/>
      <c r="E3" s="202"/>
      <c r="F3" s="202"/>
      <c r="G3" s="203" t="s">
        <v>6</v>
      </c>
      <c r="H3" s="204" t="s">
        <v>7</v>
      </c>
      <c r="I3" s="205" t="s">
        <v>8</v>
      </c>
      <c r="J3" s="205" t="s">
        <v>9</v>
      </c>
      <c r="K3" s="205" t="s">
        <v>10</v>
      </c>
      <c r="L3" s="206" t="s">
        <v>11</v>
      </c>
      <c r="M3" s="206" t="s">
        <v>112</v>
      </c>
      <c r="N3" s="367" t="s">
        <v>5</v>
      </c>
    </row>
    <row r="4" spans="2:14" ht="48.75" thickBot="1" x14ac:dyDescent="0.25">
      <c r="B4" s="370" t="s">
        <v>3</v>
      </c>
      <c r="C4" s="371"/>
      <c r="D4" s="371"/>
      <c r="E4" s="371"/>
      <c r="F4" s="372"/>
      <c r="G4" s="127" t="s">
        <v>12</v>
      </c>
      <c r="H4" s="128" t="s">
        <v>109</v>
      </c>
      <c r="I4" s="129" t="s">
        <v>94</v>
      </c>
      <c r="J4" s="129" t="s">
        <v>95</v>
      </c>
      <c r="K4" s="129" t="s">
        <v>96</v>
      </c>
      <c r="L4" s="129" t="s">
        <v>110</v>
      </c>
      <c r="M4" s="129" t="s">
        <v>111</v>
      </c>
      <c r="N4" s="368"/>
    </row>
    <row r="5" spans="2:14" ht="12" customHeight="1" thickTop="1" x14ac:dyDescent="0.2">
      <c r="B5" s="207" t="s">
        <v>13</v>
      </c>
      <c r="C5" s="29" t="s">
        <v>14</v>
      </c>
      <c r="D5" s="30"/>
      <c r="E5" s="30"/>
      <c r="F5" s="31"/>
      <c r="G5" s="373" t="s">
        <v>15</v>
      </c>
      <c r="H5" s="374"/>
      <c r="I5" s="374"/>
      <c r="J5" s="374"/>
      <c r="K5" s="374"/>
      <c r="L5" s="374"/>
      <c r="M5" s="374"/>
      <c r="N5" s="375"/>
    </row>
    <row r="6" spans="2:14" ht="12" customHeight="1" x14ac:dyDescent="0.2">
      <c r="B6" s="208" t="s">
        <v>16</v>
      </c>
      <c r="C6" s="32" t="s">
        <v>17</v>
      </c>
      <c r="D6" s="32"/>
      <c r="E6" s="32"/>
      <c r="F6" s="33"/>
      <c r="G6" s="168">
        <v>0</v>
      </c>
      <c r="H6" s="132">
        <v>24</v>
      </c>
      <c r="I6" s="132">
        <f>(G6*H6)</f>
        <v>0</v>
      </c>
      <c r="J6" s="132">
        <f>I6*0.05</f>
        <v>0</v>
      </c>
      <c r="K6" s="132">
        <f>I6*0.1</f>
        <v>0</v>
      </c>
      <c r="L6" s="132">
        <f>SUM(I6:K6)</f>
        <v>0</v>
      </c>
      <c r="M6" s="133">
        <f>I6*'OLD Inputs'!$D$79+J6*'OLD Inputs'!$D$80+K6*'OLD Inputs'!$D$81</f>
        <v>0</v>
      </c>
      <c r="N6" s="133"/>
    </row>
    <row r="7" spans="2:14" ht="12" customHeight="1" x14ac:dyDescent="0.2">
      <c r="B7" s="209" t="s">
        <v>18</v>
      </c>
      <c r="C7" s="34" t="s">
        <v>19</v>
      </c>
      <c r="D7" s="34"/>
      <c r="E7" s="34"/>
      <c r="F7" s="35"/>
      <c r="G7" s="358"/>
      <c r="H7" s="359"/>
      <c r="I7" s="359"/>
      <c r="J7" s="359"/>
      <c r="K7" s="359"/>
      <c r="L7" s="359"/>
      <c r="M7" s="359"/>
      <c r="N7" s="360"/>
    </row>
    <row r="8" spans="2:14" ht="12" customHeight="1" x14ac:dyDescent="0.2">
      <c r="B8" s="210">
        <v>0.08</v>
      </c>
      <c r="C8" s="36" t="s">
        <v>20</v>
      </c>
      <c r="D8" s="364" t="s">
        <v>21</v>
      </c>
      <c r="E8" s="365"/>
      <c r="F8" s="366"/>
      <c r="G8" s="134">
        <v>0</v>
      </c>
      <c r="H8" s="135">
        <v>16</v>
      </c>
      <c r="I8" s="136">
        <f>(G8*H8)</f>
        <v>0</v>
      </c>
      <c r="J8" s="136">
        <f>I8*0.05</f>
        <v>0</v>
      </c>
      <c r="K8" s="136">
        <f>I8*0.1</f>
        <v>0</v>
      </c>
      <c r="L8" s="132">
        <f>SUM(I8:K8)</f>
        <v>0</v>
      </c>
      <c r="M8" s="133">
        <f>I8*'OLD Inputs'!$D$79+J8*'OLD Inputs'!$D$80+K8*'OLD Inputs'!$D$81</f>
        <v>0</v>
      </c>
      <c r="N8" s="211"/>
    </row>
    <row r="9" spans="2:14" ht="12" customHeight="1" x14ac:dyDescent="0.2">
      <c r="B9" s="212">
        <f>0.1*0.1</f>
        <v>1.0000000000000002E-2</v>
      </c>
      <c r="C9" s="37" t="s">
        <v>22</v>
      </c>
      <c r="D9" s="38" t="s">
        <v>23</v>
      </c>
      <c r="E9" s="38"/>
      <c r="F9" s="39"/>
      <c r="G9" s="169">
        <v>0</v>
      </c>
      <c r="H9" s="137">
        <v>24</v>
      </c>
      <c r="I9" s="138">
        <f>(G9*H9)</f>
        <v>0</v>
      </c>
      <c r="J9" s="138">
        <f>I9*0.05</f>
        <v>0</v>
      </c>
      <c r="K9" s="138">
        <f>I9*0.1</f>
        <v>0</v>
      </c>
      <c r="L9" s="132">
        <f>SUM(I9:K9)</f>
        <v>0</v>
      </c>
      <c r="M9" s="133">
        <f>I9*'OLD Inputs'!$D$79+J9*'OLD Inputs'!$D$80+K9*'OLD Inputs'!$D$81</f>
        <v>0</v>
      </c>
      <c r="N9" s="211"/>
    </row>
    <row r="10" spans="2:14" ht="12" customHeight="1" x14ac:dyDescent="0.2">
      <c r="B10" s="212"/>
      <c r="C10" s="40" t="s">
        <v>24</v>
      </c>
      <c r="D10" s="29" t="s">
        <v>25</v>
      </c>
      <c r="E10" s="29"/>
      <c r="F10" s="41"/>
      <c r="G10" s="358" t="s">
        <v>15</v>
      </c>
      <c r="H10" s="359"/>
      <c r="I10" s="359"/>
      <c r="J10" s="359"/>
      <c r="K10" s="359"/>
      <c r="L10" s="359"/>
      <c r="M10" s="359"/>
      <c r="N10" s="360"/>
    </row>
    <row r="11" spans="2:14" ht="12" customHeight="1" x14ac:dyDescent="0.2">
      <c r="B11" s="210"/>
      <c r="C11" s="42" t="s">
        <v>26</v>
      </c>
      <c r="D11" s="43" t="s">
        <v>27</v>
      </c>
      <c r="E11" s="43"/>
      <c r="F11" s="44"/>
      <c r="G11" s="361" t="s">
        <v>15</v>
      </c>
      <c r="H11" s="362"/>
      <c r="I11" s="362"/>
      <c r="J11" s="362"/>
      <c r="K11" s="362"/>
      <c r="L11" s="362"/>
      <c r="M11" s="362"/>
      <c r="N11" s="363"/>
    </row>
    <row r="12" spans="2:14" ht="12" customHeight="1" x14ac:dyDescent="0.2">
      <c r="B12" s="213"/>
      <c r="C12" s="45" t="s">
        <v>28</v>
      </c>
      <c r="D12" s="34" t="s">
        <v>29</v>
      </c>
      <c r="E12" s="34"/>
      <c r="F12" s="46"/>
      <c r="G12" s="358"/>
      <c r="H12" s="359"/>
      <c r="I12" s="359"/>
      <c r="J12" s="359"/>
      <c r="K12" s="359"/>
      <c r="L12" s="359"/>
      <c r="M12" s="359"/>
      <c r="N12" s="360"/>
    </row>
    <row r="13" spans="2:14" ht="12" customHeight="1" x14ac:dyDescent="0.2">
      <c r="B13" s="214"/>
      <c r="C13" s="61"/>
      <c r="D13" s="125" t="s">
        <v>13</v>
      </c>
      <c r="E13" s="59" t="s">
        <v>141</v>
      </c>
      <c r="F13" s="62"/>
      <c r="G13" s="131"/>
      <c r="H13" s="139"/>
      <c r="I13" s="140"/>
      <c r="J13" s="140"/>
      <c r="K13" s="140"/>
      <c r="L13" s="132"/>
      <c r="M13" s="133"/>
      <c r="N13" s="211"/>
    </row>
    <row r="14" spans="2:14" ht="12" customHeight="1" x14ac:dyDescent="0.2">
      <c r="B14" s="214"/>
      <c r="C14" s="61"/>
      <c r="D14" s="125"/>
      <c r="E14" s="59" t="s">
        <v>227</v>
      </c>
      <c r="F14" s="62"/>
      <c r="G14" s="131">
        <f>'YR2'!N26</f>
        <v>13</v>
      </c>
      <c r="H14" s="139">
        <v>2</v>
      </c>
      <c r="I14" s="140">
        <f t="shared" ref="I14:I20" si="0">(G14*H14)</f>
        <v>26</v>
      </c>
      <c r="J14" s="140">
        <f t="shared" ref="J14:J20" si="1">I14*0.05</f>
        <v>1.3</v>
      </c>
      <c r="K14" s="140">
        <f t="shared" ref="K14:K20" si="2">I14*0.1</f>
        <v>2.6</v>
      </c>
      <c r="L14" s="132">
        <f t="shared" ref="L14:L20" si="3">SUM(I14:K14)</f>
        <v>29.900000000000002</v>
      </c>
      <c r="M14" s="133">
        <f>I14*'OLD Inputs'!$D$79+J14*'OLD Inputs'!$D$80+K14*'OLD Inputs'!$D$81</f>
        <v>1388.4</v>
      </c>
      <c r="N14" s="211"/>
    </row>
    <row r="15" spans="2:14" ht="12" customHeight="1" x14ac:dyDescent="0.2">
      <c r="B15" s="214"/>
      <c r="C15" s="61"/>
      <c r="D15" s="125"/>
      <c r="E15" s="59" t="s">
        <v>225</v>
      </c>
      <c r="F15" s="62"/>
      <c r="G15" s="131">
        <f>'YR2'!N27</f>
        <v>60</v>
      </c>
      <c r="H15" s="139">
        <v>2</v>
      </c>
      <c r="I15" s="140">
        <f t="shared" si="0"/>
        <v>120</v>
      </c>
      <c r="J15" s="140">
        <f t="shared" si="1"/>
        <v>6</v>
      </c>
      <c r="K15" s="140">
        <f t="shared" si="2"/>
        <v>12</v>
      </c>
      <c r="L15" s="132">
        <f t="shared" si="3"/>
        <v>138</v>
      </c>
      <c r="M15" s="133">
        <f>I15*'OLD Inputs'!$D$79+J15*'OLD Inputs'!$D$80+K15*'OLD Inputs'!$D$81</f>
        <v>6408.0000000000009</v>
      </c>
      <c r="N15" s="211"/>
    </row>
    <row r="16" spans="2:14" ht="12" customHeight="1" x14ac:dyDescent="0.2">
      <c r="B16" s="214"/>
      <c r="C16" s="61"/>
      <c r="D16" s="125"/>
      <c r="E16" s="59" t="s">
        <v>228</v>
      </c>
      <c r="F16" s="62"/>
      <c r="G16" s="131">
        <f>'YR2'!N28</f>
        <v>5</v>
      </c>
      <c r="H16" s="139">
        <v>2</v>
      </c>
      <c r="I16" s="140">
        <f t="shared" si="0"/>
        <v>10</v>
      </c>
      <c r="J16" s="140">
        <f t="shared" si="1"/>
        <v>0.5</v>
      </c>
      <c r="K16" s="140">
        <f t="shared" si="2"/>
        <v>1</v>
      </c>
      <c r="L16" s="132">
        <f t="shared" si="3"/>
        <v>11.5</v>
      </c>
      <c r="M16" s="133">
        <f>I16*'OLD Inputs'!$D$79+J16*'OLD Inputs'!$D$80+K16*'OLD Inputs'!$D$81</f>
        <v>534.00000000000011</v>
      </c>
      <c r="N16" s="211"/>
    </row>
    <row r="17" spans="2:14" ht="12" customHeight="1" x14ac:dyDescent="0.2">
      <c r="B17" s="214"/>
      <c r="C17" s="61"/>
      <c r="D17" s="125" t="s">
        <v>16</v>
      </c>
      <c r="E17" s="63" t="s">
        <v>105</v>
      </c>
      <c r="F17" s="62"/>
      <c r="G17" s="131"/>
      <c r="H17" s="139"/>
      <c r="I17" s="140">
        <f t="shared" si="0"/>
        <v>0</v>
      </c>
      <c r="J17" s="140">
        <f t="shared" si="1"/>
        <v>0</v>
      </c>
      <c r="K17" s="140">
        <f t="shared" si="2"/>
        <v>0</v>
      </c>
      <c r="L17" s="132">
        <f t="shared" si="3"/>
        <v>0</v>
      </c>
      <c r="M17" s="133">
        <f>I17*'OLD Inputs'!$D$79+J17*'OLD Inputs'!$D$80+K17*'OLD Inputs'!$D$81</f>
        <v>0</v>
      </c>
      <c r="N17" s="211"/>
    </row>
    <row r="18" spans="2:14" ht="12" customHeight="1" x14ac:dyDescent="0.2">
      <c r="B18" s="214"/>
      <c r="C18" s="61"/>
      <c r="D18" s="125"/>
      <c r="E18" s="59" t="s">
        <v>227</v>
      </c>
      <c r="F18" s="62"/>
      <c r="G18" s="131">
        <f>'YR2'!N30</f>
        <v>26</v>
      </c>
      <c r="H18" s="139">
        <v>2</v>
      </c>
      <c r="I18" s="140">
        <f t="shared" si="0"/>
        <v>52</v>
      </c>
      <c r="J18" s="140">
        <f t="shared" si="1"/>
        <v>2.6</v>
      </c>
      <c r="K18" s="140">
        <f t="shared" si="2"/>
        <v>5.2</v>
      </c>
      <c r="L18" s="132">
        <f t="shared" si="3"/>
        <v>59.800000000000004</v>
      </c>
      <c r="M18" s="133">
        <f>I18*'OLD Inputs'!$D$79+J18*'OLD Inputs'!$D$80+K18*'OLD Inputs'!$D$81</f>
        <v>2776.8</v>
      </c>
      <c r="N18" s="211"/>
    </row>
    <row r="19" spans="2:14" ht="12" customHeight="1" x14ac:dyDescent="0.2">
      <c r="B19" s="214"/>
      <c r="C19" s="61"/>
      <c r="D19" s="125"/>
      <c r="E19" s="59" t="s">
        <v>225</v>
      </c>
      <c r="F19" s="62"/>
      <c r="G19" s="131">
        <f>'YR2'!N31</f>
        <v>120</v>
      </c>
      <c r="H19" s="139">
        <v>2</v>
      </c>
      <c r="I19" s="140">
        <f t="shared" si="0"/>
        <v>240</v>
      </c>
      <c r="J19" s="140">
        <f t="shared" si="1"/>
        <v>12</v>
      </c>
      <c r="K19" s="140">
        <f t="shared" si="2"/>
        <v>24</v>
      </c>
      <c r="L19" s="132">
        <f t="shared" si="3"/>
        <v>276</v>
      </c>
      <c r="M19" s="133">
        <f>I19*'OLD Inputs'!$D$79+J19*'OLD Inputs'!$D$80+K19*'OLD Inputs'!$D$81</f>
        <v>12816.000000000002</v>
      </c>
      <c r="N19" s="211"/>
    </row>
    <row r="20" spans="2:14" ht="12" customHeight="1" x14ac:dyDescent="0.2">
      <c r="B20" s="214"/>
      <c r="C20" s="61"/>
      <c r="D20" s="125"/>
      <c r="E20" s="59" t="s">
        <v>228</v>
      </c>
      <c r="F20" s="62"/>
      <c r="G20" s="131">
        <f>'YR2'!N32</f>
        <v>10</v>
      </c>
      <c r="H20" s="139">
        <v>2</v>
      </c>
      <c r="I20" s="140">
        <f t="shared" si="0"/>
        <v>20</v>
      </c>
      <c r="J20" s="140">
        <f t="shared" si="1"/>
        <v>1</v>
      </c>
      <c r="K20" s="140">
        <f t="shared" si="2"/>
        <v>2</v>
      </c>
      <c r="L20" s="132">
        <f t="shared" si="3"/>
        <v>23</v>
      </c>
      <c r="M20" s="133">
        <f>I20*'OLD Inputs'!$D$79+J20*'OLD Inputs'!$D$80+K20*'OLD Inputs'!$D$81</f>
        <v>1068.0000000000002</v>
      </c>
      <c r="N20" s="211"/>
    </row>
    <row r="21" spans="2:14" ht="12" customHeight="1" x14ac:dyDescent="0.2">
      <c r="B21" s="215"/>
      <c r="C21" s="58" t="s">
        <v>30</v>
      </c>
      <c r="D21" s="59" t="s">
        <v>31</v>
      </c>
      <c r="E21" s="59"/>
      <c r="F21" s="60"/>
      <c r="G21" s="141">
        <v>1</v>
      </c>
      <c r="H21" s="140">
        <v>10</v>
      </c>
      <c r="I21" s="140">
        <f t="shared" ref="I21" si="4">(G21*H21)</f>
        <v>10</v>
      </c>
      <c r="J21" s="140">
        <f t="shared" ref="J21" si="5">I21*0.05</f>
        <v>0.5</v>
      </c>
      <c r="K21" s="140">
        <f t="shared" ref="K21" si="6">I21*0.1</f>
        <v>1</v>
      </c>
      <c r="L21" s="132">
        <f t="shared" ref="L21" si="7">SUM(I21:K21)</f>
        <v>11.5</v>
      </c>
      <c r="M21" s="133">
        <f>I21*'OLD Inputs'!$D$79+J21*'OLD Inputs'!$D$80+K21*'OLD Inputs'!$D$81</f>
        <v>534.00000000000011</v>
      </c>
      <c r="N21" s="211"/>
    </row>
    <row r="22" spans="2:14" ht="12" customHeight="1" thickBot="1" x14ac:dyDescent="0.25">
      <c r="B22" s="216" t="s">
        <v>53</v>
      </c>
      <c r="C22" s="53" t="s">
        <v>32</v>
      </c>
      <c r="D22" s="54"/>
      <c r="E22" s="54"/>
      <c r="F22" s="54"/>
      <c r="G22" s="55"/>
      <c r="H22" s="47"/>
      <c r="I22" s="47"/>
      <c r="J22" s="56" t="str">
        <f>IF(G8=0,"$0",1*3.75*75+600)</f>
        <v>$0</v>
      </c>
      <c r="K22" s="57" t="s">
        <v>33</v>
      </c>
      <c r="L22" s="57"/>
      <c r="M22" s="48">
        <f>IF(ISTEXT(J22),0,G8*J22)</f>
        <v>0</v>
      </c>
      <c r="N22" s="217"/>
    </row>
    <row r="23" spans="2:14" ht="12" customHeight="1" thickTop="1" x14ac:dyDescent="0.2">
      <c r="B23" s="218"/>
      <c r="C23" s="219" t="s">
        <v>34</v>
      </c>
      <c r="D23" s="220"/>
      <c r="E23" s="220"/>
      <c r="F23" s="59"/>
      <c r="G23" s="221"/>
      <c r="H23" s="222"/>
      <c r="I23" s="223">
        <f>SUM(I6:I21)</f>
        <v>478</v>
      </c>
      <c r="J23" s="223">
        <f>SUM(J6:J21)</f>
        <v>23.9</v>
      </c>
      <c r="K23" s="223">
        <f>SUM(K6:K21)</f>
        <v>47.8</v>
      </c>
      <c r="L23" s="223">
        <f>SUM(L6:L21)</f>
        <v>549.70000000000005</v>
      </c>
      <c r="M23" s="224">
        <f>SUM(M6:M22)</f>
        <v>25525.200000000004</v>
      </c>
      <c r="N23" s="211"/>
    </row>
    <row r="24" spans="2:14" ht="12" customHeight="1" x14ac:dyDescent="0.2">
      <c r="B24" s="14"/>
      <c r="C24" s="14"/>
      <c r="D24" s="14"/>
      <c r="E24" s="14"/>
      <c r="F24" s="15"/>
      <c r="G24" s="15"/>
      <c r="H24" s="16"/>
      <c r="I24" s="17"/>
      <c r="J24" s="17"/>
      <c r="K24" s="17"/>
      <c r="L24" s="17"/>
      <c r="M24" s="17"/>
      <c r="N24" s="17"/>
    </row>
    <row r="25" spans="2:14" ht="12" customHeight="1" x14ac:dyDescent="0.2">
      <c r="B25" s="49"/>
      <c r="C25" s="49"/>
      <c r="D25" s="14"/>
      <c r="E25" s="14"/>
      <c r="F25" s="18"/>
      <c r="G25" s="15"/>
      <c r="H25" s="16"/>
      <c r="I25" s="17"/>
      <c r="J25" s="17"/>
      <c r="K25" s="17"/>
      <c r="L25" s="17"/>
      <c r="M25" s="17"/>
      <c r="N25" s="17"/>
    </row>
    <row r="26" spans="2:14" ht="12" customHeight="1" x14ac:dyDescent="0.2">
      <c r="B26" s="324"/>
      <c r="C26" s="325"/>
      <c r="D26" s="326"/>
      <c r="E26" s="326"/>
      <c r="F26" s="327"/>
      <c r="G26" s="327"/>
      <c r="H26" s="328"/>
      <c r="I26" s="329"/>
      <c r="J26" s="329"/>
      <c r="K26" s="329"/>
      <c r="L26" s="17"/>
      <c r="M26" s="17"/>
      <c r="N26" s="17"/>
    </row>
    <row r="27" spans="2:14" ht="12" customHeight="1" x14ac:dyDescent="0.2">
      <c r="B27" s="50"/>
      <c r="C27" s="49"/>
      <c r="D27" s="14"/>
      <c r="E27" s="14"/>
      <c r="F27" s="15"/>
      <c r="G27" s="15"/>
      <c r="H27" s="16"/>
      <c r="I27" s="17"/>
      <c r="J27" s="17"/>
      <c r="K27" s="17"/>
      <c r="L27" s="17"/>
      <c r="M27" s="17"/>
      <c r="N27" s="17"/>
    </row>
    <row r="28" spans="2:14" ht="12" customHeight="1" x14ac:dyDescent="0.2">
      <c r="B28" s="50"/>
      <c r="C28" s="49"/>
      <c r="D28" s="14"/>
      <c r="E28" s="14"/>
      <c r="F28" s="15"/>
      <c r="G28" s="15"/>
      <c r="H28" s="16"/>
      <c r="I28" s="17"/>
      <c r="J28" s="17"/>
      <c r="K28" s="17"/>
      <c r="L28" s="17"/>
      <c r="M28" s="17"/>
      <c r="N28" s="17"/>
    </row>
    <row r="29" spans="2:14" ht="12" customHeight="1" x14ac:dyDescent="0.2">
      <c r="B29" s="50"/>
      <c r="C29" s="49"/>
      <c r="D29" s="14"/>
      <c r="E29" s="14"/>
      <c r="F29" s="15"/>
      <c r="G29" s="15"/>
      <c r="H29" s="16"/>
      <c r="I29" s="17"/>
      <c r="J29" s="17"/>
      <c r="K29" s="17"/>
      <c r="L29" s="17"/>
      <c r="M29" s="17"/>
      <c r="N29" s="17"/>
    </row>
    <row r="30" spans="2:14" ht="12" customHeight="1" x14ac:dyDescent="0.2">
      <c r="B30" s="51"/>
      <c r="C30" s="52"/>
    </row>
    <row r="31" spans="2:14" x14ac:dyDescent="0.2">
      <c r="B31" s="20"/>
    </row>
    <row r="32" spans="2:14" x14ac:dyDescent="0.2">
      <c r="B32" s="20"/>
    </row>
    <row r="33" spans="2:26" x14ac:dyDescent="0.2">
      <c r="B33" s="20"/>
    </row>
    <row r="34" spans="2:26" x14ac:dyDescent="0.2">
      <c r="B34" s="20"/>
    </row>
    <row r="47" spans="2:26" x14ac:dyDescent="0.2">
      <c r="W47" s="357" t="s">
        <v>36</v>
      </c>
      <c r="X47" s="357"/>
      <c r="Y47" s="357"/>
      <c r="Z47" s="28">
        <v>0.2</v>
      </c>
    </row>
    <row r="48" spans="2:26" x14ac:dyDescent="0.2">
      <c r="W48" s="357" t="s">
        <v>37</v>
      </c>
      <c r="X48" s="357"/>
      <c r="Y48" s="357"/>
      <c r="Z48" s="28">
        <v>0.1</v>
      </c>
    </row>
    <row r="49" spans="23:26" x14ac:dyDescent="0.2">
      <c r="W49" s="357" t="s">
        <v>38</v>
      </c>
      <c r="X49" s="357"/>
      <c r="Y49" s="357"/>
      <c r="Z49" s="28">
        <v>0.1</v>
      </c>
    </row>
  </sheetData>
  <mergeCells count="12">
    <mergeCell ref="W49:Y49"/>
    <mergeCell ref="B2:N2"/>
    <mergeCell ref="N3:N4"/>
    <mergeCell ref="B4:F4"/>
    <mergeCell ref="G5:N5"/>
    <mergeCell ref="G7:N7"/>
    <mergeCell ref="D8:F8"/>
    <mergeCell ref="G10:N10"/>
    <mergeCell ref="G11:N11"/>
    <mergeCell ref="G12:N12"/>
    <mergeCell ref="W47:Y47"/>
    <mergeCell ref="W48:Y48"/>
  </mergeCells>
  <printOptions horizontalCentered="1"/>
  <pageMargins left="0.5" right="0.5" top="0.5" bottom="0.5" header="0.3" footer="0.3"/>
  <pageSetup scale="97" fitToHeight="0" orientation="landscape" r:id="rId1"/>
  <headerFooter>
    <oddFooter>&amp;CA.2-&amp;P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E48D7-C1E5-4FB5-85B5-437A3CFD296A}">
  <sheetPr>
    <tabColor rgb="FF00B050"/>
    <pageSetUpPr fitToPage="1"/>
  </sheetPr>
  <dimension ref="B2:Z49"/>
  <sheetViews>
    <sheetView zoomScaleNormal="100" workbookViewId="0">
      <selection activeCell="A4" sqref="A4"/>
    </sheetView>
  </sheetViews>
  <sheetFormatPr defaultRowHeight="14.25" x14ac:dyDescent="0.2"/>
  <cols>
    <col min="1" max="1" width="4.140625" style="26" customWidth="1"/>
    <col min="2" max="4" width="3.140625" style="13" customWidth="1"/>
    <col min="5" max="5" width="40.28515625" style="13" customWidth="1"/>
    <col min="6" max="6" width="3.28515625" style="13" customWidth="1"/>
    <col min="7" max="9" width="11.28515625" style="13" customWidth="1"/>
    <col min="10" max="10" width="11.5703125" style="13" bestFit="1" customWidth="1"/>
    <col min="11" max="11" width="10.42578125" style="13" bestFit="1" customWidth="1"/>
    <col min="12" max="12" width="10.140625" style="13" bestFit="1" customWidth="1"/>
    <col min="13" max="13" width="8.42578125" style="13" bestFit="1" customWidth="1"/>
    <col min="14" max="14" width="3.5703125" style="13" customWidth="1"/>
    <col min="15" max="15" width="3.85546875" style="26" customWidth="1"/>
    <col min="16" max="16384" width="9.140625" style="26"/>
  </cols>
  <sheetData>
    <row r="2" spans="2:14" ht="29.25" customHeight="1" x14ac:dyDescent="0.25">
      <c r="B2" s="369" t="s">
        <v>261</v>
      </c>
      <c r="C2" s="369"/>
      <c r="D2" s="369"/>
      <c r="E2" s="369"/>
      <c r="F2" s="369"/>
      <c r="G2" s="369"/>
      <c r="H2" s="369"/>
      <c r="I2" s="369"/>
      <c r="J2" s="369"/>
      <c r="K2" s="369"/>
      <c r="L2" s="369"/>
      <c r="M2" s="369"/>
      <c r="N2" s="369"/>
    </row>
    <row r="3" spans="2:14" x14ac:dyDescent="0.2">
      <c r="B3" s="201"/>
      <c r="C3" s="202"/>
      <c r="D3" s="202"/>
      <c r="E3" s="202"/>
      <c r="F3" s="202"/>
      <c r="G3" s="203" t="s">
        <v>6</v>
      </c>
      <c r="H3" s="204" t="s">
        <v>7</v>
      </c>
      <c r="I3" s="205" t="s">
        <v>8</v>
      </c>
      <c r="J3" s="205" t="s">
        <v>9</v>
      </c>
      <c r="K3" s="205" t="s">
        <v>10</v>
      </c>
      <c r="L3" s="206" t="s">
        <v>11</v>
      </c>
      <c r="M3" s="206" t="s">
        <v>112</v>
      </c>
      <c r="N3" s="367" t="s">
        <v>5</v>
      </c>
    </row>
    <row r="4" spans="2:14" ht="48.75" thickBot="1" x14ac:dyDescent="0.25">
      <c r="B4" s="370" t="s">
        <v>3</v>
      </c>
      <c r="C4" s="371"/>
      <c r="D4" s="371"/>
      <c r="E4" s="371"/>
      <c r="F4" s="372"/>
      <c r="G4" s="127" t="s">
        <v>12</v>
      </c>
      <c r="H4" s="128" t="s">
        <v>109</v>
      </c>
      <c r="I4" s="129" t="s">
        <v>94</v>
      </c>
      <c r="J4" s="129" t="s">
        <v>95</v>
      </c>
      <c r="K4" s="129" t="s">
        <v>96</v>
      </c>
      <c r="L4" s="129" t="s">
        <v>110</v>
      </c>
      <c r="M4" s="129" t="s">
        <v>111</v>
      </c>
      <c r="N4" s="368"/>
    </row>
    <row r="5" spans="2:14" ht="12" customHeight="1" thickTop="1" x14ac:dyDescent="0.2">
      <c r="B5" s="207" t="s">
        <v>13</v>
      </c>
      <c r="C5" s="29" t="s">
        <v>14</v>
      </c>
      <c r="D5" s="30"/>
      <c r="E5" s="30"/>
      <c r="F5" s="31"/>
      <c r="G5" s="373" t="s">
        <v>15</v>
      </c>
      <c r="H5" s="374"/>
      <c r="I5" s="374"/>
      <c r="J5" s="374"/>
      <c r="K5" s="374"/>
      <c r="L5" s="374"/>
      <c r="M5" s="374"/>
      <c r="N5" s="375"/>
    </row>
    <row r="6" spans="2:14" ht="12" customHeight="1" x14ac:dyDescent="0.2">
      <c r="B6" s="208" t="s">
        <v>16</v>
      </c>
      <c r="C6" s="32" t="s">
        <v>17</v>
      </c>
      <c r="D6" s="32"/>
      <c r="E6" s="32"/>
      <c r="F6" s="33"/>
      <c r="G6" s="168">
        <v>0</v>
      </c>
      <c r="H6" s="132">
        <v>24</v>
      </c>
      <c r="I6" s="132">
        <f>(G6*H6)</f>
        <v>0</v>
      </c>
      <c r="J6" s="132">
        <f>I6*0.05</f>
        <v>0</v>
      </c>
      <c r="K6" s="132">
        <f>I6*0.1</f>
        <v>0</v>
      </c>
      <c r="L6" s="132">
        <f>SUM(I6:K6)</f>
        <v>0</v>
      </c>
      <c r="M6" s="133">
        <f>I6*'OLD Inputs'!$D$79+J6*'OLD Inputs'!$D$80+K6*'OLD Inputs'!$D$81</f>
        <v>0</v>
      </c>
      <c r="N6" s="133"/>
    </row>
    <row r="7" spans="2:14" ht="12" customHeight="1" x14ac:dyDescent="0.2">
      <c r="B7" s="209" t="s">
        <v>18</v>
      </c>
      <c r="C7" s="34" t="s">
        <v>19</v>
      </c>
      <c r="D7" s="34"/>
      <c r="E7" s="34"/>
      <c r="F7" s="35"/>
      <c r="G7" s="358"/>
      <c r="H7" s="359"/>
      <c r="I7" s="359"/>
      <c r="J7" s="359"/>
      <c r="K7" s="359"/>
      <c r="L7" s="359"/>
      <c r="M7" s="359"/>
      <c r="N7" s="360"/>
    </row>
    <row r="8" spans="2:14" ht="12" customHeight="1" x14ac:dyDescent="0.2">
      <c r="B8" s="210">
        <v>0.08</v>
      </c>
      <c r="C8" s="36" t="s">
        <v>20</v>
      </c>
      <c r="D8" s="364" t="s">
        <v>21</v>
      </c>
      <c r="E8" s="365"/>
      <c r="F8" s="366"/>
      <c r="G8" s="134">
        <v>0</v>
      </c>
      <c r="H8" s="135">
        <v>16</v>
      </c>
      <c r="I8" s="136">
        <f>(G8*H8)</f>
        <v>0</v>
      </c>
      <c r="J8" s="136">
        <f>I8*0.05</f>
        <v>0</v>
      </c>
      <c r="K8" s="136">
        <f>I8*0.1</f>
        <v>0</v>
      </c>
      <c r="L8" s="132">
        <f>SUM(I8:K8)</f>
        <v>0</v>
      </c>
      <c r="M8" s="133">
        <f>I8*'OLD Inputs'!$D$79+J8*'OLD Inputs'!$D$80+K8*'OLD Inputs'!$D$81</f>
        <v>0</v>
      </c>
      <c r="N8" s="211"/>
    </row>
    <row r="9" spans="2:14" ht="12" customHeight="1" x14ac:dyDescent="0.2">
      <c r="B9" s="212">
        <f>0.1*0.1</f>
        <v>1.0000000000000002E-2</v>
      </c>
      <c r="C9" s="37" t="s">
        <v>22</v>
      </c>
      <c r="D9" s="38" t="s">
        <v>23</v>
      </c>
      <c r="E9" s="38"/>
      <c r="F9" s="39"/>
      <c r="G9" s="169">
        <v>0</v>
      </c>
      <c r="H9" s="137">
        <v>24</v>
      </c>
      <c r="I9" s="138">
        <f>(G9*H9)</f>
        <v>0</v>
      </c>
      <c r="J9" s="138">
        <f>I9*0.05</f>
        <v>0</v>
      </c>
      <c r="K9" s="138">
        <f>I9*0.1</f>
        <v>0</v>
      </c>
      <c r="L9" s="132">
        <f>SUM(I9:K9)</f>
        <v>0</v>
      </c>
      <c r="M9" s="133">
        <f>I9*'OLD Inputs'!$D$79+J9*'OLD Inputs'!$D$80+K9*'OLD Inputs'!$D$81</f>
        <v>0</v>
      </c>
      <c r="N9" s="211"/>
    </row>
    <row r="10" spans="2:14" ht="12" customHeight="1" x14ac:dyDescent="0.2">
      <c r="B10" s="212"/>
      <c r="C10" s="40" t="s">
        <v>24</v>
      </c>
      <c r="D10" s="29" t="s">
        <v>25</v>
      </c>
      <c r="E10" s="29"/>
      <c r="F10" s="41"/>
      <c r="G10" s="358" t="s">
        <v>15</v>
      </c>
      <c r="H10" s="359"/>
      <c r="I10" s="359"/>
      <c r="J10" s="359"/>
      <c r="K10" s="359"/>
      <c r="L10" s="359"/>
      <c r="M10" s="359"/>
      <c r="N10" s="360"/>
    </row>
    <row r="11" spans="2:14" ht="12" customHeight="1" x14ac:dyDescent="0.2">
      <c r="B11" s="210"/>
      <c r="C11" s="42" t="s">
        <v>26</v>
      </c>
      <c r="D11" s="43" t="s">
        <v>27</v>
      </c>
      <c r="E11" s="43"/>
      <c r="F11" s="44"/>
      <c r="G11" s="361" t="s">
        <v>15</v>
      </c>
      <c r="H11" s="362"/>
      <c r="I11" s="362"/>
      <c r="J11" s="362"/>
      <c r="K11" s="362"/>
      <c r="L11" s="362"/>
      <c r="M11" s="362"/>
      <c r="N11" s="363"/>
    </row>
    <row r="12" spans="2:14" ht="12" customHeight="1" x14ac:dyDescent="0.2">
      <c r="B12" s="213"/>
      <c r="C12" s="45" t="s">
        <v>28</v>
      </c>
      <c r="D12" s="34" t="s">
        <v>29</v>
      </c>
      <c r="E12" s="34"/>
      <c r="F12" s="46"/>
      <c r="G12" s="358"/>
      <c r="H12" s="359"/>
      <c r="I12" s="359"/>
      <c r="J12" s="359"/>
      <c r="K12" s="359"/>
      <c r="L12" s="359"/>
      <c r="M12" s="359"/>
      <c r="N12" s="360"/>
    </row>
    <row r="13" spans="2:14" ht="12" customHeight="1" x14ac:dyDescent="0.2">
      <c r="B13" s="214"/>
      <c r="C13" s="61"/>
      <c r="D13" s="125" t="s">
        <v>13</v>
      </c>
      <c r="E13" s="59" t="s">
        <v>141</v>
      </c>
      <c r="F13" s="62"/>
      <c r="G13" s="131"/>
      <c r="H13" s="139"/>
      <c r="I13" s="140"/>
      <c r="J13" s="140"/>
      <c r="K13" s="140"/>
      <c r="L13" s="132"/>
      <c r="M13" s="133"/>
      <c r="N13" s="211"/>
    </row>
    <row r="14" spans="2:14" ht="12" customHeight="1" x14ac:dyDescent="0.2">
      <c r="B14" s="214"/>
      <c r="C14" s="61"/>
      <c r="D14" s="125"/>
      <c r="E14" s="59" t="s">
        <v>227</v>
      </c>
      <c r="F14" s="62"/>
      <c r="G14" s="131">
        <f>'YR3'!N26</f>
        <v>27</v>
      </c>
      <c r="H14" s="139">
        <v>2</v>
      </c>
      <c r="I14" s="140">
        <f t="shared" ref="I14:I20" si="0">(G14*H14)</f>
        <v>54</v>
      </c>
      <c r="J14" s="140">
        <f t="shared" ref="J14:J20" si="1">I14*0.05</f>
        <v>2.7</v>
      </c>
      <c r="K14" s="140">
        <f t="shared" ref="K14:K20" si="2">I14*0.1</f>
        <v>5.4</v>
      </c>
      <c r="L14" s="132">
        <f t="shared" ref="L14:L20" si="3">SUM(I14:K14)</f>
        <v>62.1</v>
      </c>
      <c r="M14" s="133">
        <f>I14*'OLD Inputs'!$D$79+J14*'OLD Inputs'!$D$80+K14*'OLD Inputs'!$D$81</f>
        <v>2883.6000000000004</v>
      </c>
      <c r="N14" s="211"/>
    </row>
    <row r="15" spans="2:14" ht="12" customHeight="1" x14ac:dyDescent="0.2">
      <c r="B15" s="214"/>
      <c r="C15" s="61"/>
      <c r="D15" s="125"/>
      <c r="E15" s="59" t="s">
        <v>225</v>
      </c>
      <c r="F15" s="62"/>
      <c r="G15" s="131">
        <f>'YR3'!N27</f>
        <v>120</v>
      </c>
      <c r="H15" s="139">
        <v>2</v>
      </c>
      <c r="I15" s="140">
        <f t="shared" si="0"/>
        <v>240</v>
      </c>
      <c r="J15" s="140">
        <f t="shared" si="1"/>
        <v>12</v>
      </c>
      <c r="K15" s="140">
        <f t="shared" si="2"/>
        <v>24</v>
      </c>
      <c r="L15" s="132">
        <f t="shared" si="3"/>
        <v>276</v>
      </c>
      <c r="M15" s="133">
        <f>I15*'OLD Inputs'!$D$79+J15*'OLD Inputs'!$D$80+K15*'OLD Inputs'!$D$81</f>
        <v>12816.000000000002</v>
      </c>
      <c r="N15" s="211"/>
    </row>
    <row r="16" spans="2:14" ht="12" customHeight="1" x14ac:dyDescent="0.2">
      <c r="B16" s="214"/>
      <c r="C16" s="61"/>
      <c r="D16" s="125"/>
      <c r="E16" s="59" t="s">
        <v>228</v>
      </c>
      <c r="F16" s="62"/>
      <c r="G16" s="131">
        <f>'YR3'!N28</f>
        <v>11</v>
      </c>
      <c r="H16" s="139">
        <v>2</v>
      </c>
      <c r="I16" s="140">
        <f t="shared" si="0"/>
        <v>22</v>
      </c>
      <c r="J16" s="140">
        <f t="shared" si="1"/>
        <v>1.1000000000000001</v>
      </c>
      <c r="K16" s="140">
        <f t="shared" si="2"/>
        <v>2.2000000000000002</v>
      </c>
      <c r="L16" s="132">
        <f t="shared" si="3"/>
        <v>25.3</v>
      </c>
      <c r="M16" s="133">
        <f>I16*'OLD Inputs'!$D$79+J16*'OLD Inputs'!$D$80+K16*'OLD Inputs'!$D$81</f>
        <v>1174.8000000000002</v>
      </c>
      <c r="N16" s="211"/>
    </row>
    <row r="17" spans="2:14" ht="12" customHeight="1" x14ac:dyDescent="0.2">
      <c r="B17" s="214"/>
      <c r="C17" s="61"/>
      <c r="D17" s="125" t="s">
        <v>16</v>
      </c>
      <c r="E17" s="63" t="s">
        <v>105</v>
      </c>
      <c r="F17" s="62"/>
      <c r="G17" s="131"/>
      <c r="H17" s="139"/>
      <c r="I17" s="140">
        <f t="shared" si="0"/>
        <v>0</v>
      </c>
      <c r="J17" s="140">
        <f t="shared" si="1"/>
        <v>0</v>
      </c>
      <c r="K17" s="140">
        <f t="shared" si="2"/>
        <v>0</v>
      </c>
      <c r="L17" s="132">
        <f t="shared" si="3"/>
        <v>0</v>
      </c>
      <c r="M17" s="133">
        <f>I17*'OLD Inputs'!$D$79+J17*'OLD Inputs'!$D$80+K17*'OLD Inputs'!$D$81</f>
        <v>0</v>
      </c>
      <c r="N17" s="211"/>
    </row>
    <row r="18" spans="2:14" ht="12" customHeight="1" x14ac:dyDescent="0.2">
      <c r="B18" s="214"/>
      <c r="C18" s="61"/>
      <c r="D18" s="125"/>
      <c r="E18" s="59" t="s">
        <v>227</v>
      </c>
      <c r="F18" s="62"/>
      <c r="G18" s="131">
        <f>'YR3'!N30</f>
        <v>80</v>
      </c>
      <c r="H18" s="139">
        <v>2</v>
      </c>
      <c r="I18" s="140">
        <f t="shared" si="0"/>
        <v>160</v>
      </c>
      <c r="J18" s="140">
        <f t="shared" si="1"/>
        <v>8</v>
      </c>
      <c r="K18" s="140">
        <f t="shared" si="2"/>
        <v>16</v>
      </c>
      <c r="L18" s="132">
        <f t="shared" si="3"/>
        <v>184</v>
      </c>
      <c r="M18" s="133">
        <f>I18*'OLD Inputs'!$D$79+J18*'OLD Inputs'!$D$80+K18*'OLD Inputs'!$D$81</f>
        <v>8544.0000000000018</v>
      </c>
      <c r="N18" s="211"/>
    </row>
    <row r="19" spans="2:14" ht="12" customHeight="1" x14ac:dyDescent="0.2">
      <c r="B19" s="214"/>
      <c r="C19" s="61"/>
      <c r="D19" s="125"/>
      <c r="E19" s="59" t="s">
        <v>225</v>
      </c>
      <c r="F19" s="62"/>
      <c r="G19" s="131">
        <f>'YR3'!N31</f>
        <v>360</v>
      </c>
      <c r="H19" s="139">
        <v>2</v>
      </c>
      <c r="I19" s="140">
        <f t="shared" si="0"/>
        <v>720</v>
      </c>
      <c r="J19" s="140">
        <f t="shared" si="1"/>
        <v>36</v>
      </c>
      <c r="K19" s="140">
        <f t="shared" si="2"/>
        <v>72</v>
      </c>
      <c r="L19" s="132">
        <f t="shared" si="3"/>
        <v>828</v>
      </c>
      <c r="M19" s="133">
        <f>I19*'OLD Inputs'!$D$79+J19*'OLD Inputs'!$D$80+K19*'OLD Inputs'!$D$81</f>
        <v>38448.000000000007</v>
      </c>
      <c r="N19" s="211"/>
    </row>
    <row r="20" spans="2:14" ht="12" customHeight="1" x14ac:dyDescent="0.2">
      <c r="B20" s="214"/>
      <c r="C20" s="61"/>
      <c r="D20" s="125"/>
      <c r="E20" s="59" t="s">
        <v>228</v>
      </c>
      <c r="F20" s="62"/>
      <c r="G20" s="131">
        <f>'YR3'!N32</f>
        <v>32</v>
      </c>
      <c r="H20" s="139">
        <v>2</v>
      </c>
      <c r="I20" s="140">
        <f t="shared" si="0"/>
        <v>64</v>
      </c>
      <c r="J20" s="140">
        <f t="shared" si="1"/>
        <v>3.2</v>
      </c>
      <c r="K20" s="140">
        <f t="shared" si="2"/>
        <v>6.4</v>
      </c>
      <c r="L20" s="132">
        <f t="shared" si="3"/>
        <v>73.600000000000009</v>
      </c>
      <c r="M20" s="133">
        <f>I20*'OLD Inputs'!$D$79+J20*'OLD Inputs'!$D$80+K20*'OLD Inputs'!$D$81</f>
        <v>3417.6000000000004</v>
      </c>
      <c r="N20" s="211"/>
    </row>
    <row r="21" spans="2:14" ht="12" customHeight="1" x14ac:dyDescent="0.2">
      <c r="B21" s="215"/>
      <c r="C21" s="58" t="s">
        <v>30</v>
      </c>
      <c r="D21" s="59" t="s">
        <v>31</v>
      </c>
      <c r="E21" s="59"/>
      <c r="F21" s="60"/>
      <c r="G21" s="141">
        <v>1</v>
      </c>
      <c r="H21" s="140">
        <v>10</v>
      </c>
      <c r="I21" s="140">
        <f t="shared" ref="I21" si="4">(G21*H21)</f>
        <v>10</v>
      </c>
      <c r="J21" s="140">
        <f t="shared" ref="J21" si="5">I21*0.05</f>
        <v>0.5</v>
      </c>
      <c r="K21" s="140">
        <f t="shared" ref="K21" si="6">I21*0.1</f>
        <v>1</v>
      </c>
      <c r="L21" s="132">
        <f t="shared" ref="L21" si="7">SUM(I21:K21)</f>
        <v>11.5</v>
      </c>
      <c r="M21" s="133">
        <f>I21*'OLD Inputs'!$D$79+J21*'OLD Inputs'!$D$80+K21*'OLD Inputs'!$D$81</f>
        <v>534.00000000000011</v>
      </c>
      <c r="N21" s="211"/>
    </row>
    <row r="22" spans="2:14" ht="12" customHeight="1" thickBot="1" x14ac:dyDescent="0.25">
      <c r="B22" s="216" t="s">
        <v>53</v>
      </c>
      <c r="C22" s="53" t="s">
        <v>32</v>
      </c>
      <c r="D22" s="54"/>
      <c r="E22" s="54"/>
      <c r="F22" s="54"/>
      <c r="G22" s="55"/>
      <c r="H22" s="47"/>
      <c r="I22" s="47"/>
      <c r="J22" s="56" t="str">
        <f>IF(G8=0,"$0",1*3.75*75+600)</f>
        <v>$0</v>
      </c>
      <c r="K22" s="57" t="s">
        <v>33</v>
      </c>
      <c r="L22" s="57"/>
      <c r="M22" s="48">
        <f>IF(ISTEXT(J22),0,G8*J22)</f>
        <v>0</v>
      </c>
      <c r="N22" s="217"/>
    </row>
    <row r="23" spans="2:14" ht="12" customHeight="1" thickTop="1" x14ac:dyDescent="0.2">
      <c r="B23" s="218"/>
      <c r="C23" s="219" t="s">
        <v>34</v>
      </c>
      <c r="D23" s="220"/>
      <c r="E23" s="220"/>
      <c r="F23" s="59"/>
      <c r="G23" s="221"/>
      <c r="H23" s="222"/>
      <c r="I23" s="223">
        <f>SUM(I6:I21)</f>
        <v>1270</v>
      </c>
      <c r="J23" s="223">
        <f>SUM(J6:J21)</f>
        <v>63.5</v>
      </c>
      <c r="K23" s="223">
        <f>SUM(K6:K21)</f>
        <v>127</v>
      </c>
      <c r="L23" s="223">
        <f>SUM(L6:L21)</f>
        <v>1460.5</v>
      </c>
      <c r="M23" s="224">
        <f>SUM(M6:M22)</f>
        <v>67818.000000000015</v>
      </c>
      <c r="N23" s="211"/>
    </row>
    <row r="24" spans="2:14" ht="12" customHeight="1" x14ac:dyDescent="0.2">
      <c r="B24" s="14"/>
      <c r="C24" s="14"/>
      <c r="D24" s="14"/>
      <c r="E24" s="14"/>
      <c r="F24" s="15"/>
      <c r="G24" s="15"/>
      <c r="H24" s="16"/>
      <c r="I24" s="17"/>
      <c r="J24" s="17"/>
      <c r="K24" s="17"/>
      <c r="L24" s="17"/>
      <c r="M24" s="17"/>
      <c r="N24" s="17"/>
    </row>
    <row r="25" spans="2:14" ht="12" customHeight="1" x14ac:dyDescent="0.2">
      <c r="B25" s="323"/>
      <c r="C25" s="323"/>
      <c r="D25" s="14"/>
      <c r="E25" s="14"/>
      <c r="F25" s="18"/>
      <c r="G25" s="15"/>
      <c r="H25" s="16"/>
      <c r="I25" s="17"/>
      <c r="J25" s="17"/>
      <c r="K25" s="17"/>
      <c r="L25" s="17"/>
      <c r="M25" s="17"/>
      <c r="N25" s="17"/>
    </row>
    <row r="26" spans="2:14" ht="12" customHeight="1" x14ac:dyDescent="0.2">
      <c r="B26" s="324"/>
      <c r="C26" s="325"/>
      <c r="D26" s="326"/>
      <c r="E26" s="326"/>
      <c r="F26" s="327"/>
      <c r="G26" s="327"/>
      <c r="H26" s="328"/>
      <c r="I26" s="329"/>
      <c r="J26" s="329"/>
      <c r="K26" s="329"/>
      <c r="L26" s="329"/>
      <c r="M26" s="17"/>
      <c r="N26" s="17"/>
    </row>
    <row r="27" spans="2:14" ht="12" customHeight="1" x14ac:dyDescent="0.2">
      <c r="B27" s="50"/>
      <c r="C27" s="49"/>
      <c r="D27" s="14"/>
      <c r="E27" s="14"/>
      <c r="F27" s="15"/>
      <c r="G27" s="15"/>
      <c r="H27" s="16"/>
      <c r="I27" s="17"/>
      <c r="J27" s="17"/>
      <c r="K27" s="17"/>
      <c r="L27" s="17"/>
      <c r="M27" s="17"/>
      <c r="N27" s="17"/>
    </row>
    <row r="28" spans="2:14" ht="12" customHeight="1" x14ac:dyDescent="0.2">
      <c r="B28" s="50"/>
      <c r="C28" s="49"/>
      <c r="D28" s="14"/>
      <c r="E28" s="14"/>
      <c r="F28" s="15"/>
      <c r="G28" s="15"/>
      <c r="H28" s="16"/>
      <c r="I28" s="17"/>
      <c r="J28" s="17"/>
      <c r="K28" s="17"/>
      <c r="L28" s="17"/>
      <c r="M28" s="17"/>
      <c r="N28" s="17"/>
    </row>
    <row r="29" spans="2:14" ht="12" customHeight="1" x14ac:dyDescent="0.2">
      <c r="B29" s="50"/>
      <c r="C29" s="49"/>
      <c r="D29" s="14"/>
      <c r="E29" s="14"/>
      <c r="F29" s="15"/>
      <c r="G29" s="15"/>
      <c r="H29" s="16"/>
      <c r="I29" s="17"/>
      <c r="J29" s="17"/>
      <c r="K29" s="17"/>
      <c r="L29" s="17"/>
      <c r="M29" s="17"/>
      <c r="N29" s="17"/>
    </row>
    <row r="30" spans="2:14" ht="12" customHeight="1" x14ac:dyDescent="0.2">
      <c r="B30" s="51"/>
      <c r="C30" s="52"/>
    </row>
    <row r="31" spans="2:14" x14ac:dyDescent="0.2">
      <c r="B31" s="20"/>
    </row>
    <row r="32" spans="2:14" x14ac:dyDescent="0.2">
      <c r="B32" s="20"/>
    </row>
    <row r="33" spans="2:26" x14ac:dyDescent="0.2">
      <c r="B33" s="20"/>
    </row>
    <row r="34" spans="2:26" x14ac:dyDescent="0.2">
      <c r="B34" s="20"/>
    </row>
    <row r="47" spans="2:26" x14ac:dyDescent="0.2">
      <c r="W47" s="357" t="s">
        <v>36</v>
      </c>
      <c r="X47" s="357"/>
      <c r="Y47" s="357"/>
      <c r="Z47" s="28">
        <v>0.2</v>
      </c>
    </row>
    <row r="48" spans="2:26" x14ac:dyDescent="0.2">
      <c r="W48" s="357" t="s">
        <v>37</v>
      </c>
      <c r="X48" s="357"/>
      <c r="Y48" s="357"/>
      <c r="Z48" s="28">
        <v>0.1</v>
      </c>
    </row>
    <row r="49" spans="23:26" x14ac:dyDescent="0.2">
      <c r="W49" s="357" t="s">
        <v>38</v>
      </c>
      <c r="X49" s="357"/>
      <c r="Y49" s="357"/>
      <c r="Z49" s="28">
        <v>0.1</v>
      </c>
    </row>
  </sheetData>
  <mergeCells count="12">
    <mergeCell ref="W49:Y49"/>
    <mergeCell ref="B2:N2"/>
    <mergeCell ref="N3:N4"/>
    <mergeCell ref="B4:F4"/>
    <mergeCell ref="G5:N5"/>
    <mergeCell ref="G7:N7"/>
    <mergeCell ref="D8:F8"/>
    <mergeCell ref="G10:N10"/>
    <mergeCell ref="G11:N11"/>
    <mergeCell ref="G12:N12"/>
    <mergeCell ref="W47:Y47"/>
    <mergeCell ref="W48:Y48"/>
  </mergeCells>
  <printOptions horizontalCentered="1"/>
  <pageMargins left="0.5" right="0.5" top="0.5" bottom="0.5" header="0.3" footer="0.3"/>
  <pageSetup scale="97" fitToHeight="0" orientation="landscape" r:id="rId1"/>
  <headerFooter>
    <oddFooter>&amp;CA.2-&amp;P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2019-05-21T04:00:00+00:00</Document_x0020_Creation_x0020_Date>
    <EPA_x0020_Office xmlns="4ffa91fb-a0ff-4ac5-b2db-65c790d184a4">OAR-OAQPS-SPPD-RCG</EPA_x0020_Office>
    <CategoryDescription xmlns="http://schemas.microsoft.com/sharepoint.v3" xsi:nil="true"/>
    <Identifier xmlns="4ffa91fb-a0ff-4ac5-b2db-65c790d184a4" xsi:nil="true"/>
    <_Coverage xmlns="http://schemas.microsoft.com/sharepoint/v3/fields" xsi:nil="true"/>
    <Creator xmlns="4ffa91fb-a0ff-4ac5-b2db-65c790d184a4">
      <UserInfo>
        <DisplayName>Diem, Art</DisplayName>
        <AccountId>666</AccountId>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e3f09c3df709400db2417a7161762d62 xmlns="4ffa91fb-a0ff-4ac5-b2db-65c790d184a4">
      <Terms xmlns="http://schemas.microsoft.com/office/infopath/2007/PartnerControls"/>
    </e3f09c3df709400db2417a7161762d62>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29f62856-1543-49d4-a736-4569d363f533"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D060EF477497AF418F3462F66D0E8D8D" ma:contentTypeVersion="10" ma:contentTypeDescription="Create a new document." ma:contentTypeScope="" ma:versionID="450c45ea86f139b70811bc04781bf489">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c99864ce-69a5-4cbc-89fd-475113c33f56" xmlns:ns6="7d8dd676-26ca-4e08-b90f-b4e0026a58ac" targetNamespace="http://schemas.microsoft.com/office/2006/metadata/properties" ma:root="true" ma:fieldsID="75a1357a9454261b1e0012c778de5cea" ns1:_="" ns2:_="" ns3:_="" ns4:_="" ns5:_="" ns6:_="">
    <xsd:import namespace="http://schemas.microsoft.com/sharepoint/v3"/>
    <xsd:import namespace="4ffa91fb-a0ff-4ac5-b2db-65c790d184a4"/>
    <xsd:import namespace="http://schemas.microsoft.com/sharepoint.v3"/>
    <xsd:import namespace="http://schemas.microsoft.com/sharepoint/v3/fields"/>
    <xsd:import namespace="c99864ce-69a5-4cbc-89fd-475113c33f56"/>
    <xsd:import namespace="7d8dd676-26ca-4e08-b90f-b4e0026a58ac"/>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MediaServiceMetadata" minOccurs="0"/>
                <xsd:element ref="ns5:MediaServiceFastMetadata" minOccurs="0"/>
                <xsd:element ref="ns6:SharedWithUsers" minOccurs="0"/>
                <xsd:element ref="ns6:SharedWithDetails" minOccurs="0"/>
                <xsd:element ref="ns5:MediaServiceEventHashCode" minOccurs="0"/>
                <xsd:element ref="ns5: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9864ce-69a5-4cbc-89fd-475113c33f56" elementFormDefault="qualified">
    <xsd:import namespace="http://schemas.microsoft.com/office/2006/documentManagement/types"/>
    <xsd:import namespace="http://schemas.microsoft.com/office/infopath/2007/PartnerControls"/>
    <xsd:element name="MediaServiceMetadata" ma:index="29" nillable="true" ma:displayName="MediaServiceMetadata" ma:hidden="true" ma:internalName="MediaServiceMetadata" ma:readOnly="true">
      <xsd:simpleType>
        <xsd:restriction base="dms:Note"/>
      </xsd:simpleType>
    </xsd:element>
    <xsd:element name="MediaServiceFastMetadata" ma:index="30" nillable="true" ma:displayName="MediaServiceFastMetadata" ma:hidden="true" ma:internalName="MediaServiceFastMetadata" ma:readOnly="true">
      <xsd:simpleType>
        <xsd:restriction base="dms:Note"/>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8dd676-26ca-4e08-b90f-b4e0026a58ac" elementFormDefault="qualified">
    <xsd:import namespace="http://schemas.microsoft.com/office/2006/documentManagement/types"/>
    <xsd:import namespace="http://schemas.microsoft.com/office/infopath/2007/PartnerControls"/>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4674DA-8A0B-4601-809A-063B20D2016D}">
  <ds:schemaRefs>
    <ds:schemaRef ds:uri="http://purl.org/dc/elements/1.1/"/>
    <ds:schemaRef ds:uri="http://schemas.microsoft.com/office/2006/metadata/properties"/>
    <ds:schemaRef ds:uri="http://purl.org/dc/dcmitype/"/>
    <ds:schemaRef ds:uri="http://schemas.microsoft.com/sharepoint/v3/fields"/>
    <ds:schemaRef ds:uri="http://www.w3.org/XML/1998/namespace"/>
    <ds:schemaRef ds:uri="http://schemas.openxmlformats.org/package/2006/metadata/core-properties"/>
    <ds:schemaRef ds:uri="http://purl.org/dc/terms/"/>
    <ds:schemaRef ds:uri="http://schemas.microsoft.com/office/2006/documentManagement/types"/>
    <ds:schemaRef ds:uri="c99864ce-69a5-4cbc-89fd-475113c33f56"/>
    <ds:schemaRef ds:uri="http://schemas.microsoft.com/office/infopath/2007/PartnerControls"/>
    <ds:schemaRef ds:uri="7d8dd676-26ca-4e08-b90f-b4e0026a58ac"/>
    <ds:schemaRef ds:uri="http://schemas.microsoft.com/sharepoint.v3"/>
    <ds:schemaRef ds:uri="4ffa91fb-a0ff-4ac5-b2db-65c790d184a4"/>
    <ds:schemaRef ds:uri="http://schemas.microsoft.com/sharepoint/v3"/>
  </ds:schemaRefs>
</ds:datastoreItem>
</file>

<file path=customXml/itemProps2.xml><?xml version="1.0" encoding="utf-8"?>
<ds:datastoreItem xmlns:ds="http://schemas.openxmlformats.org/officeDocument/2006/customXml" ds:itemID="{0AA66BA1-9E1C-46E2-9AE0-5FD7A7D40670}">
  <ds:schemaRefs>
    <ds:schemaRef ds:uri="http://schemas.microsoft.com/sharepoint/v3/contenttype/forms"/>
  </ds:schemaRefs>
</ds:datastoreItem>
</file>

<file path=customXml/itemProps3.xml><?xml version="1.0" encoding="utf-8"?>
<ds:datastoreItem xmlns:ds="http://schemas.openxmlformats.org/officeDocument/2006/customXml" ds:itemID="{7C91B242-7340-4C98-B047-CA86F0C8DB3B}">
  <ds:schemaRefs>
    <ds:schemaRef ds:uri="Microsoft.SharePoint.Taxonomy.ContentTypeSync"/>
  </ds:schemaRefs>
</ds:datastoreItem>
</file>

<file path=customXml/itemProps4.xml><?xml version="1.0" encoding="utf-8"?>
<ds:datastoreItem xmlns:ds="http://schemas.openxmlformats.org/officeDocument/2006/customXml" ds:itemID="{691C5DB5-EAE2-4D60-BA9D-E37E39FF4C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c99864ce-69a5-4cbc-89fd-475113c33f56"/>
    <ds:schemaRef ds:uri="7d8dd676-26ca-4e08-b90f-b4e0026a58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OLD Inputs</vt:lpstr>
      <vt:lpstr>MemoTables</vt:lpstr>
      <vt:lpstr>YR1</vt:lpstr>
      <vt:lpstr>YR2</vt:lpstr>
      <vt:lpstr>YR3</vt:lpstr>
      <vt:lpstr>summary</vt:lpstr>
      <vt:lpstr>EPA_YR1</vt:lpstr>
      <vt:lpstr>EPA_YR2</vt:lpstr>
      <vt:lpstr>EPA_YR3</vt:lpstr>
      <vt:lpstr>EPA summary</vt:lpstr>
      <vt:lpstr>'EPA summary'!Print_Area</vt:lpstr>
      <vt:lpstr>EPA_YR1!Print_Area</vt:lpstr>
      <vt:lpstr>EPA_YR2!Print_Area</vt:lpstr>
      <vt:lpstr>EPA_YR3!Print_Area</vt:lpstr>
      <vt:lpstr>summary!Print_Area</vt:lpstr>
      <vt:lpstr>'YR1'!Print_Area</vt:lpstr>
      <vt:lpstr>'YR2'!Print_Area</vt:lpstr>
      <vt:lpstr>'YR3'!Print_Area</vt:lpstr>
      <vt:lpstr>'YR1'!Print_Titles</vt:lpstr>
      <vt:lpstr>'YR2'!Print_Titles</vt:lpstr>
      <vt:lpstr>'YR3'!Print_Titles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OLD Burden Estimate_Proposal</dc:title>
  <dc:creator/>
  <cp:keywords/>
  <cp:lastModifiedBy/>
  <dcterms:created xsi:type="dcterms:W3CDTF">2006-09-16T00:00:00Z</dcterms:created>
  <dcterms:modified xsi:type="dcterms:W3CDTF">2019-09-11T19:17:00Z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0x010100D060EF477497AF418F3462F66D0E8D8D</vt:lpwstr>
  </property>
  <property fmtid="{D5CDD505-2E9C-101B-9397-08002B2CF9AE}" pid="3" name="TaxKeyword">
    <vt:lpwstr/>
  </property>
  <property fmtid="{D5CDD505-2E9C-101B-9397-08002B2CF9AE}" pid="4" name="Document Type">
    <vt:lpwstr/>
  </property>
  <property fmtid="{D5CDD505-2E9C-101B-9397-08002B2CF9AE}" pid="5" name="EPA Subject">
    <vt:lpwstr/>
  </property>
</Properties>
</file>