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dc.gov\private\M336\uxl8\doh\sealant program\"/>
    </mc:Choice>
  </mc:AlternateContent>
  <bookViews>
    <workbookView xWindow="0" yWindow="0" windowWidth="16455" windowHeight="4380" firstSheet="1" activeTab="1"/>
  </bookViews>
  <sheets>
    <sheet name="Cost Summary" sheetId="2" r:id="rId1"/>
    <sheet name="Annual Performance Measures" sheetId="3" r:id="rId2"/>
    <sheet name="Import SSP" sheetId="4" r:id="rId3"/>
    <sheet name="Attack rate" sheetId="5" r:id="rId4"/>
    <sheet name="Averted cavities" sheetId="6" r:id="rId5"/>
    <sheet name="Retention Rate" sheetId="7" r:id="rId6"/>
  </sheets>
  <externalReferences>
    <externalReference r:id="rId7"/>
  </externalReferences>
  <definedNames>
    <definedName name="_GoBack" localSheetId="2">'Import SSP'!$B$2</definedName>
    <definedName name="EList">[1]Hidden!#REF!</definedName>
    <definedName name="EventList">[1]Hidden!#REF!</definedName>
  </definedNames>
  <calcPr calcId="162913"/>
</workbook>
</file>

<file path=xl/calcChain.xml><?xml version="1.0" encoding="utf-8"?>
<calcChain xmlns="http://schemas.openxmlformats.org/spreadsheetml/2006/main">
  <c r="B5" i="7" l="1"/>
  <c r="C5" i="7"/>
  <c r="D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7" i="6"/>
  <c r="B17" i="6"/>
  <c r="B23" i="6" s="1"/>
  <c r="B18" i="6"/>
  <c r="B37" i="6"/>
  <c r="B2" i="5"/>
  <c r="C2" i="5"/>
  <c r="D2" i="5"/>
  <c r="E2" i="5"/>
  <c r="F2" i="5" s="1"/>
  <c r="B3" i="5"/>
  <c r="C3" i="5"/>
  <c r="E3" i="5" s="1"/>
  <c r="F3" i="5" s="1"/>
  <c r="D3" i="5"/>
  <c r="B4" i="5"/>
  <c r="C4" i="5"/>
  <c r="D4" i="5"/>
  <c r="E4" i="5"/>
  <c r="F4" i="5" s="1"/>
  <c r="B5" i="5"/>
  <c r="C5" i="5"/>
  <c r="E5" i="5" s="1"/>
  <c r="F5" i="5" s="1"/>
  <c r="D5" i="5"/>
  <c r="B6" i="5"/>
  <c r="C6" i="5"/>
  <c r="D6" i="5"/>
  <c r="E6" i="5"/>
  <c r="F6" i="5" s="1"/>
  <c r="B7" i="5"/>
  <c r="C7" i="5"/>
  <c r="E7" i="5" s="1"/>
  <c r="F7" i="5" s="1"/>
  <c r="D7" i="5"/>
  <c r="B8" i="5"/>
  <c r="C8" i="5"/>
  <c r="D8" i="5"/>
  <c r="E8" i="5"/>
  <c r="F8" i="5" s="1"/>
  <c r="B3" i="3"/>
  <c r="B4" i="3"/>
  <c r="B5" i="3"/>
  <c r="B9" i="3"/>
  <c r="B10" i="3"/>
  <c r="B11" i="3"/>
  <c r="B12" i="3"/>
  <c r="B13" i="3"/>
  <c r="B17" i="3"/>
  <c r="C9" i="3" s="1"/>
  <c r="B18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6" i="3"/>
  <c r="B37" i="3"/>
  <c r="B38" i="3"/>
  <c r="B39" i="3"/>
  <c r="B40" i="3"/>
  <c r="B41" i="3"/>
  <c r="B42" i="3"/>
  <c r="B43" i="3"/>
  <c r="B44" i="3"/>
  <c r="C44" i="3"/>
  <c r="D44" i="3"/>
  <c r="B45" i="3"/>
  <c r="B48" i="3"/>
  <c r="B8" i="6" s="1"/>
  <c r="B50" i="3"/>
  <c r="B51" i="3" l="1"/>
  <c r="C13" i="3"/>
  <c r="B49" i="3"/>
  <c r="B38" i="6"/>
  <c r="D16" i="7"/>
  <c r="E16" i="7" s="1"/>
  <c r="C16" i="7"/>
  <c r="C17" i="7" s="1"/>
  <c r="D17" i="7" s="1"/>
  <c r="C18" i="7" s="1"/>
  <c r="C6" i="7"/>
  <c r="C24" i="6"/>
  <c r="B50" i="6" s="1"/>
  <c r="D24" i="6"/>
  <c r="B24" i="6"/>
  <c r="D38" i="6"/>
  <c r="C38" i="6"/>
  <c r="C9" i="5"/>
  <c r="C10" i="3"/>
  <c r="C12" i="3"/>
  <c r="C11" i="3"/>
  <c r="D6" i="7" l="1"/>
  <c r="C7" i="7" s="1"/>
  <c r="D18" i="7"/>
  <c r="C19" i="7" s="1"/>
  <c r="D25" i="6"/>
  <c r="C25" i="6"/>
  <c r="B25" i="6"/>
  <c r="C50" i="6"/>
  <c r="E38" i="6"/>
  <c r="G2" i="5"/>
  <c r="G4" i="5"/>
  <c r="G6" i="5"/>
  <c r="G8" i="5"/>
  <c r="G3" i="5"/>
  <c r="G5" i="5"/>
  <c r="G7" i="5"/>
  <c r="D19" i="7" l="1"/>
  <c r="C20" i="7" s="1"/>
  <c r="D7" i="7"/>
  <c r="C8" i="7"/>
  <c r="B26" i="6"/>
  <c r="D26" i="6"/>
  <c r="C26" i="6"/>
  <c r="G9" i="5"/>
  <c r="D20" i="7" l="1"/>
  <c r="C21" i="7" s="1"/>
  <c r="D8" i="7"/>
  <c r="C9" i="7"/>
  <c r="B27" i="6"/>
  <c r="C27" i="6"/>
  <c r="D27" i="6"/>
  <c r="D9" i="7" l="1"/>
  <c r="C10" i="7" s="1"/>
  <c r="D21" i="7"/>
  <c r="C22" i="7" s="1"/>
  <c r="C28" i="6"/>
  <c r="D28" i="6"/>
  <c r="B28" i="6"/>
  <c r="D10" i="7" l="1"/>
  <c r="C11" i="7" s="1"/>
  <c r="D22" i="7"/>
  <c r="C23" i="7" s="1"/>
  <c r="D29" i="6"/>
  <c r="C29" i="6"/>
  <c r="B29" i="6"/>
  <c r="D23" i="7" l="1"/>
  <c r="C24" i="7" s="1"/>
  <c r="D11" i="7"/>
  <c r="C12" i="7"/>
  <c r="D30" i="6"/>
  <c r="B30" i="6"/>
  <c r="C30" i="6"/>
  <c r="D24" i="7" l="1"/>
  <c r="C25" i="7" s="1"/>
  <c r="D12" i="7"/>
  <c r="C13" i="7"/>
  <c r="B31" i="6"/>
  <c r="C31" i="6"/>
  <c r="D31" i="6"/>
  <c r="D13" i="7" l="1"/>
  <c r="C14" i="7" s="1"/>
  <c r="D25" i="7"/>
  <c r="C26" i="7" s="1"/>
  <c r="C32" i="6"/>
  <c r="D32" i="6"/>
  <c r="D33" i="6" s="1"/>
  <c r="B32" i="6"/>
  <c r="D14" i="7" l="1"/>
  <c r="C15" i="7" s="1"/>
  <c r="D15" i="7" s="1"/>
  <c r="D26" i="7"/>
  <c r="C27" i="7" s="1"/>
  <c r="C14" i="3"/>
  <c r="D27" i="7" l="1"/>
  <c r="C28" i="7" s="1"/>
  <c r="B14" i="3"/>
  <c r="D28" i="7" l="1"/>
  <c r="E28" i="7" s="1"/>
  <c r="B9" i="6" l="1"/>
  <c r="C9" i="6" s="1"/>
  <c r="C39" i="6" s="1"/>
  <c r="C29" i="7"/>
  <c r="D39" i="6" l="1"/>
  <c r="E39" i="6" s="1"/>
  <c r="B39" i="6"/>
  <c r="D29" i="7"/>
  <c r="C30" i="7" s="1"/>
  <c r="B51" i="6"/>
  <c r="D30" i="7" l="1"/>
  <c r="C31" i="7" s="1"/>
  <c r="C51" i="6"/>
  <c r="D31" i="7" l="1"/>
  <c r="C32" i="7" s="1"/>
  <c r="D32" i="7" l="1"/>
  <c r="C33" i="7" s="1"/>
  <c r="D33" i="7" l="1"/>
  <c r="C34" i="7" s="1"/>
  <c r="D34" i="7" l="1"/>
  <c r="C35" i="7" s="1"/>
  <c r="D35" i="7" l="1"/>
  <c r="C36" i="7" s="1"/>
  <c r="D36" i="7" l="1"/>
  <c r="C37" i="7" s="1"/>
  <c r="D37" i="7" l="1"/>
  <c r="C38" i="7"/>
  <c r="D38" i="7" l="1"/>
  <c r="C39" i="7" s="1"/>
  <c r="D39" i="7" l="1"/>
  <c r="C40" i="7" s="1"/>
  <c r="D40" i="7" l="1"/>
  <c r="E40" i="7" l="1"/>
  <c r="B10" i="6"/>
  <c r="C10" i="6" s="1"/>
  <c r="C41" i="7"/>
  <c r="D40" i="6" l="1"/>
  <c r="C40" i="6"/>
  <c r="B40" i="6"/>
  <c r="D41" i="7"/>
  <c r="C42" i="7" s="1"/>
  <c r="D42" i="7" l="1"/>
  <c r="C43" i="7" s="1"/>
  <c r="E40" i="6"/>
  <c r="B52" i="6"/>
  <c r="C52" i="6" s="1"/>
  <c r="D43" i="7" l="1"/>
  <c r="C44" i="7" s="1"/>
  <c r="D44" i="7" l="1"/>
  <c r="C45" i="7" s="1"/>
  <c r="D45" i="7" l="1"/>
  <c r="C46" i="7" s="1"/>
  <c r="D46" i="7" l="1"/>
  <c r="C47" i="7" s="1"/>
  <c r="D47" i="7" l="1"/>
  <c r="C48" i="7" s="1"/>
  <c r="D48" i="7" l="1"/>
  <c r="C49" i="7" s="1"/>
  <c r="D49" i="7" l="1"/>
  <c r="C50" i="7" s="1"/>
  <c r="D50" i="7" l="1"/>
  <c r="C51" i="7" s="1"/>
  <c r="D51" i="7" l="1"/>
  <c r="C52" i="7" s="1"/>
  <c r="D52" i="7" l="1"/>
  <c r="E52" i="7" l="1"/>
  <c r="B11" i="6"/>
  <c r="C11" i="6" s="1"/>
  <c r="C53" i="7"/>
  <c r="C41" i="6" l="1"/>
  <c r="B41" i="6"/>
  <c r="D41" i="6"/>
  <c r="D53" i="7"/>
  <c r="C54" i="7" s="1"/>
  <c r="D5" i="2"/>
  <c r="D6" i="2"/>
  <c r="D7" i="2"/>
  <c r="D8" i="2"/>
  <c r="D9" i="2"/>
  <c r="D16" i="2" s="1"/>
  <c r="D45" i="2" s="1"/>
  <c r="D4" i="2"/>
  <c r="E41" i="6" l="1"/>
  <c r="B53" i="6"/>
  <c r="D54" i="7"/>
  <c r="C55" i="7" s="1"/>
  <c r="D48" i="2"/>
  <c r="D55" i="7" l="1"/>
  <c r="C56" i="7"/>
  <c r="C53" i="6"/>
  <c r="D47" i="2"/>
  <c r="D56" i="7" l="1"/>
  <c r="C57" i="7"/>
  <c r="D57" i="7" l="1"/>
  <c r="C58" i="7" s="1"/>
  <c r="D58" i="7" l="1"/>
  <c r="C59" i="7" s="1"/>
  <c r="D59" i="7" l="1"/>
  <c r="C60" i="7"/>
  <c r="D60" i="7" l="1"/>
  <c r="C61" i="7"/>
  <c r="D61" i="7" l="1"/>
  <c r="C62" i="7" s="1"/>
  <c r="D62" i="7" l="1"/>
  <c r="C63" i="7" s="1"/>
  <c r="D63" i="7" l="1"/>
  <c r="C64" i="7" s="1"/>
  <c r="D64" i="7" l="1"/>
  <c r="C65" i="7"/>
  <c r="D65" i="7" l="1"/>
  <c r="C66" i="7" s="1"/>
  <c r="D1" i="7"/>
  <c r="E64" i="7"/>
  <c r="B12" i="6"/>
  <c r="C12" i="6" s="1"/>
  <c r="D66" i="7" l="1"/>
  <c r="C67" i="7" s="1"/>
  <c r="C42" i="6"/>
  <c r="D42" i="6"/>
  <c r="B42" i="6"/>
  <c r="D67" i="7" l="1"/>
  <c r="C68" i="7" s="1"/>
  <c r="B54" i="6"/>
  <c r="E42" i="6"/>
  <c r="D68" i="7" l="1"/>
  <c r="C69" i="7" s="1"/>
  <c r="C54" i="6"/>
  <c r="D69" i="7" l="1"/>
  <c r="C70" i="7" s="1"/>
  <c r="D70" i="7" l="1"/>
  <c r="C71" i="7" s="1"/>
  <c r="D71" i="7" l="1"/>
  <c r="C72" i="7" s="1"/>
  <c r="D72" i="7" l="1"/>
  <c r="C73" i="7"/>
  <c r="D73" i="7" l="1"/>
  <c r="C74" i="7"/>
  <c r="D74" i="7" l="1"/>
  <c r="C75" i="7" s="1"/>
  <c r="D75" i="7" l="1"/>
  <c r="C76" i="7" s="1"/>
  <c r="D76" i="7" l="1"/>
  <c r="E76" i="7" l="1"/>
  <c r="B13" i="6"/>
  <c r="C13" i="6" s="1"/>
  <c r="C77" i="7"/>
  <c r="C43" i="6" l="1"/>
  <c r="D43" i="6"/>
  <c r="B43" i="6"/>
  <c r="D77" i="7"/>
  <c r="C78" i="7" s="1"/>
  <c r="D78" i="7" l="1"/>
  <c r="C79" i="7"/>
  <c r="E43" i="6"/>
  <c r="B55" i="6"/>
  <c r="D79" i="7" l="1"/>
  <c r="C80" i="7" s="1"/>
  <c r="C55" i="6"/>
  <c r="D80" i="7" l="1"/>
  <c r="C81" i="7" s="1"/>
  <c r="D81" i="7" l="1"/>
  <c r="C82" i="7"/>
  <c r="D82" i="7" l="1"/>
  <c r="C83" i="7" s="1"/>
  <c r="D83" i="7" l="1"/>
  <c r="C84" i="7" s="1"/>
  <c r="D84" i="7" l="1"/>
  <c r="C85" i="7" s="1"/>
  <c r="D85" i="7" l="1"/>
  <c r="C86" i="7" s="1"/>
  <c r="D86" i="7" l="1"/>
  <c r="C87" i="7" s="1"/>
  <c r="D87" i="7" l="1"/>
  <c r="C88" i="7" s="1"/>
  <c r="D88" i="7" l="1"/>
  <c r="E88" i="7" l="1"/>
  <c r="B14" i="6"/>
  <c r="C14" i="6" s="1"/>
  <c r="C89" i="7"/>
  <c r="D89" i="7" l="1"/>
  <c r="C90" i="7" s="1"/>
  <c r="C44" i="6"/>
  <c r="D44" i="6"/>
  <c r="B44" i="6"/>
  <c r="D90" i="7" l="1"/>
  <c r="C91" i="7"/>
  <c r="B56" i="6"/>
  <c r="E44" i="6"/>
  <c r="D91" i="7" l="1"/>
  <c r="C92" i="7" s="1"/>
  <c r="C56" i="6"/>
  <c r="D92" i="7" l="1"/>
  <c r="C93" i="7" s="1"/>
  <c r="D93" i="7" l="1"/>
  <c r="C94" i="7" s="1"/>
  <c r="D94" i="7" l="1"/>
  <c r="C95" i="7"/>
  <c r="D95" i="7" l="1"/>
  <c r="C96" i="7" s="1"/>
  <c r="D96" i="7" l="1"/>
  <c r="C97" i="7" s="1"/>
  <c r="D97" i="7" l="1"/>
  <c r="C98" i="7" s="1"/>
  <c r="D98" i="7" l="1"/>
  <c r="C99" i="7" s="1"/>
  <c r="D99" i="7" l="1"/>
  <c r="C100" i="7" s="1"/>
  <c r="D100" i="7" l="1"/>
  <c r="C101" i="7" s="1"/>
  <c r="D101" i="7" l="1"/>
  <c r="C102" i="7" s="1"/>
  <c r="E100" i="7"/>
  <c r="B15" i="6"/>
  <c r="C15" i="6" s="1"/>
  <c r="D102" i="7" l="1"/>
  <c r="C103" i="7" s="1"/>
  <c r="C45" i="6"/>
  <c r="D45" i="6"/>
  <c r="B45" i="6"/>
  <c r="D103" i="7" l="1"/>
  <c r="C104" i="7"/>
  <c r="E45" i="6"/>
  <c r="B57" i="6"/>
  <c r="C57" i="6" l="1"/>
  <c r="D104" i="7"/>
  <c r="C105" i="7" s="1"/>
  <c r="D105" i="7" l="1"/>
  <c r="C106" i="7" s="1"/>
  <c r="D106" i="7" l="1"/>
  <c r="C107" i="7" s="1"/>
  <c r="D107" i="7" l="1"/>
  <c r="C108" i="7"/>
  <c r="D108" i="7" l="1"/>
  <c r="C109" i="7" s="1"/>
  <c r="D109" i="7" l="1"/>
  <c r="C110" i="7" s="1"/>
  <c r="D110" i="7" l="1"/>
  <c r="C111" i="7" s="1"/>
  <c r="D111" i="7" l="1"/>
  <c r="C112" i="7"/>
  <c r="D112" i="7" s="1"/>
  <c r="E112" i="7" l="1"/>
  <c r="B16" i="6"/>
  <c r="C16" i="6" s="1"/>
  <c r="C46" i="6" l="1"/>
  <c r="D46" i="6"/>
  <c r="B46" i="6"/>
  <c r="B58" i="6" l="1"/>
  <c r="E46" i="6"/>
  <c r="C58" i="6" l="1"/>
  <c r="C59" i="6" s="1"/>
  <c r="C2" i="6" s="1"/>
  <c r="C3" i="6" s="1"/>
  <c r="C4" i="6" s="1"/>
  <c r="C52" i="3" s="1"/>
  <c r="C53" i="3" s="1"/>
  <c r="B59" i="6"/>
  <c r="B2" i="6" s="1"/>
  <c r="B3" i="6" s="1"/>
  <c r="B4" i="6" s="1"/>
  <c r="B52" i="3" s="1"/>
  <c r="B53" i="3" s="1"/>
</calcChain>
</file>

<file path=xl/sharedStrings.xml><?xml version="1.0" encoding="utf-8"?>
<sst xmlns="http://schemas.openxmlformats.org/spreadsheetml/2006/main" count="254" uniqueCount="237">
  <si>
    <t>ITEM</t>
  </si>
  <si>
    <t>UNITS</t>
  </si>
  <si>
    <t>AVERAGE COST PER UNIT</t>
  </si>
  <si>
    <t>TOTAL COST PER UNIT</t>
  </si>
  <si>
    <t>Sealant Stations</t>
  </si>
  <si>
    <t>Dentlworks</t>
  </si>
  <si>
    <t>Aseptico</t>
  </si>
  <si>
    <t>Other Manufacturers</t>
  </si>
  <si>
    <t>TOTAL SEALANT STATIONS</t>
  </si>
  <si>
    <t>Reusable Instruments</t>
  </si>
  <si>
    <t>Instrument sets</t>
  </si>
  <si>
    <t>Sterilization</t>
  </si>
  <si>
    <t xml:space="preserve">   Autoclave</t>
  </si>
  <si>
    <t xml:space="preserve">   Per year (ultrasonic cleaner, tray, utility gloves)</t>
  </si>
  <si>
    <t xml:space="preserve">   Per school event (spore testing kit)</t>
  </si>
  <si>
    <t xml:space="preserve">   Per day (sterilizer cleaner/ultrasonic cleaner solution)</t>
  </si>
  <si>
    <t xml:space="preserve">   Per child (instrument bag)</t>
  </si>
  <si>
    <t>TOTAL REUSABLE INSTRUMENTS</t>
  </si>
  <si>
    <t>Infection Control and Supplies</t>
  </si>
  <si>
    <t xml:space="preserve">   Per year (eyewash station, Sharps container, kits*)</t>
  </si>
  <si>
    <t xml:space="preserve">   Per station (waterline testing, protective eyewear and bib clip)</t>
  </si>
  <si>
    <t xml:space="preserve">   Per operator (protective eyewear)</t>
  </si>
  <si>
    <t xml:space="preserve">   Per day (trash liners, hand-sanitizer and hand soap)</t>
  </si>
  <si>
    <t xml:space="preserve">   Per day per station (waterline treatment, evacuation system treatment)</t>
  </si>
  <si>
    <t xml:space="preserve">   Per day per operator (protective clothing)</t>
  </si>
  <si>
    <t xml:space="preserve">   Supplies for screening</t>
  </si>
  <si>
    <t xml:space="preserve">   Supplies for sealants (in addition to screening costs)</t>
  </si>
  <si>
    <t xml:space="preserve">   Disposable instruments</t>
  </si>
  <si>
    <t xml:space="preserve">   Sealant material</t>
  </si>
  <si>
    <t>TOTAL INFECTION CONTROL &amp; SUPPLIES</t>
  </si>
  <si>
    <t>Labor</t>
  </si>
  <si>
    <t>Dentist</t>
  </si>
  <si>
    <t xml:space="preserve">   Travel</t>
  </si>
  <si>
    <t xml:space="preserve">   At school</t>
  </si>
  <si>
    <t>Dental Hygienist</t>
  </si>
  <si>
    <t>Dental Assistant</t>
  </si>
  <si>
    <t>Non-dental</t>
  </si>
  <si>
    <t>TOTAL LABOR</t>
  </si>
  <si>
    <t>TOTAL MILEAGE</t>
  </si>
  <si>
    <t>TOTAL ADMINISTRATIVE</t>
  </si>
  <si>
    <t>TOTAL PROGRAM COSTS</t>
  </si>
  <si>
    <t>Cost per child sealed</t>
  </si>
  <si>
    <t>Cost per tooth sealed</t>
  </si>
  <si>
    <t>Clinical labor cost per child sealed</t>
  </si>
  <si>
    <t>Summary of services delivered</t>
  </si>
  <si>
    <t>Number of children screened</t>
  </si>
  <si>
    <t>Number of children sealed</t>
  </si>
  <si>
    <t>Number of teeth sealed</t>
  </si>
  <si>
    <t>Number of fluoride varnish applications</t>
  </si>
  <si>
    <t>Number of prophylaxes</t>
  </si>
  <si>
    <t>Summary of schools served</t>
  </si>
  <si>
    <t>Number of high need schools</t>
  </si>
  <si>
    <t>Number of rural schools</t>
  </si>
  <si>
    <t>*Kits include blood borne pathogen spill, first aid, and chemical hazard</t>
  </si>
  <si>
    <t>Clinical labor time (hours) per child sealed</t>
  </si>
  <si>
    <t>State SSP Sample Cost Report: 2017-2018</t>
  </si>
  <si>
    <t>Estimated averted 9-year Medicaid treatment costs undiscounted / discounted</t>
  </si>
  <si>
    <t>Estimated cavaties averted over 9 years undiscounted / discounted</t>
  </si>
  <si>
    <t>Percentage screened children subsequently sealed</t>
  </si>
  <si>
    <t>Percentage of targeted children subsequently screened</t>
  </si>
  <si>
    <t>Percentage screened children with sealant after event</t>
  </si>
  <si>
    <t>Sealant retention rate / based on # children</t>
  </si>
  <si>
    <t xml:space="preserve">Quality of services delivered and program impact                               </t>
  </si>
  <si>
    <t xml:space="preserve">Children referred for dental care </t>
  </si>
  <si>
    <t>1st molars / 2nd molars / other teeth sealed</t>
  </si>
  <si>
    <t>Other/unknown</t>
  </si>
  <si>
    <t>7th</t>
  </si>
  <si>
    <t>6th</t>
  </si>
  <si>
    <t>5th</t>
  </si>
  <si>
    <t>4th</t>
  </si>
  <si>
    <t>3rd</t>
  </si>
  <si>
    <t>2nd</t>
  </si>
  <si>
    <t>1st</t>
  </si>
  <si>
    <t>By grade</t>
  </si>
  <si>
    <t>By age in years</t>
  </si>
  <si>
    <t xml:space="preserve">Children sealed </t>
  </si>
  <si>
    <t xml:space="preserve">Children screened </t>
  </si>
  <si>
    <t>Number of services delivered</t>
  </si>
  <si>
    <t>One-year 1M attack rate without program/ based on # children</t>
  </si>
  <si>
    <t>% needing "Urgent Care" (baseline)</t>
  </si>
  <si>
    <t>% needing "Restorative Care" (baseline)</t>
  </si>
  <si>
    <t>% with sealants present (baseline)</t>
  </si>
  <si>
    <t>% with treated or untreated decay (baseline)</t>
  </si>
  <si>
    <t>% with untreated decay (baseline)</t>
  </si>
  <si>
    <t>Response rate</t>
  </si>
  <si>
    <t>Effectiveness in targeting high-risk children that lack access to dental care</t>
  </si>
  <si>
    <t>Rural</t>
  </si>
  <si>
    <t>High need, rural</t>
  </si>
  <si>
    <t>Number of schools served by SSP</t>
  </si>
  <si>
    <t>Medicaid reimbursement for 1 surface posterior filling</t>
  </si>
  <si>
    <t>Other Grade sealed</t>
  </si>
  <si>
    <t>Grade 7 sealed</t>
  </si>
  <si>
    <t>Grade 6 sealed</t>
  </si>
  <si>
    <t>Grade 5 sealed</t>
  </si>
  <si>
    <t>Grade 4 sealed</t>
  </si>
  <si>
    <t>Grade 3 sealed</t>
  </si>
  <si>
    <t>Grade 2 sealed</t>
  </si>
  <si>
    <t>Grade 1 sealed</t>
  </si>
  <si>
    <t>age unknown sealed</t>
  </si>
  <si>
    <t>18-year olds sealed</t>
  </si>
  <si>
    <t>17-year olds sealed</t>
  </si>
  <si>
    <t>16-year olds sealed</t>
  </si>
  <si>
    <t>15-year olds sealed</t>
  </si>
  <si>
    <t>14-year olds sealed</t>
  </si>
  <si>
    <t>13-year olds sealed</t>
  </si>
  <si>
    <t>12-year olds sealed</t>
  </si>
  <si>
    <t>11-year olds sealed</t>
  </si>
  <si>
    <t>10-year olds sealed</t>
  </si>
  <si>
    <t>9-year olds sealed</t>
  </si>
  <si>
    <t>8-year olds sealed</t>
  </si>
  <si>
    <t>7-year olds sealed</t>
  </si>
  <si>
    <t>6-year olds sealed</t>
  </si>
  <si>
    <t>5-year olds sealed</t>
  </si>
  <si>
    <t>Consnts</t>
  </si>
  <si>
    <t>Number of children checked for retention regardless of how long after placement</t>
  </si>
  <si>
    <t>ChildChecked SUM</t>
  </si>
  <si>
    <t>Sealants placed among children with a valid retention check</t>
  </si>
  <si>
    <t>CheckSealed SUM</t>
  </si>
  <si>
    <t>Sealants retained among children with valid retention check</t>
  </si>
  <si>
    <t>CheckRetained SUM</t>
  </si>
  <si>
    <t>Number of other teeth sealed</t>
  </si>
  <si>
    <t>OSealed SUM</t>
  </si>
  <si>
    <t>Number of second molars sealed</t>
  </si>
  <si>
    <t>SecondSealed SUM</t>
  </si>
  <si>
    <t>Number of first molars sealed</t>
  </si>
  <si>
    <t>FirstSealed SUM</t>
  </si>
  <si>
    <t>Number of children with at least one sealant after the event</t>
  </si>
  <si>
    <t>SealPost SUM</t>
  </si>
  <si>
    <t>WereSealed SUM</t>
  </si>
  <si>
    <t>Decayed or filled 1M among 13 year olds</t>
  </si>
  <si>
    <t>NewDecay1M13 SUM</t>
  </si>
  <si>
    <t>Decayed or filled 1M among 12 year olds</t>
  </si>
  <si>
    <t>NewDecay1M12 SUM</t>
  </si>
  <si>
    <t>Decayed or filled 1M among 11 year olds</t>
  </si>
  <si>
    <t>NewDecay1M11 SUM</t>
  </si>
  <si>
    <t>Decayed or filled 1M among 10 year olds</t>
  </si>
  <si>
    <t>NewDecay1M10 SUM</t>
  </si>
  <si>
    <t>Decayed or filled 1M among 9 year olds</t>
  </si>
  <si>
    <t>NewDecay1M9 SUM</t>
  </si>
  <si>
    <t>Decayed or filled 1M among 8 year olds</t>
  </si>
  <si>
    <t>NewDecay1M8 SUM</t>
  </si>
  <si>
    <t>Decayed or filled 1M among 7 year olds</t>
  </si>
  <si>
    <t>NewDecay1M7 SUM</t>
  </si>
  <si>
    <t>Number of children 13 years old with valid amount of 1M decay reported</t>
  </si>
  <si>
    <t>ARDummy13 SUM</t>
  </si>
  <si>
    <t>Number of children 12 years old with valid amount of 1M decay reported</t>
  </si>
  <si>
    <t>ARDummy12 SUM</t>
  </si>
  <si>
    <t>Number of children 11 years old with valid amount of 1M decay reported</t>
  </si>
  <si>
    <t>ARDummy11 SUM</t>
  </si>
  <si>
    <t>Number of children 10 years old with valid amount of 1M decay reported</t>
  </si>
  <si>
    <t>ARDummy10 SUM</t>
  </si>
  <si>
    <t>Number of children 9 years old with valid amount of 1M decay reported</t>
  </si>
  <si>
    <t>ARDummy9 SUM</t>
  </si>
  <si>
    <t>Number of children 8 years old with valid amount of 1M decay reported</t>
  </si>
  <si>
    <t>ARDummy8 SUM</t>
  </si>
  <si>
    <t>Number of children 7 years old with valid amount of 1M decay reported</t>
  </si>
  <si>
    <t>ARDummy7 SUM</t>
  </si>
  <si>
    <t>Number of children for whom Sealants Present was answered validly</t>
  </si>
  <si>
    <t>ReportSeal SUM</t>
  </si>
  <si>
    <t>Number of children with sealants present at baseline</t>
  </si>
  <si>
    <t>PosSeal SUM</t>
  </si>
  <si>
    <t>Number of children for whom Caries Experience was answered validly</t>
  </si>
  <si>
    <t>ReportCariesExp SUM</t>
  </si>
  <si>
    <t>Number of children with treated or untreated caries</t>
  </si>
  <si>
    <t>PosCariesExp SUM</t>
  </si>
  <si>
    <t>Number of children for whom Treated Caries was answered validly</t>
  </si>
  <si>
    <t>RepostTreated SUM</t>
  </si>
  <si>
    <t>Number of children with treated decay</t>
  </si>
  <si>
    <t>PosTreated SUM</t>
  </si>
  <si>
    <t>Number of children for whom Treatment Urgency was answered validly</t>
  </si>
  <si>
    <t>ReportUrgency SUM</t>
  </si>
  <si>
    <t>Number of children with Treatment Urgency = "Restorative Care"</t>
  </si>
  <si>
    <t>PosRestCare SUM</t>
  </si>
  <si>
    <t>Number of children with Treatment Urgency = "Urgent Treatment"</t>
  </si>
  <si>
    <t>PosUrgent SUM</t>
  </si>
  <si>
    <t>rural</t>
  </si>
  <si>
    <t>Number of SSP, rural</t>
  </si>
  <si>
    <t>Number of children for whom Untreated Caries was answered validly</t>
  </si>
  <si>
    <t>UntreatReport SUM</t>
  </si>
  <si>
    <t>ruralFRL</t>
  </si>
  <si>
    <t>Number of SSP, rural&gt;50%FRL</t>
  </si>
  <si>
    <t>Number of children with untreated decay</t>
  </si>
  <si>
    <t>PosUntreat SUM</t>
  </si>
  <si>
    <t>urbanFRL</t>
  </si>
  <si>
    <t>Number SSP, urban&gt;50% FRL</t>
  </si>
  <si>
    <t>Number of children screemed</t>
  </si>
  <si>
    <t>Description</t>
  </si>
  <si>
    <t>Value</t>
  </si>
  <si>
    <t>SAS output description</t>
  </si>
  <si>
    <t>SSP output description</t>
  </si>
  <si>
    <t>*Assumes permanent 1M erupt at age 6.</t>
  </si>
  <si>
    <t>Weighted average one-year AR</t>
  </si>
  <si>
    <t>Weighted by proportion of children in age group</t>
  </si>
  <si>
    <t>AR for one year</t>
  </si>
  <si>
    <t>AR for years elapsed</t>
  </si>
  <si>
    <t>Sum of DF1M among children with no sealants at baseline screening</t>
  </si>
  <si>
    <t>Number of children with no sealants at baseline screening</t>
  </si>
  <si>
    <t>Time 1M in mouth on average*</t>
  </si>
  <si>
    <t>Reported age</t>
  </si>
  <si>
    <t>TOTAL</t>
  </si>
  <si>
    <t>Discounted</t>
  </si>
  <si>
    <t>Non-discounted</t>
  </si>
  <si>
    <t>Year</t>
  </si>
  <si>
    <t>AVERTED 1M CAVITIES</t>
  </si>
  <si>
    <t>Cavities per year</t>
  </si>
  <si>
    <t>Cumulative cvities</t>
  </si>
  <si>
    <t>Sound Unsealed</t>
  </si>
  <si>
    <t>Sound Sealed</t>
  </si>
  <si>
    <t>Years since placed</t>
  </si>
  <si>
    <t>1M CAVITIES WITH SEALANT PROGRAM</t>
  </si>
  <si>
    <t>Cumulative cavities</t>
  </si>
  <si>
    <t>Sound</t>
  </si>
  <si>
    <t>1M CAVITIES WITH NO SEALANT PROGRAM</t>
  </si>
  <si>
    <t>2nd molars</t>
  </si>
  <si>
    <t>1st molars sealed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</si>
  <si>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</si>
  <si>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</si>
  <si>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</si>
  <si>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</si>
  <si>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</si>
  <si>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</si>
  <si>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</si>
  <si>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</si>
  <si>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</si>
  <si>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Conditional retention</t>
  </si>
  <si>
    <t>AR</t>
  </si>
  <si>
    <t>PARAMETERS USED TO ESTIMATE AVERTED 1M CAVITIES</t>
  </si>
  <si>
    <t>All molars</t>
  </si>
  <si>
    <t>1st molars</t>
  </si>
  <si>
    <t>Averted cavities</t>
  </si>
  <si>
    <t>Cond Sealed</t>
  </si>
  <si>
    <t>sealed</t>
  </si>
  <si>
    <t>cum Not sealed</t>
  </si>
  <si>
    <t>Monthjs</t>
  </si>
  <si>
    <t>b</t>
  </si>
  <si>
    <t>a</t>
  </si>
  <si>
    <t>High need, 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</si>
</sst>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00"/>
    <numFmt numFmtId="166" formatCode="0.0"/>
    <numFmt numFmtId="167" formatCode="0.0000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</borders>
  <cellStyleXfs count="4">
    <xf numFmtId="0" fontId="0" fillId="0" borderId="0" applyBorder="0"/>
    <xf numFmtId="0" fontId="6" fillId="0" borderId="0"/>
    <xf numFmtId="0" fontId="4" fillId="0" borderId="0" applyBorder="0"/>
    <xf numFmtId="9" fontId="11" fillId="0" borderId="0" applyFont="0" applyFill="0" applyBorder="0" applyAlignment="0" applyProtection="0"/>
  </cellStyleXfs>
  <cellXfs count="151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right"/>
    </xf>
    <xf numFmtId="0" fontId="3" fillId="2" borderId="0" xfId="0" applyNumberFormat="1" applyFont="1" applyFill="1" applyAlignment="1" applyProtection="1"/>
    <xf numFmtId="0" fontId="0" fillId="2" borderId="0" xfId="0" applyNumberFormat="1" applyFill="1" applyAlignment="1" applyProtection="1">
      <alignment horizontal="right"/>
    </xf>
    <xf numFmtId="2" fontId="0" fillId="0" borderId="0" xfId="0" applyNumberFormat="1" applyFill="1" applyAlignment="1" applyProtection="1">
      <alignment horizontal="right"/>
    </xf>
    <xf numFmtId="2" fontId="0" fillId="2" borderId="0" xfId="0" applyNumberFormat="1" applyFill="1" applyAlignment="1" applyProtection="1">
      <alignment horizontal="right"/>
    </xf>
    <xf numFmtId="0" fontId="0" fillId="3" borderId="0" xfId="0" applyNumberFormat="1" applyFill="1" applyAlignment="1" applyProtection="1">
      <alignment horizontal="right"/>
    </xf>
    <xf numFmtId="164" fontId="0" fillId="0" borderId="0" xfId="0" applyNumberFormat="1" applyFill="1" applyAlignment="1" applyProtection="1">
      <alignment horizontal="right"/>
    </xf>
    <xf numFmtId="164" fontId="0" fillId="2" borderId="0" xfId="0" applyNumberFormat="1" applyFill="1" applyAlignment="1" applyProtection="1">
      <alignment horizontal="right"/>
    </xf>
    <xf numFmtId="6" fontId="0" fillId="2" borderId="0" xfId="0" applyNumberFormat="1" applyFill="1" applyAlignment="1" applyProtection="1">
      <alignment horizontal="right"/>
    </xf>
    <xf numFmtId="8" fontId="0" fillId="0" borderId="0" xfId="0" applyNumberFormat="1" applyFill="1" applyAlignment="1" applyProtection="1">
      <alignment horizontal="right"/>
    </xf>
    <xf numFmtId="8" fontId="0" fillId="0" borderId="0" xfId="0" applyNumberFormat="1" applyFill="1" applyAlignment="1" applyProtection="1"/>
    <xf numFmtId="8" fontId="0" fillId="2" borderId="0" xfId="0" applyNumberFormat="1" applyFill="1" applyAlignment="1" applyProtection="1">
      <alignment horizontal="right"/>
    </xf>
    <xf numFmtId="0" fontId="6" fillId="0" borderId="0" xfId="1"/>
    <xf numFmtId="0" fontId="7" fillId="0" borderId="0" xfId="1" applyFont="1"/>
    <xf numFmtId="10" fontId="7" fillId="0" borderId="0" xfId="1" applyNumberFormat="1" applyFont="1"/>
    <xf numFmtId="0" fontId="8" fillId="0" borderId="0" xfId="1" applyFont="1"/>
    <xf numFmtId="165" fontId="7" fillId="0" borderId="0" xfId="1" applyNumberFormat="1" applyFont="1"/>
    <xf numFmtId="1" fontId="7" fillId="0" borderId="0" xfId="1" applyNumberFormat="1" applyFont="1"/>
    <xf numFmtId="4" fontId="7" fillId="0" borderId="0" xfId="1" applyNumberFormat="1" applyFont="1"/>
    <xf numFmtId="0" fontId="7" fillId="0" borderId="0" xfId="1" applyFont="1" applyAlignment="1">
      <alignment horizontal="left" vertical="top"/>
    </xf>
    <xf numFmtId="0" fontId="9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166" fontId="7" fillId="0" borderId="0" xfId="1" applyNumberFormat="1" applyFont="1" applyFill="1" applyAlignment="1">
      <alignment horizontal="center"/>
    </xf>
    <xf numFmtId="0" fontId="7" fillId="0" borderId="0" xfId="1" applyFont="1" applyFill="1"/>
    <xf numFmtId="10" fontId="7" fillId="0" borderId="0" xfId="1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0" fontId="7" fillId="0" borderId="0" xfId="1" applyFont="1" applyFill="1" applyAlignment="1"/>
    <xf numFmtId="2" fontId="7" fillId="0" borderId="0" xfId="1" applyNumberFormat="1" applyFont="1" applyAlignment="1">
      <alignment horizontal="center" vertical="center"/>
    </xf>
    <xf numFmtId="2" fontId="7" fillId="0" borderId="0" xfId="1" applyNumberFormat="1" applyFont="1" applyFill="1" applyAlignment="1">
      <alignment horizontal="center"/>
    </xf>
    <xf numFmtId="0" fontId="7" fillId="0" borderId="0" xfId="1" applyFont="1" applyAlignment="1"/>
    <xf numFmtId="0" fontId="6" fillId="0" borderId="0" xfId="1" applyFill="1"/>
    <xf numFmtId="10" fontId="7" fillId="0" borderId="0" xfId="1" applyNumberFormat="1" applyFont="1" applyFill="1"/>
    <xf numFmtId="0" fontId="7" fillId="0" borderId="0" xfId="1" applyFont="1" applyFill="1" applyBorder="1" applyAlignment="1"/>
    <xf numFmtId="10" fontId="7" fillId="0" borderId="0" xfId="1" applyNumberFormat="1" applyFont="1" applyFill="1" applyBorder="1" applyAlignment="1"/>
    <xf numFmtId="1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0" fontId="7" fillId="0" borderId="2" xfId="1" applyFont="1" applyBorder="1" applyAlignment="1"/>
    <xf numFmtId="10" fontId="7" fillId="0" borderId="2" xfId="1" applyNumberFormat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8" fillId="0" borderId="2" xfId="1" applyFont="1" applyBorder="1" applyAlignment="1"/>
    <xf numFmtId="1" fontId="7" fillId="0" borderId="0" xfId="1" applyNumberFormat="1" applyFont="1" applyFill="1" applyBorder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Border="1" applyAlignment="1"/>
    <xf numFmtId="10" fontId="7" fillId="0" borderId="0" xfId="1" applyNumberFormat="1" applyFont="1" applyBorder="1" applyAlignment="1"/>
    <xf numFmtId="0" fontId="10" fillId="0" borderId="0" xfId="1" applyFont="1" applyAlignment="1">
      <alignment horizontal="center" vertical="center"/>
    </xf>
    <xf numFmtId="0" fontId="7" fillId="0" borderId="2" xfId="1" applyFont="1" applyBorder="1" applyAlignment="1">
      <alignment wrapText="1"/>
    </xf>
    <xf numFmtId="0" fontId="7" fillId="0" borderId="0" xfId="1" applyFont="1" applyBorder="1" applyAlignment="1">
      <alignment wrapText="1"/>
    </xf>
    <xf numFmtId="10" fontId="7" fillId="0" borderId="0" xfId="1" applyNumberFormat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7" fillId="0" borderId="0" xfId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0" fontId="11" fillId="0" borderId="0" xfId="1" applyFont="1" applyFill="1"/>
    <xf numFmtId="1" fontId="7" fillId="0" borderId="0" xfId="1" applyNumberFormat="1" applyFont="1" applyFill="1"/>
    <xf numFmtId="0" fontId="7" fillId="0" borderId="0" xfId="1" applyFont="1" applyFill="1" applyAlignment="1">
      <alignment vertical="top"/>
    </xf>
    <xf numFmtId="0" fontId="7" fillId="4" borderId="0" xfId="1" applyFont="1" applyFill="1"/>
    <xf numFmtId="0" fontId="7" fillId="0" borderId="0" xfId="1" applyNumberFormat="1" applyFont="1" applyFill="1" applyAlignment="1" applyProtection="1"/>
    <xf numFmtId="8" fontId="7" fillId="5" borderId="0" xfId="1" applyNumberFormat="1" applyFont="1" applyFill="1" applyAlignment="1" applyProtection="1"/>
    <xf numFmtId="0" fontId="10" fillId="2" borderId="0" xfId="2" applyNumberFormat="1" applyFont="1" applyFill="1" applyAlignment="1" applyProtection="1"/>
    <xf numFmtId="0" fontId="10" fillId="0" borderId="0" xfId="1" applyFont="1"/>
    <xf numFmtId="0" fontId="7" fillId="0" borderId="0" xfId="1" applyFont="1" applyFill="1" applyBorder="1"/>
    <xf numFmtId="0" fontId="10" fillId="0" borderId="4" xfId="1" applyFont="1" applyBorder="1" applyAlignment="1">
      <alignment vertical="top" wrapText="1"/>
    </xf>
    <xf numFmtId="0" fontId="10" fillId="4" borderId="0" xfId="1" applyFont="1" applyFill="1"/>
    <xf numFmtId="10" fontId="12" fillId="6" borderId="0" xfId="3" applyNumberFormat="1" applyFont="1" applyFill="1"/>
    <xf numFmtId="0" fontId="12" fillId="6" borderId="0" xfId="1" applyFont="1" applyFill="1"/>
    <xf numFmtId="0" fontId="13" fillId="0" borderId="0" xfId="1" applyFont="1"/>
    <xf numFmtId="1" fontId="12" fillId="6" borderId="0" xfId="1" applyNumberFormat="1" applyFont="1" applyFill="1"/>
    <xf numFmtId="0" fontId="13" fillId="0" borderId="0" xfId="1" applyFont="1" applyAlignment="1">
      <alignment vertical="center"/>
    </xf>
    <xf numFmtId="0" fontId="8" fillId="0" borderId="0" xfId="1" applyFont="1" applyFill="1"/>
    <xf numFmtId="0" fontId="8" fillId="4" borderId="0" xfId="1" applyFont="1" applyFill="1"/>
    <xf numFmtId="0" fontId="14" fillId="0" borderId="0" xfId="2" applyNumberFormat="1" applyFont="1" applyFill="1" applyAlignment="1" applyProtection="1"/>
    <xf numFmtId="10" fontId="9" fillId="0" borderId="0" xfId="1" applyNumberFormat="1" applyFont="1" applyFill="1"/>
    <xf numFmtId="10" fontId="6" fillId="0" borderId="0" xfId="1" applyNumberFormat="1" applyFill="1"/>
    <xf numFmtId="0" fontId="6" fillId="0" borderId="0" xfId="1" applyFill="1" applyAlignment="1">
      <alignment wrapText="1"/>
    </xf>
    <xf numFmtId="0" fontId="9" fillId="0" borderId="0" xfId="1" applyFont="1" applyFill="1" applyAlignment="1">
      <alignment wrapText="1"/>
    </xf>
    <xf numFmtId="0" fontId="11" fillId="0" borderId="0" xfId="1" applyFont="1"/>
    <xf numFmtId="2" fontId="11" fillId="0" borderId="0" xfId="1" applyNumberFormat="1" applyFont="1"/>
    <xf numFmtId="2" fontId="7" fillId="0" borderId="0" xfId="1" applyNumberFormat="1" applyFont="1"/>
    <xf numFmtId="2" fontId="7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67" fontId="7" fillId="0" borderId="0" xfId="1" applyNumberFormat="1" applyFont="1" applyAlignment="1">
      <alignment horizontal="center"/>
    </xf>
    <xf numFmtId="1" fontId="11" fillId="0" borderId="0" xfId="1" applyNumberFormat="1" applyFont="1"/>
    <xf numFmtId="2" fontId="15" fillId="0" borderId="0" xfId="1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5" fillId="0" borderId="0" xfId="1" applyNumberFormat="1" applyFont="1" applyFill="1" applyAlignment="1"/>
    <xf numFmtId="1" fontId="16" fillId="0" borderId="0" xfId="1" applyNumberFormat="1" applyFont="1" applyFill="1" applyAlignment="1"/>
    <xf numFmtId="2" fontId="7" fillId="0" borderId="0" xfId="1" applyNumberFormat="1" applyFont="1" applyFill="1"/>
    <xf numFmtId="1" fontId="8" fillId="0" borderId="0" xfId="1" applyNumberFormat="1" applyFont="1" applyAlignment="1"/>
    <xf numFmtId="2" fontId="8" fillId="0" borderId="0" xfId="1" applyNumberFormat="1" applyFont="1" applyAlignment="1">
      <alignment horizontal="center"/>
    </xf>
    <xf numFmtId="1" fontId="8" fillId="0" borderId="0" xfId="1" applyNumberFormat="1" applyFont="1" applyAlignment="1">
      <alignment horizontal="left" vertical="top"/>
    </xf>
    <xf numFmtId="1" fontId="8" fillId="0" borderId="0" xfId="1" applyNumberFormat="1" applyFont="1" applyFill="1" applyAlignment="1">
      <alignment horizontal="left" vertical="top"/>
    </xf>
    <xf numFmtId="1" fontId="8" fillId="0" borderId="0" xfId="1" applyNumberFormat="1" applyFont="1" applyFill="1"/>
    <xf numFmtId="0" fontId="11" fillId="0" borderId="0" xfId="1" applyFont="1" applyBorder="1"/>
    <xf numFmtId="0" fontId="7" fillId="0" borderId="0" xfId="1" applyFont="1" applyBorder="1"/>
    <xf numFmtId="2" fontId="8" fillId="0" borderId="0" xfId="1" applyNumberFormat="1" applyFont="1" applyFill="1"/>
    <xf numFmtId="2" fontId="8" fillId="0" borderId="0" xfId="1" applyNumberFormat="1" applyFont="1"/>
    <xf numFmtId="2" fontId="6" fillId="0" borderId="0" xfId="1" applyNumberFormat="1" applyFill="1"/>
    <xf numFmtId="2" fontId="6" fillId="0" borderId="0" xfId="1" applyNumberFormat="1"/>
    <xf numFmtId="167" fontId="6" fillId="0" borderId="0" xfId="1" applyNumberFormat="1"/>
    <xf numFmtId="2" fontId="17" fillId="0" borderId="0" xfId="1" applyNumberFormat="1" applyFont="1"/>
    <xf numFmtId="0" fontId="9" fillId="5" borderId="0" xfId="1" applyFont="1" applyFill="1"/>
    <xf numFmtId="2" fontId="9" fillId="5" borderId="0" xfId="1" applyNumberFormat="1" applyFont="1" applyFill="1"/>
    <xf numFmtId="2" fontId="11" fillId="5" borderId="0" xfId="1" applyNumberFormat="1" applyFont="1" applyFill="1"/>
    <xf numFmtId="167" fontId="11" fillId="5" borderId="0" xfId="1" applyNumberFormat="1" applyFont="1" applyFill="1"/>
    <xf numFmtId="1" fontId="1" fillId="5" borderId="0" xfId="1" applyNumberFormat="1" applyFont="1" applyFill="1"/>
    <xf numFmtId="1" fontId="6" fillId="0" borderId="0" xfId="1" applyNumberFormat="1"/>
    <xf numFmtId="2" fontId="6" fillId="5" borderId="0" xfId="1" applyNumberFormat="1" applyFill="1"/>
    <xf numFmtId="167" fontId="6" fillId="5" borderId="0" xfId="1" applyNumberFormat="1" applyFill="1"/>
    <xf numFmtId="1" fontId="6" fillId="5" borderId="0" xfId="1" applyNumberFormat="1" applyFill="1"/>
    <xf numFmtId="2" fontId="5" fillId="5" borderId="0" xfId="1" applyNumberFormat="1" applyFont="1" applyFill="1"/>
    <xf numFmtId="2" fontId="1" fillId="5" borderId="0" xfId="1" applyNumberFormat="1" applyFont="1" applyFill="1"/>
    <xf numFmtId="167" fontId="1" fillId="5" borderId="0" xfId="1" applyNumberFormat="1" applyFont="1" applyFill="1"/>
    <xf numFmtId="167" fontId="11" fillId="0" borderId="0" xfId="1" applyNumberFormat="1" applyFont="1"/>
    <xf numFmtId="1" fontId="5" fillId="5" borderId="0" xfId="1" applyNumberFormat="1" applyFont="1" applyFill="1"/>
    <xf numFmtId="2" fontId="6" fillId="0" borderId="0" xfId="1" applyNumberFormat="1" applyFont="1" applyFill="1"/>
    <xf numFmtId="0" fontId="7" fillId="0" borderId="0" xfId="1" applyFont="1" applyFill="1" applyAlignment="1">
      <alignment wrapText="1"/>
    </xf>
    <xf numFmtId="164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wrapText="1"/>
    </xf>
    <xf numFmtId="0" fontId="6" fillId="0" borderId="0" xfId="1" applyAlignment="1">
      <alignment wrapText="1"/>
    </xf>
    <xf numFmtId="164" fontId="7" fillId="0" borderId="0" xfId="1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 applyProtection="1"/>
    <xf numFmtId="0" fontId="0" fillId="0" borderId="0" xfId="0" applyNumberFormat="1" applyFill="1" applyAlignment="1" applyProtection="1"/>
    <xf numFmtId="0" fontId="9" fillId="0" borderId="0" xfId="1" applyFont="1" applyAlignment="1">
      <alignment horizontal="center"/>
    </xf>
    <xf numFmtId="0" fontId="8" fillId="0" borderId="0" xfId="1" applyFont="1" applyBorder="1" applyAlignment="1">
      <alignment horizontal="left" wrapText="1"/>
    </xf>
    <xf numFmtId="0" fontId="8" fillId="0" borderId="2" xfId="1" applyFont="1" applyBorder="1" applyAlignment="1">
      <alignment horizontal="left" wrapText="1"/>
    </xf>
    <xf numFmtId="10" fontId="7" fillId="0" borderId="0" xfId="1" applyNumberFormat="1" applyFont="1" applyBorder="1" applyAlignment="1">
      <alignment horizontal="center" wrapText="1"/>
    </xf>
    <xf numFmtId="10" fontId="7" fillId="0" borderId="2" xfId="1" applyNumberFormat="1" applyFont="1" applyBorder="1" applyAlignment="1">
      <alignment horizontal="center" wrapText="1"/>
    </xf>
    <xf numFmtId="0" fontId="6" fillId="0" borderId="0" xfId="1" applyFill="1" applyAlignment="1">
      <alignment horizontal="center"/>
    </xf>
    <xf numFmtId="2" fontId="7" fillId="0" borderId="0" xfId="1" applyNumberFormat="1" applyFont="1" applyAlignment="1">
      <alignment horizontal="center" wrapText="1"/>
    </xf>
    <xf numFmtId="1" fontId="7" fillId="0" borderId="0" xfId="1" applyNumberFormat="1" applyFont="1" applyFill="1" applyAlignment="1">
      <alignment horizontal="center" wrapText="1"/>
    </xf>
    <xf numFmtId="2" fontId="7" fillId="0" borderId="0" xfId="1" applyNumberFormat="1" applyFont="1" applyFill="1" applyAlignment="1">
      <alignment horizontal="center" wrapText="1"/>
    </xf>
    <xf numFmtId="0" fontId="7" fillId="0" borderId="0" xfId="1" applyFont="1" applyAlignment="1">
      <alignment horizontal="center" wrapText="1"/>
    </xf>
    <xf numFmtId="10" fontId="7" fillId="0" borderId="0" xfId="1" applyNumberFormat="1" applyFont="1" applyBorder="1"/>
    <xf numFmtId="0" fontId="7" fillId="0" borderId="0" xfId="1" applyFont="1" applyBorder="1" applyAlignment="1">
      <alignment horizontal="center"/>
    </xf>
    <xf numFmtId="0" fontId="6" fillId="0" borderId="0" xfId="1" applyFill="1" applyBorder="1"/>
    <xf numFmtId="0" fontId="11" fillId="0" borderId="0" xfId="1" applyFont="1" applyFill="1" applyBorder="1" applyAlignment="1">
      <alignment wrapText="1"/>
    </xf>
    <xf numFmtId="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wrapText="1"/>
    </xf>
    <xf numFmtId="3" fontId="9" fillId="0" borderId="0" xfId="1" applyNumberFormat="1" applyFont="1" applyFill="1" applyBorder="1"/>
    <xf numFmtId="3" fontId="9" fillId="0" borderId="3" xfId="1" applyNumberFormat="1" applyFont="1" applyFill="1" applyBorder="1"/>
    <xf numFmtId="3" fontId="9" fillId="0" borderId="2" xfId="1" applyNumberFormat="1" applyFont="1" applyFill="1" applyBorder="1" applyAlignment="1">
      <alignment wrapText="1"/>
    </xf>
    <xf numFmtId="3" fontId="9" fillId="0" borderId="1" xfId="1" applyNumberFormat="1" applyFont="1" applyFill="1" applyBorder="1" applyAlignment="1">
      <alignment wrapText="1"/>
    </xf>
    <xf numFmtId="0" fontId="8" fillId="0" borderId="0" xfId="1" applyFont="1" applyFill="1" applyBorder="1" applyAlignment="1">
      <alignment horizontal="left"/>
    </xf>
    <xf numFmtId="10" fontId="7" fillId="0" borderId="0" xfId="1" applyNumberFormat="1" applyFont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1" fontId="7" fillId="0" borderId="2" xfId="1" applyNumberFormat="1" applyFont="1" applyFill="1" applyBorder="1"/>
    <xf numFmtId="0" fontId="7" fillId="0" borderId="2" xfId="1" applyFont="1" applyFill="1" applyBorder="1"/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6411\My%20Documents\SEALS\Version%203%20Final\SEALS_ADMIN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ld_Level"/>
      <sheetName val="EventSub"/>
      <sheetName val="ChildSub"/>
      <sheetName val="Welcome"/>
      <sheetName val="Hidden"/>
      <sheetName val="Event_Level"/>
      <sheetName val="Rankings"/>
      <sheetName val="Report"/>
      <sheetName val="State_Level"/>
      <sheetName val="SEALS_ADMIN_v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sqref="A1:E1"/>
    </sheetView>
  </sheetViews>
  <sheetFormatPr defaultRowHeight="15" x14ac:dyDescent="0.25"/>
  <cols>
    <col min="1" max="1" width="64.7109375" customWidth="1"/>
    <col min="2" max="4" width="24.7109375" customWidth="1"/>
    <col min="5" max="5" width="9.42578125" bestFit="1" customWidth="1"/>
  </cols>
  <sheetData>
    <row r="1" spans="1:5" ht="15.75" x14ac:dyDescent="0.25">
      <c r="A1" s="124" t="s">
        <v>55</v>
      </c>
      <c r="B1" s="125"/>
      <c r="C1" s="125"/>
      <c r="D1" s="125"/>
      <c r="E1" s="125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5" x14ac:dyDescent="0.25">
      <c r="A3" s="2" t="s">
        <v>4</v>
      </c>
      <c r="B3" s="3"/>
      <c r="C3" s="3"/>
      <c r="D3" s="3"/>
    </row>
    <row r="4" spans="1:5" x14ac:dyDescent="0.25">
      <c r="A4" t="s">
        <v>5</v>
      </c>
      <c r="B4" s="3">
        <v>8</v>
      </c>
      <c r="C4" s="12">
        <v>664.96</v>
      </c>
      <c r="D4" s="9">
        <f>B4*C4</f>
        <v>5319.68</v>
      </c>
    </row>
    <row r="5" spans="1:5" x14ac:dyDescent="0.25">
      <c r="A5" t="s">
        <v>6</v>
      </c>
      <c r="B5" s="3">
        <v>0</v>
      </c>
      <c r="C5" s="12">
        <v>664.97</v>
      </c>
      <c r="D5" s="9">
        <f t="shared" ref="D5:D9" si="0">B5*C5</f>
        <v>0</v>
      </c>
    </row>
    <row r="6" spans="1:5" x14ac:dyDescent="0.25">
      <c r="A6" t="s">
        <v>7</v>
      </c>
      <c r="B6" s="3">
        <v>0</v>
      </c>
      <c r="C6" s="12">
        <v>664.98</v>
      </c>
      <c r="D6" s="9">
        <f t="shared" si="0"/>
        <v>0</v>
      </c>
    </row>
    <row r="7" spans="1:5" x14ac:dyDescent="0.25">
      <c r="A7" s="4" t="s">
        <v>8</v>
      </c>
      <c r="B7" s="5"/>
      <c r="C7" s="12">
        <v>664.99</v>
      </c>
      <c r="D7" s="9">
        <f t="shared" si="0"/>
        <v>0</v>
      </c>
    </row>
    <row r="8" spans="1:5" x14ac:dyDescent="0.25">
      <c r="A8" s="2" t="s">
        <v>9</v>
      </c>
      <c r="B8" s="3"/>
      <c r="C8" s="12">
        <v>664.1</v>
      </c>
      <c r="D8" s="9">
        <f t="shared" si="0"/>
        <v>0</v>
      </c>
    </row>
    <row r="9" spans="1:5" x14ac:dyDescent="0.25">
      <c r="A9" t="s">
        <v>10</v>
      </c>
      <c r="B9" s="3">
        <v>180</v>
      </c>
      <c r="C9" s="12">
        <v>664.101</v>
      </c>
      <c r="D9" s="9">
        <f t="shared" si="0"/>
        <v>119538.18</v>
      </c>
    </row>
    <row r="10" spans="1:5" x14ac:dyDescent="0.25">
      <c r="A10" s="2" t="s">
        <v>11</v>
      </c>
      <c r="B10" s="3"/>
      <c r="C10" s="3"/>
      <c r="D10" s="3"/>
    </row>
    <row r="11" spans="1:5" x14ac:dyDescent="0.25">
      <c r="A11" t="s">
        <v>12</v>
      </c>
      <c r="B11" s="3">
        <v>1</v>
      </c>
      <c r="C11" s="12">
        <v>107.18</v>
      </c>
      <c r="D11" s="12">
        <v>107.18</v>
      </c>
    </row>
    <row r="12" spans="1:5" x14ac:dyDescent="0.25">
      <c r="A12" t="s">
        <v>13</v>
      </c>
      <c r="B12" s="3">
        <v>1</v>
      </c>
      <c r="C12" s="12">
        <v>99.86</v>
      </c>
      <c r="D12" s="12">
        <v>99.86</v>
      </c>
    </row>
    <row r="13" spans="1:5" x14ac:dyDescent="0.25">
      <c r="A13" t="s">
        <v>14</v>
      </c>
      <c r="B13" s="3">
        <v>307</v>
      </c>
      <c r="C13" s="12">
        <v>6.73</v>
      </c>
      <c r="D13" s="12">
        <v>2066.11</v>
      </c>
    </row>
    <row r="14" spans="1:5" x14ac:dyDescent="0.25">
      <c r="A14" t="s">
        <v>15</v>
      </c>
      <c r="B14" s="3">
        <v>900</v>
      </c>
      <c r="C14" s="12">
        <v>0.34</v>
      </c>
      <c r="D14" s="12">
        <v>306</v>
      </c>
    </row>
    <row r="15" spans="1:5" x14ac:dyDescent="0.25">
      <c r="A15" t="s">
        <v>16</v>
      </c>
      <c r="B15" s="3">
        <v>14523</v>
      </c>
      <c r="C15" s="12">
        <v>0.06</v>
      </c>
      <c r="D15" s="12">
        <v>871.38</v>
      </c>
    </row>
    <row r="16" spans="1:5" x14ac:dyDescent="0.25">
      <c r="A16" s="4" t="s">
        <v>17</v>
      </c>
      <c r="B16" s="5"/>
      <c r="C16" s="5"/>
      <c r="D16" s="14">
        <f>SUM(D9:D15)</f>
        <v>122988.70999999999</v>
      </c>
    </row>
    <row r="17" spans="1:4" x14ac:dyDescent="0.25">
      <c r="A17" s="2" t="s">
        <v>18</v>
      </c>
      <c r="B17" s="3"/>
      <c r="C17" s="3"/>
      <c r="D17" s="3"/>
    </row>
    <row r="18" spans="1:4" x14ac:dyDescent="0.25">
      <c r="A18" t="s">
        <v>19</v>
      </c>
      <c r="B18" s="3">
        <v>1</v>
      </c>
      <c r="C18" s="12">
        <v>151.37</v>
      </c>
      <c r="D18" s="12">
        <v>151.37</v>
      </c>
    </row>
    <row r="19" spans="1:4" x14ac:dyDescent="0.25">
      <c r="A19" t="s">
        <v>20</v>
      </c>
      <c r="B19" s="3">
        <v>1</v>
      </c>
      <c r="C19" s="12">
        <v>57.75</v>
      </c>
      <c r="D19" s="12">
        <v>57.75</v>
      </c>
    </row>
    <row r="20" spans="1:4" x14ac:dyDescent="0.25">
      <c r="A20" t="s">
        <v>21</v>
      </c>
      <c r="B20" s="3">
        <v>1</v>
      </c>
      <c r="C20" s="12">
        <v>4.78</v>
      </c>
      <c r="D20" s="12">
        <v>4.78</v>
      </c>
    </row>
    <row r="21" spans="1:4" x14ac:dyDescent="0.25">
      <c r="A21" t="s">
        <v>22</v>
      </c>
      <c r="B21" s="3">
        <v>900</v>
      </c>
      <c r="C21" s="12">
        <v>1.54</v>
      </c>
      <c r="D21" s="12">
        <v>472.78</v>
      </c>
    </row>
    <row r="22" spans="1:4" x14ac:dyDescent="0.25">
      <c r="A22" t="s">
        <v>23</v>
      </c>
      <c r="B22" s="3">
        <v>900</v>
      </c>
      <c r="C22" s="12">
        <v>5.0999999999999996</v>
      </c>
      <c r="D22" s="12">
        <v>4590</v>
      </c>
    </row>
    <row r="23" spans="1:4" x14ac:dyDescent="0.25">
      <c r="A23" t="s">
        <v>24</v>
      </c>
      <c r="B23" s="3">
        <v>900</v>
      </c>
      <c r="C23" s="12">
        <v>2.78</v>
      </c>
      <c r="D23" s="12">
        <v>2502</v>
      </c>
    </row>
    <row r="24" spans="1:4" x14ac:dyDescent="0.25">
      <c r="A24" t="s">
        <v>25</v>
      </c>
      <c r="B24" s="3">
        <v>14523</v>
      </c>
      <c r="C24" s="12">
        <v>1.1499999999999999</v>
      </c>
      <c r="D24" s="12">
        <v>16701.45</v>
      </c>
    </row>
    <row r="25" spans="1:4" x14ac:dyDescent="0.25">
      <c r="A25" t="s">
        <v>26</v>
      </c>
      <c r="B25" s="3">
        <v>7858</v>
      </c>
      <c r="C25" s="12">
        <v>0.48</v>
      </c>
      <c r="D25" s="12">
        <v>3771.84</v>
      </c>
    </row>
    <row r="26" spans="1:4" x14ac:dyDescent="0.25">
      <c r="A26" t="s">
        <v>27</v>
      </c>
      <c r="B26" s="3">
        <v>0</v>
      </c>
      <c r="C26" s="12">
        <v>0</v>
      </c>
      <c r="D26" s="12">
        <v>0</v>
      </c>
    </row>
    <row r="27" spans="1:4" x14ac:dyDescent="0.25">
      <c r="A27" t="s">
        <v>28</v>
      </c>
      <c r="B27" s="3">
        <v>35561</v>
      </c>
      <c r="C27" s="12">
        <v>0</v>
      </c>
      <c r="D27" s="12">
        <v>0</v>
      </c>
    </row>
    <row r="28" spans="1:4" x14ac:dyDescent="0.25">
      <c r="A28" s="4" t="s">
        <v>29</v>
      </c>
      <c r="B28" s="5"/>
      <c r="C28" s="5"/>
      <c r="D28" s="14">
        <v>28251.97</v>
      </c>
    </row>
    <row r="29" spans="1:4" x14ac:dyDescent="0.25">
      <c r="A29" s="2" t="s">
        <v>30</v>
      </c>
      <c r="B29" s="6"/>
      <c r="C29" s="3"/>
      <c r="D29" s="3"/>
    </row>
    <row r="30" spans="1:4" x14ac:dyDescent="0.25">
      <c r="A30" t="s">
        <v>31</v>
      </c>
      <c r="B30" s="6"/>
      <c r="C30" s="3"/>
      <c r="D30" s="3"/>
    </row>
    <row r="31" spans="1:4" x14ac:dyDescent="0.25">
      <c r="A31" t="s">
        <v>32</v>
      </c>
      <c r="B31" s="6">
        <v>65</v>
      </c>
      <c r="C31" s="12">
        <v>109.94</v>
      </c>
      <c r="D31" s="12">
        <v>7146.09</v>
      </c>
    </row>
    <row r="32" spans="1:4" x14ac:dyDescent="0.25">
      <c r="A32" t="s">
        <v>33</v>
      </c>
      <c r="B32" s="6">
        <v>722.3</v>
      </c>
      <c r="C32" s="12">
        <v>109.94</v>
      </c>
      <c r="D32" s="12">
        <v>79409.66</v>
      </c>
    </row>
    <row r="33" spans="1:5" x14ac:dyDescent="0.25">
      <c r="A33" t="s">
        <v>34</v>
      </c>
      <c r="B33" s="6"/>
      <c r="C33" s="3"/>
      <c r="D33" s="3"/>
    </row>
    <row r="34" spans="1:5" x14ac:dyDescent="0.25">
      <c r="A34" t="s">
        <v>32</v>
      </c>
      <c r="B34" s="6">
        <v>1052.2</v>
      </c>
      <c r="C34" s="12">
        <v>52.07</v>
      </c>
      <c r="D34" s="12">
        <v>54788.4</v>
      </c>
    </row>
    <row r="35" spans="1:5" x14ac:dyDescent="0.25">
      <c r="A35" t="s">
        <v>33</v>
      </c>
      <c r="B35" s="6">
        <v>4926.3999999999996</v>
      </c>
      <c r="C35" s="12">
        <v>52.07</v>
      </c>
      <c r="D35" s="12">
        <v>256517.83</v>
      </c>
    </row>
    <row r="36" spans="1:5" x14ac:dyDescent="0.25">
      <c r="A36" t="s">
        <v>35</v>
      </c>
      <c r="B36" s="6"/>
      <c r="C36" s="3"/>
      <c r="D36" s="3"/>
    </row>
    <row r="37" spans="1:5" x14ac:dyDescent="0.25">
      <c r="A37" t="s">
        <v>32</v>
      </c>
      <c r="B37" s="6">
        <v>681.2</v>
      </c>
      <c r="C37" s="12">
        <v>25.9</v>
      </c>
      <c r="D37" s="12">
        <v>17643.080000000002</v>
      </c>
    </row>
    <row r="38" spans="1:5" x14ac:dyDescent="0.25">
      <c r="A38" t="s">
        <v>33</v>
      </c>
      <c r="B38" s="6">
        <v>3306.9</v>
      </c>
      <c r="C38" s="12">
        <v>25.9</v>
      </c>
      <c r="D38" s="12">
        <v>85648.71</v>
      </c>
    </row>
    <row r="39" spans="1:5" x14ac:dyDescent="0.25">
      <c r="A39" t="s">
        <v>36</v>
      </c>
      <c r="B39" s="6"/>
      <c r="C39" s="3"/>
      <c r="D39" s="3"/>
    </row>
    <row r="40" spans="1:5" x14ac:dyDescent="0.25">
      <c r="A40" t="s">
        <v>32</v>
      </c>
      <c r="B40" s="6">
        <v>526.29999999999995</v>
      </c>
      <c r="C40" s="12">
        <v>26.05</v>
      </c>
      <c r="D40" s="12">
        <v>13710.13</v>
      </c>
    </row>
    <row r="41" spans="1:5" x14ac:dyDescent="0.25">
      <c r="A41" t="s">
        <v>33</v>
      </c>
      <c r="B41" s="6">
        <v>102.5</v>
      </c>
      <c r="C41" s="12">
        <v>26.05</v>
      </c>
      <c r="D41" s="12">
        <v>2670.2</v>
      </c>
    </row>
    <row r="42" spans="1:5" x14ac:dyDescent="0.25">
      <c r="A42" s="4" t="s">
        <v>37</v>
      </c>
      <c r="B42" s="5"/>
      <c r="C42" s="5"/>
      <c r="D42" s="14">
        <v>517534.1</v>
      </c>
    </row>
    <row r="43" spans="1:5" x14ac:dyDescent="0.25">
      <c r="A43" s="4" t="s">
        <v>38</v>
      </c>
      <c r="B43" s="5">
        <v>78371</v>
      </c>
      <c r="C43" s="14">
        <v>0.54</v>
      </c>
      <c r="D43" s="14">
        <v>42320.55</v>
      </c>
    </row>
    <row r="44" spans="1:5" x14ac:dyDescent="0.25">
      <c r="A44" s="4" t="s">
        <v>39</v>
      </c>
      <c r="B44" s="5"/>
      <c r="C44" s="5"/>
      <c r="D44" s="11">
        <v>4000</v>
      </c>
    </row>
    <row r="45" spans="1:5" x14ac:dyDescent="0.25">
      <c r="A45" s="4" t="s">
        <v>40</v>
      </c>
      <c r="B45" s="5"/>
      <c r="C45" s="5"/>
      <c r="D45" s="10">
        <f>D7+D16+D28+D42+D43+D44</f>
        <v>715095.33000000007</v>
      </c>
      <c r="E45" s="13"/>
    </row>
    <row r="46" spans="1:5" x14ac:dyDescent="0.25">
      <c r="B46" s="3"/>
      <c r="C46" s="3"/>
      <c r="D46" s="3"/>
    </row>
    <row r="47" spans="1:5" x14ac:dyDescent="0.25">
      <c r="A47" t="s">
        <v>41</v>
      </c>
      <c r="B47" s="5"/>
      <c r="C47" s="5"/>
      <c r="D47" s="10">
        <f>D45/D54</f>
        <v>91.002205395775022</v>
      </c>
    </row>
    <row r="48" spans="1:5" x14ac:dyDescent="0.25">
      <c r="A48" t="s">
        <v>42</v>
      </c>
      <c r="B48" s="5"/>
      <c r="C48" s="5"/>
      <c r="D48" s="10">
        <f>D45/D55</f>
        <v>20.108976969151602</v>
      </c>
    </row>
    <row r="49" spans="1:4" x14ac:dyDescent="0.25">
      <c r="A49" t="s">
        <v>54</v>
      </c>
      <c r="B49" s="5"/>
      <c r="C49" s="5"/>
      <c r="D49" s="7">
        <v>1.1399999999999999</v>
      </c>
    </row>
    <row r="50" spans="1:4" x14ac:dyDescent="0.25">
      <c r="A50" t="s">
        <v>43</v>
      </c>
      <c r="B50" s="5"/>
      <c r="C50" s="5"/>
      <c r="D50" s="14">
        <v>53.65</v>
      </c>
    </row>
    <row r="51" spans="1:4" x14ac:dyDescent="0.25">
      <c r="B51" s="8"/>
      <c r="C51" s="8"/>
      <c r="D51" s="8"/>
    </row>
    <row r="52" spans="1:4" x14ac:dyDescent="0.25">
      <c r="A52" s="2" t="s">
        <v>44</v>
      </c>
      <c r="B52" s="8"/>
      <c r="C52" s="8"/>
      <c r="D52" s="8"/>
    </row>
    <row r="53" spans="1:4" x14ac:dyDescent="0.25">
      <c r="A53" t="s">
        <v>45</v>
      </c>
      <c r="B53" s="5"/>
      <c r="C53" s="5"/>
      <c r="D53" s="5">
        <v>14523</v>
      </c>
    </row>
    <row r="54" spans="1:4" x14ac:dyDescent="0.25">
      <c r="A54" t="s">
        <v>46</v>
      </c>
      <c r="B54" s="5"/>
      <c r="C54" s="5"/>
      <c r="D54" s="5">
        <v>7858</v>
      </c>
    </row>
    <row r="55" spans="1:4" x14ac:dyDescent="0.25">
      <c r="A55" t="s">
        <v>47</v>
      </c>
      <c r="B55" s="5"/>
      <c r="C55" s="5"/>
      <c r="D55" s="5">
        <v>35561</v>
      </c>
    </row>
    <row r="56" spans="1:4" x14ac:dyDescent="0.25">
      <c r="A56" t="s">
        <v>48</v>
      </c>
      <c r="B56" s="5"/>
      <c r="C56" s="5"/>
      <c r="D56" s="5">
        <v>14036</v>
      </c>
    </row>
    <row r="57" spans="1:4" x14ac:dyDescent="0.25">
      <c r="A57" t="s">
        <v>49</v>
      </c>
      <c r="B57" s="5"/>
      <c r="C57" s="5"/>
      <c r="D57" s="5">
        <v>36</v>
      </c>
    </row>
    <row r="58" spans="1:4" x14ac:dyDescent="0.25">
      <c r="B58" s="8"/>
      <c r="C58" s="8"/>
      <c r="D58" s="8"/>
    </row>
    <row r="59" spans="1:4" x14ac:dyDescent="0.25">
      <c r="A59" s="2" t="s">
        <v>50</v>
      </c>
      <c r="B59" s="8"/>
      <c r="C59" s="8"/>
      <c r="D59" s="8"/>
    </row>
    <row r="60" spans="1:4" x14ac:dyDescent="0.25">
      <c r="A60" t="s">
        <v>51</v>
      </c>
      <c r="B60" s="5"/>
      <c r="C60" s="5"/>
      <c r="D60" s="5">
        <v>160</v>
      </c>
    </row>
    <row r="61" spans="1:4" x14ac:dyDescent="0.25">
      <c r="A61" t="s">
        <v>52</v>
      </c>
      <c r="B61" s="5"/>
      <c r="C61" s="5"/>
      <c r="D61" s="5">
        <v>239</v>
      </c>
    </row>
    <row r="62" spans="1:4" x14ac:dyDescent="0.25">
      <c r="B62" s="8"/>
      <c r="C62" s="8"/>
      <c r="D62" s="8"/>
    </row>
    <row r="63" spans="1:4" x14ac:dyDescent="0.25">
      <c r="A63" t="s">
        <v>53</v>
      </c>
      <c r="B63" s="8"/>
      <c r="C63" s="8"/>
      <c r="D63" s="8"/>
    </row>
  </sheetData>
  <mergeCells count="1">
    <mergeCell ref="A1:E1"/>
  </mergeCell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130" zoomScaleNormal="130" workbookViewId="0">
      <selection activeCell="A20" sqref="A20"/>
    </sheetView>
  </sheetViews>
  <sheetFormatPr defaultColWidth="8.85546875" defaultRowHeight="14.25" x14ac:dyDescent="0.2"/>
  <cols>
    <col min="1" max="1" width="58.28515625" style="16" customWidth="1"/>
    <col min="2" max="2" width="12.7109375" style="16" customWidth="1"/>
    <col min="3" max="3" width="13.42578125" style="16" customWidth="1"/>
    <col min="4" max="6" width="8.85546875" style="16" bestFit="1" customWidth="1"/>
    <col min="7" max="7" width="8.85546875" style="16"/>
    <col min="8" max="8" width="31.7109375" style="16" customWidth="1"/>
    <col min="9" max="9" width="24" style="17" bestFit="1" customWidth="1"/>
    <col min="10" max="10" width="8.85546875" style="16"/>
    <col min="11" max="16384" width="8.85546875" style="15"/>
  </cols>
  <sheetData>
    <row r="1" spans="1:12" ht="12.6" customHeight="1" x14ac:dyDescent="0.2">
      <c r="A1" s="146" t="s">
        <v>88</v>
      </c>
      <c r="B1" s="147"/>
      <c r="C1" s="97"/>
      <c r="I1" s="16"/>
    </row>
    <row r="2" spans="1:12" s="34" customFormat="1" x14ac:dyDescent="0.2">
      <c r="A2" s="148"/>
      <c r="B2" s="149"/>
      <c r="C2" s="150"/>
      <c r="D2" s="27"/>
      <c r="E2" s="27"/>
      <c r="F2" s="27"/>
      <c r="G2" s="27"/>
      <c r="H2" s="27"/>
      <c r="I2" s="27"/>
      <c r="J2" s="27"/>
    </row>
    <row r="3" spans="1:12" s="34" customFormat="1" x14ac:dyDescent="0.2">
      <c r="A3" s="30" t="s">
        <v>236</v>
      </c>
      <c r="B3" s="57">
        <f>'Import SSP'!E2</f>
        <v>6</v>
      </c>
      <c r="C3" s="27"/>
      <c r="D3" s="27"/>
      <c r="E3" s="27"/>
      <c r="F3" s="27"/>
      <c r="G3" s="27"/>
      <c r="H3" s="27"/>
      <c r="I3" s="27"/>
      <c r="J3" s="27"/>
    </row>
    <row r="4" spans="1:12" s="34" customFormat="1" x14ac:dyDescent="0.2">
      <c r="A4" s="30" t="s">
        <v>87</v>
      </c>
      <c r="B4" s="57">
        <f>'Import SSP'!E3</f>
        <v>2</v>
      </c>
      <c r="C4" s="27"/>
      <c r="D4" s="27"/>
      <c r="E4" s="27"/>
      <c r="F4" s="27"/>
      <c r="G4" s="27"/>
      <c r="H4" s="27"/>
      <c r="I4" s="27"/>
      <c r="J4" s="27"/>
    </row>
    <row r="5" spans="1:12" s="34" customFormat="1" x14ac:dyDescent="0.2">
      <c r="A5" s="58" t="s">
        <v>86</v>
      </c>
      <c r="B5" s="57">
        <f>'Import SSP'!E4</f>
        <v>2</v>
      </c>
      <c r="C5" s="27"/>
      <c r="D5" s="27"/>
      <c r="E5" s="27"/>
      <c r="F5" s="27"/>
      <c r="G5" s="27"/>
      <c r="H5" s="27"/>
      <c r="I5" s="27"/>
      <c r="J5" s="27"/>
    </row>
    <row r="6" spans="1:12" s="34" customFormat="1" x14ac:dyDescent="0.2">
      <c r="A6" s="27"/>
      <c r="B6" s="57"/>
      <c r="C6" s="27"/>
      <c r="D6" s="27"/>
      <c r="E6" s="27"/>
      <c r="F6" s="27"/>
      <c r="G6" s="27"/>
      <c r="H6" s="27"/>
      <c r="I6" s="27"/>
      <c r="J6" s="27"/>
    </row>
    <row r="7" spans="1:12" s="34" customFormat="1" ht="12.6" customHeight="1" x14ac:dyDescent="0.2">
      <c r="A7" s="127" t="s">
        <v>85</v>
      </c>
      <c r="B7" s="27"/>
      <c r="C7" s="129" t="s">
        <v>84</v>
      </c>
      <c r="D7" s="27"/>
      <c r="E7" s="27"/>
      <c r="F7" s="27"/>
      <c r="G7" s="27"/>
      <c r="H7" s="27"/>
      <c r="I7" s="35"/>
      <c r="J7" s="27"/>
      <c r="L7" s="56"/>
    </row>
    <row r="8" spans="1:12" s="34" customFormat="1" ht="19.5" customHeight="1" x14ac:dyDescent="0.2">
      <c r="A8" s="128"/>
      <c r="B8" s="42" t="s">
        <v>187</v>
      </c>
      <c r="C8" s="130"/>
      <c r="D8" s="27"/>
      <c r="E8" s="27"/>
      <c r="F8" s="27"/>
      <c r="G8" s="27"/>
      <c r="H8" s="27"/>
      <c r="I8" s="27"/>
      <c r="J8" s="27"/>
    </row>
    <row r="9" spans="1:12" s="34" customFormat="1" ht="12.6" customHeight="1" x14ac:dyDescent="0.2">
      <c r="A9" s="16" t="s">
        <v>83</v>
      </c>
      <c r="B9" s="26">
        <f>IF('Import SSP'!B4=0,0,'Import SSP'!B3/'Import SSP'!B4*100)</f>
        <v>35.428571428571423</v>
      </c>
      <c r="C9" s="26">
        <f>IF(B17=0,0,'Import SSP'!B4/B17*100)</f>
        <v>99.809885931558938</v>
      </c>
      <c r="D9" s="27"/>
      <c r="E9" s="27"/>
      <c r="F9" s="27"/>
      <c r="G9" s="27"/>
      <c r="H9" s="27"/>
      <c r="I9" s="27"/>
      <c r="J9" s="27"/>
    </row>
    <row r="10" spans="1:12" s="34" customFormat="1" ht="12.6" customHeight="1" x14ac:dyDescent="0.2">
      <c r="A10" s="27" t="s">
        <v>82</v>
      </c>
      <c r="B10" s="26">
        <f>IF('Import SSP'!B11=0,0,'Import SSP'!B10/'Import SSP'!B11*100)</f>
        <v>53.992395437262353</v>
      </c>
      <c r="C10" s="26">
        <f>IF(B17=0,0,'Import SSP'!B7/B17*100)</f>
        <v>99.809885931558938</v>
      </c>
      <c r="D10" s="27"/>
      <c r="E10" s="27"/>
      <c r="F10" s="27"/>
      <c r="G10" s="27"/>
      <c r="H10" s="27"/>
      <c r="I10" s="27"/>
      <c r="J10" s="27"/>
    </row>
    <row r="11" spans="1:12" s="34" customFormat="1" x14ac:dyDescent="0.2">
      <c r="A11" s="16" t="s">
        <v>81</v>
      </c>
      <c r="B11" s="26">
        <f>IF('Import SSP'!B13=0,0,'Import SSP'!B12/'Import SSP'!B13*100)</f>
        <v>25.047619047619047</v>
      </c>
      <c r="C11" s="26">
        <f>IF(B17=0,0,'Import SSP'!B7/B17*100)</f>
        <v>99.809885931558938</v>
      </c>
      <c r="D11" s="27"/>
      <c r="E11" s="27"/>
      <c r="F11" s="27"/>
      <c r="G11" s="27"/>
      <c r="H11" s="27"/>
      <c r="I11" s="27"/>
      <c r="J11" s="27"/>
    </row>
    <row r="12" spans="1:12" s="34" customFormat="1" x14ac:dyDescent="0.2">
      <c r="A12" s="16" t="s">
        <v>80</v>
      </c>
      <c r="B12" s="26">
        <f>IF('Import SSP'!B7=0,0,'Import SSP'!B6/'Import SSP'!B7*100)</f>
        <v>22</v>
      </c>
      <c r="C12" s="26">
        <f>IF(B17=0,0,'Import SSP'!B11/B17*100)</f>
        <v>100</v>
      </c>
      <c r="D12" s="27"/>
      <c r="E12" s="27"/>
      <c r="F12" s="27"/>
      <c r="G12" s="27"/>
      <c r="H12" s="27"/>
      <c r="I12" s="27"/>
      <c r="J12" s="27"/>
    </row>
    <row r="13" spans="1:12" s="34" customFormat="1" x14ac:dyDescent="0.2">
      <c r="A13" s="16" t="s">
        <v>79</v>
      </c>
      <c r="B13" s="26">
        <f>IF('Import SSP'!B7=0,0,'Import SSP'!B5/'Import SSP'!B7*100)</f>
        <v>14.952380952380953</v>
      </c>
      <c r="C13" s="26">
        <f>IF(B18=0,0,'Import SSP'!B7/B17*100)</f>
        <v>99.809885931558938</v>
      </c>
      <c r="D13" s="27"/>
      <c r="E13" s="27"/>
      <c r="F13" s="27"/>
      <c r="G13" s="27"/>
      <c r="H13" s="27"/>
      <c r="I13" s="27"/>
      <c r="J13" s="27"/>
    </row>
    <row r="14" spans="1:12" s="34" customFormat="1" ht="12.6" customHeight="1" x14ac:dyDescent="0.2">
      <c r="A14" s="30" t="s">
        <v>78</v>
      </c>
      <c r="B14" s="55">
        <f>'Attack rate'!G9</f>
        <v>0.15767316608193735</v>
      </c>
      <c r="C14" s="54">
        <f>'Attack rate'!C9</f>
        <v>784</v>
      </c>
      <c r="D14" s="47"/>
      <c r="E14" s="47"/>
      <c r="F14" s="47"/>
      <c r="G14" s="47"/>
      <c r="H14" s="53"/>
      <c r="I14" s="52"/>
      <c r="J14" s="51"/>
      <c r="K14" s="15"/>
    </row>
    <row r="15" spans="1:12" s="34" customFormat="1" ht="12.6" customHeight="1" x14ac:dyDescent="0.2">
      <c r="A15" s="30"/>
      <c r="B15" s="54"/>
      <c r="C15" s="54"/>
      <c r="D15" s="47"/>
      <c r="E15" s="47"/>
      <c r="F15" s="47"/>
      <c r="G15" s="47"/>
      <c r="H15" s="53"/>
      <c r="I15" s="52"/>
      <c r="J15" s="51"/>
      <c r="K15" s="15"/>
    </row>
    <row r="16" spans="1:12" ht="15" x14ac:dyDescent="0.25">
      <c r="A16" s="43" t="s">
        <v>77</v>
      </c>
      <c r="B16" s="50"/>
      <c r="C16" s="50"/>
      <c r="D16" s="50"/>
      <c r="E16" s="50"/>
      <c r="F16" s="50"/>
      <c r="G16" s="50"/>
      <c r="H16" s="42"/>
      <c r="I16" s="41"/>
      <c r="J16" s="50"/>
    </row>
    <row r="17" spans="1:9" x14ac:dyDescent="0.2">
      <c r="A17" s="16" t="s">
        <v>76</v>
      </c>
      <c r="B17" s="49">
        <f>'Import SSP'!B2</f>
        <v>1052</v>
      </c>
      <c r="C17" s="48"/>
      <c r="D17" s="47"/>
      <c r="I17" s="16"/>
    </row>
    <row r="18" spans="1:9" x14ac:dyDescent="0.2">
      <c r="A18" s="16" t="s">
        <v>75</v>
      </c>
      <c r="B18" s="44">
        <f>'Import SSP'!B28</f>
        <v>740</v>
      </c>
      <c r="C18" s="37"/>
      <c r="D18" s="36"/>
      <c r="I18" s="16"/>
    </row>
    <row r="19" spans="1:9" ht="15" x14ac:dyDescent="0.25">
      <c r="A19" s="18" t="s">
        <v>74</v>
      </c>
      <c r="B19" s="44"/>
      <c r="C19" s="37"/>
      <c r="D19" s="36"/>
      <c r="I19" s="16"/>
    </row>
    <row r="20" spans="1:9" x14ac:dyDescent="0.2">
      <c r="A20" s="45">
        <v>5</v>
      </c>
      <c r="B20" s="44">
        <f>'Import SSP'!B37</f>
        <v>0</v>
      </c>
      <c r="C20" s="37"/>
      <c r="D20" s="36"/>
      <c r="I20" s="16"/>
    </row>
    <row r="21" spans="1:9" x14ac:dyDescent="0.2">
      <c r="A21" s="45">
        <v>6</v>
      </c>
      <c r="B21" s="44">
        <f>'Import SSP'!B38</f>
        <v>3</v>
      </c>
      <c r="C21" s="37"/>
      <c r="D21" s="36"/>
      <c r="I21" s="16"/>
    </row>
    <row r="22" spans="1:9" x14ac:dyDescent="0.2">
      <c r="A22" s="45">
        <v>7</v>
      </c>
      <c r="B22" s="44">
        <f>'Import SSP'!B39</f>
        <v>298</v>
      </c>
      <c r="C22" s="37"/>
      <c r="D22" s="36"/>
      <c r="I22" s="16"/>
    </row>
    <row r="23" spans="1:9" x14ac:dyDescent="0.2">
      <c r="A23" s="45">
        <v>8</v>
      </c>
      <c r="B23" s="44">
        <f>'Import SSP'!B40</f>
        <v>198</v>
      </c>
      <c r="C23" s="37"/>
      <c r="D23" s="36"/>
      <c r="I23" s="16"/>
    </row>
    <row r="24" spans="1:9" x14ac:dyDescent="0.2">
      <c r="A24" s="45">
        <v>9</v>
      </c>
      <c r="B24" s="44">
        <f>'Import SSP'!B41</f>
        <v>50</v>
      </c>
      <c r="C24" s="37"/>
      <c r="D24" s="36"/>
      <c r="I24" s="16"/>
    </row>
    <row r="25" spans="1:9" x14ac:dyDescent="0.2">
      <c r="A25" s="45">
        <v>10</v>
      </c>
      <c r="B25" s="44">
        <f>'Import SSP'!B42</f>
        <v>116</v>
      </c>
      <c r="C25" s="37"/>
      <c r="D25" s="36"/>
      <c r="I25" s="16"/>
    </row>
    <row r="26" spans="1:9" x14ac:dyDescent="0.2">
      <c r="A26" s="45">
        <v>11</v>
      </c>
      <c r="B26" s="44">
        <f>'Import SSP'!B43</f>
        <v>62</v>
      </c>
      <c r="C26" s="37"/>
      <c r="D26" s="36"/>
      <c r="I26" s="16"/>
    </row>
    <row r="27" spans="1:9" x14ac:dyDescent="0.2">
      <c r="A27" s="45">
        <v>12</v>
      </c>
      <c r="B27" s="44">
        <f>'Import SSP'!B44</f>
        <v>11</v>
      </c>
      <c r="C27" s="37"/>
      <c r="D27" s="36"/>
      <c r="I27" s="16"/>
    </row>
    <row r="28" spans="1:9" x14ac:dyDescent="0.2">
      <c r="A28" s="45">
        <v>13</v>
      </c>
      <c r="B28" s="44">
        <f>'Import SSP'!B45</f>
        <v>2</v>
      </c>
      <c r="C28" s="37"/>
      <c r="D28" s="36"/>
      <c r="I28" s="16"/>
    </row>
    <row r="29" spans="1:9" x14ac:dyDescent="0.2">
      <c r="A29" s="45">
        <v>14</v>
      </c>
      <c r="B29" s="44">
        <f>'Import SSP'!B46</f>
        <v>0</v>
      </c>
      <c r="C29" s="37"/>
      <c r="D29" s="36"/>
      <c r="I29" s="16"/>
    </row>
    <row r="30" spans="1:9" x14ac:dyDescent="0.2">
      <c r="A30" s="45">
        <v>15</v>
      </c>
      <c r="B30" s="44">
        <f>'Import SSP'!B47</f>
        <v>0</v>
      </c>
      <c r="C30" s="37"/>
      <c r="D30" s="36"/>
      <c r="I30" s="16"/>
    </row>
    <row r="31" spans="1:9" x14ac:dyDescent="0.2">
      <c r="A31" s="45">
        <v>16</v>
      </c>
      <c r="B31" s="44">
        <f>'Import SSP'!B48</f>
        <v>0</v>
      </c>
      <c r="C31" s="37"/>
      <c r="D31" s="36"/>
      <c r="I31" s="16"/>
    </row>
    <row r="32" spans="1:9" x14ac:dyDescent="0.2">
      <c r="A32" s="45">
        <v>17</v>
      </c>
      <c r="B32" s="44">
        <f>'Import SSP'!B49</f>
        <v>0</v>
      </c>
      <c r="C32" s="37"/>
      <c r="D32" s="36"/>
      <c r="I32" s="16"/>
    </row>
    <row r="33" spans="1:10" x14ac:dyDescent="0.2">
      <c r="A33" s="45">
        <v>18</v>
      </c>
      <c r="B33" s="44">
        <f>'Import SSP'!B50</f>
        <v>0</v>
      </c>
      <c r="C33" s="37"/>
      <c r="D33" s="36"/>
      <c r="I33" s="16"/>
    </row>
    <row r="34" spans="1:10" x14ac:dyDescent="0.2">
      <c r="A34" s="45" t="s">
        <v>65</v>
      </c>
      <c r="B34" s="44">
        <f>'Import SSP'!B51</f>
        <v>0</v>
      </c>
      <c r="C34" s="37"/>
      <c r="D34" s="36"/>
      <c r="I34" s="16"/>
    </row>
    <row r="35" spans="1:10" ht="15" x14ac:dyDescent="0.25">
      <c r="A35" s="46" t="s">
        <v>73</v>
      </c>
      <c r="B35" s="44"/>
      <c r="C35" s="37"/>
      <c r="D35" s="36"/>
      <c r="I35" s="16"/>
    </row>
    <row r="36" spans="1:10" x14ac:dyDescent="0.2">
      <c r="A36" s="45" t="s">
        <v>72</v>
      </c>
      <c r="B36" s="44">
        <f>'Import SSP'!B52</f>
        <v>1</v>
      </c>
      <c r="C36" s="37"/>
      <c r="D36" s="36"/>
      <c r="I36" s="16"/>
    </row>
    <row r="37" spans="1:10" x14ac:dyDescent="0.2">
      <c r="A37" s="45" t="s">
        <v>71</v>
      </c>
      <c r="B37" s="44">
        <f>'Import SSP'!B53</f>
        <v>509</v>
      </c>
      <c r="C37" s="37"/>
      <c r="D37" s="36"/>
      <c r="I37" s="16"/>
    </row>
    <row r="38" spans="1:10" x14ac:dyDescent="0.2">
      <c r="A38" s="45" t="s">
        <v>70</v>
      </c>
      <c r="B38" s="44">
        <f>'Import SSP'!B54</f>
        <v>29</v>
      </c>
      <c r="C38" s="37"/>
      <c r="D38" s="36"/>
      <c r="I38" s="16"/>
    </row>
    <row r="39" spans="1:10" x14ac:dyDescent="0.2">
      <c r="A39" s="45" t="s">
        <v>69</v>
      </c>
      <c r="B39" s="44">
        <f>'Import SSP'!B55</f>
        <v>24</v>
      </c>
      <c r="C39" s="37"/>
      <c r="D39" s="36"/>
      <c r="I39" s="16"/>
    </row>
    <row r="40" spans="1:10" x14ac:dyDescent="0.2">
      <c r="A40" s="45" t="s">
        <v>68</v>
      </c>
      <c r="B40" s="44">
        <f>'Import SSP'!B56</f>
        <v>176</v>
      </c>
      <c r="C40" s="37"/>
      <c r="D40" s="36"/>
      <c r="I40" s="16"/>
    </row>
    <row r="41" spans="1:10" x14ac:dyDescent="0.2">
      <c r="A41" s="45" t="s">
        <v>67</v>
      </c>
      <c r="B41" s="44">
        <f>'Import SSP'!B57</f>
        <v>0</v>
      </c>
      <c r="C41" s="37"/>
      <c r="D41" s="36"/>
      <c r="I41" s="16"/>
    </row>
    <row r="42" spans="1:10" x14ac:dyDescent="0.2">
      <c r="A42" s="45" t="s">
        <v>66</v>
      </c>
      <c r="B42" s="44">
        <f>'Import SSP'!B58</f>
        <v>0</v>
      </c>
      <c r="C42" s="37"/>
      <c r="D42" s="36"/>
      <c r="I42" s="16"/>
    </row>
    <row r="43" spans="1:10" x14ac:dyDescent="0.2">
      <c r="A43" s="45" t="s">
        <v>65</v>
      </c>
      <c r="B43" s="44">
        <f>'Import SSP'!B59</f>
        <v>1</v>
      </c>
      <c r="C43" s="37"/>
      <c r="D43" s="36"/>
      <c r="I43" s="16"/>
    </row>
    <row r="44" spans="1:10" ht="12.6" customHeight="1" x14ac:dyDescent="0.2">
      <c r="A44" s="16" t="s">
        <v>64</v>
      </c>
      <c r="B44" s="44">
        <f>'Import SSP'!B30</f>
        <v>2332</v>
      </c>
      <c r="C44" s="44">
        <f>'Import SSP'!B31</f>
        <v>179</v>
      </c>
      <c r="D44" s="44">
        <f>'Import SSP'!B32</f>
        <v>50</v>
      </c>
      <c r="I44" s="16"/>
    </row>
    <row r="45" spans="1:10" x14ac:dyDescent="0.2">
      <c r="A45" s="16" t="s">
        <v>63</v>
      </c>
      <c r="B45" s="44">
        <f>('Import SSP'!B6+'Import SSP'!B5)</f>
        <v>388</v>
      </c>
      <c r="C45" s="37"/>
      <c r="D45" s="36"/>
      <c r="I45" s="16"/>
    </row>
    <row r="46" spans="1:10" s="34" customFormat="1" x14ac:dyDescent="0.2">
      <c r="A46" s="16"/>
      <c r="B46" s="16"/>
      <c r="C46" s="16"/>
      <c r="D46" s="16"/>
      <c r="E46" s="16"/>
      <c r="F46" s="16"/>
      <c r="G46" s="26"/>
      <c r="H46" s="35"/>
      <c r="I46" s="27"/>
      <c r="J46" s="27"/>
    </row>
    <row r="47" spans="1:10" ht="15" x14ac:dyDescent="0.25">
      <c r="A47" s="43" t="s">
        <v>62</v>
      </c>
      <c r="B47" s="42"/>
      <c r="C47" s="41"/>
      <c r="D47" s="40"/>
      <c r="I47" s="16"/>
    </row>
    <row r="48" spans="1:10" x14ac:dyDescent="0.2">
      <c r="A48" s="27" t="s">
        <v>61</v>
      </c>
      <c r="B48" s="39">
        <f>IF('Import SSP'!B34=0,0,'Import SSP'!B33/'Import SSP'!B34)</f>
        <v>0.87288597926895795</v>
      </c>
      <c r="C48" s="38">
        <v>333</v>
      </c>
      <c r="I48" s="16"/>
    </row>
    <row r="49" spans="1:11" s="34" customFormat="1" x14ac:dyDescent="0.2">
      <c r="A49" s="16" t="s">
        <v>60</v>
      </c>
      <c r="B49" s="29">
        <f>IF(B17=0,0,'Import SSP'!B29/B17*100)</f>
        <v>82.889733840304174</v>
      </c>
      <c r="C49" s="37"/>
      <c r="D49" s="36"/>
      <c r="E49" s="16"/>
      <c r="F49" s="16"/>
      <c r="G49" s="16"/>
      <c r="H49" s="26"/>
      <c r="I49" s="35"/>
      <c r="J49" s="27"/>
    </row>
    <row r="50" spans="1:11" s="34" customFormat="1" x14ac:dyDescent="0.2">
      <c r="A50" s="16" t="s">
        <v>59</v>
      </c>
      <c r="B50" s="29">
        <f>'Import SSP'!_GoBack/'Import SSP'!B36</f>
        <v>0.52600000000000002</v>
      </c>
      <c r="C50" s="37"/>
      <c r="D50" s="36"/>
      <c r="E50" s="16"/>
      <c r="F50" s="16"/>
      <c r="G50" s="16"/>
      <c r="H50" s="26"/>
      <c r="I50" s="35"/>
      <c r="J50" s="27"/>
    </row>
    <row r="51" spans="1:11" x14ac:dyDescent="0.2">
      <c r="A51" s="33" t="s">
        <v>58</v>
      </c>
      <c r="B51" s="29">
        <f>IF(B17=0,0,B18/B17*100)</f>
        <v>70.342205323193923</v>
      </c>
      <c r="C51" s="28"/>
      <c r="D51" s="27"/>
      <c r="E51" s="137"/>
      <c r="F51" s="137"/>
      <c r="G51" s="137"/>
      <c r="H51" s="137"/>
    </row>
    <row r="52" spans="1:11" x14ac:dyDescent="0.2">
      <c r="A52" s="30" t="s">
        <v>57</v>
      </c>
      <c r="B52" s="32">
        <f>'Averted cavities'!B4</f>
        <v>1225.9880921496367</v>
      </c>
      <c r="C52" s="31">
        <f>'Averted cavities'!C4</f>
        <v>1120.5627355646195</v>
      </c>
      <c r="E52" s="97"/>
      <c r="F52" s="97"/>
      <c r="G52" s="97"/>
      <c r="H52" s="97"/>
      <c r="I52" s="16"/>
    </row>
    <row r="53" spans="1:11" s="122" customFormat="1" ht="28.5" x14ac:dyDescent="0.2">
      <c r="A53" s="119" t="s">
        <v>56</v>
      </c>
      <c r="B53" s="123">
        <f>'Import SSP'!B60*'Annual Performance Measures'!B52</f>
        <v>79689.225989726387</v>
      </c>
      <c r="C53" s="120">
        <f>'Import SSP'!B60*'Annual Performance Measures'!C52</f>
        <v>72836.577811700263</v>
      </c>
      <c r="D53" s="121"/>
      <c r="E53" s="51"/>
      <c r="F53" s="51"/>
      <c r="G53" s="51"/>
      <c r="H53" s="51"/>
      <c r="I53" s="121"/>
      <c r="J53" s="121"/>
    </row>
    <row r="54" spans="1:11" x14ac:dyDescent="0.2">
      <c r="A54" s="29"/>
      <c r="B54" s="28"/>
      <c r="C54" s="64"/>
      <c r="D54" s="25"/>
      <c r="E54" s="25"/>
      <c r="F54" s="25"/>
      <c r="G54" s="25"/>
      <c r="H54" s="136"/>
      <c r="I54" s="16"/>
    </row>
    <row r="55" spans="1:11" x14ac:dyDescent="0.2">
      <c r="A55" s="24"/>
      <c r="B55" s="24"/>
      <c r="H55" s="17"/>
      <c r="I55" s="16"/>
    </row>
    <row r="56" spans="1:11" s="23" customFormat="1" ht="15" x14ac:dyDescent="0.25">
      <c r="A56" s="18"/>
      <c r="B56" s="18"/>
      <c r="C56" s="18"/>
      <c r="D56" s="18"/>
      <c r="E56" s="18"/>
      <c r="F56" s="16"/>
      <c r="G56" s="16"/>
      <c r="H56" s="18"/>
      <c r="I56" s="126"/>
      <c r="J56" s="126"/>
      <c r="K56" s="126"/>
    </row>
    <row r="57" spans="1:11" x14ac:dyDescent="0.2">
      <c r="J57" s="21"/>
    </row>
    <row r="58" spans="1:11" x14ac:dyDescent="0.2">
      <c r="B58" s="22"/>
      <c r="F58" s="20"/>
      <c r="J58" s="21"/>
    </row>
    <row r="59" spans="1:11" x14ac:dyDescent="0.2">
      <c r="F59" s="20"/>
    </row>
    <row r="60" spans="1:11" x14ac:dyDescent="0.2">
      <c r="F60" s="19"/>
    </row>
    <row r="62" spans="1:11" ht="15" x14ac:dyDescent="0.25">
      <c r="A62" s="18"/>
      <c r="B62" s="18"/>
    </row>
  </sheetData>
  <mergeCells count="5">
    <mergeCell ref="I56:K56"/>
    <mergeCell ref="A1:A2"/>
    <mergeCell ref="A7:A8"/>
    <mergeCell ref="E51:H51"/>
    <mergeCell ref="C7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E5" sqref="E5"/>
    </sheetView>
  </sheetViews>
  <sheetFormatPr defaultColWidth="8.85546875" defaultRowHeight="14.25" x14ac:dyDescent="0.2"/>
  <cols>
    <col min="1" max="1" width="23.28515625" style="16" customWidth="1"/>
    <col min="2" max="2" width="9.140625" style="60" customWidth="1"/>
    <col min="3" max="3" width="64.42578125" style="16" customWidth="1"/>
    <col min="4" max="4" width="24.140625" style="16" customWidth="1"/>
    <col min="5" max="5" width="8.85546875" style="59"/>
    <col min="6" max="6" width="57.140625" style="16" customWidth="1"/>
    <col min="7" max="7" width="8.85546875" style="16"/>
    <col min="8" max="9" width="8.85546875" style="15"/>
    <col min="10" max="10" width="9.140625" style="15" customWidth="1"/>
    <col min="11" max="11" width="9.140625" style="15" bestFit="1" customWidth="1"/>
    <col min="12" max="16384" width="8.85546875" style="15"/>
  </cols>
  <sheetData>
    <row r="1" spans="1:12" ht="15" x14ac:dyDescent="0.25">
      <c r="A1" s="18" t="s">
        <v>189</v>
      </c>
      <c r="B1" s="74" t="s">
        <v>187</v>
      </c>
      <c r="C1" s="18" t="s">
        <v>186</v>
      </c>
      <c r="D1" s="18" t="s">
        <v>188</v>
      </c>
      <c r="E1" s="73" t="s">
        <v>187</v>
      </c>
      <c r="F1" s="18" t="s">
        <v>186</v>
      </c>
      <c r="G1" s="72"/>
      <c r="H1" s="34"/>
      <c r="I1" s="34"/>
      <c r="J1" s="34"/>
      <c r="K1" s="68"/>
    </row>
    <row r="2" spans="1:12" ht="15.75" x14ac:dyDescent="0.2">
      <c r="A2" s="16" t="s">
        <v>45</v>
      </c>
      <c r="B2" s="66">
        <v>1052</v>
      </c>
      <c r="C2" s="16" t="s">
        <v>185</v>
      </c>
      <c r="D2" s="27" t="s">
        <v>184</v>
      </c>
      <c r="E2" s="62">
        <v>6</v>
      </c>
      <c r="F2" s="27" t="s">
        <v>183</v>
      </c>
      <c r="H2" s="56"/>
      <c r="I2" s="56"/>
      <c r="J2" s="56"/>
      <c r="K2" s="68"/>
      <c r="L2" s="71"/>
    </row>
    <row r="3" spans="1:12" x14ac:dyDescent="0.2">
      <c r="A3" s="16" t="s">
        <v>182</v>
      </c>
      <c r="B3" s="63">
        <v>372</v>
      </c>
      <c r="C3" s="16" t="s">
        <v>181</v>
      </c>
      <c r="D3" s="27" t="s">
        <v>180</v>
      </c>
      <c r="E3" s="62">
        <v>2</v>
      </c>
      <c r="F3" s="27" t="s">
        <v>179</v>
      </c>
      <c r="H3" s="56"/>
      <c r="I3" s="56"/>
      <c r="J3" s="56"/>
      <c r="K3" s="68"/>
    </row>
    <row r="4" spans="1:12" ht="12.75" customHeight="1" x14ac:dyDescent="0.25">
      <c r="A4" s="16" t="s">
        <v>178</v>
      </c>
      <c r="B4" s="63">
        <v>1050</v>
      </c>
      <c r="C4" s="16" t="s">
        <v>177</v>
      </c>
      <c r="D4" s="27" t="s">
        <v>176</v>
      </c>
      <c r="E4" s="62">
        <v>2</v>
      </c>
      <c r="F4" s="27" t="s">
        <v>175</v>
      </c>
      <c r="H4" s="56"/>
      <c r="I4" s="56"/>
      <c r="J4" s="56"/>
      <c r="K4" s="70"/>
      <c r="L4" s="69"/>
    </row>
    <row r="5" spans="1:12" x14ac:dyDescent="0.2">
      <c r="A5" s="16" t="s">
        <v>174</v>
      </c>
      <c r="B5" s="63">
        <v>157</v>
      </c>
      <c r="C5" s="16" t="s">
        <v>173</v>
      </c>
      <c r="D5" s="27"/>
      <c r="H5" s="56"/>
      <c r="I5" s="56"/>
      <c r="J5" s="56"/>
      <c r="K5" s="68"/>
    </row>
    <row r="6" spans="1:12" ht="15" thickBot="1" x14ac:dyDescent="0.25">
      <c r="A6" s="16" t="s">
        <v>172</v>
      </c>
      <c r="B6" s="63">
        <v>231</v>
      </c>
      <c r="C6" s="16" t="s">
        <v>171</v>
      </c>
      <c r="D6" s="27"/>
      <c r="G6" s="27"/>
      <c r="H6" s="56"/>
      <c r="I6" s="56"/>
      <c r="J6" s="56"/>
      <c r="K6" s="68"/>
    </row>
    <row r="7" spans="1:12" x14ac:dyDescent="0.2">
      <c r="A7" s="16" t="s">
        <v>170</v>
      </c>
      <c r="B7" s="65">
        <v>1050</v>
      </c>
      <c r="C7" s="16" t="s">
        <v>169</v>
      </c>
      <c r="D7" s="27"/>
      <c r="G7" s="27"/>
      <c r="H7" s="56"/>
      <c r="I7" s="56"/>
      <c r="J7" s="56"/>
      <c r="K7" s="68"/>
    </row>
    <row r="8" spans="1:12" x14ac:dyDescent="0.2">
      <c r="A8" s="64" t="s">
        <v>168</v>
      </c>
      <c r="B8" s="62"/>
      <c r="C8" s="16" t="s">
        <v>167</v>
      </c>
      <c r="D8" s="27"/>
      <c r="G8" s="27"/>
      <c r="H8" s="56"/>
      <c r="I8" s="56"/>
      <c r="J8" s="56"/>
      <c r="K8" s="68"/>
    </row>
    <row r="9" spans="1:12" x14ac:dyDescent="0.2">
      <c r="A9" s="64" t="s">
        <v>166</v>
      </c>
      <c r="B9" s="62"/>
      <c r="C9" s="16" t="s">
        <v>165</v>
      </c>
      <c r="D9" s="27"/>
      <c r="F9" s="27"/>
      <c r="G9" s="27"/>
      <c r="H9" s="56"/>
      <c r="I9" s="56"/>
      <c r="J9" s="56"/>
      <c r="K9" s="68"/>
    </row>
    <row r="10" spans="1:12" x14ac:dyDescent="0.2">
      <c r="A10" s="16" t="s">
        <v>164</v>
      </c>
      <c r="B10" s="63">
        <v>568</v>
      </c>
      <c r="C10" s="16" t="s">
        <v>163</v>
      </c>
      <c r="G10" s="27"/>
      <c r="H10" s="56"/>
      <c r="I10" s="56"/>
      <c r="J10" s="56"/>
      <c r="K10" s="68"/>
    </row>
    <row r="11" spans="1:12" x14ac:dyDescent="0.2">
      <c r="A11" s="16" t="s">
        <v>162</v>
      </c>
      <c r="B11" s="62">
        <v>1052</v>
      </c>
      <c r="C11" s="16" t="s">
        <v>161</v>
      </c>
      <c r="G11" s="27"/>
      <c r="H11" s="56"/>
      <c r="I11" s="56"/>
      <c r="J11" s="56"/>
      <c r="K11" s="68"/>
    </row>
    <row r="12" spans="1:12" x14ac:dyDescent="0.2">
      <c r="A12" s="16" t="s">
        <v>160</v>
      </c>
      <c r="B12" s="63">
        <v>263</v>
      </c>
      <c r="C12" s="16" t="s">
        <v>159</v>
      </c>
      <c r="G12" s="27"/>
      <c r="H12" s="56"/>
      <c r="I12" s="56"/>
      <c r="J12" s="56"/>
      <c r="K12" s="67"/>
    </row>
    <row r="13" spans="1:12" x14ac:dyDescent="0.2">
      <c r="A13" s="16" t="s">
        <v>158</v>
      </c>
      <c r="B13" s="63">
        <v>1050</v>
      </c>
      <c r="C13" s="16" t="s">
        <v>157</v>
      </c>
    </row>
    <row r="14" spans="1:12" x14ac:dyDescent="0.2">
      <c r="A14" s="16" t="s">
        <v>156</v>
      </c>
      <c r="B14" s="63">
        <v>324</v>
      </c>
      <c r="C14" s="16" t="s">
        <v>155</v>
      </c>
    </row>
    <row r="15" spans="1:12" x14ac:dyDescent="0.2">
      <c r="A15" s="16" t="s">
        <v>154</v>
      </c>
      <c r="B15" s="63">
        <v>226</v>
      </c>
      <c r="C15" s="16" t="s">
        <v>153</v>
      </c>
    </row>
    <row r="16" spans="1:12" x14ac:dyDescent="0.2">
      <c r="A16" s="16" t="s">
        <v>152</v>
      </c>
      <c r="B16" s="63">
        <v>54</v>
      </c>
      <c r="C16" s="16" t="s">
        <v>151</v>
      </c>
    </row>
    <row r="17" spans="1:3" x14ac:dyDescent="0.2">
      <c r="A17" s="16" t="s">
        <v>150</v>
      </c>
      <c r="B17" s="63">
        <v>105</v>
      </c>
      <c r="C17" s="16" t="s">
        <v>149</v>
      </c>
    </row>
    <row r="18" spans="1:3" x14ac:dyDescent="0.2">
      <c r="A18" s="16" t="s">
        <v>148</v>
      </c>
      <c r="B18" s="63">
        <v>61</v>
      </c>
      <c r="C18" s="16" t="s">
        <v>147</v>
      </c>
    </row>
    <row r="19" spans="1:3" ht="15" thickBot="1" x14ac:dyDescent="0.25">
      <c r="A19" s="16" t="s">
        <v>146</v>
      </c>
      <c r="B19" s="63">
        <v>13</v>
      </c>
      <c r="C19" s="16" t="s">
        <v>145</v>
      </c>
    </row>
    <row r="20" spans="1:3" x14ac:dyDescent="0.2">
      <c r="A20" s="16" t="s">
        <v>144</v>
      </c>
      <c r="B20" s="65">
        <v>1</v>
      </c>
      <c r="C20" s="16" t="s">
        <v>143</v>
      </c>
    </row>
    <row r="21" spans="1:3" x14ac:dyDescent="0.2">
      <c r="A21" s="16" t="s">
        <v>142</v>
      </c>
      <c r="B21" s="63">
        <v>261</v>
      </c>
      <c r="C21" s="16" t="s">
        <v>141</v>
      </c>
    </row>
    <row r="22" spans="1:3" x14ac:dyDescent="0.2">
      <c r="A22" s="16" t="s">
        <v>140</v>
      </c>
      <c r="B22" s="63">
        <v>225</v>
      </c>
      <c r="C22" s="16" t="s">
        <v>139</v>
      </c>
    </row>
    <row r="23" spans="1:3" x14ac:dyDescent="0.2">
      <c r="A23" s="16" t="s">
        <v>138</v>
      </c>
      <c r="B23" s="63">
        <v>73</v>
      </c>
      <c r="C23" s="16" t="s">
        <v>137</v>
      </c>
    </row>
    <row r="24" spans="1:3" x14ac:dyDescent="0.2">
      <c r="A24" s="16" t="s">
        <v>136</v>
      </c>
      <c r="B24" s="63">
        <v>176</v>
      </c>
      <c r="C24" s="16" t="s">
        <v>135</v>
      </c>
    </row>
    <row r="25" spans="1:3" x14ac:dyDescent="0.2">
      <c r="A25" s="16" t="s">
        <v>134</v>
      </c>
      <c r="B25" s="63">
        <v>107</v>
      </c>
      <c r="C25" s="16" t="s">
        <v>133</v>
      </c>
    </row>
    <row r="26" spans="1:3" x14ac:dyDescent="0.2">
      <c r="A26" s="16" t="s">
        <v>132</v>
      </c>
      <c r="B26" s="63">
        <v>24</v>
      </c>
      <c r="C26" s="16" t="s">
        <v>131</v>
      </c>
    </row>
    <row r="27" spans="1:3" ht="15" thickBot="1" x14ac:dyDescent="0.25">
      <c r="A27" s="16" t="s">
        <v>130</v>
      </c>
      <c r="B27" s="66">
        <v>0</v>
      </c>
      <c r="C27" s="16" t="s">
        <v>129</v>
      </c>
    </row>
    <row r="28" spans="1:3" ht="15" thickBot="1" x14ac:dyDescent="0.25">
      <c r="A28" s="16" t="s">
        <v>128</v>
      </c>
      <c r="B28" s="65">
        <v>740</v>
      </c>
      <c r="C28" s="16" t="s">
        <v>46</v>
      </c>
    </row>
    <row r="29" spans="1:3" x14ac:dyDescent="0.2">
      <c r="A29" s="16" t="s">
        <v>127</v>
      </c>
      <c r="B29" s="65">
        <v>872</v>
      </c>
      <c r="C29" s="16" t="s">
        <v>126</v>
      </c>
    </row>
    <row r="30" spans="1:3" x14ac:dyDescent="0.2">
      <c r="A30" s="16" t="s">
        <v>125</v>
      </c>
      <c r="B30" s="63">
        <v>2332</v>
      </c>
      <c r="C30" s="16" t="s">
        <v>124</v>
      </c>
    </row>
    <row r="31" spans="1:3" x14ac:dyDescent="0.2">
      <c r="A31" s="16" t="s">
        <v>123</v>
      </c>
      <c r="B31" s="63">
        <v>179</v>
      </c>
      <c r="C31" s="16" t="s">
        <v>122</v>
      </c>
    </row>
    <row r="32" spans="1:3" x14ac:dyDescent="0.2">
      <c r="A32" s="16" t="s">
        <v>121</v>
      </c>
      <c r="B32" s="63">
        <v>50</v>
      </c>
      <c r="C32" s="16" t="s">
        <v>120</v>
      </c>
    </row>
    <row r="33" spans="1:3" ht="15" thickBot="1" x14ac:dyDescent="0.25">
      <c r="A33" s="16" t="s">
        <v>119</v>
      </c>
      <c r="B33" s="63">
        <v>1600</v>
      </c>
      <c r="C33" s="16" t="s">
        <v>118</v>
      </c>
    </row>
    <row r="34" spans="1:3" x14ac:dyDescent="0.2">
      <c r="A34" s="16" t="s">
        <v>117</v>
      </c>
      <c r="B34" s="65">
        <v>1833</v>
      </c>
      <c r="C34" s="16" t="s">
        <v>116</v>
      </c>
    </row>
    <row r="35" spans="1:3" x14ac:dyDescent="0.2">
      <c r="A35" s="16" t="s">
        <v>115</v>
      </c>
      <c r="B35" s="63">
        <v>533</v>
      </c>
      <c r="C35" s="16" t="s">
        <v>114</v>
      </c>
    </row>
    <row r="36" spans="1:3" x14ac:dyDescent="0.2">
      <c r="A36" s="64" t="s">
        <v>113</v>
      </c>
      <c r="B36" s="63">
        <v>2000</v>
      </c>
    </row>
    <row r="37" spans="1:3" x14ac:dyDescent="0.2">
      <c r="A37" s="16" t="s">
        <v>112</v>
      </c>
      <c r="B37" s="62">
        <v>0</v>
      </c>
    </row>
    <row r="38" spans="1:3" x14ac:dyDescent="0.2">
      <c r="A38" s="16" t="s">
        <v>111</v>
      </c>
      <c r="B38" s="59">
        <v>3</v>
      </c>
    </row>
    <row r="39" spans="1:3" x14ac:dyDescent="0.2">
      <c r="A39" s="16" t="s">
        <v>110</v>
      </c>
      <c r="B39" s="59">
        <v>298</v>
      </c>
    </row>
    <row r="40" spans="1:3" x14ac:dyDescent="0.2">
      <c r="A40" s="16" t="s">
        <v>109</v>
      </c>
      <c r="B40" s="59">
        <v>198</v>
      </c>
    </row>
    <row r="41" spans="1:3" x14ac:dyDescent="0.2">
      <c r="A41" s="16" t="s">
        <v>108</v>
      </c>
      <c r="B41" s="59">
        <v>50</v>
      </c>
    </row>
    <row r="42" spans="1:3" x14ac:dyDescent="0.2">
      <c r="A42" s="16" t="s">
        <v>107</v>
      </c>
      <c r="B42" s="59">
        <v>116</v>
      </c>
    </row>
    <row r="43" spans="1:3" x14ac:dyDescent="0.2">
      <c r="A43" s="16" t="s">
        <v>106</v>
      </c>
      <c r="B43" s="59">
        <v>62</v>
      </c>
    </row>
    <row r="44" spans="1:3" x14ac:dyDescent="0.2">
      <c r="A44" s="16" t="s">
        <v>105</v>
      </c>
      <c r="B44" s="59">
        <v>11</v>
      </c>
    </row>
    <row r="45" spans="1:3" x14ac:dyDescent="0.2">
      <c r="A45" s="16" t="s">
        <v>104</v>
      </c>
      <c r="B45" s="59">
        <v>2</v>
      </c>
    </row>
    <row r="46" spans="1:3" x14ac:dyDescent="0.2">
      <c r="A46" s="16" t="s">
        <v>103</v>
      </c>
      <c r="B46" s="62">
        <v>0</v>
      </c>
    </row>
    <row r="47" spans="1:3" x14ac:dyDescent="0.2">
      <c r="A47" s="16" t="s">
        <v>102</v>
      </c>
      <c r="B47" s="62">
        <v>0</v>
      </c>
    </row>
    <row r="48" spans="1:3" x14ac:dyDescent="0.2">
      <c r="A48" s="16" t="s">
        <v>101</v>
      </c>
      <c r="B48" s="62">
        <v>0</v>
      </c>
    </row>
    <row r="49" spans="1:2" x14ac:dyDescent="0.2">
      <c r="A49" s="16" t="s">
        <v>100</v>
      </c>
      <c r="B49" s="62">
        <v>0</v>
      </c>
    </row>
    <row r="50" spans="1:2" x14ac:dyDescent="0.2">
      <c r="A50" s="16" t="s">
        <v>99</v>
      </c>
      <c r="B50" s="62">
        <v>0</v>
      </c>
    </row>
    <row r="51" spans="1:2" x14ac:dyDescent="0.2">
      <c r="A51" s="16" t="s">
        <v>98</v>
      </c>
      <c r="B51" s="62">
        <v>0</v>
      </c>
    </row>
    <row r="52" spans="1:2" x14ac:dyDescent="0.2">
      <c r="A52" s="16" t="s">
        <v>97</v>
      </c>
      <c r="B52" s="59">
        <v>1</v>
      </c>
    </row>
    <row r="53" spans="1:2" x14ac:dyDescent="0.2">
      <c r="A53" s="16" t="s">
        <v>96</v>
      </c>
      <c r="B53" s="59">
        <v>509</v>
      </c>
    </row>
    <row r="54" spans="1:2" x14ac:dyDescent="0.2">
      <c r="A54" s="16" t="s">
        <v>95</v>
      </c>
      <c r="B54" s="59">
        <v>29</v>
      </c>
    </row>
    <row r="55" spans="1:2" x14ac:dyDescent="0.2">
      <c r="A55" s="16" t="s">
        <v>94</v>
      </c>
      <c r="B55" s="59">
        <v>24</v>
      </c>
    </row>
    <row r="56" spans="1:2" x14ac:dyDescent="0.2">
      <c r="A56" s="16" t="s">
        <v>93</v>
      </c>
      <c r="B56" s="59">
        <v>176</v>
      </c>
    </row>
    <row r="57" spans="1:2" x14ac:dyDescent="0.2">
      <c r="A57" s="16" t="s">
        <v>92</v>
      </c>
      <c r="B57" s="59">
        <v>0</v>
      </c>
    </row>
    <row r="58" spans="1:2" x14ac:dyDescent="0.2">
      <c r="A58" s="16" t="s">
        <v>91</v>
      </c>
      <c r="B58" s="62">
        <v>0</v>
      </c>
    </row>
    <row r="59" spans="1:2" x14ac:dyDescent="0.2">
      <c r="A59" s="16" t="s">
        <v>90</v>
      </c>
      <c r="B59" s="62">
        <v>1</v>
      </c>
    </row>
    <row r="60" spans="1:2" x14ac:dyDescent="0.2">
      <c r="A60" s="16" t="s">
        <v>89</v>
      </c>
      <c r="B60" s="61">
        <v>65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6" sqref="H6"/>
    </sheetView>
  </sheetViews>
  <sheetFormatPr defaultColWidth="8.85546875" defaultRowHeight="12.75" x14ac:dyDescent="0.2"/>
  <cols>
    <col min="1" max="1" width="11.5703125" style="15" customWidth="1"/>
    <col min="2" max="2" width="8.85546875" style="15"/>
    <col min="3" max="3" width="13.5703125" style="15" customWidth="1"/>
    <col min="4" max="4" width="14.7109375" style="15" customWidth="1"/>
    <col min="5" max="5" width="12" style="15" customWidth="1"/>
    <col min="6" max="6" width="14.42578125" style="15" customWidth="1"/>
    <col min="7" max="7" width="13.140625" style="15" customWidth="1"/>
    <col min="8" max="16384" width="8.85546875" style="15"/>
  </cols>
  <sheetData>
    <row r="1" spans="1:7" ht="66.75" customHeight="1" x14ac:dyDescent="0.2">
      <c r="A1" s="77" t="s">
        <v>198</v>
      </c>
      <c r="B1" s="77" t="s">
        <v>197</v>
      </c>
      <c r="C1" s="77" t="s">
        <v>196</v>
      </c>
      <c r="D1" s="77" t="s">
        <v>195</v>
      </c>
      <c r="E1" s="77" t="s">
        <v>194</v>
      </c>
      <c r="F1" s="78" t="s">
        <v>193</v>
      </c>
      <c r="G1" s="77" t="s">
        <v>192</v>
      </c>
    </row>
    <row r="2" spans="1:7" x14ac:dyDescent="0.2">
      <c r="A2" s="34">
        <v>7</v>
      </c>
      <c r="B2" s="34">
        <f t="shared" ref="B2:B8" si="0">A2-6</f>
        <v>1</v>
      </c>
      <c r="C2" s="34">
        <f>IF('Import SSP'!B14=99,0,'Import SSP'!B14)</f>
        <v>324</v>
      </c>
      <c r="D2" s="34">
        <f>IF('Import SSP'!B21=99,0,'Import SSP'!B21)</f>
        <v>261</v>
      </c>
      <c r="E2" s="76">
        <f t="shared" ref="E2:E8" si="1">IF(C2=0,0,D2/(C2*4))</f>
        <v>0.2013888888888889</v>
      </c>
      <c r="F2" s="75">
        <f t="shared" ref="F2:F8" si="2">1-(1-E2)^(1/B2)</f>
        <v>0.20138888888888884</v>
      </c>
      <c r="G2" s="76">
        <f>IF(C2=99,0,(C2/$C$9)*F2)</f>
        <v>8.3227040816326509E-2</v>
      </c>
    </row>
    <row r="3" spans="1:7" x14ac:dyDescent="0.2">
      <c r="A3" s="34">
        <v>8</v>
      </c>
      <c r="B3" s="34">
        <f t="shared" si="0"/>
        <v>2</v>
      </c>
      <c r="C3" s="34">
        <f>IF('Import SSP'!B15=99,0,'Import SSP'!B15)</f>
        <v>226</v>
      </c>
      <c r="D3" s="34">
        <f>IF('Import SSP'!B22=99,0,'Import SSP'!B22)</f>
        <v>225</v>
      </c>
      <c r="E3" s="76">
        <f t="shared" si="1"/>
        <v>0.24889380530973451</v>
      </c>
      <c r="F3" s="75">
        <f t="shared" si="2"/>
        <v>0.13333616973461648</v>
      </c>
      <c r="G3" s="76">
        <f t="shared" ref="G3:G8" si="3">(C3/$C$9)*F3</f>
        <v>3.8436191785744041E-2</v>
      </c>
    </row>
    <row r="4" spans="1:7" x14ac:dyDescent="0.2">
      <c r="A4" s="34">
        <v>9</v>
      </c>
      <c r="B4" s="34">
        <f t="shared" si="0"/>
        <v>3</v>
      </c>
      <c r="C4" s="34">
        <f>IF('Import SSP'!B16=99,0,'Import SSP'!B16)</f>
        <v>54</v>
      </c>
      <c r="D4" s="34">
        <f>IF('Import SSP'!B23=99,0,'Import SSP'!B23)</f>
        <v>73</v>
      </c>
      <c r="E4" s="76">
        <f t="shared" si="1"/>
        <v>0.33796296296296297</v>
      </c>
      <c r="F4" s="75">
        <f t="shared" si="2"/>
        <v>0.12844641137400281</v>
      </c>
      <c r="G4" s="76">
        <f t="shared" si="3"/>
        <v>8.8470742528012139E-3</v>
      </c>
    </row>
    <row r="5" spans="1:7" x14ac:dyDescent="0.2">
      <c r="A5" s="34">
        <v>10</v>
      </c>
      <c r="B5" s="34">
        <f t="shared" si="0"/>
        <v>4</v>
      </c>
      <c r="C5" s="34">
        <f>IF('Import SSP'!B17=99,0,'Import SSP'!B17)</f>
        <v>105</v>
      </c>
      <c r="D5" s="34">
        <f>IF('Import SSP'!B24=99,0,'Import SSP'!B24)</f>
        <v>176</v>
      </c>
      <c r="E5" s="76">
        <f t="shared" si="1"/>
        <v>0.41904761904761906</v>
      </c>
      <c r="F5" s="75">
        <f t="shared" si="2"/>
        <v>0.12695800625264531</v>
      </c>
      <c r="G5" s="76">
        <f t="shared" si="3"/>
        <v>1.7003304408836423E-2</v>
      </c>
    </row>
    <row r="6" spans="1:7" x14ac:dyDescent="0.2">
      <c r="A6" s="34">
        <v>11</v>
      </c>
      <c r="B6" s="34">
        <f t="shared" si="0"/>
        <v>5</v>
      </c>
      <c r="C6" s="34">
        <f>IF('Import SSP'!B18=99,0,'Import SSP'!B18)</f>
        <v>61</v>
      </c>
      <c r="D6" s="34">
        <f>IF('Import SSP'!B25=99,0,'Import SSP'!B25)</f>
        <v>107</v>
      </c>
      <c r="E6" s="76">
        <f t="shared" si="1"/>
        <v>0.43852459016393441</v>
      </c>
      <c r="F6" s="75">
        <f t="shared" si="2"/>
        <v>0.1090237077526699</v>
      </c>
      <c r="G6" s="76">
        <f t="shared" si="3"/>
        <v>8.4827119552460008E-3</v>
      </c>
    </row>
    <row r="7" spans="1:7" x14ac:dyDescent="0.2">
      <c r="A7" s="34">
        <v>12</v>
      </c>
      <c r="B7" s="34">
        <f t="shared" si="0"/>
        <v>6</v>
      </c>
      <c r="C7" s="34">
        <f>IF('Import SSP'!B19=99,0,'Import SSP'!B19)</f>
        <v>13</v>
      </c>
      <c r="D7" s="34">
        <f>IF('Import SSP'!B26=99,0,'Import SSP'!B26)</f>
        <v>24</v>
      </c>
      <c r="E7" s="76">
        <f t="shared" si="1"/>
        <v>0.46153846153846156</v>
      </c>
      <c r="F7" s="75">
        <f t="shared" si="2"/>
        <v>9.8029262643655524E-2</v>
      </c>
      <c r="G7" s="76">
        <f t="shared" si="3"/>
        <v>1.6254852224075534E-3</v>
      </c>
    </row>
    <row r="8" spans="1:7" x14ac:dyDescent="0.2">
      <c r="A8" s="34">
        <v>13</v>
      </c>
      <c r="B8" s="34">
        <f t="shared" si="0"/>
        <v>7</v>
      </c>
      <c r="C8" s="34">
        <f>IF('Import SSP'!B20=99,0,'Import SSP'!B20)</f>
        <v>1</v>
      </c>
      <c r="D8" s="34">
        <f>IF('Import SSP'!B20=99,0,'Import SSP'!B20)</f>
        <v>1</v>
      </c>
      <c r="E8" s="76">
        <f t="shared" si="1"/>
        <v>0.25</v>
      </c>
      <c r="F8" s="75">
        <f t="shared" si="2"/>
        <v>4.0264390211297352E-2</v>
      </c>
      <c r="G8" s="76">
        <f t="shared" si="3"/>
        <v>5.1357640575634376E-5</v>
      </c>
    </row>
    <row r="9" spans="1:7" x14ac:dyDescent="0.2">
      <c r="A9" s="34"/>
      <c r="B9" s="34"/>
      <c r="C9" s="34">
        <f>SUM(C2:C8)</f>
        <v>784</v>
      </c>
      <c r="D9" s="34"/>
      <c r="E9" s="131" t="s">
        <v>191</v>
      </c>
      <c r="F9" s="131"/>
      <c r="G9" s="75">
        <f>SUM(G2:G8)</f>
        <v>0.15767316608193735</v>
      </c>
    </row>
    <row r="10" spans="1:7" x14ac:dyDescent="0.2">
      <c r="A10" s="15" t="s">
        <v>190</v>
      </c>
    </row>
  </sheetData>
  <mergeCells count="1"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2" workbookViewId="0">
      <selection activeCell="B2" sqref="B2:D5"/>
    </sheetView>
  </sheetViews>
  <sheetFormatPr defaultColWidth="8.85546875" defaultRowHeight="12.75" x14ac:dyDescent="0.2"/>
  <cols>
    <col min="1" max="1" width="13.5703125" style="79" bestFit="1" customWidth="1"/>
    <col min="2" max="2" width="14.85546875" style="79" bestFit="1" customWidth="1"/>
    <col min="3" max="3" width="10.7109375" style="80" bestFit="1" customWidth="1"/>
    <col min="4" max="4" width="10.7109375" style="79" customWidth="1"/>
    <col min="5" max="9" width="8.85546875" style="79"/>
    <col min="10" max="10" width="26.28515625" style="79" customWidth="1"/>
    <col min="11" max="15" width="8.85546875" style="79"/>
    <col min="16" max="16384" width="8.85546875" style="15"/>
  </cols>
  <sheetData>
    <row r="1" spans="1:15" x14ac:dyDescent="0.2">
      <c r="A1" s="79" t="s">
        <v>229</v>
      </c>
      <c r="B1" s="80" t="s">
        <v>201</v>
      </c>
      <c r="C1" s="79" t="s">
        <v>200</v>
      </c>
      <c r="I1" s="96"/>
      <c r="J1" s="96"/>
      <c r="K1" s="96"/>
      <c r="L1" s="96"/>
      <c r="M1" s="96"/>
      <c r="O1" s="15"/>
    </row>
    <row r="2" spans="1:15" x14ac:dyDescent="0.2">
      <c r="A2" s="79" t="s">
        <v>228</v>
      </c>
      <c r="B2" s="142">
        <f>$B$59</f>
        <v>1138.5918880497622</v>
      </c>
      <c r="C2" s="142">
        <f>$C$59</f>
        <v>1040.681919289802</v>
      </c>
      <c r="D2" s="56"/>
      <c r="I2" s="96"/>
      <c r="J2" s="96"/>
      <c r="K2" s="96"/>
      <c r="L2" s="96"/>
      <c r="M2" s="96"/>
      <c r="O2" s="15"/>
    </row>
    <row r="3" spans="1:15" x14ac:dyDescent="0.2">
      <c r="A3" s="79" t="s">
        <v>213</v>
      </c>
      <c r="B3" s="143">
        <f>($B$2/$B$17)*$B$18</f>
        <v>87.396204099874552</v>
      </c>
      <c r="C3" s="143">
        <f>($C$2/$B$17)*$B$18</f>
        <v>79.880816274817562</v>
      </c>
      <c r="D3" s="56"/>
      <c r="I3" s="96"/>
      <c r="J3" s="96"/>
      <c r="K3" s="96"/>
      <c r="L3" s="96"/>
      <c r="M3" s="96"/>
      <c r="O3" s="15"/>
    </row>
    <row r="4" spans="1:15" x14ac:dyDescent="0.2">
      <c r="A4" s="79" t="s">
        <v>227</v>
      </c>
      <c r="B4" s="144">
        <f>SUM(B2:B3)</f>
        <v>1225.9880921496367</v>
      </c>
      <c r="C4" s="145">
        <f>SUM(C2:C3)</f>
        <v>1120.5627355646195</v>
      </c>
      <c r="D4" s="56"/>
      <c r="I4" s="96"/>
      <c r="J4" s="96"/>
      <c r="K4" s="96"/>
      <c r="L4" s="96"/>
      <c r="M4" s="96"/>
      <c r="O4" s="15"/>
    </row>
    <row r="5" spans="1:15" x14ac:dyDescent="0.2">
      <c r="B5" s="56"/>
      <c r="C5" s="141"/>
      <c r="D5" s="141"/>
      <c r="J5" s="96"/>
      <c r="K5" s="96"/>
      <c r="L5" s="96"/>
      <c r="M5" s="96"/>
      <c r="N5" s="96"/>
    </row>
    <row r="6" spans="1:15" x14ac:dyDescent="0.2">
      <c r="A6" s="79" t="s">
        <v>226</v>
      </c>
      <c r="J6" s="96"/>
      <c r="K6" s="96"/>
      <c r="L6" s="96"/>
      <c r="M6" s="96"/>
      <c r="N6" s="96"/>
    </row>
    <row r="7" spans="1:15" ht="15" x14ac:dyDescent="0.25">
      <c r="A7" s="20" t="s">
        <v>225</v>
      </c>
      <c r="B7" s="99">
        <f>'Attack rate'!G9</f>
        <v>0.15767316608193735</v>
      </c>
      <c r="C7" s="132" t="s">
        <v>224</v>
      </c>
      <c r="D7" s="81"/>
      <c r="E7" s="81"/>
      <c r="F7" s="81"/>
      <c r="G7" s="20"/>
      <c r="H7" s="16"/>
      <c r="I7" s="16"/>
      <c r="J7" s="138"/>
      <c r="K7" s="138"/>
      <c r="L7" s="138"/>
      <c r="M7" s="96"/>
      <c r="N7" s="96"/>
    </row>
    <row r="8" spans="1:15" ht="15" x14ac:dyDescent="0.25">
      <c r="A8" s="20" t="s">
        <v>223</v>
      </c>
      <c r="B8" s="81">
        <f>'Annual Performance Measures'!B48</f>
        <v>0.87288597926895795</v>
      </c>
      <c r="C8" s="132"/>
      <c r="D8" s="98"/>
      <c r="E8" s="81"/>
      <c r="F8" s="81"/>
      <c r="G8" s="20"/>
      <c r="H8" s="16"/>
      <c r="I8" s="16"/>
      <c r="J8" s="139"/>
      <c r="K8" s="140"/>
      <c r="L8" s="140"/>
      <c r="M8" s="96"/>
      <c r="N8" s="96"/>
    </row>
    <row r="9" spans="1:15" ht="14.25" x14ac:dyDescent="0.2">
      <c r="A9" s="20" t="s">
        <v>222</v>
      </c>
      <c r="B9" s="81">
        <f>'Retention Rate'!D28</f>
        <v>0.79252521900101081</v>
      </c>
      <c r="C9" s="81">
        <f t="shared" ref="C9:C16" si="0">B9/B8</f>
        <v>0.90793670401803306</v>
      </c>
      <c r="D9" s="20"/>
      <c r="E9" s="81"/>
      <c r="F9" s="81"/>
      <c r="G9" s="20"/>
      <c r="H9" s="16"/>
      <c r="I9" s="16"/>
      <c r="J9" s="139"/>
      <c r="K9" s="140"/>
      <c r="L9" s="140"/>
      <c r="M9" s="96"/>
      <c r="N9" s="96"/>
    </row>
    <row r="10" spans="1:15" ht="14.25" x14ac:dyDescent="0.2">
      <c r="A10" s="20" t="s">
        <v>221</v>
      </c>
      <c r="B10" s="81">
        <f>'Retention Rate'!D40</f>
        <v>0.72897661938368807</v>
      </c>
      <c r="C10" s="81">
        <f t="shared" si="0"/>
        <v>0.91981504424877902</v>
      </c>
      <c r="D10" s="20"/>
      <c r="E10" s="81"/>
      <c r="F10" s="81"/>
      <c r="G10" s="20"/>
      <c r="H10" s="16"/>
      <c r="I10" s="16"/>
      <c r="J10" s="139"/>
      <c r="K10" s="141"/>
      <c r="L10" s="141"/>
      <c r="M10" s="96"/>
      <c r="N10" s="96"/>
    </row>
    <row r="11" spans="1:15" ht="14.25" x14ac:dyDescent="0.2">
      <c r="A11" s="20" t="s">
        <v>220</v>
      </c>
      <c r="B11" s="81">
        <f>'Retention Rate'!D52</f>
        <v>0.67810515378250946</v>
      </c>
      <c r="C11" s="81">
        <f t="shared" si="0"/>
        <v>0.93021523016171936</v>
      </c>
      <c r="D11" s="20"/>
      <c r="E11" s="81"/>
      <c r="F11" s="81"/>
      <c r="G11" s="20"/>
      <c r="H11" s="16"/>
      <c r="I11" s="16"/>
      <c r="J11" s="97"/>
      <c r="K11" s="96"/>
      <c r="L11" s="96"/>
      <c r="M11" s="96"/>
      <c r="N11" s="96"/>
    </row>
    <row r="12" spans="1:15" ht="14.25" x14ac:dyDescent="0.2">
      <c r="A12" s="20" t="s">
        <v>219</v>
      </c>
      <c r="B12" s="81">
        <f>'Retention Rate'!D64</f>
        <v>0.63694930410299111</v>
      </c>
      <c r="C12" s="81">
        <f t="shared" si="0"/>
        <v>0.9393075698511526</v>
      </c>
      <c r="D12" s="20"/>
      <c r="E12" s="81"/>
      <c r="F12" s="81"/>
      <c r="G12" s="20"/>
      <c r="H12" s="16"/>
      <c r="I12" s="16"/>
      <c r="J12" s="97"/>
      <c r="K12" s="96"/>
      <c r="L12" s="96"/>
      <c r="M12" s="96"/>
      <c r="N12" s="96"/>
    </row>
    <row r="13" spans="1:15" ht="14.25" x14ac:dyDescent="0.2">
      <c r="A13" s="20" t="s">
        <v>218</v>
      </c>
      <c r="B13" s="81">
        <f>'Retention Rate'!D76</f>
        <v>0.60334783227425726</v>
      </c>
      <c r="C13" s="81">
        <f t="shared" si="0"/>
        <v>0.9472462382605874</v>
      </c>
      <c r="D13" s="20"/>
      <c r="E13" s="81"/>
      <c r="F13" s="81"/>
      <c r="G13" s="20"/>
      <c r="H13" s="16"/>
      <c r="I13" s="16"/>
      <c r="J13" s="97"/>
      <c r="K13" s="96"/>
      <c r="L13" s="96"/>
      <c r="M13" s="96"/>
      <c r="N13" s="96"/>
    </row>
    <row r="14" spans="1:15" ht="14.25" x14ac:dyDescent="0.2">
      <c r="A14" s="20" t="s">
        <v>217</v>
      </c>
      <c r="B14" s="81">
        <f>'Retention Rate'!D88</f>
        <v>0.5756963163663873</v>
      </c>
      <c r="C14" s="81">
        <f t="shared" si="0"/>
        <v>0.95416985952590494</v>
      </c>
      <c r="D14" s="20"/>
      <c r="E14" s="81"/>
      <c r="F14" s="81"/>
      <c r="G14" s="20"/>
      <c r="H14" s="16"/>
      <c r="I14" s="16"/>
      <c r="J14" s="16"/>
    </row>
    <row r="15" spans="1:15" ht="14.25" x14ac:dyDescent="0.2">
      <c r="A15" s="20" t="s">
        <v>216</v>
      </c>
      <c r="B15" s="81">
        <f>'Retention Rate'!D100</f>
        <v>0.55278496948000733</v>
      </c>
      <c r="C15" s="81">
        <f t="shared" si="0"/>
        <v>0.96020237365597694</v>
      </c>
      <c r="D15" s="20"/>
      <c r="E15" s="81"/>
      <c r="F15" s="81"/>
      <c r="G15" s="20"/>
      <c r="H15" s="16"/>
      <c r="I15" s="16"/>
      <c r="J15" s="16"/>
    </row>
    <row r="16" spans="1:15" ht="14.25" x14ac:dyDescent="0.2">
      <c r="A16" s="20" t="s">
        <v>215</v>
      </c>
      <c r="B16" s="81">
        <f>'Retention Rate'!D112</f>
        <v>0.53368849864589707</v>
      </c>
      <c r="C16" s="81">
        <f t="shared" si="0"/>
        <v>0.96545407004811679</v>
      </c>
      <c r="D16" s="20"/>
      <c r="E16" s="81"/>
      <c r="F16" s="81"/>
      <c r="G16" s="20"/>
      <c r="H16" s="16"/>
      <c r="I16" s="16"/>
      <c r="J16" s="16"/>
    </row>
    <row r="17" spans="1:10" ht="15" x14ac:dyDescent="0.25">
      <c r="A17" s="57" t="s">
        <v>214</v>
      </c>
      <c r="B17" s="95">
        <f>'Import SSP'!B30</f>
        <v>2332</v>
      </c>
      <c r="C17" s="90"/>
      <c r="D17" s="57"/>
      <c r="E17" s="90"/>
      <c r="F17" s="90"/>
      <c r="G17" s="20"/>
      <c r="H17" s="16"/>
      <c r="I17" s="16"/>
      <c r="J17" s="16"/>
    </row>
    <row r="18" spans="1:10" ht="15" x14ac:dyDescent="0.25">
      <c r="A18" s="57" t="s">
        <v>213</v>
      </c>
      <c r="B18" s="95">
        <f>'Import SSP'!B31</f>
        <v>179</v>
      </c>
      <c r="C18" s="90"/>
      <c r="D18" s="57"/>
      <c r="E18" s="90"/>
      <c r="F18" s="90"/>
      <c r="G18" s="20"/>
      <c r="H18" s="16"/>
      <c r="I18" s="16"/>
      <c r="J18" s="16"/>
    </row>
    <row r="19" spans="1:10" ht="15" x14ac:dyDescent="0.25">
      <c r="A19" s="57"/>
      <c r="B19" s="95"/>
      <c r="C19" s="90"/>
      <c r="D19" s="57"/>
      <c r="E19" s="90"/>
      <c r="F19" s="90"/>
      <c r="G19" s="20"/>
      <c r="H19" s="16"/>
      <c r="I19" s="16"/>
      <c r="J19" s="16"/>
    </row>
    <row r="20" spans="1:10" ht="15" x14ac:dyDescent="0.2">
      <c r="A20" s="94" t="s">
        <v>212</v>
      </c>
      <c r="B20" s="90"/>
      <c r="C20" s="90"/>
      <c r="D20" s="57"/>
      <c r="E20" s="90"/>
      <c r="F20" s="90"/>
      <c r="G20" s="20"/>
      <c r="H20" s="16"/>
      <c r="I20" s="16"/>
      <c r="J20" s="16"/>
    </row>
    <row r="21" spans="1:10" ht="14.25" x14ac:dyDescent="0.2">
      <c r="A21" s="133" t="s">
        <v>208</v>
      </c>
      <c r="B21" s="134" t="s">
        <v>211</v>
      </c>
      <c r="C21" s="134" t="s">
        <v>210</v>
      </c>
      <c r="D21" s="133" t="s">
        <v>204</v>
      </c>
      <c r="E21" s="90"/>
      <c r="F21" s="90"/>
      <c r="G21" s="20"/>
      <c r="H21" s="16"/>
      <c r="I21" s="16"/>
      <c r="J21" s="16"/>
    </row>
    <row r="22" spans="1:10" ht="14.25" x14ac:dyDescent="0.2">
      <c r="A22" s="133"/>
      <c r="B22" s="134"/>
      <c r="C22" s="134"/>
      <c r="D22" s="133"/>
      <c r="E22" s="32"/>
      <c r="F22" s="32"/>
      <c r="G22" s="20"/>
      <c r="H22" s="16"/>
      <c r="I22" s="16"/>
      <c r="J22" s="16"/>
    </row>
    <row r="23" spans="1:10" ht="14.25" x14ac:dyDescent="0.2">
      <c r="A23" s="38">
        <v>0</v>
      </c>
      <c r="B23" s="38">
        <f>B17</f>
        <v>2332</v>
      </c>
      <c r="C23" s="38">
        <v>0</v>
      </c>
      <c r="D23" s="38">
        <v>0</v>
      </c>
      <c r="E23" s="32"/>
      <c r="F23" s="32"/>
      <c r="G23" s="20"/>
      <c r="H23" s="16"/>
      <c r="I23" s="16"/>
      <c r="J23" s="16"/>
    </row>
    <row r="24" spans="1:10" ht="14.25" x14ac:dyDescent="0.2">
      <c r="A24" s="38">
        <v>1</v>
      </c>
      <c r="B24" s="38">
        <f t="shared" ref="B24:B32" si="1">(1-$B$7)*B23</f>
        <v>1964.306176696922</v>
      </c>
      <c r="C24" s="38">
        <f t="shared" ref="C24:C32" si="2">$B$7*B23+C23</f>
        <v>367.69382330307792</v>
      </c>
      <c r="D24" s="38">
        <f t="shared" ref="D24:D32" si="3">$B$7*B23</f>
        <v>367.69382330307792</v>
      </c>
      <c r="E24" s="32"/>
      <c r="F24" s="32"/>
      <c r="G24" s="20"/>
      <c r="H24" s="16"/>
      <c r="I24" s="16"/>
      <c r="J24" s="16"/>
    </row>
    <row r="25" spans="1:10" ht="14.25" x14ac:dyDescent="0.2">
      <c r="A25" s="38">
        <v>2</v>
      </c>
      <c r="B25" s="38">
        <f t="shared" si="1"/>
        <v>1654.5878026628127</v>
      </c>
      <c r="C25" s="38">
        <f t="shared" si="2"/>
        <v>677.41219733718708</v>
      </c>
      <c r="D25" s="38">
        <f t="shared" si="3"/>
        <v>309.71837403410916</v>
      </c>
      <c r="E25" s="32"/>
      <c r="F25" s="32"/>
      <c r="G25" s="20"/>
      <c r="H25" s="16"/>
      <c r="I25" s="16"/>
      <c r="J25" s="16"/>
    </row>
    <row r="26" spans="1:10" ht="14.25" x14ac:dyDescent="0.2">
      <c r="A26" s="38">
        <v>3</v>
      </c>
      <c r="B26" s="38">
        <f t="shared" si="1"/>
        <v>1393.7037052564112</v>
      </c>
      <c r="C26" s="38">
        <f t="shared" si="2"/>
        <v>938.29629474358853</v>
      </c>
      <c r="D26" s="38">
        <f t="shared" si="3"/>
        <v>260.88409740640145</v>
      </c>
      <c r="E26" s="32"/>
      <c r="F26" s="32"/>
      <c r="G26" s="20"/>
      <c r="H26" s="16"/>
      <c r="I26" s="16"/>
      <c r="J26" s="16"/>
    </row>
    <row r="27" spans="1:10" ht="14.25" x14ac:dyDescent="0.2">
      <c r="A27" s="38">
        <v>4</v>
      </c>
      <c r="B27" s="38">
        <f t="shared" si="1"/>
        <v>1173.9540294685057</v>
      </c>
      <c r="C27" s="38">
        <f t="shared" si="2"/>
        <v>1158.045970531494</v>
      </c>
      <c r="D27" s="38">
        <f t="shared" si="3"/>
        <v>219.7496757879056</v>
      </c>
      <c r="E27" s="32"/>
      <c r="F27" s="32"/>
      <c r="G27" s="20"/>
      <c r="H27" s="16"/>
      <c r="I27" s="16"/>
      <c r="J27" s="16"/>
    </row>
    <row r="28" spans="1:10" ht="14.25" x14ac:dyDescent="0.2">
      <c r="A28" s="38">
        <v>5</v>
      </c>
      <c r="B28" s="38">
        <f t="shared" si="1"/>
        <v>988.85298080755842</v>
      </c>
      <c r="C28" s="38">
        <f t="shared" si="2"/>
        <v>1343.1470191924413</v>
      </c>
      <c r="D28" s="38">
        <f t="shared" si="3"/>
        <v>185.10104866094727</v>
      </c>
      <c r="E28" s="32"/>
      <c r="F28" s="32"/>
      <c r="G28" s="20"/>
      <c r="H28" s="16"/>
      <c r="I28" s="16"/>
      <c r="J28" s="16"/>
    </row>
    <row r="29" spans="1:10" ht="14.25" x14ac:dyDescent="0.2">
      <c r="A29" s="38">
        <v>6</v>
      </c>
      <c r="B29" s="38">
        <f t="shared" si="1"/>
        <v>832.93740053406941</v>
      </c>
      <c r="C29" s="38">
        <f t="shared" si="2"/>
        <v>1499.0625994659304</v>
      </c>
      <c r="D29" s="38">
        <f t="shared" si="3"/>
        <v>155.91558027348896</v>
      </c>
      <c r="E29" s="32"/>
      <c r="F29" s="32"/>
      <c r="G29" s="20"/>
      <c r="H29" s="16"/>
      <c r="I29" s="16"/>
      <c r="J29" s="16"/>
    </row>
    <row r="30" spans="1:10" ht="14.25" x14ac:dyDescent="0.2">
      <c r="A30" s="38">
        <v>7</v>
      </c>
      <c r="B30" s="38">
        <f t="shared" si="1"/>
        <v>701.60552344380392</v>
      </c>
      <c r="C30" s="38">
        <f t="shared" si="2"/>
        <v>1630.394476556196</v>
      </c>
      <c r="D30" s="38">
        <f t="shared" si="3"/>
        <v>131.33187709026549</v>
      </c>
      <c r="E30" s="32"/>
      <c r="F30" s="32"/>
      <c r="G30" s="57"/>
      <c r="H30" s="16"/>
      <c r="I30" s="16"/>
      <c r="J30" s="16"/>
    </row>
    <row r="31" spans="1:10" ht="14.25" x14ac:dyDescent="0.2">
      <c r="A31" s="38">
        <v>8</v>
      </c>
      <c r="B31" s="38">
        <f t="shared" si="1"/>
        <v>590.98115922184445</v>
      </c>
      <c r="C31" s="38">
        <f t="shared" si="2"/>
        <v>1741.0188407781554</v>
      </c>
      <c r="D31" s="38">
        <f t="shared" si="3"/>
        <v>110.62436422195948</v>
      </c>
      <c r="E31" s="82"/>
      <c r="F31" s="32"/>
      <c r="G31" s="57"/>
      <c r="H31" s="16"/>
      <c r="I31" s="16"/>
      <c r="J31" s="16"/>
    </row>
    <row r="32" spans="1:10" ht="14.25" x14ac:dyDescent="0.2">
      <c r="A32" s="38">
        <v>9</v>
      </c>
      <c r="B32" s="38">
        <f t="shared" si="1"/>
        <v>497.79928875256269</v>
      </c>
      <c r="C32" s="38">
        <f t="shared" si="2"/>
        <v>1834.2007112474371</v>
      </c>
      <c r="D32" s="38">
        <f t="shared" si="3"/>
        <v>93.181870469281733</v>
      </c>
      <c r="E32" s="82"/>
      <c r="F32" s="32"/>
      <c r="G32" s="57"/>
      <c r="H32" s="16"/>
      <c r="I32" s="16"/>
      <c r="J32" s="16"/>
    </row>
    <row r="33" spans="1:10" ht="14.25" x14ac:dyDescent="0.2">
      <c r="A33" s="38"/>
      <c r="B33" s="32"/>
      <c r="C33" s="32"/>
      <c r="D33" s="38">
        <f>SUM(D23:D32)</f>
        <v>1834.2007112474371</v>
      </c>
      <c r="E33" s="82"/>
      <c r="F33" s="32"/>
      <c r="G33" s="57"/>
      <c r="H33" s="16"/>
      <c r="I33" s="16"/>
      <c r="J33" s="16"/>
    </row>
    <row r="34" spans="1:10" ht="15" x14ac:dyDescent="0.25">
      <c r="A34" s="93" t="s">
        <v>209</v>
      </c>
      <c r="B34" s="92"/>
      <c r="C34" s="91"/>
      <c r="D34" s="33"/>
      <c r="E34" s="33"/>
      <c r="F34" s="33"/>
      <c r="G34" s="20"/>
      <c r="H34" s="16"/>
      <c r="I34" s="16"/>
      <c r="J34" s="16"/>
    </row>
    <row r="35" spans="1:10" ht="14.25" x14ac:dyDescent="0.2">
      <c r="A35" s="133" t="s">
        <v>208</v>
      </c>
      <c r="B35" s="134" t="s">
        <v>207</v>
      </c>
      <c r="C35" s="134" t="s">
        <v>206</v>
      </c>
      <c r="D35" s="133" t="s">
        <v>205</v>
      </c>
      <c r="E35" s="135" t="s">
        <v>204</v>
      </c>
      <c r="F35" s="33"/>
      <c r="G35" s="20"/>
      <c r="H35" s="16"/>
      <c r="I35" s="16"/>
      <c r="J35" s="16"/>
    </row>
    <row r="36" spans="1:10" ht="14.25" x14ac:dyDescent="0.2">
      <c r="A36" s="133"/>
      <c r="B36" s="134"/>
      <c r="C36" s="134"/>
      <c r="D36" s="133"/>
      <c r="E36" s="135"/>
      <c r="F36" s="82"/>
      <c r="G36" s="20"/>
      <c r="H36" s="16"/>
      <c r="I36" s="16"/>
      <c r="J36" s="16"/>
    </row>
    <row r="37" spans="1:10" ht="14.25" x14ac:dyDescent="0.2">
      <c r="A37" s="38">
        <v>0</v>
      </c>
      <c r="B37" s="38">
        <f>$B$17</f>
        <v>2332</v>
      </c>
      <c r="C37" s="38">
        <v>0</v>
      </c>
      <c r="D37" s="38">
        <v>0</v>
      </c>
      <c r="E37" s="38">
        <v>0</v>
      </c>
      <c r="F37" s="32"/>
      <c r="G37" s="20"/>
      <c r="H37" s="16"/>
      <c r="I37" s="16"/>
      <c r="J37" s="16"/>
    </row>
    <row r="38" spans="1:10" ht="14.25" x14ac:dyDescent="0.2">
      <c r="A38" s="38">
        <v>1</v>
      </c>
      <c r="B38" s="38">
        <f>$B$8*$B$17</f>
        <v>2035.57010365521</v>
      </c>
      <c r="C38" s="38">
        <f>(1-$B$7)*(1-$B$8)*$B37</f>
        <v>249.69085606676649</v>
      </c>
      <c r="D38" s="38">
        <f>$B$7*(1-$B$8)*$B$17</f>
        <v>46.739040278023552</v>
      </c>
      <c r="E38" s="38">
        <f t="shared" ref="E38:E46" si="4">D38-D37</f>
        <v>46.739040278023552</v>
      </c>
      <c r="F38" s="32"/>
      <c r="G38" s="90"/>
      <c r="H38" s="16"/>
      <c r="I38" s="16"/>
      <c r="J38" s="16"/>
    </row>
    <row r="39" spans="1:10" ht="14.25" x14ac:dyDescent="0.2">
      <c r="A39" s="38">
        <v>2</v>
      </c>
      <c r="B39" s="38">
        <f t="shared" ref="B39:B46" si="5">B38*C9</f>
        <v>1848.1688107103573</v>
      </c>
      <c r="C39" s="38">
        <f t="shared" ref="C39:C46" si="6">(1-C9)*(1-$B$7)*B38+(1-$B$7)*C38</f>
        <v>368.1744460073993</v>
      </c>
      <c r="D39" s="38">
        <f t="shared" ref="D39:D46" si="7">D38+C38*$B$7+B38*(1-C9)*$B$7</f>
        <v>115.6567432822435</v>
      </c>
      <c r="E39" s="38">
        <f t="shared" si="4"/>
        <v>68.917703004219945</v>
      </c>
      <c r="F39" s="32"/>
      <c r="G39" s="90"/>
      <c r="H39" s="16"/>
      <c r="I39" s="16"/>
      <c r="J39" s="16"/>
    </row>
    <row r="40" spans="1:10" ht="14.25" x14ac:dyDescent="0.2">
      <c r="A40" s="38">
        <v>3</v>
      </c>
      <c r="B40" s="38">
        <f t="shared" si="5"/>
        <v>1699.9734764027605</v>
      </c>
      <c r="C40" s="38">
        <f t="shared" si="6"/>
        <v>434.95212218369608</v>
      </c>
      <c r="D40" s="38">
        <f t="shared" si="7"/>
        <v>197.07440141354337</v>
      </c>
      <c r="E40" s="38">
        <f t="shared" si="4"/>
        <v>81.417658131299874</v>
      </c>
      <c r="F40" s="32"/>
      <c r="G40" s="90"/>
      <c r="H40" s="16"/>
      <c r="I40" s="16"/>
      <c r="J40" s="16"/>
    </row>
    <row r="41" spans="1:10" ht="14.25" x14ac:dyDescent="0.2">
      <c r="A41" s="38">
        <v>4</v>
      </c>
      <c r="B41" s="38">
        <f t="shared" si="5"/>
        <v>1581.341218620812</v>
      </c>
      <c r="C41" s="38">
        <f t="shared" si="6"/>
        <v>466.2989780829551</v>
      </c>
      <c r="D41" s="38">
        <f t="shared" si="7"/>
        <v>284.35980329623277</v>
      </c>
      <c r="E41" s="38">
        <f t="shared" si="4"/>
        <v>87.285401882689399</v>
      </c>
      <c r="F41" s="32"/>
      <c r="G41" s="90"/>
      <c r="H41" s="16"/>
      <c r="I41" s="16"/>
      <c r="J41" s="16"/>
    </row>
    <row r="42" spans="1:10" ht="14.25" x14ac:dyDescent="0.2">
      <c r="A42" s="38">
        <v>5</v>
      </c>
      <c r="B42" s="38">
        <f t="shared" si="5"/>
        <v>1485.3657771681751</v>
      </c>
      <c r="C42" s="38">
        <f t="shared" si="6"/>
        <v>473.61883160053162</v>
      </c>
      <c r="D42" s="38">
        <f t="shared" si="7"/>
        <v>373.01539123129311</v>
      </c>
      <c r="E42" s="38">
        <f t="shared" si="4"/>
        <v>88.655587935060339</v>
      </c>
      <c r="F42" s="32"/>
      <c r="G42" s="90"/>
      <c r="H42" s="16"/>
      <c r="I42" s="16"/>
      <c r="J42" s="16"/>
    </row>
    <row r="43" spans="1:10" ht="14.25" x14ac:dyDescent="0.2">
      <c r="A43" s="38">
        <v>6</v>
      </c>
      <c r="B43" s="38">
        <f t="shared" si="5"/>
        <v>1407.0071448635679</v>
      </c>
      <c r="C43" s="38">
        <f t="shared" si="6"/>
        <v>464.94542956533741</v>
      </c>
      <c r="D43" s="38">
        <f t="shared" si="7"/>
        <v>460.04742557109466</v>
      </c>
      <c r="E43" s="38">
        <f t="shared" si="4"/>
        <v>87.032034339801555</v>
      </c>
      <c r="F43" s="32"/>
      <c r="G43" s="90"/>
      <c r="H43" s="16"/>
      <c r="I43" s="16"/>
      <c r="J43" s="16"/>
    </row>
    <row r="44" spans="1:10" ht="14.25" x14ac:dyDescent="0.2">
      <c r="A44" s="38">
        <v>7</v>
      </c>
      <c r="B44" s="38">
        <f t="shared" si="5"/>
        <v>1342.5238097664151</v>
      </c>
      <c r="C44" s="38">
        <f t="shared" si="6"/>
        <v>445.95205512330642</v>
      </c>
      <c r="D44" s="38">
        <f t="shared" si="7"/>
        <v>543.52413511027839</v>
      </c>
      <c r="E44" s="38">
        <f t="shared" si="4"/>
        <v>83.47670953918373</v>
      </c>
      <c r="F44" s="32"/>
      <c r="G44" s="90"/>
      <c r="H44" s="16"/>
      <c r="I44" s="16"/>
      <c r="J44" s="16"/>
    </row>
    <row r="45" spans="1:10" ht="14.25" x14ac:dyDescent="0.2">
      <c r="A45" s="38">
        <v>8</v>
      </c>
      <c r="B45" s="38">
        <f t="shared" si="5"/>
        <v>1289.0945488273769</v>
      </c>
      <c r="C45" s="38">
        <f t="shared" si="6"/>
        <v>420.64228287663002</v>
      </c>
      <c r="D45" s="38">
        <f t="shared" si="7"/>
        <v>622.26316829599295</v>
      </c>
      <c r="E45" s="38">
        <f t="shared" si="4"/>
        <v>78.739033185714561</v>
      </c>
      <c r="F45" s="32"/>
      <c r="G45" s="90"/>
      <c r="H45" s="16"/>
      <c r="I45" s="16"/>
      <c r="J45" s="16"/>
    </row>
    <row r="46" spans="1:10" ht="14.25" x14ac:dyDescent="0.2">
      <c r="A46" s="38">
        <v>9</v>
      </c>
      <c r="B46" s="38">
        <f t="shared" si="5"/>
        <v>1244.5615788422319</v>
      </c>
      <c r="C46" s="38">
        <f t="shared" si="6"/>
        <v>391.82959796009317</v>
      </c>
      <c r="D46" s="38">
        <f t="shared" si="7"/>
        <v>695.60882319767484</v>
      </c>
      <c r="E46" s="38">
        <f t="shared" si="4"/>
        <v>73.345654901681883</v>
      </c>
      <c r="F46" s="32"/>
      <c r="G46" s="90"/>
      <c r="H46" s="16"/>
      <c r="I46" s="16"/>
      <c r="J46" s="16"/>
    </row>
    <row r="47" spans="1:10" ht="15" x14ac:dyDescent="0.2">
      <c r="A47" s="87"/>
      <c r="B47" s="86"/>
      <c r="C47" s="86"/>
      <c r="D47" s="87"/>
      <c r="E47" s="86"/>
      <c r="F47" s="86"/>
      <c r="G47" s="85"/>
    </row>
    <row r="48" spans="1:10" ht="15.75" x14ac:dyDescent="0.25">
      <c r="A48" s="89" t="s">
        <v>203</v>
      </c>
      <c r="B48" s="88"/>
      <c r="C48" s="88"/>
      <c r="D48" s="87"/>
      <c r="E48" s="86"/>
      <c r="F48" s="86"/>
      <c r="G48" s="85"/>
    </row>
    <row r="49" spans="1:8" ht="14.25" x14ac:dyDescent="0.2">
      <c r="A49" s="38" t="s">
        <v>202</v>
      </c>
      <c r="B49" s="82" t="s">
        <v>201</v>
      </c>
      <c r="C49" s="82" t="s">
        <v>200</v>
      </c>
      <c r="D49" s="83"/>
      <c r="E49" s="82"/>
      <c r="F49" s="82"/>
      <c r="G49" s="20"/>
      <c r="H49" s="16"/>
    </row>
    <row r="50" spans="1:8" ht="14.25" x14ac:dyDescent="0.2">
      <c r="A50" s="38">
        <v>1</v>
      </c>
      <c r="B50" s="83">
        <f>C24-D38</f>
        <v>320.95478302505438</v>
      </c>
      <c r="C50" s="83">
        <f t="shared" ref="C50:C58" si="8">B50/(1+0.03)^(A50)</f>
        <v>311.60658546121783</v>
      </c>
      <c r="D50" s="84"/>
      <c r="E50" s="82"/>
      <c r="F50" s="82"/>
      <c r="G50" s="20"/>
      <c r="H50" s="16"/>
    </row>
    <row r="51" spans="1:8" ht="14.25" x14ac:dyDescent="0.2">
      <c r="A51" s="38">
        <v>2</v>
      </c>
      <c r="B51" s="83">
        <f>C25-D39-B50</f>
        <v>240.8006710298892</v>
      </c>
      <c r="C51" s="83">
        <f t="shared" si="8"/>
        <v>226.97772742943653</v>
      </c>
      <c r="D51" s="84"/>
      <c r="E51" s="82"/>
      <c r="F51" s="82"/>
      <c r="G51" s="20"/>
      <c r="H51" s="16"/>
    </row>
    <row r="52" spans="1:8" ht="14.25" x14ac:dyDescent="0.2">
      <c r="A52" s="38">
        <v>3</v>
      </c>
      <c r="B52" s="83">
        <f>C26-D40-B51-B50</f>
        <v>179.46643927510161</v>
      </c>
      <c r="C52" s="83">
        <f t="shared" si="8"/>
        <v>164.23721503641954</v>
      </c>
      <c r="D52" s="84"/>
      <c r="E52" s="82"/>
      <c r="F52" s="82"/>
      <c r="G52" s="20"/>
      <c r="H52" s="16"/>
    </row>
    <row r="53" spans="1:8" ht="14.25" x14ac:dyDescent="0.2">
      <c r="A53" s="38">
        <v>4</v>
      </c>
      <c r="B53" s="83">
        <f>C27-D41-B52-B51-B50</f>
        <v>132.46427390521615</v>
      </c>
      <c r="C53" s="83">
        <f t="shared" si="8"/>
        <v>117.69279167634073</v>
      </c>
      <c r="D53" s="84"/>
      <c r="E53" s="82"/>
      <c r="F53" s="82"/>
      <c r="G53" s="20"/>
      <c r="H53" s="16"/>
    </row>
    <row r="54" spans="1:8" ht="14.25" x14ac:dyDescent="0.2">
      <c r="A54" s="38">
        <v>5</v>
      </c>
      <c r="B54" s="83">
        <f>C28-D42-B53-B52-B51-B50</f>
        <v>96.44546072588696</v>
      </c>
      <c r="C54" s="83">
        <f t="shared" si="8"/>
        <v>83.194701636127988</v>
      </c>
      <c r="D54" s="84"/>
      <c r="E54" s="82"/>
      <c r="F54" s="82"/>
      <c r="G54" s="20"/>
      <c r="H54" s="16"/>
    </row>
    <row r="55" spans="1:8" ht="14.25" x14ac:dyDescent="0.2">
      <c r="A55" s="38">
        <v>6</v>
      </c>
      <c r="B55" s="83">
        <f>C29-D43-B54-B53-B52-B51-B50</f>
        <v>68.883545933687401</v>
      </c>
      <c r="C55" s="83">
        <f t="shared" si="8"/>
        <v>57.688885264008562</v>
      </c>
      <c r="D55" s="84"/>
      <c r="E55" s="82"/>
      <c r="F55" s="82"/>
      <c r="G55" s="20"/>
      <c r="H55" s="16"/>
    </row>
    <row r="56" spans="1:8" ht="14.25" x14ac:dyDescent="0.2">
      <c r="A56" s="38">
        <v>7</v>
      </c>
      <c r="B56" s="83">
        <f>C30-D44-B55-B54-B53-B52-B51-B50</f>
        <v>47.855167551081877</v>
      </c>
      <c r="C56" s="83">
        <f t="shared" si="8"/>
        <v>38.910630509698585</v>
      </c>
      <c r="D56" s="84"/>
      <c r="E56" s="82"/>
      <c r="F56" s="82"/>
      <c r="G56" s="20"/>
      <c r="H56" s="16"/>
    </row>
    <row r="57" spans="1:8" ht="14.25" x14ac:dyDescent="0.2">
      <c r="A57" s="38">
        <v>8</v>
      </c>
      <c r="B57" s="83">
        <f>C31-D45-B56-B55-B54-B53-B52-B51-B50</f>
        <v>31.885331036244906</v>
      </c>
      <c r="C57" s="83">
        <f t="shared" si="8"/>
        <v>25.170574759168463</v>
      </c>
      <c r="D57" s="84"/>
      <c r="E57" s="82"/>
      <c r="F57" s="82"/>
      <c r="G57" s="20"/>
      <c r="H57" s="16"/>
    </row>
    <row r="58" spans="1:8" ht="14.25" x14ac:dyDescent="0.2">
      <c r="A58" s="38">
        <v>9</v>
      </c>
      <c r="B58" s="83">
        <f>C32-D46-B57-B56-B55-B54-B53-B52-B51-B50</f>
        <v>19.836215567599766</v>
      </c>
      <c r="C58" s="83">
        <f t="shared" si="8"/>
        <v>15.202807517383595</v>
      </c>
      <c r="D58" s="84"/>
      <c r="E58" s="82"/>
      <c r="F58" s="82"/>
      <c r="G58" s="20"/>
      <c r="H58" s="16"/>
    </row>
    <row r="59" spans="1:8" ht="14.25" x14ac:dyDescent="0.2">
      <c r="A59" s="83" t="s">
        <v>199</v>
      </c>
      <c r="B59" s="83">
        <f>SUM(B50:B58)</f>
        <v>1138.5918880497622</v>
      </c>
      <c r="C59" s="83">
        <f>SUM(C50:C58)</f>
        <v>1040.681919289802</v>
      </c>
      <c r="D59" s="84"/>
      <c r="E59" s="82"/>
      <c r="F59" s="82"/>
      <c r="G59" s="20"/>
      <c r="H59" s="16"/>
    </row>
    <row r="60" spans="1:8" ht="14.25" x14ac:dyDescent="0.2">
      <c r="A60" s="83"/>
      <c r="B60" s="82"/>
      <c r="C60" s="82"/>
      <c r="D60" s="83"/>
      <c r="E60" s="82"/>
      <c r="F60" s="82"/>
      <c r="G60" s="20"/>
      <c r="H60" s="16"/>
    </row>
    <row r="61" spans="1:8" ht="14.25" x14ac:dyDescent="0.2">
      <c r="A61" s="83"/>
      <c r="B61" s="82"/>
      <c r="C61" s="82"/>
      <c r="D61" s="83"/>
      <c r="E61" s="82"/>
      <c r="F61" s="82"/>
      <c r="G61" s="20"/>
      <c r="H61" s="16"/>
    </row>
    <row r="62" spans="1:8" ht="14.25" x14ac:dyDescent="0.2">
      <c r="A62" s="83"/>
      <c r="B62" s="82"/>
      <c r="C62" s="82"/>
      <c r="D62" s="83"/>
      <c r="E62" s="82"/>
      <c r="F62" s="82"/>
      <c r="G62" s="20"/>
      <c r="H62" s="16"/>
    </row>
    <row r="63" spans="1:8" ht="14.25" x14ac:dyDescent="0.2">
      <c r="A63" s="83"/>
      <c r="B63" s="82"/>
      <c r="C63" s="82"/>
      <c r="D63" s="83"/>
      <c r="E63" s="82"/>
      <c r="F63" s="82"/>
      <c r="G63" s="20"/>
      <c r="H63" s="16"/>
    </row>
    <row r="64" spans="1:8" ht="14.25" x14ac:dyDescent="0.2">
      <c r="A64" s="83"/>
      <c r="B64" s="82"/>
      <c r="C64" s="82"/>
      <c r="D64" s="83"/>
      <c r="E64" s="82"/>
      <c r="F64" s="82"/>
      <c r="G64" s="20"/>
      <c r="H64" s="16"/>
    </row>
    <row r="65" spans="1:8" ht="14.25" x14ac:dyDescent="0.2">
      <c r="A65" s="16"/>
      <c r="B65" s="16"/>
      <c r="C65" s="81"/>
      <c r="D65" s="16"/>
      <c r="E65" s="16"/>
      <c r="F65" s="16"/>
      <c r="G65" s="16"/>
      <c r="H65" s="16"/>
    </row>
  </sheetData>
  <mergeCells count="10">
    <mergeCell ref="C7:C8"/>
    <mergeCell ref="A21:A22"/>
    <mergeCell ref="B21:B22"/>
    <mergeCell ref="C21:C22"/>
    <mergeCell ref="E35:E36"/>
    <mergeCell ref="D21:D22"/>
    <mergeCell ref="A35:A36"/>
    <mergeCell ref="B35:B36"/>
    <mergeCell ref="C35:C36"/>
    <mergeCell ref="D35:D3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opLeftCell="A16" workbookViewId="0">
      <selection activeCell="E22" sqref="E22"/>
    </sheetView>
  </sheetViews>
  <sheetFormatPr defaultColWidth="8.85546875" defaultRowHeight="12.75" x14ac:dyDescent="0.2"/>
  <cols>
    <col min="1" max="16384" width="8.85546875" style="15"/>
  </cols>
  <sheetData>
    <row r="1" spans="1:7" x14ac:dyDescent="0.2">
      <c r="A1" s="101" t="s">
        <v>235</v>
      </c>
      <c r="B1" s="102">
        <v>0.01</v>
      </c>
      <c r="C1" s="101"/>
      <c r="D1" s="100">
        <f>D64</f>
        <v>0.63694930410299111</v>
      </c>
    </row>
    <row r="2" spans="1:7" x14ac:dyDescent="0.2">
      <c r="A2" s="101" t="s">
        <v>234</v>
      </c>
      <c r="B2" s="102">
        <v>1.2E-2</v>
      </c>
      <c r="C2" s="101"/>
      <c r="D2" s="100"/>
    </row>
    <row r="3" spans="1:7" x14ac:dyDescent="0.2">
      <c r="A3" s="101"/>
      <c r="B3" s="102"/>
      <c r="C3" s="101"/>
      <c r="D3" s="100"/>
    </row>
    <row r="4" spans="1:7" x14ac:dyDescent="0.2">
      <c r="A4" s="101" t="s">
        <v>233</v>
      </c>
      <c r="B4" s="102"/>
      <c r="C4" s="101" t="s">
        <v>232</v>
      </c>
      <c r="D4" s="100" t="s">
        <v>231</v>
      </c>
      <c r="E4" s="118" t="s">
        <v>230</v>
      </c>
    </row>
    <row r="5" spans="1:7" x14ac:dyDescent="0.2">
      <c r="A5" s="109">
        <v>1</v>
      </c>
      <c r="B5" s="102">
        <f t="shared" ref="B5:B36" si="0">$B$1*EXP(-$B$2*A5)</f>
        <v>9.8807171286193051E-3</v>
      </c>
      <c r="C5" s="101">
        <f>B5</f>
        <v>9.8807171286193051E-3</v>
      </c>
      <c r="D5" s="100">
        <f t="shared" ref="D5:D15" si="1">1-C5</f>
        <v>0.99011928287138073</v>
      </c>
    </row>
    <row r="6" spans="1:7" x14ac:dyDescent="0.2">
      <c r="A6" s="109">
        <v>2</v>
      </c>
      <c r="B6" s="102">
        <f t="shared" si="0"/>
        <v>9.7628570975790939E-3</v>
      </c>
      <c r="C6" s="101">
        <f t="shared" ref="C6:C15" si="2">C5+B6*D5</f>
        <v>1.9547110196850088E-2</v>
      </c>
      <c r="D6" s="100">
        <f t="shared" si="1"/>
        <v>0.98045288980314993</v>
      </c>
    </row>
    <row r="7" spans="1:7" x14ac:dyDescent="0.2">
      <c r="A7" s="109">
        <v>3</v>
      </c>
      <c r="B7" s="102">
        <f t="shared" si="0"/>
        <v>9.6464029348312316E-3</v>
      </c>
      <c r="C7" s="101">
        <f t="shared" si="2"/>
        <v>2.9004953830510955E-2</v>
      </c>
      <c r="D7" s="100">
        <f t="shared" si="1"/>
        <v>0.97099504616948906</v>
      </c>
    </row>
    <row r="8" spans="1:7" x14ac:dyDescent="0.2">
      <c r="A8" s="109">
        <v>4</v>
      </c>
      <c r="B8" s="102">
        <f t="shared" si="0"/>
        <v>9.5313378707750484E-3</v>
      </c>
      <c r="C8" s="101">
        <f t="shared" si="2"/>
        <v>3.8259835686401171E-2</v>
      </c>
      <c r="D8" s="100">
        <f t="shared" si="1"/>
        <v>0.96174016431359888</v>
      </c>
    </row>
    <row r="9" spans="1:7" x14ac:dyDescent="0.2">
      <c r="A9" s="109">
        <v>5</v>
      </c>
      <c r="B9" s="102">
        <f t="shared" si="0"/>
        <v>9.417645335842488E-3</v>
      </c>
      <c r="C9" s="101">
        <f t="shared" si="2"/>
        <v>4.7317163459141526E-2</v>
      </c>
      <c r="D9" s="100">
        <f t="shared" si="1"/>
        <v>0.9526828365408585</v>
      </c>
    </row>
    <row r="10" spans="1:7" x14ac:dyDescent="0.2">
      <c r="A10" s="109">
        <v>6</v>
      </c>
      <c r="B10" s="102">
        <f t="shared" si="0"/>
        <v>9.3053089581120584E-3</v>
      </c>
      <c r="C10" s="101">
        <f t="shared" si="2"/>
        <v>5.6182171592244784E-2</v>
      </c>
      <c r="D10" s="100">
        <f t="shared" si="1"/>
        <v>0.94381782840775519</v>
      </c>
    </row>
    <row r="11" spans="1:7" x14ac:dyDescent="0.2">
      <c r="A11" s="109">
        <v>7</v>
      </c>
      <c r="B11" s="102">
        <f t="shared" si="0"/>
        <v>9.1943125609512469E-3</v>
      </c>
      <c r="C11" s="101">
        <f t="shared" si="2"/>
        <v>6.485992770722393E-2</v>
      </c>
      <c r="D11" s="100">
        <f t="shared" si="1"/>
        <v>0.93514007229277607</v>
      </c>
    </row>
    <row r="12" spans="1:7" x14ac:dyDescent="0.2">
      <c r="A12" s="109">
        <v>8</v>
      </c>
      <c r="B12" s="102">
        <f t="shared" si="0"/>
        <v>9.0846401606870623E-3</v>
      </c>
      <c r="C12" s="101">
        <f t="shared" si="2"/>
        <v>7.335533876384269E-2</v>
      </c>
      <c r="D12" s="100">
        <f t="shared" si="1"/>
        <v>0.9266446612361573</v>
      </c>
    </row>
    <row r="13" spans="1:7" x14ac:dyDescent="0.2">
      <c r="A13" s="109">
        <v>9</v>
      </c>
      <c r="B13" s="102">
        <f t="shared" si="0"/>
        <v>8.9762759643043488E-3</v>
      </c>
      <c r="C13" s="101">
        <f t="shared" si="2"/>
        <v>8.1673156963947752E-2</v>
      </c>
      <c r="D13" s="100">
        <f t="shared" si="1"/>
        <v>0.91832684303605228</v>
      </c>
    </row>
    <row r="14" spans="1:7" x14ac:dyDescent="0.2">
      <c r="A14" s="109">
        <v>10</v>
      </c>
      <c r="B14" s="102">
        <f t="shared" si="0"/>
        <v>8.8692043671715747E-3</v>
      </c>
      <c r="C14" s="101">
        <f t="shared" si="2"/>
        <v>8.9817985410693996E-2</v>
      </c>
      <c r="D14" s="100">
        <f t="shared" si="1"/>
        <v>0.91018201458930603</v>
      </c>
    </row>
    <row r="15" spans="1:7" x14ac:dyDescent="0.2">
      <c r="A15" s="109">
        <v>11</v>
      </c>
      <c r="B15" s="102">
        <f t="shared" si="0"/>
        <v>8.7634099507937335E-3</v>
      </c>
      <c r="C15" s="101">
        <f t="shared" si="2"/>
        <v>9.7794283534379411E-2</v>
      </c>
      <c r="D15" s="100">
        <f t="shared" si="1"/>
        <v>0.90220571646562053</v>
      </c>
    </row>
    <row r="16" spans="1:7" ht="15" x14ac:dyDescent="0.25">
      <c r="A16" s="117">
        <v>12</v>
      </c>
      <c r="B16" s="111">
        <f t="shared" si="0"/>
        <v>8.6588774805920494E-3</v>
      </c>
      <c r="C16" s="110">
        <f>1-D16</f>
        <v>0.12711402073104205</v>
      </c>
      <c r="D16" s="105">
        <f>'Averted cavities'!B8</f>
        <v>0.87288597926895795</v>
      </c>
      <c r="E16" s="105">
        <f>D16</f>
        <v>0.87288597926895795</v>
      </c>
      <c r="F16" s="102"/>
      <c r="G16" s="101"/>
    </row>
    <row r="17" spans="1:6" x14ac:dyDescent="0.2">
      <c r="A17" s="109">
        <v>13</v>
      </c>
      <c r="B17" s="102">
        <f t="shared" si="0"/>
        <v>8.5555919037101844E-3</v>
      </c>
      <c r="C17" s="101">
        <f t="shared" ref="C17:C48" si="3">C16+B17*D16</f>
        <v>0.13458207694813767</v>
      </c>
      <c r="D17" s="100">
        <f t="shared" ref="D17:D48" si="4">1-C17</f>
        <v>0.86541792305186238</v>
      </c>
      <c r="F17" s="102"/>
    </row>
    <row r="18" spans="1:6" x14ac:dyDescent="0.2">
      <c r="A18" s="109">
        <v>14</v>
      </c>
      <c r="B18" s="102">
        <f t="shared" si="0"/>
        <v>8.4535383468465879E-3</v>
      </c>
      <c r="C18" s="101">
        <f t="shared" si="3"/>
        <v>0.14189792054670491</v>
      </c>
      <c r="D18" s="100">
        <f t="shared" si="4"/>
        <v>0.85810207945329509</v>
      </c>
      <c r="E18" s="101"/>
      <c r="F18" s="102"/>
    </row>
    <row r="19" spans="1:6" x14ac:dyDescent="0.2">
      <c r="A19" s="109">
        <v>15</v>
      </c>
      <c r="B19" s="102">
        <f t="shared" si="0"/>
        <v>8.3527021141127193E-3</v>
      </c>
      <c r="C19" s="101">
        <f t="shared" si="3"/>
        <v>0.14906539159987897</v>
      </c>
      <c r="D19" s="100">
        <f t="shared" si="4"/>
        <v>0.85093460840012103</v>
      </c>
      <c r="F19" s="102"/>
    </row>
    <row r="20" spans="1:6" x14ac:dyDescent="0.2">
      <c r="A20" s="109">
        <v>16</v>
      </c>
      <c r="B20" s="102">
        <f t="shared" si="0"/>
        <v>8.2530686849168235E-3</v>
      </c>
      <c r="C20" s="101">
        <f t="shared" si="3"/>
        <v>0.15608821336937798</v>
      </c>
      <c r="D20" s="100">
        <f t="shared" si="4"/>
        <v>0.84391178663062205</v>
      </c>
      <c r="F20" s="102"/>
    </row>
    <row r="21" spans="1:6" x14ac:dyDescent="0.2">
      <c r="A21" s="109">
        <v>17</v>
      </c>
      <c r="B21" s="102">
        <f t="shared" si="0"/>
        <v>8.1546237118729267E-3</v>
      </c>
      <c r="C21" s="101">
        <f t="shared" si="3"/>
        <v>0.16296999643536508</v>
      </c>
      <c r="D21" s="100">
        <f t="shared" si="4"/>
        <v>0.83703000356463497</v>
      </c>
      <c r="F21" s="102"/>
    </row>
    <row r="22" spans="1:6" x14ac:dyDescent="0.2">
      <c r="A22" s="109">
        <v>18</v>
      </c>
      <c r="B22" s="102">
        <f t="shared" si="0"/>
        <v>8.0573530187347964E-3</v>
      </c>
      <c r="C22" s="101">
        <f t="shared" si="3"/>
        <v>0.16971424266135821</v>
      </c>
      <c r="D22" s="100">
        <f t="shared" si="4"/>
        <v>0.83028575733864174</v>
      </c>
      <c r="F22" s="102"/>
    </row>
    <row r="23" spans="1:6" x14ac:dyDescent="0.2">
      <c r="A23" s="109">
        <v>19</v>
      </c>
      <c r="B23" s="102">
        <f t="shared" si="0"/>
        <v>7.9612425983545381E-3</v>
      </c>
      <c r="C23" s="101">
        <f t="shared" si="3"/>
        <v>0.17632434900148966</v>
      </c>
      <c r="D23" s="100">
        <f t="shared" si="4"/>
        <v>0.82367565099851037</v>
      </c>
      <c r="F23" s="102"/>
    </row>
    <row r="24" spans="1:6" x14ac:dyDescent="0.2">
      <c r="A24" s="109">
        <v>20</v>
      </c>
      <c r="B24" s="102">
        <f t="shared" si="0"/>
        <v>7.8662786106655346E-3</v>
      </c>
      <c r="C24" s="101">
        <f t="shared" si="3"/>
        <v>0.18280361115706525</v>
      </c>
      <c r="D24" s="100">
        <f t="shared" si="4"/>
        <v>0.81719638884293477</v>
      </c>
      <c r="F24" s="102"/>
    </row>
    <row r="25" spans="1:6" x14ac:dyDescent="0.2">
      <c r="A25" s="109">
        <v>21</v>
      </c>
      <c r="B25" s="102">
        <f t="shared" si="0"/>
        <v>7.7724473806894618E-3</v>
      </c>
      <c r="C25" s="101">
        <f t="shared" si="3"/>
        <v>0.1891552270890364</v>
      </c>
      <c r="D25" s="100">
        <f t="shared" si="4"/>
        <v>0.81084477291096357</v>
      </c>
      <c r="F25" s="102"/>
    </row>
    <row r="26" spans="1:6" x14ac:dyDescent="0.2">
      <c r="A26" s="109">
        <v>22</v>
      </c>
      <c r="B26" s="102">
        <f t="shared" si="0"/>
        <v>7.6797353965670613E-3</v>
      </c>
      <c r="C26" s="101">
        <f t="shared" si="3"/>
        <v>0.19538230039268212</v>
      </c>
      <c r="D26" s="100">
        <f t="shared" si="4"/>
        <v>0.80461769960731788</v>
      </c>
      <c r="F26" s="102"/>
    </row>
    <row r="27" spans="1:6" x14ac:dyDescent="0.2">
      <c r="A27" s="109">
        <v>23</v>
      </c>
      <c r="B27" s="102">
        <f t="shared" si="0"/>
        <v>7.5881293076124137E-3</v>
      </c>
      <c r="C27" s="101">
        <f t="shared" si="3"/>
        <v>0.20148784354049609</v>
      </c>
      <c r="D27" s="100">
        <f t="shared" si="4"/>
        <v>0.79851215645950391</v>
      </c>
      <c r="F27" s="102"/>
    </row>
    <row r="28" spans="1:6" ht="15" x14ac:dyDescent="0.25">
      <c r="A28" s="108">
        <v>24</v>
      </c>
      <c r="B28" s="115">
        <f t="shared" si="0"/>
        <v>7.4976159223904132E-3</v>
      </c>
      <c r="C28" s="114">
        <f t="shared" si="3"/>
        <v>0.20747478099898917</v>
      </c>
      <c r="D28" s="113">
        <f t="shared" si="4"/>
        <v>0.79252521900101081</v>
      </c>
      <c r="E28" s="104">
        <f>D28/D16</f>
        <v>0.90793670401803306</v>
      </c>
      <c r="F28" s="102"/>
    </row>
    <row r="29" spans="1:6" x14ac:dyDescent="0.2">
      <c r="A29" s="109">
        <v>25</v>
      </c>
      <c r="B29" s="102">
        <f t="shared" si="0"/>
        <v>7.408182206817179E-3</v>
      </c>
      <c r="C29" s="101">
        <f t="shared" si="3"/>
        <v>0.21334595222484634</v>
      </c>
      <c r="D29" s="100">
        <f t="shared" si="4"/>
        <v>0.78665404777515369</v>
      </c>
    </row>
    <row r="30" spans="1:6" x14ac:dyDescent="0.2">
      <c r="A30" s="109">
        <v>26</v>
      </c>
      <c r="B30" s="102">
        <f t="shared" si="0"/>
        <v>7.3198152822831269E-3</v>
      </c>
      <c r="C30" s="101">
        <f t="shared" si="3"/>
        <v>0.21910411454562079</v>
      </c>
      <c r="D30" s="100">
        <f t="shared" si="4"/>
        <v>0.78089588545437927</v>
      </c>
    </row>
    <row r="31" spans="1:6" x14ac:dyDescent="0.2">
      <c r="A31" s="109">
        <v>27</v>
      </c>
      <c r="B31" s="102">
        <f t="shared" si="0"/>
        <v>7.2325024237984235E-3</v>
      </c>
      <c r="C31" s="101">
        <f t="shared" si="3"/>
        <v>0.2247519459299038</v>
      </c>
      <c r="D31" s="100">
        <f t="shared" si="4"/>
        <v>0.77524805407009623</v>
      </c>
    </row>
    <row r="32" spans="1:6" x14ac:dyDescent="0.2">
      <c r="A32" s="109">
        <v>28</v>
      </c>
      <c r="B32" s="102">
        <f t="shared" si="0"/>
        <v>7.146231058160573E-3</v>
      </c>
      <c r="C32" s="101">
        <f t="shared" si="3"/>
        <v>0.23029204765167807</v>
      </c>
      <c r="D32" s="100">
        <f t="shared" si="4"/>
        <v>0.7697079523483219</v>
      </c>
    </row>
    <row r="33" spans="1:5" x14ac:dyDescent="0.2">
      <c r="A33" s="109">
        <v>29</v>
      </c>
      <c r="B33" s="102">
        <f t="shared" si="0"/>
        <v>7.0609887621438444E-3</v>
      </c>
      <c r="C33" s="101">
        <f t="shared" si="3"/>
        <v>0.23572694685334233</v>
      </c>
      <c r="D33" s="100">
        <f t="shared" si="4"/>
        <v>0.76427305314665772</v>
      </c>
    </row>
    <row r="34" spans="1:5" x14ac:dyDescent="0.2">
      <c r="A34" s="109">
        <v>30</v>
      </c>
      <c r="B34" s="102">
        <f t="shared" si="0"/>
        <v>6.9767632607103105E-3</v>
      </c>
      <c r="C34" s="101">
        <f t="shared" si="3"/>
        <v>0.24105909901168684</v>
      </c>
      <c r="D34" s="100">
        <f t="shared" si="4"/>
        <v>0.75894090098831313</v>
      </c>
    </row>
    <row r="35" spans="1:5" x14ac:dyDescent="0.2">
      <c r="A35" s="109">
        <v>31</v>
      </c>
      <c r="B35" s="102">
        <f t="shared" si="0"/>
        <v>6.8935424252422241E-3</v>
      </c>
      <c r="C35" s="101">
        <f t="shared" si="3"/>
        <v>0.24629089031090134</v>
      </c>
      <c r="D35" s="100">
        <f t="shared" si="4"/>
        <v>0.75370910968909866</v>
      </c>
    </row>
    <row r="36" spans="1:5" x14ac:dyDescent="0.2">
      <c r="A36" s="109">
        <v>32</v>
      </c>
      <c r="B36" s="102">
        <f t="shared" si="0"/>
        <v>6.8113142717954713E-3</v>
      </c>
      <c r="C36" s="101">
        <f t="shared" si="3"/>
        <v>0.25142463992650899</v>
      </c>
      <c r="D36" s="100">
        <f t="shared" si="4"/>
        <v>0.74857536007349101</v>
      </c>
    </row>
    <row r="37" spans="1:5" x14ac:dyDescent="0.2">
      <c r="A37" s="109">
        <v>33</v>
      </c>
      <c r="B37" s="102">
        <f t="shared" ref="B37:B68" si="5">$B$1*EXP(-$B$2*A37)</f>
        <v>6.730066959373864E-3</v>
      </c>
      <c r="C37" s="101">
        <f t="shared" si="3"/>
        <v>0.25646260222394096</v>
      </c>
      <c r="D37" s="100">
        <f t="shared" si="4"/>
        <v>0.74353739777605909</v>
      </c>
    </row>
    <row r="38" spans="1:5" x14ac:dyDescent="0.2">
      <c r="A38" s="109">
        <v>34</v>
      </c>
      <c r="B38" s="102">
        <f t="shared" si="5"/>
        <v>6.6497887882240193E-3</v>
      </c>
      <c r="C38" s="101">
        <f t="shared" si="3"/>
        <v>0.26140696887529746</v>
      </c>
      <c r="D38" s="100">
        <f t="shared" si="4"/>
        <v>0.73859303112470254</v>
      </c>
    </row>
    <row r="39" spans="1:5" x14ac:dyDescent="0.2">
      <c r="A39" s="109">
        <v>35</v>
      </c>
      <c r="B39" s="102">
        <f t="shared" si="5"/>
        <v>6.5704681981505675E-3</v>
      </c>
      <c r="C39" s="101">
        <f t="shared" si="3"/>
        <v>0.26625987089767794</v>
      </c>
      <c r="D39" s="100">
        <f t="shared" si="4"/>
        <v>0.733740129102322</v>
      </c>
    </row>
    <row r="40" spans="1:5" ht="15" x14ac:dyDescent="0.25">
      <c r="A40" s="108">
        <v>36</v>
      </c>
      <c r="B40" s="115">
        <f t="shared" si="5"/>
        <v>6.4920937668514747E-3</v>
      </c>
      <c r="C40" s="114">
        <f t="shared" si="3"/>
        <v>0.27102338061631193</v>
      </c>
      <c r="D40" s="113">
        <f t="shared" si="4"/>
        <v>0.72897661938368807</v>
      </c>
      <c r="E40" s="104">
        <f>D40/D28</f>
        <v>0.91981504424877902</v>
      </c>
    </row>
    <row r="41" spans="1:5" x14ac:dyDescent="0.2">
      <c r="A41" s="85">
        <v>37</v>
      </c>
      <c r="B41" s="116">
        <f t="shared" si="5"/>
        <v>6.4146542082731987E-3</v>
      </c>
      <c r="C41" s="80">
        <f t="shared" si="3"/>
        <v>0.27569951355557426</v>
      </c>
      <c r="D41" s="100">
        <f t="shared" si="4"/>
        <v>0.7243004864444258</v>
      </c>
    </row>
    <row r="42" spans="1:5" x14ac:dyDescent="0.2">
      <c r="A42" s="109">
        <v>38</v>
      </c>
      <c r="B42" s="102">
        <f t="shared" si="5"/>
        <v>6.3381383709854898E-3</v>
      </c>
      <c r="C42" s="101">
        <f t="shared" si="3"/>
        <v>0.28029023026083111</v>
      </c>
      <c r="D42" s="100">
        <f t="shared" si="4"/>
        <v>0.71970976973916889</v>
      </c>
    </row>
    <row r="43" spans="1:5" x14ac:dyDescent="0.2">
      <c r="A43" s="109">
        <v>39</v>
      </c>
      <c r="B43" s="102">
        <f t="shared" si="5"/>
        <v>6.2625352365755591E-3</v>
      </c>
      <c r="C43" s="101">
        <f t="shared" si="3"/>
        <v>0.28479743805393032</v>
      </c>
      <c r="D43" s="100">
        <f t="shared" si="4"/>
        <v>0.71520256194606968</v>
      </c>
    </row>
    <row r="44" spans="1:5" x14ac:dyDescent="0.2">
      <c r="A44" s="109">
        <v>40</v>
      </c>
      <c r="B44" s="102">
        <f t="shared" si="5"/>
        <v>6.1878339180614084E-3</v>
      </c>
      <c r="C44" s="101">
        <f t="shared" si="3"/>
        <v>0.28922299272502461</v>
      </c>
      <c r="D44" s="100">
        <f t="shared" si="4"/>
        <v>0.71077700727497539</v>
      </c>
    </row>
    <row r="45" spans="1:5" x14ac:dyDescent="0.2">
      <c r="A45" s="109">
        <v>41</v>
      </c>
      <c r="B45" s="102">
        <f t="shared" si="5"/>
        <v>6.1140236583240868E-3</v>
      </c>
      <c r="C45" s="101">
        <f t="shared" si="3"/>
        <v>0.29356870016329661</v>
      </c>
      <c r="D45" s="100">
        <f t="shared" si="4"/>
        <v>0.70643129983670339</v>
      </c>
    </row>
    <row r="46" spans="1:5" x14ac:dyDescent="0.2">
      <c r="A46" s="109">
        <v>42</v>
      </c>
      <c r="B46" s="102">
        <f t="shared" si="5"/>
        <v>6.041093828558647E-3</v>
      </c>
      <c r="C46" s="101">
        <f t="shared" si="3"/>
        <v>0.29783631792904081</v>
      </c>
      <c r="D46" s="100">
        <f t="shared" si="4"/>
        <v>0.70216368207095914</v>
      </c>
    </row>
    <row r="47" spans="1:5" x14ac:dyDescent="0.2">
      <c r="A47" s="109">
        <v>43</v>
      </c>
      <c r="B47" s="102">
        <f t="shared" si="5"/>
        <v>5.9690339267435798E-3</v>
      </c>
      <c r="C47" s="101">
        <f t="shared" si="3"/>
        <v>0.30202755676944953</v>
      </c>
      <c r="D47" s="100">
        <f t="shared" si="4"/>
        <v>0.69797244323055052</v>
      </c>
    </row>
    <row r="48" spans="1:5" x14ac:dyDescent="0.2">
      <c r="A48" s="109">
        <v>44</v>
      </c>
      <c r="B48" s="102">
        <f t="shared" si="5"/>
        <v>5.8978335761285042E-3</v>
      </c>
      <c r="C48" s="101">
        <f t="shared" si="3"/>
        <v>0.3061440820803471</v>
      </c>
      <c r="D48" s="100">
        <f t="shared" si="4"/>
        <v>0.69385591791965284</v>
      </c>
    </row>
    <row r="49" spans="1:5" x14ac:dyDescent="0.2">
      <c r="A49" s="109">
        <v>45</v>
      </c>
      <c r="B49" s="102">
        <f t="shared" si="5"/>
        <v>5.8274825237398962E-3</v>
      </c>
      <c r="C49" s="101">
        <f t="shared" ref="C49:C80" si="6">C48+B49*D48</f>
        <v>0.3101875153160174</v>
      </c>
      <c r="D49" s="100">
        <f t="shared" ref="D49:D80" si="7">1-C49</f>
        <v>0.6898124846839826</v>
      </c>
    </row>
    <row r="50" spans="1:5" x14ac:dyDescent="0.2">
      <c r="A50" s="109">
        <v>46</v>
      </c>
      <c r="B50" s="102">
        <f t="shared" si="5"/>
        <v>5.7579706389046447E-3</v>
      </c>
      <c r="C50" s="101">
        <f t="shared" si="6"/>
        <v>0.31415943534917762</v>
      </c>
      <c r="D50" s="100">
        <f t="shared" si="7"/>
        <v>0.68584056465082233</v>
      </c>
    </row>
    <row r="51" spans="1:5" x14ac:dyDescent="0.2">
      <c r="A51" s="109">
        <v>47</v>
      </c>
      <c r="B51" s="102">
        <f t="shared" si="5"/>
        <v>5.6892879117912175E-3</v>
      </c>
      <c r="C51" s="101">
        <f t="shared" si="6"/>
        <v>0.31806137978306159</v>
      </c>
      <c r="D51" s="100">
        <f t="shared" si="7"/>
        <v>0.68193862021693841</v>
      </c>
    </row>
    <row r="52" spans="1:5" ht="15" x14ac:dyDescent="0.25">
      <c r="A52" s="108">
        <v>48</v>
      </c>
      <c r="B52" s="115">
        <f t="shared" si="5"/>
        <v>5.6214244519682249E-3</v>
      </c>
      <c r="C52" s="114">
        <f t="shared" si="6"/>
        <v>0.32189484621749054</v>
      </c>
      <c r="D52" s="113">
        <f t="shared" si="7"/>
        <v>0.67810515378250946</v>
      </c>
      <c r="E52" s="104">
        <f>D52/D40</f>
        <v>0.93021523016171936</v>
      </c>
    </row>
    <row r="53" spans="1:5" x14ac:dyDescent="0.2">
      <c r="A53" s="109">
        <v>49</v>
      </c>
      <c r="B53" s="102">
        <f t="shared" si="5"/>
        <v>5.5543704869801822E-3</v>
      </c>
      <c r="C53" s="101">
        <f t="shared" si="6"/>
        <v>0.32566129347072925</v>
      </c>
      <c r="D53" s="100">
        <f t="shared" si="7"/>
        <v>0.67433870652927075</v>
      </c>
    </row>
    <row r="54" spans="1:5" x14ac:dyDescent="0.2">
      <c r="A54" s="109">
        <v>50</v>
      </c>
      <c r="B54" s="102">
        <f t="shared" si="5"/>
        <v>5.4881163609402641E-3</v>
      </c>
      <c r="C54" s="101">
        <f t="shared" si="6"/>
        <v>0.32936214275884784</v>
      </c>
      <c r="D54" s="100">
        <f t="shared" si="7"/>
        <v>0.67063785724115221</v>
      </c>
    </row>
    <row r="55" spans="1:5" x14ac:dyDescent="0.2">
      <c r="A55" s="109">
        <v>51</v>
      </c>
      <c r="B55" s="102">
        <f t="shared" si="5"/>
        <v>5.4226525331398327E-3</v>
      </c>
      <c r="C55" s="101">
        <f t="shared" si="6"/>
        <v>0.33299877883423606</v>
      </c>
      <c r="D55" s="100">
        <f t="shared" si="7"/>
        <v>0.66700122116576388</v>
      </c>
    </row>
    <row r="56" spans="1:5" x14ac:dyDescent="0.2">
      <c r="A56" s="109">
        <v>52</v>
      </c>
      <c r="B56" s="102">
        <f t="shared" si="5"/>
        <v>5.3579695766745603E-3</v>
      </c>
      <c r="C56" s="101">
        <f t="shared" si="6"/>
        <v>0.33657255108484702</v>
      </c>
      <c r="D56" s="100">
        <f t="shared" si="7"/>
        <v>0.66342744891515304</v>
      </c>
    </row>
    <row r="57" spans="1:5" x14ac:dyDescent="0.2">
      <c r="A57" s="109">
        <v>53</v>
      </c>
      <c r="B57" s="102">
        <f t="shared" si="5"/>
        <v>5.2940581770869457E-3</v>
      </c>
      <c r="C57" s="101">
        <f t="shared" si="6"/>
        <v>0.34008477459568021</v>
      </c>
      <c r="D57" s="100">
        <f t="shared" si="7"/>
        <v>0.65991522540431979</v>
      </c>
    </row>
    <row r="58" spans="1:5" x14ac:dyDescent="0.2">
      <c r="A58" s="109">
        <v>54</v>
      </c>
      <c r="B58" s="102">
        <f t="shared" si="5"/>
        <v>5.2309091310250083E-3</v>
      </c>
      <c r="C58" s="101">
        <f t="shared" si="6"/>
        <v>0.34353673117395012</v>
      </c>
      <c r="D58" s="100">
        <f t="shared" si="7"/>
        <v>0.65646326882604988</v>
      </c>
    </row>
    <row r="59" spans="1:5" x14ac:dyDescent="0.2">
      <c r="A59" s="109">
        <v>55</v>
      </c>
      <c r="B59" s="102">
        <f t="shared" si="5"/>
        <v>5.1685133449169921E-3</v>
      </c>
      <c r="C59" s="101">
        <f t="shared" si="6"/>
        <v>0.34692967033932537</v>
      </c>
      <c r="D59" s="100">
        <f t="shared" si="7"/>
        <v>0.65307032966067458</v>
      </c>
    </row>
    <row r="60" spans="1:5" x14ac:dyDescent="0.2">
      <c r="A60" s="109">
        <v>56</v>
      </c>
      <c r="B60" s="102">
        <f t="shared" si="5"/>
        <v>5.106861833661879E-3</v>
      </c>
      <c r="C60" s="101">
        <f t="shared" si="6"/>
        <v>0.35026481028056644</v>
      </c>
      <c r="D60" s="100">
        <f t="shared" si="7"/>
        <v>0.64973518971943356</v>
      </c>
    </row>
    <row r="61" spans="1:5" x14ac:dyDescent="0.2">
      <c r="A61" s="109">
        <v>57</v>
      </c>
      <c r="B61" s="102">
        <f t="shared" si="5"/>
        <v>5.0459457193355118E-3</v>
      </c>
      <c r="C61" s="101">
        <f t="shared" si="6"/>
        <v>0.35354333877983285</v>
      </c>
      <c r="D61" s="100">
        <f t="shared" si="7"/>
        <v>0.64645666122016721</v>
      </c>
    </row>
    <row r="62" spans="1:5" x14ac:dyDescent="0.2">
      <c r="A62" s="109">
        <v>58</v>
      </c>
      <c r="B62" s="102">
        <f t="shared" si="5"/>
        <v>4.9857562299121649E-3</v>
      </c>
      <c r="C62" s="101">
        <f t="shared" si="6"/>
        <v>0.3567664141058795</v>
      </c>
      <c r="D62" s="100">
        <f t="shared" si="7"/>
        <v>0.6432335858941205</v>
      </c>
    </row>
    <row r="63" spans="1:5" x14ac:dyDescent="0.2">
      <c r="A63" s="109">
        <v>59</v>
      </c>
      <c r="B63" s="102">
        <f t="shared" si="5"/>
        <v>4.926284698001355E-3</v>
      </c>
      <c r="C63" s="101">
        <f t="shared" si="6"/>
        <v>0.35993516587731023</v>
      </c>
      <c r="D63" s="100">
        <f t="shared" si="7"/>
        <v>0.64006483412268977</v>
      </c>
    </row>
    <row r="64" spans="1:5" ht="15" x14ac:dyDescent="0.25">
      <c r="A64" s="108">
        <v>60</v>
      </c>
      <c r="B64" s="107">
        <f t="shared" si="5"/>
        <v>4.8675225595997173E-3</v>
      </c>
      <c r="C64" s="106">
        <f t="shared" si="6"/>
        <v>0.36305069589700889</v>
      </c>
      <c r="D64" s="105">
        <f t="shared" si="7"/>
        <v>0.63694930410299111</v>
      </c>
      <c r="E64" s="104">
        <f>D64/D52</f>
        <v>0.9393075698511526</v>
      </c>
    </row>
    <row r="65" spans="1:5" x14ac:dyDescent="0.2">
      <c r="A65" s="109">
        <v>61</v>
      </c>
      <c r="B65" s="102">
        <f t="shared" si="5"/>
        <v>4.8094613528577804E-3</v>
      </c>
      <c r="C65" s="101">
        <f t="shared" si="6"/>
        <v>0.36611407895882186</v>
      </c>
      <c r="D65" s="100">
        <f t="shared" si="7"/>
        <v>0.63388592104117814</v>
      </c>
    </row>
    <row r="66" spans="1:5" x14ac:dyDescent="0.2">
      <c r="A66" s="109">
        <v>62</v>
      </c>
      <c r="B66" s="102">
        <f t="shared" si="5"/>
        <v>4.7520927168614446E-3</v>
      </c>
      <c r="C66" s="101">
        <f t="shared" si="6"/>
        <v>0.36912636362752266</v>
      </c>
      <c r="D66" s="100">
        <f t="shared" si="7"/>
        <v>0.6308736363724774</v>
      </c>
    </row>
    <row r="67" spans="1:5" x14ac:dyDescent="0.2">
      <c r="A67" s="109">
        <v>63</v>
      </c>
      <c r="B67" s="102">
        <f t="shared" si="5"/>
        <v>4.6954083904279928E-3</v>
      </c>
      <c r="C67" s="101">
        <f t="shared" si="6"/>
        <v>0.37208857299304582</v>
      </c>
      <c r="D67" s="100">
        <f t="shared" si="7"/>
        <v>0.62791142700695413</v>
      </c>
    </row>
    <row r="68" spans="1:5" x14ac:dyDescent="0.2">
      <c r="A68" s="109">
        <v>64</v>
      </c>
      <c r="B68" s="102">
        <f t="shared" si="5"/>
        <v>4.6394002109164676E-3</v>
      </c>
      <c r="C68" s="101">
        <f t="shared" si="6"/>
        <v>0.37500170539993877</v>
      </c>
      <c r="D68" s="100">
        <f t="shared" si="7"/>
        <v>0.62499829460006118</v>
      </c>
    </row>
    <row r="69" spans="1:5" x14ac:dyDescent="0.2">
      <c r="A69" s="109">
        <v>65</v>
      </c>
      <c r="B69" s="102">
        <f t="shared" ref="B69:B100" si="8">$B$1*EXP(-$B$2*A69)</f>
        <v>4.5840601130522352E-3</v>
      </c>
      <c r="C69" s="101">
        <f t="shared" si="6"/>
        <v>0.37786673515294056</v>
      </c>
      <c r="D69" s="100">
        <f t="shared" si="7"/>
        <v>0.62213326484705944</v>
      </c>
    </row>
    <row r="70" spans="1:5" x14ac:dyDescent="0.2">
      <c r="A70" s="109">
        <v>66</v>
      </c>
      <c r="B70" s="102">
        <f t="shared" si="8"/>
        <v>4.5293801277655771E-3</v>
      </c>
      <c r="C70" s="101">
        <f t="shared" si="6"/>
        <v>0.38068461319956076</v>
      </c>
      <c r="D70" s="100">
        <f t="shared" si="7"/>
        <v>0.61931538680043929</v>
      </c>
    </row>
    <row r="71" spans="1:5" x14ac:dyDescent="0.2">
      <c r="A71" s="109">
        <v>67</v>
      </c>
      <c r="B71" s="102">
        <f t="shared" si="8"/>
        <v>4.4753523810441235E-3</v>
      </c>
      <c r="C71" s="101">
        <f t="shared" si="6"/>
        <v>0.38345626779049535</v>
      </c>
      <c r="D71" s="100">
        <f t="shared" si="7"/>
        <v>0.61654373220950465</v>
      </c>
    </row>
    <row r="72" spans="1:5" x14ac:dyDescent="0.2">
      <c r="A72" s="109">
        <v>68</v>
      </c>
      <c r="B72" s="102">
        <f t="shared" si="8"/>
        <v>4.4219690927989868E-3</v>
      </c>
      <c r="C72" s="101">
        <f t="shared" si="6"/>
        <v>0.38618260511868474</v>
      </c>
      <c r="D72" s="100">
        <f t="shared" si="7"/>
        <v>0.61381739488131526</v>
      </c>
    </row>
    <row r="73" spans="1:5" x14ac:dyDescent="0.2">
      <c r="A73" s="109">
        <v>69</v>
      </c>
      <c r="B73" s="102">
        <f t="shared" si="8"/>
        <v>4.3692225757444112E-3</v>
      </c>
      <c r="C73" s="101">
        <f t="shared" si="6"/>
        <v>0.38886450993778482</v>
      </c>
      <c r="D73" s="100">
        <f t="shared" si="7"/>
        <v>0.61113549006221524</v>
      </c>
    </row>
    <row r="74" spans="1:5" x14ac:dyDescent="0.2">
      <c r="A74" s="109">
        <v>70</v>
      </c>
      <c r="B74" s="102">
        <f t="shared" si="8"/>
        <v>4.3171052342907976E-3</v>
      </c>
      <c r="C74" s="101">
        <f t="shared" si="6"/>
        <v>0.39150284616079328</v>
      </c>
      <c r="D74" s="100">
        <f t="shared" si="7"/>
        <v>0.60849715383920677</v>
      </c>
    </row>
    <row r="75" spans="1:5" x14ac:dyDescent="0.2">
      <c r="A75" s="109">
        <v>71</v>
      </c>
      <c r="B75" s="102">
        <f t="shared" si="8"/>
        <v>4.2656095634509136E-3</v>
      </c>
      <c r="C75" s="101">
        <f t="shared" si="6"/>
        <v>0.39409845743954247</v>
      </c>
      <c r="D75" s="100">
        <f t="shared" si="7"/>
        <v>0.60590154256045747</v>
      </c>
    </row>
    <row r="76" spans="1:5" ht="15" x14ac:dyDescent="0.25">
      <c r="A76" s="108">
        <v>72</v>
      </c>
      <c r="B76" s="107">
        <f t="shared" si="8"/>
        <v>4.2147281477591765E-3</v>
      </c>
      <c r="C76" s="106">
        <f t="shared" si="6"/>
        <v>0.39665216772574274</v>
      </c>
      <c r="D76" s="105">
        <f t="shared" si="7"/>
        <v>0.60334783227425726</v>
      </c>
      <c r="E76" s="104">
        <f>D76/D64</f>
        <v>0.9472462382605874</v>
      </c>
    </row>
    <row r="77" spans="1:5" x14ac:dyDescent="0.2">
      <c r="A77" s="109">
        <v>73</v>
      </c>
      <c r="B77" s="102">
        <f t="shared" si="8"/>
        <v>4.1644536602038007E-3</v>
      </c>
      <c r="C77" s="101">
        <f t="shared" si="6"/>
        <v>0.39916478181423332</v>
      </c>
      <c r="D77" s="100">
        <f t="shared" si="7"/>
        <v>0.60083521818576668</v>
      </c>
    </row>
    <row r="78" spans="1:5" x14ac:dyDescent="0.2">
      <c r="A78" s="109">
        <v>74</v>
      </c>
      <c r="B78" s="102">
        <f t="shared" si="8"/>
        <v>4.1147788611717055E-3</v>
      </c>
      <c r="C78" s="101">
        <f t="shared" si="6"/>
        <v>0.4016370858690716</v>
      </c>
      <c r="D78" s="100">
        <f t="shared" si="7"/>
        <v>0.59836291413092835</v>
      </c>
    </row>
    <row r="79" spans="1:5" x14ac:dyDescent="0.2">
      <c r="A79" s="109">
        <v>75</v>
      </c>
      <c r="B79" s="102">
        <f t="shared" si="8"/>
        <v>4.0656965974059916E-3</v>
      </c>
      <c r="C79" s="101">
        <f t="shared" si="6"/>
        <v>0.40406984793306766</v>
      </c>
      <c r="D79" s="100">
        <f t="shared" si="7"/>
        <v>0.59593015206693234</v>
      </c>
    </row>
    <row r="80" spans="1:5" x14ac:dyDescent="0.2">
      <c r="A80" s="109">
        <v>76</v>
      </c>
      <c r="B80" s="102">
        <f t="shared" si="8"/>
        <v>4.0171998009758602E-3</v>
      </c>
      <c r="C80" s="101">
        <f t="shared" si="6"/>
        <v>0.40646381842134643</v>
      </c>
      <c r="D80" s="100">
        <f t="shared" si="7"/>
        <v>0.59353618157865351</v>
      </c>
    </row>
    <row r="81" spans="1:5" x14ac:dyDescent="0.2">
      <c r="A81" s="109">
        <v>77</v>
      </c>
      <c r="B81" s="102">
        <f t="shared" si="8"/>
        <v>3.9692814882588247E-3</v>
      </c>
      <c r="C81" s="101">
        <f t="shared" ref="C81:C112" si="9">C80+B81*D80</f>
        <v>0.40881973059949839</v>
      </c>
      <c r="D81" s="100">
        <f t="shared" ref="D81:D112" si="10">1-C81</f>
        <v>0.59118026940050161</v>
      </c>
    </row>
    <row r="82" spans="1:5" x14ac:dyDescent="0.2">
      <c r="A82" s="109">
        <v>78</v>
      </c>
      <c r="B82" s="102">
        <f t="shared" si="8"/>
        <v>3.9219347589350495E-3</v>
      </c>
      <c r="C82" s="101">
        <f t="shared" si="9"/>
        <v>0.41113830104685678</v>
      </c>
      <c r="D82" s="100">
        <f t="shared" si="10"/>
        <v>0.58886169895314322</v>
      </c>
    </row>
    <row r="83" spans="1:5" x14ac:dyDescent="0.2">
      <c r="A83" s="109">
        <v>79</v>
      </c>
      <c r="B83" s="102">
        <f t="shared" si="8"/>
        <v>3.8751527949936969E-3</v>
      </c>
      <c r="C83" s="101">
        <f t="shared" si="9"/>
        <v>0.41342023010541978</v>
      </c>
      <c r="D83" s="100">
        <f t="shared" si="10"/>
        <v>0.58657976989458027</v>
      </c>
    </row>
    <row r="84" spans="1:5" x14ac:dyDescent="0.2">
      <c r="A84" s="109">
        <v>80</v>
      </c>
      <c r="B84" s="102">
        <f t="shared" si="8"/>
        <v>3.8289288597511207E-3</v>
      </c>
      <c r="C84" s="101">
        <f t="shared" si="9"/>
        <v>0.4156662023149153</v>
      </c>
      <c r="D84" s="100">
        <f t="shared" si="10"/>
        <v>0.58433379768508464</v>
      </c>
    </row>
    <row r="85" spans="1:5" x14ac:dyDescent="0.2">
      <c r="A85" s="109">
        <v>81</v>
      </c>
      <c r="B85" s="102">
        <f t="shared" si="8"/>
        <v>3.7832562968807683E-3</v>
      </c>
      <c r="C85" s="101">
        <f t="shared" si="9"/>
        <v>0.41787688683448765</v>
      </c>
      <c r="D85" s="100">
        <f t="shared" si="10"/>
        <v>0.58212311316551235</v>
      </c>
    </row>
    <row r="86" spans="1:5" x14ac:dyDescent="0.2">
      <c r="A86" s="109">
        <v>82</v>
      </c>
      <c r="B86" s="102">
        <f t="shared" si="8"/>
        <v>3.7381285294546653E-3</v>
      </c>
      <c r="C86" s="101">
        <f t="shared" si="9"/>
        <v>0.42005293785146663</v>
      </c>
      <c r="D86" s="100">
        <f t="shared" si="10"/>
        <v>0.57994706214853342</v>
      </c>
    </row>
    <row r="87" spans="1:5" x14ac:dyDescent="0.2">
      <c r="A87" s="109">
        <v>83</v>
      </c>
      <c r="B87" s="102">
        <f t="shared" si="8"/>
        <v>3.6935390589963204E-3</v>
      </c>
      <c r="C87" s="101">
        <f t="shared" si="9"/>
        <v>0.42219499497766239</v>
      </c>
      <c r="D87" s="100">
        <f t="shared" si="10"/>
        <v>0.57780500502233756</v>
      </c>
    </row>
    <row r="88" spans="1:5" ht="15" x14ac:dyDescent="0.25">
      <c r="A88" s="108">
        <v>84</v>
      </c>
      <c r="B88" s="107">
        <f t="shared" si="8"/>
        <v>3.6494814645449377E-3</v>
      </c>
      <c r="C88" s="106">
        <f t="shared" si="9"/>
        <v>0.4243036836336127</v>
      </c>
      <c r="D88" s="105">
        <f t="shared" si="10"/>
        <v>0.5756963163663873</v>
      </c>
      <c r="E88" s="104">
        <f>D88/D76</f>
        <v>0.95416985952590494</v>
      </c>
    </row>
    <row r="89" spans="1:5" x14ac:dyDescent="0.2">
      <c r="A89" s="109">
        <v>85</v>
      </c>
      <c r="B89" s="102">
        <f t="shared" si="8"/>
        <v>3.605949401730783E-3</v>
      </c>
      <c r="C89" s="101">
        <f t="shared" si="9"/>
        <v>0.42637961542119268</v>
      </c>
      <c r="D89" s="100">
        <f t="shared" si="10"/>
        <v>0.57362038457880726</v>
      </c>
    </row>
    <row r="90" spans="1:5" x14ac:dyDescent="0.2">
      <c r="A90" s="109">
        <v>86</v>
      </c>
      <c r="B90" s="102">
        <f t="shared" si="8"/>
        <v>3.5629366018615884E-3</v>
      </c>
      <c r="C90" s="101">
        <f t="shared" si="9"/>
        <v>0.42842338848498246</v>
      </c>
      <c r="D90" s="100">
        <f t="shared" si="10"/>
        <v>0.5715766115150176</v>
      </c>
    </row>
    <row r="91" spans="1:5" x14ac:dyDescent="0.2">
      <c r="A91" s="109">
        <v>87</v>
      </c>
      <c r="B91" s="102">
        <f t="shared" si="8"/>
        <v>3.5204368710198457E-3</v>
      </c>
      <c r="C91" s="101">
        <f t="shared" si="9"/>
        <v>0.43043558786277253</v>
      </c>
      <c r="D91" s="100">
        <f t="shared" si="10"/>
        <v>0.56956441213722742</v>
      </c>
    </row>
    <row r="92" spans="1:5" x14ac:dyDescent="0.2">
      <c r="A92" s="109">
        <v>88</v>
      </c>
      <c r="B92" s="102">
        <f t="shared" si="8"/>
        <v>3.4784440891708741E-3</v>
      </c>
      <c r="C92" s="101">
        <f t="shared" si="9"/>
        <v>0.43241678582557336</v>
      </c>
      <c r="D92" s="100">
        <f t="shared" si="10"/>
        <v>0.56758321417442659</v>
      </c>
    </row>
    <row r="93" spans="1:5" x14ac:dyDescent="0.2">
      <c r="A93" s="109">
        <v>89</v>
      </c>
      <c r="B93" s="102">
        <f t="shared" si="8"/>
        <v>3.4369522092815236E-3</v>
      </c>
      <c r="C93" s="101">
        <f t="shared" si="9"/>
        <v>0.43436754220748125</v>
      </c>
      <c r="D93" s="100">
        <f t="shared" si="10"/>
        <v>0.56563245779251869</v>
      </c>
    </row>
    <row r="94" spans="1:5" x14ac:dyDescent="0.2">
      <c r="A94" s="109">
        <v>90</v>
      </c>
      <c r="B94" s="102">
        <f t="shared" si="8"/>
        <v>3.3959552564493912E-3</v>
      </c>
      <c r="C94" s="101">
        <f t="shared" si="9"/>
        <v>0.43628840472574015</v>
      </c>
      <c r="D94" s="100">
        <f t="shared" si="10"/>
        <v>0.56371159527425985</v>
      </c>
    </row>
    <row r="95" spans="1:5" x14ac:dyDescent="0.2">
      <c r="A95" s="109">
        <v>91</v>
      </c>
      <c r="B95" s="102">
        <f t="shared" si="8"/>
        <v>3.3554473270424267E-3</v>
      </c>
      <c r="C95" s="101">
        <f t="shared" si="9"/>
        <v>0.438179909291326</v>
      </c>
      <c r="D95" s="100">
        <f t="shared" si="10"/>
        <v>0.561820090708674</v>
      </c>
    </row>
    <row r="96" spans="1:5" x14ac:dyDescent="0.2">
      <c r="A96" s="109">
        <v>92</v>
      </c>
      <c r="B96" s="102">
        <f t="shared" si="8"/>
        <v>3.3154225878487971E-3</v>
      </c>
      <c r="C96" s="101">
        <f t="shared" si="9"/>
        <v>0.4400425803103688</v>
      </c>
      <c r="D96" s="100">
        <f t="shared" si="10"/>
        <v>0.5599574196896312</v>
      </c>
    </row>
    <row r="97" spans="1:5" x14ac:dyDescent="0.2">
      <c r="A97" s="109">
        <v>93</v>
      </c>
      <c r="B97" s="102">
        <f t="shared" si="8"/>
        <v>3.2758752752368955E-3</v>
      </c>
      <c r="C97" s="101">
        <f t="shared" si="9"/>
        <v>0.44187693097671554</v>
      </c>
      <c r="D97" s="100">
        <f t="shared" si="10"/>
        <v>0.55812306902328446</v>
      </c>
    </row>
    <row r="98" spans="1:5" x14ac:dyDescent="0.2">
      <c r="A98" s="109">
        <v>94</v>
      </c>
      <c r="B98" s="102">
        <f t="shared" si="8"/>
        <v>3.236799694325367E-3</v>
      </c>
      <c r="C98" s="101">
        <f t="shared" si="9"/>
        <v>0.44368346355592603</v>
      </c>
      <c r="D98" s="100">
        <f t="shared" si="10"/>
        <v>0.55631653644407397</v>
      </c>
    </row>
    <row r="99" spans="1:5" x14ac:dyDescent="0.2">
      <c r="A99" s="109">
        <v>95</v>
      </c>
      <c r="B99" s="102">
        <f t="shared" si="8"/>
        <v>3.1981902181630385E-3</v>
      </c>
      <c r="C99" s="101">
        <f t="shared" si="9"/>
        <v>0.4454626696609838</v>
      </c>
      <c r="D99" s="100">
        <f t="shared" si="10"/>
        <v>0.5545373303390162</v>
      </c>
    </row>
    <row r="100" spans="1:5" x14ac:dyDescent="0.2">
      <c r="A100" s="112">
        <v>96</v>
      </c>
      <c r="B100" s="111">
        <f t="shared" si="8"/>
        <v>3.1600412869186244E-3</v>
      </c>
      <c r="C100" s="110">
        <f t="shared" si="9"/>
        <v>0.44721503051999273</v>
      </c>
      <c r="D100" s="105">
        <f t="shared" si="10"/>
        <v>0.55278496948000733</v>
      </c>
      <c r="E100" s="104">
        <f>D100/D88</f>
        <v>0.96020237365597694</v>
      </c>
    </row>
    <row r="101" spans="1:5" x14ac:dyDescent="0.2">
      <c r="A101" s="109">
        <v>97</v>
      </c>
      <c r="B101" s="102">
        <f t="shared" ref="B101:B132" si="11">$B$1*EXP(-$B$2*A101)</f>
        <v>3.1223474070801054E-3</v>
      </c>
      <c r="C101" s="101">
        <f t="shared" si="9"/>
        <v>0.44894101723612151</v>
      </c>
      <c r="D101" s="100">
        <f t="shared" si="10"/>
        <v>0.55105898276387855</v>
      </c>
    </row>
    <row r="102" spans="1:5" x14ac:dyDescent="0.2">
      <c r="A102" s="109">
        <v>98</v>
      </c>
      <c r="B102" s="102">
        <f t="shared" si="11"/>
        <v>3.0851031506636474E-3</v>
      </c>
      <c r="C102" s="101">
        <f t="shared" si="9"/>
        <v>0.45064109104004785</v>
      </c>
      <c r="D102" s="100">
        <f t="shared" si="10"/>
        <v>0.54935890895995221</v>
      </c>
    </row>
    <row r="103" spans="1:5" x14ac:dyDescent="0.2">
      <c r="A103" s="109">
        <v>99</v>
      </c>
      <c r="B103" s="102">
        <f t="shared" si="11"/>
        <v>3.0483031544319686E-3</v>
      </c>
      <c r="C103" s="101">
        <f t="shared" si="9"/>
        <v>0.45231570353514577</v>
      </c>
      <c r="D103" s="100">
        <f t="shared" si="10"/>
        <v>0.54768429646485428</v>
      </c>
    </row>
    <row r="104" spans="1:5" x14ac:dyDescent="0.2">
      <c r="A104" s="109">
        <v>100</v>
      </c>
      <c r="B104" s="102">
        <f t="shared" si="11"/>
        <v>3.0119421191220214E-3</v>
      </c>
      <c r="C104" s="101">
        <f t="shared" si="9"/>
        <v>0.45396529693564996</v>
      </c>
      <c r="D104" s="100">
        <f t="shared" si="10"/>
        <v>0.54603470306434998</v>
      </c>
    </row>
    <row r="105" spans="1:5" x14ac:dyDescent="0.2">
      <c r="A105" s="109">
        <v>101</v>
      </c>
      <c r="B105" s="102">
        <f t="shared" si="11"/>
        <v>2.9760148086818883E-3</v>
      </c>
      <c r="C105" s="101">
        <f t="shared" si="9"/>
        <v>0.45559030429802366</v>
      </c>
      <c r="D105" s="100">
        <f t="shared" si="10"/>
        <v>0.54440969570197639</v>
      </c>
    </row>
    <row r="106" spans="1:5" x14ac:dyDescent="0.2">
      <c r="A106" s="109">
        <v>102</v>
      </c>
      <c r="B106" s="102">
        <f t="shared" si="11"/>
        <v>2.9405160495167837E-3</v>
      </c>
      <c r="C106" s="101">
        <f t="shared" si="9"/>
        <v>0.45719114974574787</v>
      </c>
      <c r="D106" s="100">
        <f t="shared" si="10"/>
        <v>0.54280885025425207</v>
      </c>
    </row>
    <row r="107" spans="1:5" x14ac:dyDescent="0.2">
      <c r="A107" s="109">
        <v>103</v>
      </c>
      <c r="B107" s="102">
        <f t="shared" si="11"/>
        <v>2.905440729744046E-3</v>
      </c>
      <c r="C107" s="101">
        <f t="shared" si="9"/>
        <v>0.45876824868774213</v>
      </c>
      <c r="D107" s="100">
        <f t="shared" si="10"/>
        <v>0.54123175131225787</v>
      </c>
    </row>
    <row r="108" spans="1:5" x14ac:dyDescent="0.2">
      <c r="A108" s="109">
        <v>104</v>
      </c>
      <c r="B108" s="102">
        <f t="shared" si="11"/>
        <v>2.8707837984570167E-3</v>
      </c>
      <c r="C108" s="101">
        <f t="shared" si="9"/>
        <v>0.4603220080306199</v>
      </c>
      <c r="D108" s="100">
        <f t="shared" si="10"/>
        <v>0.53967799196938016</v>
      </c>
    </row>
    <row r="109" spans="1:5" x14ac:dyDescent="0.2">
      <c r="A109" s="109">
        <v>105</v>
      </c>
      <c r="B109" s="102">
        <f t="shared" si="11"/>
        <v>2.8365402649977041E-3</v>
      </c>
      <c r="C109" s="101">
        <f t="shared" si="9"/>
        <v>0.46185282638497416</v>
      </c>
      <c r="D109" s="100">
        <f t="shared" si="10"/>
        <v>0.53814717361502584</v>
      </c>
    </row>
    <row r="110" spans="1:5" x14ac:dyDescent="0.2">
      <c r="A110" s="109">
        <v>106</v>
      </c>
      <c r="B110" s="102">
        <f t="shared" si="11"/>
        <v>2.8027051982381155E-3</v>
      </c>
      <c r="C110" s="101">
        <f t="shared" si="9"/>
        <v>0.46336109426588212</v>
      </c>
      <c r="D110" s="100">
        <f t="shared" si="10"/>
        <v>0.53663890573411788</v>
      </c>
    </row>
    <row r="111" spans="1:5" x14ac:dyDescent="0.2">
      <c r="A111" s="109">
        <v>107</v>
      </c>
      <c r="B111" s="102">
        <f t="shared" si="11"/>
        <v>2.7692737258701713E-3</v>
      </c>
      <c r="C111" s="101">
        <f t="shared" si="9"/>
        <v>0.46484719428781135</v>
      </c>
      <c r="D111" s="100">
        <f t="shared" si="10"/>
        <v>0.5351528057121886</v>
      </c>
    </row>
    <row r="112" spans="1:5" ht="15" x14ac:dyDescent="0.25">
      <c r="A112" s="108">
        <v>108</v>
      </c>
      <c r="B112" s="107">
        <f t="shared" si="11"/>
        <v>2.7362410337040807E-3</v>
      </c>
      <c r="C112" s="106">
        <f t="shared" si="9"/>
        <v>0.46631150135410293</v>
      </c>
      <c r="D112" s="105">
        <f t="shared" si="10"/>
        <v>0.53368849864589707</v>
      </c>
      <c r="E112" s="104">
        <f>D112/D100</f>
        <v>0.96545407004811679</v>
      </c>
    </row>
    <row r="113" spans="1:4" x14ac:dyDescent="0.2">
      <c r="A113" s="101"/>
      <c r="B113" s="102"/>
      <c r="C113" s="101"/>
      <c r="D113" s="100"/>
    </row>
    <row r="114" spans="1:4" ht="18.75" x14ac:dyDescent="0.3">
      <c r="A114" s="103"/>
      <c r="B114" s="102"/>
      <c r="C114" s="101"/>
      <c r="D114" s="100"/>
    </row>
    <row r="115" spans="1:4" x14ac:dyDescent="0.2">
      <c r="A115" s="101"/>
      <c r="B115" s="102"/>
      <c r="C115" s="101"/>
      <c r="D115" s="100"/>
    </row>
    <row r="116" spans="1:4" x14ac:dyDescent="0.2">
      <c r="A116" s="101"/>
      <c r="B116" s="102"/>
      <c r="C116" s="101"/>
      <c r="D116" s="100"/>
    </row>
    <row r="117" spans="1:4" x14ac:dyDescent="0.2">
      <c r="A117" s="101"/>
      <c r="B117" s="102"/>
      <c r="C117" s="101"/>
      <c r="D117" s="100"/>
    </row>
    <row r="118" spans="1:4" x14ac:dyDescent="0.2">
      <c r="A118" s="101"/>
      <c r="B118" s="102"/>
      <c r="C118" s="101"/>
      <c r="D118" s="100"/>
    </row>
    <row r="119" spans="1:4" x14ac:dyDescent="0.2">
      <c r="A119" s="101"/>
      <c r="B119" s="102"/>
      <c r="C119" s="101"/>
      <c r="D119" s="100"/>
    </row>
    <row r="120" spans="1:4" x14ac:dyDescent="0.2">
      <c r="A120" s="101"/>
      <c r="B120" s="102"/>
      <c r="C120" s="101"/>
      <c r="D120" s="100"/>
    </row>
    <row r="121" spans="1:4" x14ac:dyDescent="0.2">
      <c r="A121" s="101"/>
      <c r="B121" s="102"/>
      <c r="C121" s="101"/>
      <c r="D121" s="100"/>
    </row>
    <row r="122" spans="1:4" x14ac:dyDescent="0.2">
      <c r="A122" s="101"/>
      <c r="B122" s="102"/>
      <c r="C122" s="101"/>
      <c r="D122" s="100"/>
    </row>
    <row r="123" spans="1:4" x14ac:dyDescent="0.2">
      <c r="A123" s="101"/>
      <c r="B123" s="102"/>
      <c r="C123" s="101"/>
      <c r="D123" s="100"/>
    </row>
    <row r="124" spans="1:4" x14ac:dyDescent="0.2">
      <c r="A124" s="101"/>
      <c r="B124" s="102"/>
      <c r="C124" s="101"/>
      <c r="D124" s="100"/>
    </row>
    <row r="125" spans="1:4" x14ac:dyDescent="0.2">
      <c r="A125" s="101"/>
      <c r="B125" s="102"/>
      <c r="C125" s="101"/>
      <c r="D125" s="100"/>
    </row>
    <row r="126" spans="1:4" x14ac:dyDescent="0.2">
      <c r="A126" s="101"/>
      <c r="B126" s="102"/>
      <c r="C126" s="101"/>
      <c r="D126" s="100"/>
    </row>
    <row r="127" spans="1:4" x14ac:dyDescent="0.2">
      <c r="A127" s="101"/>
      <c r="B127" s="102"/>
      <c r="C127" s="101"/>
      <c r="D127" s="100"/>
    </row>
    <row r="128" spans="1:4" x14ac:dyDescent="0.2">
      <c r="A128" s="101"/>
      <c r="B128" s="102"/>
      <c r="C128" s="101"/>
      <c r="D128" s="100"/>
    </row>
    <row r="129" spans="1:4" x14ac:dyDescent="0.2">
      <c r="A129" s="101"/>
      <c r="B129" s="102"/>
      <c r="C129" s="101"/>
      <c r="D129" s="100"/>
    </row>
    <row r="130" spans="1:4" x14ac:dyDescent="0.2">
      <c r="A130" s="101"/>
      <c r="B130" s="102"/>
      <c r="C130" s="101"/>
      <c r="D130" s="100"/>
    </row>
    <row r="131" spans="1:4" x14ac:dyDescent="0.2">
      <c r="A131" s="101"/>
      <c r="B131" s="102"/>
      <c r="C131" s="101"/>
      <c r="D131" s="100"/>
    </row>
    <row r="132" spans="1:4" x14ac:dyDescent="0.2">
      <c r="A132" s="101"/>
      <c r="B132" s="102"/>
      <c r="C132" s="101"/>
      <c r="D132" s="100"/>
    </row>
    <row r="133" spans="1:4" x14ac:dyDescent="0.2">
      <c r="A133" s="101"/>
      <c r="B133" s="102"/>
      <c r="C133" s="101"/>
      <c r="D133" s="100"/>
    </row>
    <row r="134" spans="1:4" x14ac:dyDescent="0.2">
      <c r="A134" s="101"/>
      <c r="B134" s="102"/>
      <c r="C134" s="101"/>
      <c r="D134" s="100"/>
    </row>
    <row r="135" spans="1:4" x14ac:dyDescent="0.2">
      <c r="A135" s="101"/>
      <c r="B135" s="102"/>
      <c r="C135" s="101"/>
      <c r="D135" s="100"/>
    </row>
    <row r="136" spans="1:4" x14ac:dyDescent="0.2">
      <c r="A136" s="101"/>
      <c r="B136" s="102"/>
      <c r="C136" s="101"/>
      <c r="D136" s="100"/>
    </row>
    <row r="137" spans="1:4" x14ac:dyDescent="0.2">
      <c r="A137" s="101"/>
      <c r="B137" s="102"/>
      <c r="C137" s="101"/>
      <c r="D137" s="100"/>
    </row>
    <row r="138" spans="1:4" x14ac:dyDescent="0.2">
      <c r="A138" s="101"/>
      <c r="B138" s="102"/>
      <c r="C138" s="101"/>
      <c r="D138" s="100"/>
    </row>
    <row r="139" spans="1:4" x14ac:dyDescent="0.2">
      <c r="A139" s="101"/>
      <c r="B139" s="102"/>
      <c r="C139" s="101"/>
      <c r="D139" s="100"/>
    </row>
    <row r="140" spans="1:4" x14ac:dyDescent="0.2">
      <c r="A140" s="101"/>
      <c r="B140" s="102"/>
      <c r="C140" s="101"/>
      <c r="D140" s="100"/>
    </row>
    <row r="141" spans="1:4" x14ac:dyDescent="0.2">
      <c r="A141" s="101"/>
      <c r="B141" s="102"/>
      <c r="C141" s="101"/>
      <c r="D141" s="100"/>
    </row>
    <row r="142" spans="1:4" x14ac:dyDescent="0.2">
      <c r="A142" s="101"/>
      <c r="B142" s="102"/>
      <c r="C142" s="101"/>
      <c r="D142" s="100"/>
    </row>
    <row r="143" spans="1:4" x14ac:dyDescent="0.2">
      <c r="A143" s="101"/>
      <c r="B143" s="102"/>
      <c r="C143" s="101"/>
      <c r="D143" s="100"/>
    </row>
    <row r="144" spans="1:4" x14ac:dyDescent="0.2">
      <c r="A144" s="101"/>
      <c r="B144" s="102"/>
      <c r="C144" s="101"/>
      <c r="D144" s="100"/>
    </row>
    <row r="145" spans="1:4" x14ac:dyDescent="0.2">
      <c r="A145" s="101"/>
      <c r="B145" s="102"/>
      <c r="C145" s="101"/>
      <c r="D145" s="100"/>
    </row>
    <row r="146" spans="1:4" x14ac:dyDescent="0.2">
      <c r="A146" s="101"/>
      <c r="B146" s="102"/>
      <c r="C146" s="101"/>
      <c r="D146" s="100"/>
    </row>
    <row r="147" spans="1:4" x14ac:dyDescent="0.2">
      <c r="A147" s="101"/>
      <c r="B147" s="102"/>
      <c r="C147" s="101"/>
      <c r="D147" s="100"/>
    </row>
    <row r="148" spans="1:4" x14ac:dyDescent="0.2">
      <c r="A148" s="101"/>
      <c r="B148" s="102"/>
      <c r="C148" s="101"/>
      <c r="D148" s="100"/>
    </row>
    <row r="149" spans="1:4" x14ac:dyDescent="0.2">
      <c r="A149" s="101"/>
      <c r="B149" s="102"/>
      <c r="C149" s="101"/>
      <c r="D149" s="100"/>
    </row>
    <row r="150" spans="1:4" x14ac:dyDescent="0.2">
      <c r="A150" s="101"/>
      <c r="B150" s="102"/>
      <c r="C150" s="101"/>
      <c r="D150" s="100"/>
    </row>
    <row r="151" spans="1:4" x14ac:dyDescent="0.2">
      <c r="A151" s="101"/>
      <c r="B151" s="102"/>
      <c r="C151" s="101"/>
      <c r="D151" s="1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Cost Summary</vt:lpstr>
      <vt:lpstr>Annual Performance Measures</vt:lpstr>
      <vt:lpstr>Import SSP</vt:lpstr>
      <vt:lpstr>Attack rate</vt:lpstr>
      <vt:lpstr>Averted cavities</vt:lpstr>
      <vt:lpstr>Retention Rate</vt:lpstr>
      <vt:lpstr>'Import SSP'!_GoBack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Griffin, Susan (CDC/ONDIEH/NCCDPHP)</dc:creator>
  <cp:lastModifiedBy>Amoroso, Alison (CDC/DDNID/NCCDPHP/OD)</cp:lastModifiedBy>
  <dcterms:created xsi:type="dcterms:W3CDTF">2018-09-17T16:27:58Z</dcterms:created>
  <dcterms:modified xsi:type="dcterms:W3CDTF">2019-01-07T20:46:09Z</dcterms:modified>
</cp:coreProperties>
</file>