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CKerwin\Downloads\"/>
    </mc:Choice>
  </mc:AlternateContent>
  <xr:revisionPtr revIDLastSave="0" documentId="8_{C0A68769-961E-4C5F-89A4-73EEAB52DB78}" xr6:coauthVersionLast="41" xr6:coauthVersionMax="41" xr10:uidLastSave="{00000000-0000-0000-0000-000000000000}"/>
  <bookViews>
    <workbookView xWindow="-120" yWindow="-120" windowWidth="20730" windowHeight="11310" activeTab="2" xr2:uid="{00000000-000D-0000-FFFF-FFFF00000000}"/>
  </bookViews>
  <sheets>
    <sheet name="Labor Rate and Summary Data" sheetId="3" r:id="rId1"/>
    <sheet name="Table 1" sheetId="1" r:id="rId2"/>
    <sheet name="Table 2" sheetId="2" r:id="rId3"/>
    <sheet name="ESRI_MAPINFO_SHEET" sheetId="4"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 i="2" l="1"/>
  <c r="G3" i="2"/>
  <c r="F3" i="2"/>
  <c r="C35" i="3"/>
  <c r="J52" i="1"/>
  <c r="J11" i="3"/>
  <c r="J10" i="3"/>
  <c r="I16" i="3"/>
  <c r="E32" i="1"/>
  <c r="E29" i="1"/>
  <c r="D23" i="3" l="1"/>
  <c r="E7" i="2" l="1"/>
  <c r="C7" i="2"/>
  <c r="B7" i="2"/>
  <c r="C16" i="1"/>
  <c r="C15" i="1"/>
  <c r="B16" i="1"/>
  <c r="B15" i="1"/>
  <c r="K8" i="3"/>
  <c r="J8" i="3"/>
  <c r="E12" i="2" l="1"/>
  <c r="F12" i="2" s="1"/>
  <c r="D12" i="2"/>
  <c r="E10" i="2"/>
  <c r="D10" i="2"/>
  <c r="M8" i="3"/>
  <c r="D7" i="2"/>
  <c r="D16" i="1"/>
  <c r="D15" i="1"/>
  <c r="D34" i="1"/>
  <c r="M11" i="3"/>
  <c r="E18" i="1" s="1"/>
  <c r="M10" i="3"/>
  <c r="D18" i="1"/>
  <c r="D10" i="1"/>
  <c r="D9" i="1"/>
  <c r="B9" i="3"/>
  <c r="C9" i="3"/>
  <c r="E17" i="1" l="1"/>
  <c r="E7" i="1"/>
  <c r="E14" i="1"/>
  <c r="E13" i="1"/>
  <c r="E12" i="1"/>
  <c r="E10" i="1"/>
  <c r="F10" i="1" s="1"/>
  <c r="G10" i="1" s="1"/>
  <c r="E9" i="1"/>
  <c r="F7" i="2"/>
  <c r="G7" i="2" s="1"/>
  <c r="F9" i="1"/>
  <c r="H9" i="1" s="1"/>
  <c r="G12" i="2"/>
  <c r="H12" i="2"/>
  <c r="F10" i="2"/>
  <c r="H10" i="2" s="1"/>
  <c r="F18" i="1"/>
  <c r="G18" i="1" s="1"/>
  <c r="H7" i="2" l="1"/>
  <c r="I7" i="2" s="1"/>
  <c r="G10" i="2"/>
  <c r="I10" i="2" s="1"/>
  <c r="I12" i="2"/>
  <c r="H18" i="1"/>
  <c r="H10" i="1"/>
  <c r="G9" i="1"/>
  <c r="C14" i="3" l="1"/>
  <c r="G3" i="1" l="1"/>
  <c r="G24" i="3"/>
  <c r="G22" i="3"/>
  <c r="D24" i="3"/>
  <c r="D22" i="3"/>
  <c r="D25" i="3" s="1"/>
  <c r="G25" i="3" l="1"/>
  <c r="I28" i="3" s="1"/>
  <c r="I43" i="1" s="1"/>
  <c r="K12" i="3"/>
  <c r="K9" i="3"/>
  <c r="K7" i="3"/>
  <c r="K6" i="3"/>
  <c r="K5" i="3"/>
  <c r="C16" i="3"/>
  <c r="H3" i="1" s="1"/>
  <c r="C15" i="3"/>
  <c r="F8" i="3"/>
  <c r="F7" i="3"/>
  <c r="F6" i="3"/>
  <c r="F3" i="1" l="1"/>
  <c r="A48" i="1"/>
  <c r="I25" i="3"/>
  <c r="F9" i="3"/>
  <c r="E27" i="1"/>
  <c r="J6" i="3"/>
  <c r="M6" i="3" s="1"/>
  <c r="E36" i="1"/>
  <c r="E5" i="2"/>
  <c r="J5" i="3"/>
  <c r="M5" i="3" s="1"/>
  <c r="J7" i="3"/>
  <c r="M7" i="3" s="1"/>
  <c r="E22" i="1"/>
  <c r="E23" i="1"/>
  <c r="E30" i="1"/>
  <c r="J9" i="3"/>
  <c r="M9" i="3" s="1"/>
  <c r="E6" i="2"/>
  <c r="E9" i="2"/>
  <c r="E11" i="2"/>
  <c r="E26" i="1"/>
  <c r="E39" i="1" l="1"/>
  <c r="E19" i="1"/>
  <c r="E40" i="1"/>
  <c r="E6" i="1"/>
  <c r="I26" i="3"/>
  <c r="A41" i="3"/>
  <c r="C41" i="3" s="1"/>
  <c r="E34" i="1" s="1"/>
  <c r="F34" i="1" s="1"/>
  <c r="E38" i="1"/>
  <c r="E8" i="2"/>
  <c r="I9" i="1"/>
  <c r="I18" i="1"/>
  <c r="I10" i="1"/>
  <c r="E15" i="1"/>
  <c r="F15" i="1" s="1"/>
  <c r="E16" i="1"/>
  <c r="F16" i="1" s="1"/>
  <c r="J12" i="3"/>
  <c r="M12" i="3" s="1"/>
  <c r="M13" i="3" s="1"/>
  <c r="D11" i="2"/>
  <c r="F11" i="2" s="1"/>
  <c r="D9" i="2"/>
  <c r="F9" i="2" s="1"/>
  <c r="D8" i="2"/>
  <c r="D6" i="2"/>
  <c r="F6" i="2" s="1"/>
  <c r="D5" i="2"/>
  <c r="F5" i="2" s="1"/>
  <c r="D40" i="1"/>
  <c r="D39" i="1"/>
  <c r="D38" i="1"/>
  <c r="D37" i="1"/>
  <c r="D36" i="1"/>
  <c r="F36" i="1" s="1"/>
  <c r="D33" i="1"/>
  <c r="D32" i="1"/>
  <c r="F32" i="1" s="1"/>
  <c r="D30" i="1"/>
  <c r="F30" i="1" s="1"/>
  <c r="D29" i="1"/>
  <c r="F29" i="1" s="1"/>
  <c r="D27" i="1"/>
  <c r="F27" i="1" s="1"/>
  <c r="D26" i="1"/>
  <c r="F26" i="1" s="1"/>
  <c r="D24" i="1"/>
  <c r="F24" i="1" s="1"/>
  <c r="D23" i="1"/>
  <c r="F23" i="1" s="1"/>
  <c r="D22" i="1"/>
  <c r="F22" i="1" s="1"/>
  <c r="D19" i="1"/>
  <c r="D17" i="1"/>
  <c r="F17" i="1" s="1"/>
  <c r="D14" i="1"/>
  <c r="F14" i="1" s="1"/>
  <c r="H14" i="1" s="1"/>
  <c r="D13" i="1"/>
  <c r="F13" i="1" s="1"/>
  <c r="D12" i="1"/>
  <c r="F12" i="1" s="1"/>
  <c r="D7" i="1"/>
  <c r="F7" i="1" s="1"/>
  <c r="D6" i="1"/>
  <c r="G34" i="1" l="1"/>
  <c r="H34" i="1"/>
  <c r="I34" i="1"/>
  <c r="I14" i="3"/>
  <c r="B32" i="3"/>
  <c r="H15" i="1"/>
  <c r="G15" i="1"/>
  <c r="H16" i="1"/>
  <c r="G16" i="1"/>
  <c r="F19" i="1"/>
  <c r="G19" i="1" s="1"/>
  <c r="E14" i="3"/>
  <c r="F8" i="2"/>
  <c r="H8" i="2" s="1"/>
  <c r="F39" i="1"/>
  <c r="H39" i="1" s="1"/>
  <c r="F40" i="1"/>
  <c r="G40" i="1" s="1"/>
  <c r="G5" i="2"/>
  <c r="H7" i="1"/>
  <c r="G7" i="1"/>
  <c r="F38" i="1"/>
  <c r="H38" i="1" s="1"/>
  <c r="H6" i="2"/>
  <c r="G6" i="2"/>
  <c r="H26" i="1"/>
  <c r="H17" i="1"/>
  <c r="H23" i="1"/>
  <c r="G12" i="1"/>
  <c r="H12" i="1"/>
  <c r="G13" i="1"/>
  <c r="H27" i="1"/>
  <c r="G27" i="1"/>
  <c r="H36" i="1"/>
  <c r="G30" i="1"/>
  <c r="H30" i="1"/>
  <c r="H24" i="1"/>
  <c r="G24" i="1"/>
  <c r="G9" i="2"/>
  <c r="H9" i="2"/>
  <c r="H29" i="1"/>
  <c r="H22" i="1"/>
  <c r="G22" i="1"/>
  <c r="H32" i="1"/>
  <c r="H5" i="2"/>
  <c r="H11" i="2"/>
  <c r="G11" i="2"/>
  <c r="G36" i="1"/>
  <c r="G32" i="1"/>
  <c r="G29" i="1"/>
  <c r="G26" i="1"/>
  <c r="G23" i="1"/>
  <c r="G17" i="1"/>
  <c r="H13" i="1"/>
  <c r="G14" i="1"/>
  <c r="I14" i="1" s="1"/>
  <c r="F6" i="1"/>
  <c r="D32" i="3" l="1"/>
  <c r="B33" i="3"/>
  <c r="I16" i="1"/>
  <c r="I15" i="1"/>
  <c r="H19" i="1"/>
  <c r="I19" i="1" s="1"/>
  <c r="I22" i="1"/>
  <c r="G8" i="2"/>
  <c r="I8" i="2" s="1"/>
  <c r="I7" i="1"/>
  <c r="H6" i="1"/>
  <c r="H40" i="1"/>
  <c r="I40" i="1" s="1"/>
  <c r="I36" i="1"/>
  <c r="I17" i="1"/>
  <c r="G39" i="1"/>
  <c r="I39" i="1" s="1"/>
  <c r="I23" i="1"/>
  <c r="I5" i="2"/>
  <c r="I13" i="2" s="1"/>
  <c r="I6" i="2"/>
  <c r="I11" i="2"/>
  <c r="I29" i="1"/>
  <c r="I27" i="1"/>
  <c r="G38" i="1"/>
  <c r="I38" i="1" s="1"/>
  <c r="I9" i="2"/>
  <c r="I32" i="1"/>
  <c r="I13" i="1"/>
  <c r="I24" i="1"/>
  <c r="I30" i="1"/>
  <c r="I12" i="1"/>
  <c r="G6" i="1"/>
  <c r="I6" i="1" s="1"/>
  <c r="I26" i="1"/>
  <c r="D33" i="3" l="1"/>
  <c r="B34" i="3"/>
  <c r="F13" i="2"/>
  <c r="F20" i="1"/>
  <c r="I20" i="1"/>
  <c r="D34" i="3" l="1"/>
  <c r="D35" i="3" s="1"/>
  <c r="B35" i="3"/>
  <c r="E33" i="1" l="1"/>
  <c r="E37" i="1"/>
  <c r="F37" i="1" s="1"/>
  <c r="H37" i="1" l="1"/>
  <c r="G37" i="1"/>
  <c r="I37" i="1" s="1"/>
  <c r="F33" i="1"/>
  <c r="E3" i="1"/>
  <c r="G33" i="1" l="1"/>
  <c r="H33" i="1"/>
  <c r="F41" i="1"/>
  <c r="F42" i="1" s="1"/>
  <c r="E13" i="3" s="1"/>
  <c r="E15" i="3" s="1"/>
  <c r="I33" i="1"/>
  <c r="I41" i="1" s="1"/>
  <c r="I42" i="1" s="1"/>
  <c r="I44" i="1" s="1"/>
</calcChain>
</file>

<file path=xl/sharedStrings.xml><?xml version="1.0" encoding="utf-8"?>
<sst xmlns="http://schemas.openxmlformats.org/spreadsheetml/2006/main" count="170" uniqueCount="152">
  <si>
    <t>Table 1: Annual Respondent Burden and Cost – NESHAP for Paper and Other Web Coating (40 CFR Part 63, Subpart JJJJ) (Renewal)</t>
  </si>
  <si>
    <t>Burden item</t>
  </si>
  <si>
    <t>(D)</t>
  </si>
  <si>
    <t>1.  Reporting requirements</t>
  </si>
  <si>
    <t xml:space="preserve">     A.  Familiarization with regulatory requirements </t>
  </si>
  <si>
    <t>2.  Recordkeeping requirements</t>
  </si>
  <si>
    <t xml:space="preserve">          i.  Design analysis</t>
  </si>
  <si>
    <t xml:space="preserve">          ii. Performance test oversight</t>
  </si>
  <si>
    <t xml:space="preserve">     E.  Develop record system</t>
  </si>
  <si>
    <t xml:space="preserve">     F.  Time to enter information</t>
  </si>
  <si>
    <t xml:space="preserve">     G.  Time to train personnel</t>
  </si>
  <si>
    <t>Assumptions:</t>
  </si>
  <si>
    <t>Last ICR</t>
  </si>
  <si>
    <t>Hours</t>
  </si>
  <si>
    <t>Cost</t>
  </si>
  <si>
    <t>Labor Type</t>
  </si>
  <si>
    <r>
      <t>Total Compensation ($/hr)</t>
    </r>
    <r>
      <rPr>
        <sz val="10"/>
        <rFont val="Times New Roman"/>
        <family val="1"/>
      </rPr>
      <t xml:space="preserve"> </t>
    </r>
  </si>
  <si>
    <r>
      <t>Loaded Rate</t>
    </r>
    <r>
      <rPr>
        <sz val="10"/>
        <rFont val="Times New Roman"/>
        <family val="1"/>
      </rPr>
      <t xml:space="preserve"> (Rate + 110%rate)</t>
    </r>
  </si>
  <si>
    <t>Mgmt.</t>
  </si>
  <si>
    <t>Tech.</t>
  </si>
  <si>
    <t>Cler.</t>
  </si>
  <si>
    <t>Hours per Response</t>
  </si>
  <si>
    <t># hours</t>
  </si>
  <si>
    <t># responses</t>
  </si>
  <si>
    <t>hr/resp</t>
  </si>
  <si>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</si>
  <si>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</si>
  <si>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</si>
  <si>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</si>
  <si>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</si>
  <si>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</si>
  <si>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</si>
  <si>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</si>
  <si>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</si>
  <si>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Number of Existing Respondents That Are Also New Respondents</t>
  </si>
  <si>
    <t>(E)</t>
  </si>
  <si>
    <t>Average</t>
  </si>
  <si>
    <r>
      <t>1</t>
    </r>
    <r>
      <rPr>
        <sz val="12"/>
        <color rgb="FF000000"/>
        <rFont val="Times New Roman"/>
        <family val="1"/>
      </rPr>
      <t xml:space="preserve"> </t>
    </r>
    <r>
      <rPr>
        <sz val="10"/>
        <color rgb="FF000000"/>
        <rFont val="Times New Roman"/>
        <family val="1"/>
      </rPr>
      <t>New respondents include sources with constructed and reconstructed affected facilities.</t>
    </r>
  </si>
  <si>
    <t>Total Annual Responses</t>
  </si>
  <si>
    <t>Information Collection Activity</t>
  </si>
  <si>
    <t>Number of Responses</t>
  </si>
  <si>
    <t>Number of Existing Respondents That Keep Records But Do Not Submit Reports</t>
  </si>
  <si>
    <t>Initial Notification</t>
  </si>
  <si>
    <t>Notification of performance test</t>
  </si>
  <si>
    <t>Notification of compliance status</t>
  </si>
  <si>
    <t>Performance test reports</t>
  </si>
  <si>
    <t>Semiannual report</t>
  </si>
  <si>
    <t>Total</t>
  </si>
  <si>
    <t>Total Annual Responses E=(BxC)+D</t>
  </si>
  <si>
    <t>Number of Respondents (E=A+B+C-D)</t>
  </si>
  <si>
    <r>
      <t xml:space="preserve">Number of New Respondents </t>
    </r>
    <r>
      <rPr>
        <b/>
        <vertAlign val="superscript"/>
        <sz val="10"/>
        <color rgb="FF000000"/>
        <rFont val="Times New Roman"/>
        <family val="1"/>
      </rPr>
      <t>1</t>
    </r>
  </si>
  <si>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</si>
  <si>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</si>
  <si>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</si>
  <si>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</si>
  <si>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</si>
  <si>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</si>
  <si>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t>(A)
Person hours per occurrence</t>
  </si>
  <si>
    <t>(B)
No. of occurrences per respondent per year</t>
  </si>
  <si>
    <t>(F)
Management person hours per year (Ex0.05)</t>
  </si>
  <si>
    <t>(G)
Clerical person hours per year (Ex0.1)</t>
  </si>
  <si>
    <r>
      <t xml:space="preserve">(H)
Cost, $ </t>
    </r>
    <r>
      <rPr>
        <b/>
        <vertAlign val="superscript"/>
        <sz val="10"/>
        <color theme="1"/>
        <rFont val="Times New Roman"/>
        <family val="1"/>
      </rPr>
      <t>b</t>
    </r>
  </si>
  <si>
    <t>(C) 
Person hours per respondent per year 
(C=AxB)</t>
  </si>
  <si>
    <t>Number of New Respondents</t>
  </si>
  <si>
    <r>
      <t>Capital/Startup vs. Operation and Maintenance (O&amp;M) Costs</t>
    </r>
    <r>
      <rPr>
        <sz val="8"/>
        <color theme="1"/>
        <rFont val="Times New Roman"/>
        <family val="1"/>
      </rPr>
      <t> </t>
    </r>
  </si>
  <si>
    <t>Continuous Monitoring Device</t>
  </si>
  <si>
    <t>Capital/Startup Cost for One Respondent</t>
  </si>
  <si>
    <t>Total Capital/Startup Cost,  (B X C)</t>
  </si>
  <si>
    <t>Annual O&amp;M Costs for One Respondent</t>
  </si>
  <si>
    <t>(F)</t>
  </si>
  <si>
    <t>(G)</t>
  </si>
  <si>
    <t>Continuous emission monitoring system (CEMS)</t>
  </si>
  <si>
    <t>Total O&amp;M, 
(E X F)</t>
  </si>
  <si>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</si>
  <si>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t>Number of Respondents with O&amp;M</t>
    </r>
    <r>
      <rPr>
        <b/>
        <vertAlign val="superscript"/>
        <sz val="10"/>
        <color theme="1"/>
        <rFont val="Times New Roman"/>
        <family val="1"/>
      </rPr>
      <t xml:space="preserve"> a</t>
    </r>
  </si>
  <si>
    <t>Subtotal for Reporting Requirements</t>
  </si>
  <si>
    <t xml:space="preserve">Subtotal for Recordkeeping Requirements  </t>
  </si>
  <si>
    <r>
      <t xml:space="preserve">(D) 
Respondents per year  </t>
    </r>
    <r>
      <rPr>
        <b/>
        <vertAlign val="superscript"/>
        <sz val="10"/>
        <rFont val="Times New Roman"/>
        <family val="1"/>
      </rPr>
      <t>a</t>
    </r>
  </si>
  <si>
    <r>
      <t xml:space="preserve">(H) 
Cost, $ </t>
    </r>
    <r>
      <rPr>
        <b/>
        <vertAlign val="superscript"/>
        <sz val="10"/>
        <rFont val="Times New Roman"/>
        <family val="1"/>
      </rPr>
      <t>b</t>
    </r>
  </si>
  <si>
    <r>
      <t xml:space="preserve">1. Review initial notification </t>
    </r>
    <r>
      <rPr>
        <vertAlign val="superscript"/>
        <sz val="10"/>
        <rFont val="Times New Roman"/>
        <family val="1"/>
      </rPr>
      <t>c</t>
    </r>
  </si>
  <si>
    <r>
      <t xml:space="preserve">2. Review notification of compliance status </t>
    </r>
    <r>
      <rPr>
        <vertAlign val="superscript"/>
        <sz val="10"/>
        <rFont val="Times New Roman"/>
        <family val="1"/>
      </rPr>
      <t>c</t>
    </r>
  </si>
  <si>
    <r>
      <t>c</t>
    </r>
    <r>
      <rPr>
        <sz val="10"/>
        <rFont val="Times New Roman"/>
        <family val="1"/>
      </rPr>
      <t xml:space="preserve">  We have assumed that this is a one-time activity for each new facility.</t>
    </r>
  </si>
  <si>
    <r>
      <t xml:space="preserve">     B.  Plan activities </t>
    </r>
    <r>
      <rPr>
        <vertAlign val="superscript"/>
        <sz val="10"/>
        <rFont val="Times New Roman"/>
        <family val="1"/>
      </rPr>
      <t>c</t>
    </r>
  </si>
  <si>
    <r>
      <t xml:space="preserve">     D.  Implement activities for control devices and process equipment </t>
    </r>
    <r>
      <rPr>
        <vertAlign val="superscript"/>
        <sz val="10"/>
        <rFont val="Times New Roman"/>
        <family val="1"/>
      </rPr>
      <t>c</t>
    </r>
  </si>
  <si>
    <r>
      <t xml:space="preserve">          i.  Acquisition and installation </t>
    </r>
    <r>
      <rPr>
        <vertAlign val="superscript"/>
        <sz val="10"/>
        <rFont val="Times New Roman"/>
        <family val="1"/>
      </rPr>
      <t>c</t>
    </r>
  </si>
  <si>
    <r>
      <t xml:space="preserve">          i.  Compliance calculation </t>
    </r>
    <r>
      <rPr>
        <vertAlign val="superscript"/>
        <sz val="10"/>
        <rFont val="Times New Roman"/>
        <family val="1"/>
      </rPr>
      <t>e</t>
    </r>
  </si>
  <si>
    <r>
      <t xml:space="preserve">          ii. Control equipment testing</t>
    </r>
    <r>
      <rPr>
        <vertAlign val="superscript"/>
        <sz val="10"/>
        <rFont val="Times New Roman"/>
        <family val="1"/>
      </rPr>
      <t xml:space="preserve"> f</t>
    </r>
  </si>
  <si>
    <r>
      <t xml:space="preserve">         ii.  Equipment inspection and monitoring</t>
    </r>
    <r>
      <rPr>
        <vertAlign val="superscript"/>
        <sz val="10"/>
        <rFont val="Times New Roman"/>
        <family val="1"/>
      </rPr>
      <t xml:space="preserve"> f</t>
    </r>
  </si>
  <si>
    <r>
      <t>b</t>
    </r>
    <r>
      <rPr>
        <sz val="10"/>
        <rFont val="Times New Roman"/>
        <family val="1"/>
      </rPr>
      <t xml:space="preserve">  This cost is based on the following labor rates which incorporates a 1.6 benefits multiplication factor to account for government overhead expenses: $65.71 for Managerial (GS-13, Step 5), $48.75 for Technical (GS-12, Step 1), and $26.38 Clerical (GS-6, Step 3).  These rates are from the Office of Personnel Management (OPM) “2018 General Schedule” which excludes locality rates of pay.</t>
    </r>
  </si>
  <si>
    <r>
      <t xml:space="preserve">Respondant Rates
</t>
    </r>
    <r>
      <rPr>
        <sz val="8"/>
        <rFont val="Times New Roman"/>
        <family val="1"/>
      </rPr>
      <t>(Source: United States Department of Labor, Bureau of Labor Statistics, September 2018, “Table 2. Civilian Workers, by occupational and industry group.”)</t>
    </r>
  </si>
  <si>
    <t xml:space="preserve">          i.  Prepare for periodic performance test</t>
  </si>
  <si>
    <t xml:space="preserve">          ii.  Attend periodic performance test</t>
  </si>
  <si>
    <t>Periodic Testing of Oxidizers</t>
  </si>
  <si>
    <t>CMS Performance Evaluation</t>
  </si>
  <si>
    <r>
      <t xml:space="preserve">     C.  Implement activities for compliance coating use</t>
    </r>
    <r>
      <rPr>
        <vertAlign val="superscript"/>
        <sz val="10"/>
        <rFont val="Times New Roman"/>
        <family val="1"/>
      </rPr>
      <t xml:space="preserve"> e,</t>
    </r>
    <r>
      <rPr>
        <sz val="10"/>
        <rFont val="Times New Roman"/>
        <family val="1"/>
      </rPr>
      <t xml:space="preserve"> </t>
    </r>
    <r>
      <rPr>
        <vertAlign val="superscript"/>
        <sz val="10"/>
        <rFont val="Times New Roman"/>
        <family val="1"/>
      </rPr>
      <t>f</t>
    </r>
  </si>
  <si>
    <r>
      <t xml:space="preserve">         i.  Develop plan for material used </t>
    </r>
    <r>
      <rPr>
        <vertAlign val="superscript"/>
        <sz val="10"/>
        <rFont val="Times New Roman"/>
        <family val="1"/>
      </rPr>
      <t>e</t>
    </r>
  </si>
  <si>
    <r>
      <t xml:space="preserve">         ii. Control equipment and maintenance plan </t>
    </r>
    <r>
      <rPr>
        <vertAlign val="superscript"/>
        <sz val="10"/>
        <rFont val="Times New Roman"/>
        <family val="1"/>
      </rPr>
      <t>c</t>
    </r>
  </si>
  <si>
    <r>
      <t xml:space="preserve">          iii. Records of failures to meet standards/actions taken to minimize emissions </t>
    </r>
    <r>
      <rPr>
        <vertAlign val="superscript"/>
        <sz val="10"/>
        <rFont val="Times New Roman"/>
        <family val="1"/>
      </rPr>
      <t>g</t>
    </r>
  </si>
  <si>
    <r>
      <t xml:space="preserve">     H.  Store, file and maintain records </t>
    </r>
    <r>
      <rPr>
        <vertAlign val="superscript"/>
        <sz val="10"/>
        <rFont val="Times New Roman"/>
        <family val="1"/>
      </rPr>
      <t>h</t>
    </r>
  </si>
  <si>
    <r>
      <t xml:space="preserve">      I.  Retrieve records/reports </t>
    </r>
    <r>
      <rPr>
        <vertAlign val="superscript"/>
        <sz val="10"/>
        <rFont val="Times New Roman"/>
        <family val="1"/>
      </rPr>
      <t>h</t>
    </r>
  </si>
  <si>
    <r>
      <t xml:space="preserve">TOTAL LABOR BURDEN AND COST (rounded) </t>
    </r>
    <r>
      <rPr>
        <b/>
        <vertAlign val="superscript"/>
        <sz val="10"/>
        <rFont val="Times New Roman"/>
        <family val="1"/>
      </rPr>
      <t>i</t>
    </r>
  </si>
  <si>
    <r>
      <t>TOTAL CAPITAL AND O&amp;M COST (rounded)</t>
    </r>
    <r>
      <rPr>
        <b/>
        <vertAlign val="superscript"/>
        <sz val="10"/>
        <rFont val="Times New Roman"/>
        <family val="1"/>
      </rPr>
      <t xml:space="preserve"> i</t>
    </r>
  </si>
  <si>
    <r>
      <t xml:space="preserve">GRAND TOTAL COST (rounded) </t>
    </r>
    <r>
      <rPr>
        <b/>
        <vertAlign val="superscript"/>
        <sz val="10"/>
        <rFont val="Times New Roman"/>
        <family val="1"/>
      </rPr>
      <t>i</t>
    </r>
  </si>
  <si>
    <t>Table 2: Average Annual EPA Burden and Cost – NESHAP for Paper and Other Web Coating (40 CFR Part 63, Subpart JJJJ) (Proposed amendments)</t>
  </si>
  <si>
    <t xml:space="preserve">         iii. Use of technology and systems </t>
  </si>
  <si>
    <r>
      <t>d</t>
    </r>
    <r>
      <rPr>
        <sz val="10"/>
        <rFont val="Times New Roman"/>
        <family val="1"/>
      </rPr>
      <t xml:space="preserve">  All 173 facilities will have to submit work practices plans for affiliated operations and use of clean fuels in coating operation dryers/ovens.  Assume for costing purposes that one-third of facilities submit plans per year</t>
    </r>
  </si>
  <si>
    <t xml:space="preserve">          iv. Prepare work practice plan for affilitated operations and update as needed</t>
  </si>
  <si>
    <t xml:space="preserve">          v. Prepare work practice plan for direct-fired dryer/oven clean fuel use and update as needed</t>
  </si>
  <si>
    <r>
      <t xml:space="preserve">3. Review Work Practice Plans for Affiliated Operations and Direct-fired ovens/dryers </t>
    </r>
    <r>
      <rPr>
        <vertAlign val="superscript"/>
        <sz val="10"/>
        <rFont val="Times New Roman"/>
        <family val="1"/>
      </rPr>
      <t>d</t>
    </r>
  </si>
  <si>
    <t>Work Practices Plans for Affiliated Operations and Direct-fired dryers/ovens</t>
  </si>
  <si>
    <t xml:space="preserve">          vi. Semiannual summary report</t>
  </si>
  <si>
    <r>
      <t>g</t>
    </r>
    <r>
      <rPr>
        <sz val="12"/>
        <rFont val="Times New Roman"/>
        <family val="1"/>
      </rPr>
      <t xml:space="preserve"> </t>
    </r>
    <r>
      <rPr>
        <sz val="10"/>
        <rFont val="Times New Roman"/>
        <family val="1"/>
      </rPr>
      <t>Totals have been rounded to 3 significant figures. Figures may not add exactly due to rounding.</t>
    </r>
  </si>
  <si>
    <r>
      <t>f</t>
    </r>
    <r>
      <rPr>
        <sz val="10"/>
        <rFont val="Times New Roman"/>
        <family val="1"/>
      </rPr>
      <t xml:space="preserve">  We have assumed that it will take the agency ten hours to review test results.</t>
    </r>
  </si>
  <si>
    <r>
      <t>d</t>
    </r>
    <r>
      <rPr>
        <sz val="10"/>
        <rFont val="Times New Roman"/>
        <family val="1"/>
      </rPr>
      <t xml:space="preserve">  It is assumed that the agency will review summary reports twice per year.</t>
    </r>
  </si>
  <si>
    <r>
      <t xml:space="preserve">4.  Review notification of initial performance test </t>
    </r>
    <r>
      <rPr>
        <vertAlign val="superscript"/>
        <sz val="10"/>
        <rFont val="Times New Roman"/>
        <family val="1"/>
      </rPr>
      <t>c</t>
    </r>
  </si>
  <si>
    <r>
      <t xml:space="preserve">6.  Review initial test results </t>
    </r>
    <r>
      <rPr>
        <vertAlign val="superscript"/>
        <sz val="10"/>
        <rFont val="Times New Roman"/>
        <family val="1"/>
      </rPr>
      <t>c, g</t>
    </r>
  </si>
  <si>
    <r>
      <t xml:space="preserve">TOTAL ANNUAL BURDEN AND COST (rounded) </t>
    </r>
    <r>
      <rPr>
        <b/>
        <vertAlign val="superscript"/>
        <sz val="10"/>
        <rFont val="Times New Roman"/>
        <family val="1"/>
      </rPr>
      <t>g</t>
    </r>
  </si>
  <si>
    <r>
      <t xml:space="preserve">3.  Review semiannual summary reports </t>
    </r>
    <r>
      <rPr>
        <vertAlign val="superscript"/>
        <sz val="10"/>
        <rFont val="Times New Roman"/>
        <family val="1"/>
      </rPr>
      <t>d</t>
    </r>
  </si>
  <si>
    <r>
      <t xml:space="preserve">5.  Review notification of periodic performance test and CMS performance evaluation </t>
    </r>
    <r>
      <rPr>
        <vertAlign val="superscript"/>
        <sz val="10"/>
        <rFont val="Times New Roman"/>
        <family val="1"/>
      </rPr>
      <t>e</t>
    </r>
  </si>
  <si>
    <r>
      <t xml:space="preserve">7.  Review periodic performance test and CMS performance evaluation results </t>
    </r>
    <r>
      <rPr>
        <vertAlign val="superscript"/>
        <sz val="10"/>
        <rFont val="Times New Roman"/>
        <family val="1"/>
      </rPr>
      <t>e,f</t>
    </r>
  </si>
  <si>
    <t>Initial performance test (inlet/outlet)</t>
  </si>
  <si>
    <t>Continuous monitoring system (CMS)</t>
  </si>
  <si>
    <t>Repeat performance test (inlet/outlet)</t>
  </si>
  <si>
    <t>i  Totals have been rounded to 3 significant figures. Figures may not add exactly due to rounding.</t>
  </si>
  <si>
    <t xml:space="preserve">c  We have assumed that this is a one-time activity for one new facility using a solvent recovery device. </t>
  </si>
  <si>
    <t>d   Periodic testing will be required for an additional 65 oxidizers, assume one-third each year (65/3 = 22 per year)</t>
  </si>
  <si>
    <t>Existing</t>
  </si>
  <si>
    <t>New</t>
  </si>
  <si>
    <t>average</t>
  </si>
  <si>
    <t>Respondents with add-on controls</t>
  </si>
  <si>
    <t>We have assumed that 5% of respondents will fail to meet standards each year</t>
  </si>
  <si>
    <t xml:space="preserve">    D.  Write reports</t>
  </si>
  <si>
    <t>total annual cost (capital and O&amp;M)</t>
  </si>
  <si>
    <t>total annual average cost (capital and O&amp;M)</t>
  </si>
  <si>
    <t xml:space="preserve">f  Based on review of permit data we have estimated that 88 facilities currently use add on control equipment.  Assuming each new facility added uses add-on control equipment, we assumed an average of 90 facilities per year with add on controls over the 3 year period.  Thus, we have assumed these 90 facilties incur these costs. </t>
  </si>
  <si>
    <r>
      <rPr>
        <vertAlign val="superscript"/>
        <sz val="10"/>
        <color theme="1"/>
        <rFont val="Times New Roman"/>
        <family val="1"/>
      </rPr>
      <t xml:space="preserve">a </t>
    </r>
    <r>
      <rPr>
        <sz val="10"/>
        <color theme="1"/>
        <rFont val="Times New Roman"/>
        <family val="1"/>
      </rPr>
      <t>We estimate an average of 170 sources during the three-year period of this ICR.  Permit data indicates 52% of the facilities use add-on controls (79 use oxidizers and 9 use carbon adsorption).  All of the oxidizers use parametric monitoring, and it was assumed that 5 of the facilities using carbon adsorption do as well.  The remaining 4 facilities using carbon adsorption were assumed to use CEMs.  It was conservatively estimated that each new facility uses CEMs.</t>
    </r>
  </si>
  <si>
    <r>
      <t>Total cost</t>
    </r>
    <r>
      <rPr>
        <sz val="10"/>
        <rFont val="Times New Roman"/>
        <family val="1"/>
      </rPr>
      <t xml:space="preserve"> (rounded)</t>
    </r>
    <r>
      <rPr>
        <b/>
        <sz val="10"/>
        <rFont val="Times New Roman"/>
        <family val="1"/>
      </rPr>
      <t xml:space="preserve"> </t>
    </r>
    <r>
      <rPr>
        <b/>
        <vertAlign val="superscript"/>
        <sz val="10"/>
        <rFont val="Times New Roman"/>
        <family val="1"/>
      </rPr>
      <t>b</t>
    </r>
  </si>
  <si>
    <t xml:space="preserve">a  We have assumed that the average number of respondents that will be subject to this rule will be 170.  There are currently 168 facilities, and we have estimated there will be three additional new sources that will become subject to the rule over the three-year period of the ICR (i.e., one per year). </t>
  </si>
  <si>
    <t>e  Based on permit data, we have assumed that 80 facilities comply with MACT through the use of compliant coatings and thus will record activities for compliance coating use.</t>
  </si>
  <si>
    <t>g We have assumed that 5% of respondents will fail to meet standards each year (0.05x170 = 8.5)</t>
  </si>
  <si>
    <t>h  We have assumed that 170 respondents will be involved in the storage, filing, maintenance and retrieval of records and reports twelve times per year.</t>
  </si>
  <si>
    <r>
      <t xml:space="preserve">(D)
Respondents per year </t>
    </r>
    <r>
      <rPr>
        <b/>
        <vertAlign val="superscript"/>
        <sz val="10"/>
        <rFont val="Times New Roman"/>
        <family val="1"/>
      </rPr>
      <t>a</t>
    </r>
  </si>
  <si>
    <r>
      <t xml:space="preserve">     B.  Gather information </t>
    </r>
    <r>
      <rPr>
        <vertAlign val="superscript"/>
        <sz val="10"/>
        <rFont val="Times New Roman"/>
        <family val="1"/>
      </rPr>
      <t>c</t>
    </r>
  </si>
  <si>
    <r>
      <t xml:space="preserve">     C.  Periodic performance testing </t>
    </r>
    <r>
      <rPr>
        <vertAlign val="superscript"/>
        <sz val="10"/>
        <rFont val="Times New Roman"/>
        <family val="1"/>
      </rPr>
      <t>d</t>
    </r>
  </si>
  <si>
    <r>
      <t xml:space="preserve">          i.   Initial notification </t>
    </r>
    <r>
      <rPr>
        <vertAlign val="superscript"/>
        <sz val="10"/>
        <rFont val="Times New Roman"/>
        <family val="1"/>
      </rPr>
      <t>c</t>
    </r>
  </si>
  <si>
    <r>
      <t xml:space="preserve">          ii.  Notification of performance test </t>
    </r>
    <r>
      <rPr>
        <vertAlign val="superscript"/>
        <sz val="10"/>
        <rFont val="Times New Roman"/>
        <family val="1"/>
      </rPr>
      <t>c</t>
    </r>
  </si>
  <si>
    <r>
      <t xml:space="preserve">          iii. Notification of compliance status </t>
    </r>
    <r>
      <rPr>
        <vertAlign val="superscript"/>
        <sz val="10"/>
        <rFont val="Times New Roman"/>
        <family val="1"/>
      </rPr>
      <t>c</t>
    </r>
  </si>
  <si>
    <r>
      <t xml:space="preserve">          iv. Performance test reports  </t>
    </r>
    <r>
      <rPr>
        <vertAlign val="superscript"/>
        <sz val="10"/>
        <rFont val="Times New Roman"/>
        <family val="1"/>
      </rPr>
      <t>c</t>
    </r>
  </si>
  <si>
    <r>
      <t xml:space="preserve">         v. Notification of CMS performance evaluation</t>
    </r>
    <r>
      <rPr>
        <vertAlign val="superscript"/>
        <sz val="10"/>
        <rFont val="Times New Roman"/>
        <family val="1"/>
      </rPr>
      <t>d</t>
    </r>
  </si>
  <si>
    <r>
      <t xml:space="preserve">     A.  Read instructions </t>
    </r>
    <r>
      <rPr>
        <vertAlign val="superscript"/>
        <sz val="10"/>
        <rFont val="Times New Roman"/>
        <family val="1"/>
      </rPr>
      <t>c</t>
    </r>
  </si>
  <si>
    <r>
      <t>a</t>
    </r>
    <r>
      <rPr>
        <sz val="10"/>
        <rFont val="Times New Roman"/>
        <family val="1"/>
      </rPr>
      <t xml:space="preserve">  We have assumed that the average number of respondents that will be subject to this rule will be 170.  There are currently 168, and it's estimated that 3 additional new sources that will become subject to the rule over the 3-year period of the ICR (i.e., 1 per year). </t>
    </r>
  </si>
  <si>
    <r>
      <t xml:space="preserve">e </t>
    </r>
    <r>
      <rPr>
        <sz val="10"/>
        <rFont val="Times New Roman"/>
        <family val="1"/>
      </rPr>
      <t xml:space="preserve"> A total of 65 oxidizers will have periodic performance tests and CMS performance evaluations.  Assume one-third per year (65/3 = 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</si>
</sst>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General_)"/>
    <numFmt numFmtId="165" formatCode="&quot;$&quot;#,##0.00"/>
    <numFmt numFmtId="166" formatCode="&quot;$&quot;#,##0"/>
  </numFmts>
  <fonts count="42" x14ac:knownFonts="1">
    <font>
      <sz val="11"/>
      <color theme="1"/>
      <name val="Calibri"/>
      <family val="2"/>
      <scheme val="minor"/>
    </font>
    <font>
      <sz val="11"/>
      <color rgb="FFFF0000"/>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0"/>
      <color rgb="FFFF0000"/>
      <name val="Times New Roman"/>
      <family val="1"/>
    </font>
    <font>
      <sz val="10"/>
      <name val="Times New Roman"/>
      <family val="1"/>
    </font>
    <font>
      <strike/>
      <sz val="10"/>
      <color rgb="FFFF0000"/>
      <name val="Times New Roman"/>
      <family val="1"/>
    </font>
    <font>
      <sz val="8"/>
      <name val="Helv"/>
    </font>
    <font>
      <b/>
      <sz val="10"/>
      <name val="Times New Roman"/>
      <family val="1"/>
    </font>
    <font>
      <sz val="8"/>
      <name val="Times New Roman"/>
      <family val="1"/>
    </font>
    <font>
      <b/>
      <u/>
      <sz val="10"/>
      <name val="Times New Roman"/>
      <family val="1"/>
    </font>
    <font>
      <sz val="10"/>
      <name val="Calibri"/>
      <family val="2"/>
    </font>
    <font>
      <sz val="12"/>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vertAlign val="superscript"/>
      <sz val="12"/>
      <color rgb="FF000000"/>
      <name val="Times New Roman"/>
      <family val="1"/>
    </font>
    <font>
      <b/>
      <sz val="9"/>
      <color rgb="FF000000"/>
      <name val="Times New Roman"/>
      <family val="1"/>
    </font>
    <font>
      <b/>
      <sz val="9"/>
      <color theme="1"/>
      <name val="Times New Roman"/>
      <family val="1"/>
    </font>
    <font>
      <b/>
      <sz val="10"/>
      <color rgb="FF000000"/>
      <name val="Times New Roman"/>
      <family val="1"/>
    </font>
    <font>
      <b/>
      <vertAlign val="superscript"/>
      <sz val="10"/>
      <color rgb="FF000000"/>
      <name val="Times New Roman"/>
      <family val="1"/>
    </font>
    <font>
      <b/>
      <sz val="10"/>
      <name val="Calibri"/>
      <family val="2"/>
    </font>
    <font>
      <sz val="8"/>
      <color theme="1"/>
      <name val="Times New Roman"/>
      <family val="1"/>
    </font>
    <font>
      <b/>
      <sz val="11"/>
      <color rgb="FFFF0000"/>
      <name val="Calibri"/>
      <family val="2"/>
      <scheme val="minor"/>
    </font>
    <font>
      <vertAlign val="superscript"/>
      <sz val="12"/>
      <name val="Times New Roman"/>
      <family val="1"/>
    </font>
    <font>
      <sz val="11"/>
      <name val="Calibri"/>
      <family val="2"/>
      <scheme val="minor"/>
    </font>
    <font>
      <vertAlign val="superscript"/>
      <sz val="10"/>
      <name val="Times New Roman"/>
      <family val="1"/>
    </font>
    <font>
      <b/>
      <vertAlign val="superscript"/>
      <sz val="10"/>
      <name val="Times New Roman"/>
      <family val="1"/>
    </font>
    <font>
      <sz val="12"/>
      <name val="Times New Roman"/>
      <family val="1"/>
    </font>
    <font>
      <i/>
      <sz val="10"/>
      <name val="Times New Roman"/>
      <family val="1"/>
    </font>
    <font>
      <b/>
      <i/>
      <sz val="10"/>
      <name val="Times New Roman"/>
      <family val="1"/>
    </font>
    <font>
      <sz val="9"/>
      <color rgb="FFFF0000"/>
      <name val="Calibri"/>
      <family val="2"/>
      <scheme val="minor"/>
    </font>
    <font>
      <sz val="9"/>
      <color theme="1"/>
      <name val="Calibri"/>
      <family val="2"/>
      <scheme val="minor"/>
    </font>
    <font>
      <strike/>
      <sz val="9"/>
      <color theme="1"/>
      <name val="Times New Roman"/>
      <family val="1"/>
    </font>
    <font>
      <sz val="10"/>
      <name val="Calibri"/>
      <family val="2"/>
      <scheme val="minor"/>
    </font>
    <font>
      <b/>
      <sz val="11"/>
      <name val="Calibri"/>
      <family val="2"/>
      <scheme val="minor"/>
    </font>
    <font>
      <b/>
      <sz val="12"/>
      <name val="Times New Roman"/>
      <family val="1"/>
    </font>
  </fonts>
  <fills count="3">
    <fill>
      <patternFill patternType="none"/>
    </fill>
    <fill>
      <patternFill patternType="gray125"/>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s>
  <cellStyleXfs count="2">
    <xf numFmtId="0" fontId="0" fillId="0" borderId="0"/>
    <xf numFmtId="164" fontId="11" fillId="0" borderId="0"/>
  </cellStyleXfs>
  <cellXfs count="134">
    <xf numFmtId="0" fontId="0" fillId="0" borderId="0" xfId="0"/>
    <xf numFmtId="0" fontId="3" fillId="0" borderId="0" xfId="0" applyFont="1"/>
    <xf numFmtId="0" fontId="3" fillId="0" borderId="0" xfId="0" applyFont="1" applyFill="1"/>
    <xf numFmtId="0" fontId="3" fillId="0" borderId="0" xfId="0" applyFont="1" applyAlignment="1">
      <alignment horizontal="right"/>
    </xf>
    <xf numFmtId="0" fontId="4" fillId="0" borderId="1" xfId="0" applyFont="1" applyBorder="1" applyAlignment="1">
      <alignment horizontal="center" wrapText="1"/>
    </xf>
    <xf numFmtId="0" fontId="3" fillId="0" borderId="1" xfId="0" applyFont="1" applyBorder="1" applyAlignment="1">
      <alignment horizontal="right" wrapText="1"/>
    </xf>
    <xf numFmtId="6" fontId="7" fillId="0" borderId="1" xfId="0" applyNumberFormat="1" applyFont="1" applyBorder="1" applyAlignment="1">
      <alignment horizontal="right" wrapText="1"/>
    </xf>
    <xf numFmtId="0" fontId="4" fillId="0" borderId="0" xfId="0" applyFont="1"/>
    <xf numFmtId="0" fontId="8" fillId="0" borderId="0" xfId="0" applyFont="1"/>
    <xf numFmtId="0" fontId="8" fillId="0" borderId="0" xfId="0" applyFont="1" applyFill="1"/>
    <xf numFmtId="0" fontId="1" fillId="0" borderId="0" xfId="0" applyFont="1"/>
    <xf numFmtId="0" fontId="0" fillId="0" borderId="0" xfId="0" applyFill="1"/>
    <xf numFmtId="0" fontId="21" fillId="0" borderId="0" xfId="0" applyFont="1" applyAlignment="1">
      <alignment vertical="center"/>
    </xf>
    <xf numFmtId="0" fontId="0" fillId="0" borderId="0" xfId="0" applyBorder="1"/>
    <xf numFmtId="0" fontId="20" fillId="0" borderId="6" xfId="0" applyFont="1" applyBorder="1" applyAlignment="1">
      <alignment vertical="center" wrapText="1"/>
    </xf>
    <xf numFmtId="0" fontId="18"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0" fillId="0" borderId="0" xfId="0" applyFont="1" applyBorder="1" applyAlignment="1">
      <alignment vertical="center" wrapText="1"/>
    </xf>
    <xf numFmtId="0" fontId="18" fillId="0" borderId="0" xfId="0" applyFont="1" applyBorder="1" applyAlignment="1">
      <alignment vertical="center" wrapText="1"/>
    </xf>
    <xf numFmtId="0" fontId="17" fillId="2" borderId="6" xfId="0" applyFont="1" applyFill="1" applyBorder="1" applyAlignment="1">
      <alignment vertical="center" wrapText="1"/>
    </xf>
    <xf numFmtId="0" fontId="20" fillId="0" borderId="6"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6" xfId="0" applyFont="1" applyFill="1" applyBorder="1" applyAlignment="1">
      <alignment vertical="center" wrapText="1"/>
    </xf>
    <xf numFmtId="0" fontId="24" fillId="2" borderId="6" xfId="0" applyFont="1" applyFill="1" applyBorder="1" applyAlignment="1">
      <alignment vertical="center" wrapText="1"/>
    </xf>
    <xf numFmtId="0" fontId="24" fillId="2" borderId="6" xfId="0" applyFont="1" applyFill="1" applyBorder="1" applyAlignment="1">
      <alignment horizontal="center" vertical="center" wrapText="1"/>
    </xf>
    <xf numFmtId="164" fontId="14" fillId="0" borderId="0" xfId="1" applyFont="1" applyFill="1" applyBorder="1" applyAlignment="1">
      <alignment horizontal="center" vertical="center" wrapText="1"/>
    </xf>
    <xf numFmtId="164" fontId="9" fillId="0" borderId="0" xfId="1" applyFont="1" applyFill="1" applyBorder="1" applyAlignment="1">
      <alignment horizontal="center" vertical="center" wrapText="1"/>
    </xf>
    <xf numFmtId="165" fontId="9" fillId="0" borderId="0" xfId="1" applyNumberFormat="1" applyFont="1" applyFill="1" applyBorder="1" applyAlignment="1">
      <alignment horizontal="right" wrapText="1"/>
    </xf>
    <xf numFmtId="0" fontId="3" fillId="0" borderId="0" xfId="0" applyFont="1" applyBorder="1"/>
    <xf numFmtId="0" fontId="10" fillId="0" borderId="0" xfId="0" applyFont="1"/>
    <xf numFmtId="0" fontId="10" fillId="0" borderId="0" xfId="0" applyFont="1" applyFill="1"/>
    <xf numFmtId="0" fontId="10" fillId="0" borderId="0" xfId="0" applyFont="1" applyAlignment="1">
      <alignment wrapText="1"/>
    </xf>
    <xf numFmtId="0" fontId="9" fillId="0" borderId="0" xfId="0" applyFont="1" applyFill="1" applyBorder="1"/>
    <xf numFmtId="0" fontId="3" fillId="0" borderId="0" xfId="0" applyFont="1" applyFill="1" applyBorder="1" applyAlignment="1">
      <alignment horizontal="right"/>
    </xf>
    <xf numFmtId="0" fontId="9" fillId="0" borderId="0" xfId="0" applyFont="1" applyBorder="1"/>
    <xf numFmtId="3" fontId="3" fillId="0" borderId="0" xfId="0" applyNumberFormat="1" applyFont="1"/>
    <xf numFmtId="164" fontId="14" fillId="0" borderId="8" xfId="1" applyFont="1" applyFill="1" applyBorder="1" applyAlignment="1">
      <alignment horizontal="center" vertical="center" wrapText="1"/>
    </xf>
    <xf numFmtId="164" fontId="9" fillId="0" borderId="8" xfId="1" applyFont="1" applyFill="1" applyBorder="1" applyAlignment="1">
      <alignment horizontal="center" vertical="center" wrapText="1"/>
    </xf>
    <xf numFmtId="165" fontId="9" fillId="0" borderId="8" xfId="1" applyNumberFormat="1" applyFont="1" applyFill="1" applyBorder="1" applyAlignment="1">
      <alignment horizontal="right" wrapText="1"/>
    </xf>
    <xf numFmtId="1" fontId="15" fillId="0" borderId="8" xfId="0" applyNumberFormat="1" applyFont="1" applyFill="1" applyBorder="1"/>
    <xf numFmtId="0" fontId="15" fillId="0" borderId="8" xfId="0" applyFont="1" applyFill="1" applyBorder="1"/>
    <xf numFmtId="0" fontId="3" fillId="0" borderId="0" xfId="0" applyFont="1" applyAlignment="1">
      <alignment vertical="center"/>
    </xf>
    <xf numFmtId="0" fontId="4" fillId="0" borderId="6" xfId="0" applyFont="1" applyBorder="1" applyAlignment="1">
      <alignment horizontal="center" vertical="center" wrapText="1"/>
    </xf>
    <xf numFmtId="0" fontId="28" fillId="0" borderId="0" xfId="0" applyFont="1" applyFill="1"/>
    <xf numFmtId="0" fontId="8" fillId="0" borderId="0" xfId="0" applyFont="1" applyFill="1" applyAlignment="1">
      <alignment wrapText="1"/>
    </xf>
    <xf numFmtId="165" fontId="9" fillId="0" borderId="0" xfId="0" applyNumberFormat="1" applyFont="1" applyFill="1"/>
    <xf numFmtId="0" fontId="3" fillId="0" borderId="0" xfId="0" applyFont="1" applyFill="1" applyAlignment="1">
      <alignment wrapText="1"/>
    </xf>
    <xf numFmtId="0" fontId="9" fillId="0" borderId="0" xfId="0" applyFont="1"/>
    <xf numFmtId="0" fontId="9" fillId="0" borderId="0" xfId="0" applyFont="1" applyFill="1"/>
    <xf numFmtId="0" fontId="12" fillId="0" borderId="1" xfId="0" applyFont="1" applyBorder="1" applyAlignment="1">
      <alignment horizontal="center" wrapText="1"/>
    </xf>
    <xf numFmtId="0" fontId="9" fillId="0" borderId="1" xfId="0" applyFont="1" applyBorder="1" applyAlignment="1">
      <alignment horizontal="left" vertical="top" wrapText="1" indent="1"/>
    </xf>
    <xf numFmtId="0" fontId="9" fillId="0" borderId="1" xfId="0" applyFont="1" applyBorder="1" applyAlignment="1">
      <alignment horizontal="center" wrapText="1"/>
    </xf>
    <xf numFmtId="0" fontId="9" fillId="0" borderId="1" xfId="0" applyFont="1" applyFill="1" applyBorder="1" applyAlignment="1">
      <alignment horizontal="center" wrapText="1"/>
    </xf>
    <xf numFmtId="6" fontId="9" fillId="0" borderId="1" xfId="0" applyNumberFormat="1" applyFont="1" applyBorder="1" applyAlignment="1">
      <alignment horizontal="right" wrapText="1"/>
    </xf>
    <xf numFmtId="0" fontId="12" fillId="0" borderId="0" xfId="0" applyFont="1"/>
    <xf numFmtId="6" fontId="35" fillId="0" borderId="2" xfId="0" applyNumberFormat="1" applyFont="1" applyBorder="1" applyAlignment="1">
      <alignment horizontal="right" wrapText="1"/>
    </xf>
    <xf numFmtId="0" fontId="20" fillId="0" borderId="14" xfId="0" applyFont="1" applyFill="1" applyBorder="1" applyAlignment="1">
      <alignment horizontal="center" vertical="center" wrapText="1"/>
    </xf>
    <xf numFmtId="0" fontId="0" fillId="0" borderId="0" xfId="0" applyAlignment="1">
      <alignment horizontal="center"/>
    </xf>
    <xf numFmtId="0" fontId="20" fillId="0" borderId="6" xfId="0" applyFont="1" applyBorder="1" applyAlignment="1">
      <alignment horizontal="center"/>
    </xf>
    <xf numFmtId="166" fontId="3" fillId="0" borderId="1" xfId="0" applyNumberFormat="1" applyFont="1" applyBorder="1" applyAlignment="1">
      <alignment horizontal="right" wrapText="1"/>
    </xf>
    <xf numFmtId="1" fontId="9" fillId="0" borderId="1" xfId="0" applyNumberFormat="1" applyFont="1" applyBorder="1" applyAlignment="1">
      <alignment horizontal="center" wrapText="1"/>
    </xf>
    <xf numFmtId="1" fontId="23" fillId="0" borderId="6" xfId="0" applyNumberFormat="1" applyFont="1" applyBorder="1" applyAlignment="1">
      <alignment horizontal="center" vertical="center" wrapText="1"/>
    </xf>
    <xf numFmtId="166" fontId="9" fillId="0" borderId="1" xfId="0" applyNumberFormat="1" applyFont="1" applyBorder="1" applyAlignment="1">
      <alignment horizontal="right" wrapText="1"/>
    </xf>
    <xf numFmtId="166" fontId="9" fillId="0" borderId="1" xfId="0" applyNumberFormat="1" applyFont="1" applyFill="1" applyBorder="1" applyAlignment="1">
      <alignment horizontal="right" wrapText="1"/>
    </xf>
    <xf numFmtId="166" fontId="9" fillId="0" borderId="2" xfId="0" applyNumberFormat="1" applyFont="1" applyBorder="1" applyAlignment="1">
      <alignment horizontal="right" wrapText="1"/>
    </xf>
    <xf numFmtId="0" fontId="38" fillId="0" borderId="6" xfId="0" applyFont="1" applyBorder="1" applyAlignment="1">
      <alignment horizontal="center" wrapText="1"/>
    </xf>
    <xf numFmtId="1" fontId="38" fillId="0" borderId="6" xfId="0" applyNumberFormat="1" applyFont="1" applyBorder="1" applyAlignment="1">
      <alignment horizontal="center" vertical="center"/>
    </xf>
    <xf numFmtId="0" fontId="38" fillId="0" borderId="6" xfId="0" applyFont="1" applyBorder="1" applyAlignment="1">
      <alignment horizontal="center" vertical="center"/>
    </xf>
    <xf numFmtId="1" fontId="38" fillId="0" borderId="6" xfId="0" applyNumberFormat="1" applyFont="1" applyBorder="1" applyAlignment="1">
      <alignment horizontal="center" vertical="center" wrapText="1"/>
    </xf>
    <xf numFmtId="6" fontId="0" fillId="0" borderId="0" xfId="0" applyNumberFormat="1"/>
    <xf numFmtId="3" fontId="9" fillId="0" borderId="1" xfId="0" applyNumberFormat="1" applyFont="1" applyBorder="1" applyAlignment="1">
      <alignment horizontal="center" wrapText="1"/>
    </xf>
    <xf numFmtId="9" fontId="0" fillId="0" borderId="0" xfId="0" applyNumberFormat="1"/>
    <xf numFmtId="8" fontId="0" fillId="0" borderId="0" xfId="0" applyNumberFormat="1"/>
    <xf numFmtId="0" fontId="9" fillId="0" borderId="6" xfId="0" applyFont="1" applyBorder="1" applyAlignment="1">
      <alignment horizontal="left" vertical="center" wrapText="1"/>
    </xf>
    <xf numFmtId="6" fontId="9"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0" fontId="12" fillId="0" borderId="6" xfId="0" applyFont="1" applyBorder="1" applyAlignment="1">
      <alignment vertical="center" wrapText="1"/>
    </xf>
    <xf numFmtId="6" fontId="12" fillId="0" borderId="6" xfId="0" applyNumberFormat="1" applyFont="1" applyBorder="1" applyAlignment="1">
      <alignment horizontal="center" vertical="center" wrapText="1"/>
    </xf>
    <xf numFmtId="0" fontId="39" fillId="0" borderId="0" xfId="0" applyFont="1"/>
    <xf numFmtId="0" fontId="12" fillId="0" borderId="9" xfId="0" applyFont="1" applyBorder="1" applyAlignment="1">
      <alignment horizontal="center"/>
    </xf>
    <xf numFmtId="0" fontId="12" fillId="0" borderId="10" xfId="0" applyFont="1" applyBorder="1"/>
    <xf numFmtId="0" fontId="12" fillId="0" borderId="8" xfId="0" applyFont="1" applyBorder="1"/>
    <xf numFmtId="41" fontId="12" fillId="0" borderId="8" xfId="0" applyNumberFormat="1" applyFont="1" applyBorder="1"/>
    <xf numFmtId="41" fontId="40" fillId="0" borderId="8" xfId="0" applyNumberFormat="1" applyFont="1" applyBorder="1"/>
    <xf numFmtId="6" fontId="35" fillId="0" borderId="2" xfId="0" applyNumberFormat="1" applyFont="1" applyFill="1" applyBorder="1" applyAlignment="1">
      <alignment horizontal="right" wrapText="1"/>
    </xf>
    <xf numFmtId="0" fontId="41" fillId="0" borderId="0" xfId="0" applyFont="1"/>
    <xf numFmtId="0" fontId="12" fillId="0" borderId="1" xfId="0" applyFont="1" applyFill="1" applyBorder="1" applyAlignment="1">
      <alignment horizontal="center" wrapText="1"/>
    </xf>
    <xf numFmtId="0" fontId="9" fillId="0" borderId="1" xfId="0" applyFont="1" applyFill="1" applyBorder="1" applyAlignment="1">
      <alignment horizontal="left" vertical="top" wrapText="1" indent="1"/>
    </xf>
    <xf numFmtId="1" fontId="9" fillId="0" borderId="1" xfId="0" applyNumberFormat="1" applyFont="1" applyFill="1" applyBorder="1" applyAlignment="1">
      <alignment horizontal="center" wrapText="1"/>
    </xf>
    <xf numFmtId="0" fontId="30" fillId="0" borderId="0" xfId="0" applyFont="1"/>
    <xf numFmtId="0" fontId="12" fillId="0" borderId="1" xfId="0" applyFont="1" applyBorder="1"/>
    <xf numFmtId="41" fontId="40" fillId="0" borderId="1" xfId="0" applyNumberFormat="1" applyFont="1" applyBorder="1"/>
    <xf numFmtId="3" fontId="30" fillId="0" borderId="0" xfId="0" applyNumberFormat="1" applyFont="1"/>
    <xf numFmtId="6" fontId="12" fillId="0" borderId="1" xfId="0" applyNumberFormat="1" applyFont="1" applyBorder="1" applyAlignment="1">
      <alignment horizontal="right" wrapText="1"/>
    </xf>
    <xf numFmtId="0" fontId="16" fillId="0" borderId="0" xfId="0" applyFont="1" applyBorder="1" applyAlignment="1">
      <alignment vertical="center" wrapText="1"/>
    </xf>
    <xf numFmtId="0" fontId="17" fillId="2" borderId="6" xfId="0" applyFont="1" applyFill="1" applyBorder="1" applyAlignment="1">
      <alignment horizontal="center" vertical="center" wrapText="1"/>
    </xf>
    <xf numFmtId="0" fontId="22" fillId="2" borderId="6" xfId="0" applyFont="1" applyFill="1" applyBorder="1" applyAlignment="1">
      <alignment vertical="center" wrapText="1"/>
    </xf>
    <xf numFmtId="0" fontId="3" fillId="0" borderId="0" xfId="0" applyFont="1" applyFill="1" applyAlignment="1">
      <alignment vertical="center" wrapText="1"/>
    </xf>
    <xf numFmtId="0" fontId="0" fillId="0" borderId="0" xfId="0" applyFill="1" applyAlignment="1">
      <alignment wrapText="1"/>
    </xf>
    <xf numFmtId="164" fontId="12" fillId="0" borderId="8" xfId="1" applyFont="1" applyFill="1" applyBorder="1" applyAlignment="1">
      <alignment horizontal="left" wrapText="1"/>
    </xf>
    <xf numFmtId="164" fontId="14" fillId="0" borderId="8" xfId="1" applyFont="1" applyFill="1" applyBorder="1" applyAlignment="1">
      <alignment horizontal="left" wrapText="1"/>
    </xf>
    <xf numFmtId="0" fontId="19" fillId="0" borderId="5" xfId="0" applyFont="1" applyBorder="1" applyAlignment="1">
      <alignment vertical="center" wrapText="1"/>
    </xf>
    <xf numFmtId="0" fontId="0" fillId="0" borderId="5" xfId="0" applyBorder="1" applyAlignment="1">
      <alignment wrapText="1"/>
    </xf>
    <xf numFmtId="0" fontId="26" fillId="0" borderId="8"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36" fillId="0" borderId="13" xfId="0" applyFont="1" applyBorder="1" applyAlignment="1">
      <alignment wrapText="1"/>
    </xf>
    <xf numFmtId="0" fontId="37" fillId="0" borderId="0" xfId="0" applyFont="1" applyAlignment="1">
      <alignment wrapText="1"/>
    </xf>
    <xf numFmtId="0" fontId="9" fillId="0" borderId="0" xfId="0" applyFont="1" applyAlignment="1">
      <alignment vertical="center" wrapText="1"/>
    </xf>
    <xf numFmtId="0" fontId="39" fillId="0" borderId="0" xfId="0" applyFont="1" applyAlignment="1">
      <alignment wrapText="1"/>
    </xf>
    <xf numFmtId="0" fontId="9" fillId="0" borderId="0" xfId="0" applyFont="1" applyAlignment="1">
      <alignment wrapText="1"/>
    </xf>
    <xf numFmtId="0" fontId="9" fillId="0" borderId="0" xfId="0" applyFont="1" applyFill="1" applyAlignment="1">
      <alignment wrapText="1"/>
    </xf>
    <xf numFmtId="0" fontId="39" fillId="0" borderId="0" xfId="0" applyFont="1" applyFill="1" applyAlignment="1">
      <alignment wrapText="1"/>
    </xf>
    <xf numFmtId="164" fontId="12" fillId="0" borderId="0" xfId="1" applyFont="1" applyFill="1" applyBorder="1" applyAlignment="1">
      <alignment horizontal="left" wrapText="1"/>
    </xf>
    <xf numFmtId="164" fontId="14" fillId="0" borderId="0" xfId="1" applyFont="1" applyFill="1" applyBorder="1" applyAlignment="1">
      <alignment horizontal="left" wrapText="1"/>
    </xf>
    <xf numFmtId="0" fontId="12" fillId="0" borderId="1" xfId="0" applyFont="1" applyBorder="1" applyAlignment="1">
      <alignment horizontal="left" wrapText="1"/>
    </xf>
    <xf numFmtId="0" fontId="9" fillId="0" borderId="0" xfId="0" applyFont="1" applyAlignment="1">
      <alignment horizontal="left" wrapText="1"/>
    </xf>
    <xf numFmtId="0" fontId="34" fillId="0" borderId="2" xfId="0" applyFont="1" applyBorder="1" applyAlignment="1">
      <alignment horizontal="lef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3" fontId="35" fillId="0" borderId="2" xfId="0" applyNumberFormat="1" applyFont="1" applyBorder="1" applyAlignment="1">
      <alignment horizontal="center" wrapText="1"/>
    </xf>
    <xf numFmtId="3" fontId="35" fillId="0" borderId="3" xfId="0" applyNumberFormat="1" applyFont="1" applyBorder="1" applyAlignment="1">
      <alignment horizontal="center" wrapText="1"/>
    </xf>
    <xf numFmtId="3" fontId="35" fillId="0" borderId="4" xfId="0" applyNumberFormat="1" applyFont="1" applyBorder="1" applyAlignment="1">
      <alignment horizontal="center" wrapText="1"/>
    </xf>
    <xf numFmtId="0" fontId="34" fillId="0" borderId="1" xfId="0" applyFont="1" applyBorder="1" applyAlignment="1">
      <alignment horizontal="left" vertical="top" wrapText="1"/>
    </xf>
    <xf numFmtId="0" fontId="31" fillId="0" borderId="0" xfId="0" applyFont="1" applyAlignment="1">
      <alignment wrapText="1"/>
    </xf>
    <xf numFmtId="0" fontId="30" fillId="0" borderId="0" xfId="0" applyFont="1" applyAlignment="1">
      <alignment wrapText="1"/>
    </xf>
    <xf numFmtId="0" fontId="29" fillId="0" borderId="0" xfId="0" applyFont="1" applyFill="1" applyAlignment="1">
      <alignment vertical="center" wrapText="1"/>
    </xf>
    <xf numFmtId="3" fontId="12" fillId="0" borderId="1" xfId="0" applyNumberFormat="1" applyFont="1" applyBorder="1" applyAlignment="1">
      <alignment horizontal="center" wrapText="1"/>
    </xf>
    <xf numFmtId="0" fontId="29" fillId="0" borderId="0" xfId="0" applyFont="1" applyAlignment="1">
      <alignment horizontal="left" wrapText="1"/>
    </xf>
    <xf numFmtId="0" fontId="29" fillId="0" borderId="0" xfId="0" applyFont="1" applyAlignment="1">
      <alignment wrapText="1"/>
    </xf>
  </cellXfs>
  <cellStyles count="2">
    <cellStyle name="Normal" xfId="0" builtinId="0"/>
    <cellStyle name="Normal_SSI Burden Estimate BML 06071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1F5C75BC-92BD-47B6-A9DD-E3A01C70370A}"/>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workbookViewId="0">
      <selection activeCell="I14" sqref="I14:M14"/>
    </sheetView>
  </sheetViews>
  <sheetFormatPr defaultRowHeight="15" x14ac:dyDescent="0.25"/>
  <cols>
    <col min="1" max="2" width="13.42578125" customWidth="1"/>
    <col min="3" max="3" width="12.5703125" customWidth="1"/>
    <col min="4" max="4" width="25.7109375" customWidth="1"/>
    <col min="5" max="5" width="20.140625" customWidth="1"/>
    <col min="6" max="6" width="15.42578125" customWidth="1"/>
    <col min="7" max="7" width="12.140625" customWidth="1"/>
    <col min="8" max="8" width="13" customWidth="1"/>
    <col min="9" max="9" width="16.42578125" customWidth="1"/>
    <col min="10" max="10" width="14" customWidth="1"/>
    <col min="12" max="12" width="32" customWidth="1"/>
    <col min="13" max="13" width="19.5703125" customWidth="1"/>
  </cols>
  <sheetData>
    <row r="1" spans="1:13" ht="16.5" thickBot="1" x14ac:dyDescent="0.3">
      <c r="A1" s="97"/>
      <c r="B1" s="97"/>
      <c r="C1" s="97"/>
      <c r="D1" s="97"/>
      <c r="E1" s="97"/>
      <c r="F1" s="97"/>
      <c r="G1" s="13"/>
      <c r="H1" s="13"/>
      <c r="I1" s="97"/>
      <c r="J1" s="97"/>
      <c r="K1" s="97"/>
      <c r="L1" s="97"/>
      <c r="M1" s="97"/>
    </row>
    <row r="2" spans="1:13" ht="16.5" thickBot="1" x14ac:dyDescent="0.3">
      <c r="A2" s="98" t="s">
        <v>25</v>
      </c>
      <c r="B2" s="98"/>
      <c r="C2" s="98"/>
      <c r="D2" s="98"/>
      <c r="E2" s="98"/>
      <c r="F2" s="98"/>
      <c r="I2" s="98" t="s">
        <v>38</v>
      </c>
      <c r="J2" s="98"/>
      <c r="K2" s="98"/>
      <c r="L2" s="98"/>
      <c r="M2" s="98"/>
    </row>
    <row r="3" spans="1:13" ht="24.75" thickBot="1" x14ac:dyDescent="0.3">
      <c r="A3" s="20"/>
      <c r="B3" s="99" t="s">
        <v>26</v>
      </c>
      <c r="C3" s="99"/>
      <c r="D3" s="23" t="s">
        <v>27</v>
      </c>
      <c r="E3" s="99"/>
      <c r="F3" s="99"/>
      <c r="I3" s="22" t="s">
        <v>29</v>
      </c>
      <c r="J3" s="22" t="s">
        <v>30</v>
      </c>
      <c r="K3" s="22" t="s">
        <v>32</v>
      </c>
      <c r="L3" s="22" t="s">
        <v>2</v>
      </c>
      <c r="M3" s="22" t="s">
        <v>35</v>
      </c>
    </row>
    <row r="4" spans="1:13" ht="27" customHeight="1" thickBot="1" x14ac:dyDescent="0.3">
      <c r="A4" s="24"/>
      <c r="B4" s="25" t="s">
        <v>29</v>
      </c>
      <c r="C4" s="25" t="s">
        <v>30</v>
      </c>
      <c r="D4" s="25" t="s">
        <v>32</v>
      </c>
      <c r="E4" s="25" t="s">
        <v>2</v>
      </c>
      <c r="F4" s="25" t="s">
        <v>35</v>
      </c>
      <c r="I4" s="22" t="s">
        <v>39</v>
      </c>
      <c r="J4" s="22" t="s">
        <v>25</v>
      </c>
      <c r="K4" s="22" t="s">
        <v>40</v>
      </c>
      <c r="L4" s="22" t="s">
        <v>41</v>
      </c>
      <c r="M4" s="22" t="s">
        <v>48</v>
      </c>
    </row>
    <row r="5" spans="1:13" ht="41.25" customHeight="1" thickBot="1" x14ac:dyDescent="0.3">
      <c r="A5" s="25" t="s">
        <v>28</v>
      </c>
      <c r="B5" s="24" t="s">
        <v>50</v>
      </c>
      <c r="C5" s="24" t="s">
        <v>31</v>
      </c>
      <c r="D5" s="24" t="s">
        <v>33</v>
      </c>
      <c r="E5" s="24" t="s">
        <v>34</v>
      </c>
      <c r="F5" s="24" t="s">
        <v>49</v>
      </c>
      <c r="I5" s="21" t="s">
        <v>42</v>
      </c>
      <c r="J5" s="21">
        <f>'Table 1'!E12</f>
        <v>1</v>
      </c>
      <c r="K5" s="21">
        <f>'Table 1'!C12</f>
        <v>1</v>
      </c>
      <c r="L5" s="21">
        <v>0</v>
      </c>
      <c r="M5" s="21">
        <f>(J5*K5)+L5</f>
        <v>1</v>
      </c>
    </row>
    <row r="6" spans="1:13" ht="24.75" thickBot="1" x14ac:dyDescent="0.3">
      <c r="A6" s="15">
        <v>1</v>
      </c>
      <c r="B6" s="16">
        <v>1</v>
      </c>
      <c r="C6" s="16">
        <v>168</v>
      </c>
      <c r="D6" s="16">
        <v>0</v>
      </c>
      <c r="E6" s="16">
        <v>0</v>
      </c>
      <c r="F6" s="16">
        <f>B6+C6+D6-E6</f>
        <v>169</v>
      </c>
      <c r="I6" s="16" t="s">
        <v>43</v>
      </c>
      <c r="J6" s="16">
        <f>'Table 1'!E13</f>
        <v>1</v>
      </c>
      <c r="K6" s="16">
        <f>'Table 1'!C13</f>
        <v>1</v>
      </c>
      <c r="L6" s="16">
        <v>0</v>
      </c>
      <c r="M6" s="16">
        <f t="shared" ref="M6:M8" si="0">(J6*K6)+L6</f>
        <v>1</v>
      </c>
    </row>
    <row r="7" spans="1:13" ht="24.75" thickBot="1" x14ac:dyDescent="0.3">
      <c r="A7" s="15">
        <v>2</v>
      </c>
      <c r="B7" s="16">
        <v>1</v>
      </c>
      <c r="C7" s="16">
        <v>169</v>
      </c>
      <c r="D7" s="16">
        <v>0</v>
      </c>
      <c r="E7" s="16">
        <v>0</v>
      </c>
      <c r="F7" s="16">
        <f t="shared" ref="F7:F8" si="1">B7+C7+D7-E7</f>
        <v>170</v>
      </c>
      <c r="I7" s="16" t="s">
        <v>44</v>
      </c>
      <c r="J7" s="16">
        <f>'Table 1'!E14</f>
        <v>1</v>
      </c>
      <c r="K7" s="16">
        <f>'Table 1'!C14</f>
        <v>1</v>
      </c>
      <c r="L7" s="16">
        <v>0</v>
      </c>
      <c r="M7" s="16">
        <f t="shared" si="0"/>
        <v>1</v>
      </c>
    </row>
    <row r="8" spans="1:13" ht="49.5" thickBot="1" x14ac:dyDescent="0.3">
      <c r="A8" s="15">
        <v>3</v>
      </c>
      <c r="B8" s="16">
        <v>1</v>
      </c>
      <c r="C8" s="16">
        <v>170</v>
      </c>
      <c r="D8" s="16">
        <v>0</v>
      </c>
      <c r="E8" s="16">
        <v>0</v>
      </c>
      <c r="F8" s="16">
        <f t="shared" si="1"/>
        <v>171</v>
      </c>
      <c r="I8" s="66" t="s">
        <v>109</v>
      </c>
      <c r="J8" s="67">
        <f>173/3*0</f>
        <v>0</v>
      </c>
      <c r="K8" s="68">
        <f>1*0</f>
        <v>0</v>
      </c>
      <c r="L8" s="68">
        <v>0</v>
      </c>
      <c r="M8" s="69">
        <f t="shared" si="0"/>
        <v>0</v>
      </c>
    </row>
    <row r="9" spans="1:13" ht="24.75" thickBot="1" x14ac:dyDescent="0.3">
      <c r="A9" s="15" t="s">
        <v>36</v>
      </c>
      <c r="B9" s="16">
        <f t="shared" ref="B9:C9" si="2">AVERAGE(B6:B8)</f>
        <v>1</v>
      </c>
      <c r="C9" s="16">
        <f t="shared" si="2"/>
        <v>169</v>
      </c>
      <c r="D9" s="16">
        <v>0</v>
      </c>
      <c r="E9" s="16">
        <v>0</v>
      </c>
      <c r="F9" s="17">
        <f>AVERAGE(F6:F8)</f>
        <v>170</v>
      </c>
      <c r="I9" s="16" t="s">
        <v>45</v>
      </c>
      <c r="J9" s="16">
        <f>'Table 1'!E17</f>
        <v>1</v>
      </c>
      <c r="K9" s="16">
        <f>'Table 1'!C17</f>
        <v>1</v>
      </c>
      <c r="L9" s="16">
        <v>0</v>
      </c>
      <c r="M9" s="16">
        <f>(J9*K9)+L9</f>
        <v>1</v>
      </c>
    </row>
    <row r="10" spans="1:13" ht="24.75" thickBot="1" x14ac:dyDescent="0.3">
      <c r="A10" s="12" t="s">
        <v>37</v>
      </c>
      <c r="I10" s="16" t="s">
        <v>92</v>
      </c>
      <c r="J10" s="16">
        <f>I16</f>
        <v>22</v>
      </c>
      <c r="K10" s="16">
        <v>1</v>
      </c>
      <c r="L10" s="16">
        <v>0</v>
      </c>
      <c r="M10" s="16">
        <f>(J10*K10)+L10</f>
        <v>22</v>
      </c>
    </row>
    <row r="11" spans="1:13" ht="24.75" thickBot="1" x14ac:dyDescent="0.3">
      <c r="A11" s="19"/>
      <c r="B11" s="18"/>
      <c r="C11" s="18"/>
      <c r="D11" s="18"/>
      <c r="E11" s="18"/>
      <c r="F11" s="18"/>
      <c r="I11" s="57" t="s">
        <v>93</v>
      </c>
      <c r="J11" s="59">
        <f>I16</f>
        <v>22</v>
      </c>
      <c r="K11" s="58">
        <v>1</v>
      </c>
      <c r="L11" s="57">
        <v>0</v>
      </c>
      <c r="M11" s="16">
        <f>(J11*K11)+L11</f>
        <v>22</v>
      </c>
    </row>
    <row r="12" spans="1:13" ht="54" customHeight="1" thickBot="1" x14ac:dyDescent="0.3">
      <c r="A12" s="102" t="s">
        <v>89</v>
      </c>
      <c r="B12" s="103"/>
      <c r="C12" s="103"/>
      <c r="D12" s="13"/>
      <c r="E12" s="106" t="s">
        <v>21</v>
      </c>
      <c r="F12" s="106"/>
      <c r="I12" s="16" t="s">
        <v>46</v>
      </c>
      <c r="J12" s="16">
        <f>'Table 1'!E19</f>
        <v>170</v>
      </c>
      <c r="K12" s="16">
        <f>'Table 1'!C19</f>
        <v>2</v>
      </c>
      <c r="L12" s="16">
        <v>0</v>
      </c>
      <c r="M12" s="16">
        <f>(J12*K12)+L12</f>
        <v>340</v>
      </c>
    </row>
    <row r="13" spans="1:13" ht="39" thickBot="1" x14ac:dyDescent="0.3">
      <c r="A13" s="37" t="s">
        <v>15</v>
      </c>
      <c r="B13" s="37" t="s">
        <v>16</v>
      </c>
      <c r="C13" s="37" t="s">
        <v>17</v>
      </c>
      <c r="D13" s="18"/>
      <c r="E13" s="40">
        <f>'Table 1'!F42</f>
        <v>17600</v>
      </c>
      <c r="F13" s="41" t="s">
        <v>22</v>
      </c>
      <c r="I13" s="14"/>
      <c r="J13" s="16"/>
      <c r="K13" s="16"/>
      <c r="L13" s="17" t="s">
        <v>47</v>
      </c>
      <c r="M13" s="62">
        <f>SUM(M5:M12)</f>
        <v>388</v>
      </c>
    </row>
    <row r="14" spans="1:13" ht="45.75" customHeight="1" thickBot="1" x14ac:dyDescent="0.3">
      <c r="A14" s="38" t="s">
        <v>18</v>
      </c>
      <c r="B14" s="39">
        <v>70.19</v>
      </c>
      <c r="C14" s="39">
        <f>B14+1.1*B14</f>
        <v>147.399</v>
      </c>
      <c r="E14" s="40">
        <f>M13</f>
        <v>388</v>
      </c>
      <c r="F14" s="41" t="s">
        <v>23</v>
      </c>
      <c r="I14" s="104" t="str">
        <f>"Note: Based on permits we assume that "&amp;I26&amp;" facilites use add-on controls, with a total of 123 oxidizers and 18 carbon adsorbers.  "&amp;"Some permits already require periodic testing.  "&amp;"It's estimated that an additional 65 oxidizers will have to perform repeat testing under the proposal, and that one-third are done each year (65/3=22)"</f>
        <v>Note: Based on permits we assume that 88 facilites use add-on controls, with a total of 123 oxidizers and 18 carbon adsorbers.  Some permits already require periodic testing.  It's estimated that an additional 65 oxidizers will have to perform repeat testing under the proposal, and that one-third are done each year (65/3=22)</v>
      </c>
      <c r="J14" s="105"/>
      <c r="K14" s="105"/>
      <c r="L14" s="105"/>
      <c r="M14" s="105"/>
    </row>
    <row r="15" spans="1:13" ht="15.75" thickBot="1" x14ac:dyDescent="0.3">
      <c r="A15" s="38" t="s">
        <v>19</v>
      </c>
      <c r="B15" s="39">
        <v>56.15</v>
      </c>
      <c r="C15" s="39">
        <f>B15+1.1*B15</f>
        <v>117.91499999999999</v>
      </c>
      <c r="E15" s="40">
        <f>E13/E14</f>
        <v>45.360824742268044</v>
      </c>
      <c r="F15" s="41" t="s">
        <v>24</v>
      </c>
    </row>
    <row r="16" spans="1:13" ht="15.75" thickBot="1" x14ac:dyDescent="0.3">
      <c r="A16" s="38" t="s">
        <v>20</v>
      </c>
      <c r="B16" s="39">
        <v>27.15</v>
      </c>
      <c r="C16" s="39">
        <f>B16+1.1*B16</f>
        <v>57.015000000000001</v>
      </c>
      <c r="I16">
        <f>ROUND(65/3,0)</f>
        <v>22</v>
      </c>
    </row>
    <row r="17" spans="1:12" ht="15.75" thickBot="1" x14ac:dyDescent="0.3"/>
    <row r="18" spans="1:12" ht="16.5" thickBot="1" x14ac:dyDescent="0.3">
      <c r="A18" s="107" t="s">
        <v>64</v>
      </c>
      <c r="B18" s="108"/>
      <c r="C18" s="108"/>
      <c r="D18" s="108"/>
      <c r="E18" s="108"/>
      <c r="F18" s="108"/>
      <c r="G18" s="109"/>
      <c r="H18" s="44"/>
    </row>
    <row r="19" spans="1:12" ht="15.75" thickBot="1" x14ac:dyDescent="0.3">
      <c r="A19" s="43" t="s">
        <v>29</v>
      </c>
      <c r="B19" s="43" t="s">
        <v>30</v>
      </c>
      <c r="C19" s="43" t="s">
        <v>32</v>
      </c>
      <c r="D19" s="43" t="s">
        <v>2</v>
      </c>
      <c r="E19" s="43" t="s">
        <v>35</v>
      </c>
      <c r="F19" s="43" t="s">
        <v>69</v>
      </c>
      <c r="G19" s="43" t="s">
        <v>70</v>
      </c>
    </row>
    <row r="20" spans="1:12" ht="42" thickBot="1" x14ac:dyDescent="0.3">
      <c r="A20" s="43" t="s">
        <v>65</v>
      </c>
      <c r="B20" s="43" t="s">
        <v>66</v>
      </c>
      <c r="C20" s="43" t="s">
        <v>63</v>
      </c>
      <c r="D20" s="43" t="s">
        <v>67</v>
      </c>
      <c r="E20" s="43" t="s">
        <v>68</v>
      </c>
      <c r="F20" s="43" t="s">
        <v>74</v>
      </c>
      <c r="G20" s="43" t="s">
        <v>72</v>
      </c>
    </row>
    <row r="21" spans="1:12" ht="51.75" thickBot="1" x14ac:dyDescent="0.3">
      <c r="A21" s="74" t="s">
        <v>120</v>
      </c>
      <c r="B21" s="75">
        <v>28000</v>
      </c>
      <c r="C21" s="76">
        <v>1</v>
      </c>
      <c r="D21" s="75">
        <v>28000</v>
      </c>
      <c r="E21" s="77"/>
      <c r="F21" s="77"/>
      <c r="G21" s="77"/>
    </row>
    <row r="22" spans="1:12" ht="39" thickBot="1" x14ac:dyDescent="0.3">
      <c r="A22" s="78" t="s">
        <v>121</v>
      </c>
      <c r="B22" s="75">
        <v>10000</v>
      </c>
      <c r="C22" s="76">
        <v>1</v>
      </c>
      <c r="D22" s="75">
        <f>B22*C22</f>
        <v>10000</v>
      </c>
      <c r="E22" s="75">
        <v>25</v>
      </c>
      <c r="F22" s="76">
        <v>84</v>
      </c>
      <c r="G22" s="75">
        <f>F22*E22</f>
        <v>2100</v>
      </c>
    </row>
    <row r="23" spans="1:12" ht="51.75" thickBot="1" x14ac:dyDescent="0.3">
      <c r="A23" s="78" t="s">
        <v>122</v>
      </c>
      <c r="B23" s="75">
        <v>28000</v>
      </c>
      <c r="C23" s="76">
        <v>65</v>
      </c>
      <c r="D23" s="75">
        <f>C23*B23</f>
        <v>1820000</v>
      </c>
      <c r="E23" s="75"/>
      <c r="F23" s="76"/>
      <c r="G23" s="75"/>
    </row>
    <row r="24" spans="1:12" ht="65.25" customHeight="1" thickBot="1" x14ac:dyDescent="0.3">
      <c r="A24" s="78" t="s">
        <v>71</v>
      </c>
      <c r="B24" s="75">
        <v>183500</v>
      </c>
      <c r="C24" s="76">
        <v>1</v>
      </c>
      <c r="D24" s="75">
        <f>B24*C24</f>
        <v>183500</v>
      </c>
      <c r="E24" s="75">
        <v>26700</v>
      </c>
      <c r="F24" s="76">
        <v>4</v>
      </c>
      <c r="G24" s="75">
        <f>F24*E24</f>
        <v>106800</v>
      </c>
      <c r="H24" s="110"/>
      <c r="I24" s="111"/>
      <c r="J24" s="111"/>
      <c r="K24" s="111"/>
      <c r="L24" s="111"/>
    </row>
    <row r="25" spans="1:12" ht="29.25" thickBot="1" x14ac:dyDescent="0.3">
      <c r="A25" s="79" t="s">
        <v>136</v>
      </c>
      <c r="B25" s="76"/>
      <c r="C25" s="76"/>
      <c r="D25" s="80">
        <f>ROUND(SUM(D21:D24), -4)</f>
        <v>2040000</v>
      </c>
      <c r="E25" s="76"/>
      <c r="F25" s="76"/>
      <c r="G25" s="80">
        <f>ROUND(SUM(G22:G24), -3)</f>
        <v>109000</v>
      </c>
      <c r="I25" s="70">
        <f>G25+D25</f>
        <v>2149000</v>
      </c>
      <c r="J25" t="s">
        <v>132</v>
      </c>
    </row>
    <row r="26" spans="1:12" ht="54.75" customHeight="1" x14ac:dyDescent="0.25">
      <c r="A26" s="100" t="s">
        <v>135</v>
      </c>
      <c r="B26" s="101"/>
      <c r="C26" s="101"/>
      <c r="D26" s="101"/>
      <c r="E26" s="101"/>
      <c r="F26" s="101"/>
      <c r="G26" s="101"/>
      <c r="H26" s="45"/>
      <c r="I26" s="47">
        <f>ROUND(0.52*F9,0)</f>
        <v>88</v>
      </c>
      <c r="J26" s="47"/>
      <c r="K26" s="47"/>
      <c r="L26" s="47"/>
    </row>
    <row r="27" spans="1:12" ht="15.75" x14ac:dyDescent="0.25">
      <c r="A27" s="42" t="s">
        <v>73</v>
      </c>
    </row>
    <row r="28" spans="1:12" x14ac:dyDescent="0.25">
      <c r="I28" s="73">
        <f>D25/3+G25</f>
        <v>789000</v>
      </c>
      <c r="J28" t="s">
        <v>133</v>
      </c>
    </row>
    <row r="30" spans="1:12" x14ac:dyDescent="0.25">
      <c r="A30" t="s">
        <v>129</v>
      </c>
    </row>
    <row r="31" spans="1:12" x14ac:dyDescent="0.25">
      <c r="A31" t="s">
        <v>28</v>
      </c>
      <c r="B31" t="s">
        <v>126</v>
      </c>
      <c r="C31" t="s">
        <v>127</v>
      </c>
      <c r="D31" t="s">
        <v>47</v>
      </c>
    </row>
    <row r="32" spans="1:12" x14ac:dyDescent="0.25">
      <c r="A32">
        <v>1</v>
      </c>
      <c r="B32">
        <f>I26</f>
        <v>88</v>
      </c>
      <c r="C32">
        <v>1</v>
      </c>
      <c r="D32">
        <f>B32+C32</f>
        <v>89</v>
      </c>
    </row>
    <row r="33" spans="1:4" x14ac:dyDescent="0.25">
      <c r="A33">
        <v>2</v>
      </c>
      <c r="B33">
        <f>B32+C32</f>
        <v>89</v>
      </c>
      <c r="C33">
        <v>1</v>
      </c>
      <c r="D33">
        <f>B33+C33</f>
        <v>90</v>
      </c>
    </row>
    <row r="34" spans="1:4" x14ac:dyDescent="0.25">
      <c r="A34">
        <v>3</v>
      </c>
      <c r="B34">
        <f>B33+C33</f>
        <v>90</v>
      </c>
      <c r="C34">
        <v>1</v>
      </c>
      <c r="D34">
        <f>B34+C34</f>
        <v>91</v>
      </c>
    </row>
    <row r="35" spans="1:4" x14ac:dyDescent="0.25">
      <c r="A35" t="s">
        <v>128</v>
      </c>
      <c r="B35">
        <f>AVERAGE(B32:B34)</f>
        <v>89</v>
      </c>
      <c r="C35">
        <f>AVERAGE(C32:C34)</f>
        <v>1</v>
      </c>
      <c r="D35">
        <f>AVERAGE(D32:D34)</f>
        <v>90</v>
      </c>
    </row>
    <row r="40" spans="1:4" x14ac:dyDescent="0.25">
      <c r="A40" t="s">
        <v>130</v>
      </c>
    </row>
    <row r="41" spans="1:4" x14ac:dyDescent="0.25">
      <c r="A41">
        <f>F9</f>
        <v>170</v>
      </c>
      <c r="B41" s="72">
        <v>0.05</v>
      </c>
      <c r="C41">
        <f>B41*A41</f>
        <v>8.5</v>
      </c>
    </row>
  </sheetData>
  <mergeCells count="12">
    <mergeCell ref="A26:G26"/>
    <mergeCell ref="A12:C12"/>
    <mergeCell ref="I14:M14"/>
    <mergeCell ref="E12:F12"/>
    <mergeCell ref="A18:G18"/>
    <mergeCell ref="H24:L24"/>
    <mergeCell ref="I1:M1"/>
    <mergeCell ref="I2:M2"/>
    <mergeCell ref="A1:F1"/>
    <mergeCell ref="A2:F2"/>
    <mergeCell ref="B3:C3"/>
    <mergeCell ref="E3:F3"/>
  </mergeCells>
  <pageMargins left="0.7" right="0.7" top="0.75" bottom="0.75" header="0.3" footer="0.3"/>
  <pageSetup scale="56" orientation="landscape" r:id="rId1"/>
  <headerFooter>
    <oddFooter>&amp;R&amp;D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5"/>
  <sheetViews>
    <sheetView topLeftCell="A17" workbookViewId="0">
      <selection activeCell="I43" sqref="I43"/>
    </sheetView>
  </sheetViews>
  <sheetFormatPr defaultRowHeight="15" x14ac:dyDescent="0.25"/>
  <cols>
    <col min="1" max="1" width="45.140625" customWidth="1"/>
    <col min="2" max="2" width="14.28515625" customWidth="1"/>
    <col min="3" max="3" width="15.28515625" customWidth="1"/>
    <col min="4" max="4" width="16.28515625" customWidth="1"/>
    <col min="5" max="5" width="14.140625" customWidth="1"/>
    <col min="6" max="6" width="14.85546875" customWidth="1"/>
    <col min="7" max="8" width="14" customWidth="1"/>
    <col min="9" max="9" width="13.28515625" customWidth="1"/>
    <col min="10" max="10" width="40.85546875" customWidth="1"/>
    <col min="11" max="11" width="19.28515625" customWidth="1"/>
    <col min="12" max="12" width="10.5703125" customWidth="1"/>
    <col min="14" max="14" width="12.140625" customWidth="1"/>
  </cols>
  <sheetData>
    <row r="1" spans="1:14" ht="15.75" x14ac:dyDescent="0.25">
      <c r="A1" s="88" t="s">
        <v>0</v>
      </c>
      <c r="B1" s="48"/>
      <c r="C1" s="48"/>
      <c r="D1" s="48"/>
      <c r="E1" s="49"/>
      <c r="F1" s="48"/>
      <c r="G1" s="48"/>
      <c r="H1" s="48"/>
      <c r="I1" s="3"/>
      <c r="J1" s="1"/>
      <c r="K1" s="1"/>
      <c r="L1" s="1"/>
      <c r="M1" s="1"/>
      <c r="N1" s="1"/>
    </row>
    <row r="2" spans="1:14" x14ac:dyDescent="0.25">
      <c r="A2" s="48"/>
      <c r="B2" s="48"/>
      <c r="C2" s="48"/>
      <c r="D2" s="48"/>
      <c r="E2" s="49"/>
      <c r="F2" s="33"/>
      <c r="G2" s="33"/>
      <c r="H2" s="33"/>
      <c r="I2" s="34"/>
      <c r="J2" s="9"/>
      <c r="K2" s="1"/>
      <c r="L2" s="1"/>
      <c r="M2" s="1"/>
      <c r="N2" s="1"/>
    </row>
    <row r="3" spans="1:14" x14ac:dyDescent="0.25">
      <c r="A3" s="48"/>
      <c r="B3" s="48"/>
      <c r="C3" s="48"/>
      <c r="D3" s="48"/>
      <c r="E3" s="48">
        <f>SUM(E6:E19,E22:E40)</f>
        <v>1355.5</v>
      </c>
      <c r="F3" s="46">
        <f>'Labor Rate and Summary Data'!C15</f>
        <v>117.91499999999999</v>
      </c>
      <c r="G3" s="46">
        <f>'Labor Rate and Summary Data'!C14</f>
        <v>147.399</v>
      </c>
      <c r="H3" s="46">
        <f>'Labor Rate and Summary Data'!C16</f>
        <v>57.015000000000001</v>
      </c>
      <c r="I3" s="3"/>
      <c r="J3" s="8"/>
      <c r="K3" s="1"/>
      <c r="L3" s="1"/>
      <c r="M3" s="1"/>
      <c r="N3" s="1"/>
    </row>
    <row r="4" spans="1:14" ht="64.5" x14ac:dyDescent="0.25">
      <c r="A4" s="50"/>
      <c r="B4" s="50" t="s">
        <v>57</v>
      </c>
      <c r="C4" s="50" t="s">
        <v>58</v>
      </c>
      <c r="D4" s="50" t="s">
        <v>62</v>
      </c>
      <c r="E4" s="89" t="s">
        <v>141</v>
      </c>
      <c r="F4" s="50" t="s">
        <v>54</v>
      </c>
      <c r="G4" s="50" t="s">
        <v>59</v>
      </c>
      <c r="H4" s="50" t="s">
        <v>60</v>
      </c>
      <c r="I4" s="4" t="s">
        <v>61</v>
      </c>
      <c r="J4" s="8"/>
      <c r="K4" s="1"/>
      <c r="L4" s="1"/>
      <c r="M4" s="1"/>
      <c r="N4" s="1"/>
    </row>
    <row r="5" spans="1:14" x14ac:dyDescent="0.25">
      <c r="A5" s="51" t="s">
        <v>3</v>
      </c>
      <c r="B5" s="52"/>
      <c r="C5" s="52"/>
      <c r="D5" s="52"/>
      <c r="E5" s="53"/>
      <c r="F5" s="52"/>
      <c r="G5" s="52"/>
      <c r="H5" s="52"/>
      <c r="I5" s="5"/>
      <c r="J5" s="8"/>
      <c r="K5" s="30"/>
      <c r="L5" s="31"/>
      <c r="M5" s="9"/>
      <c r="N5" s="1"/>
    </row>
    <row r="6" spans="1:14" ht="20.25" customHeight="1" x14ac:dyDescent="0.25">
      <c r="A6" s="51" t="s">
        <v>4</v>
      </c>
      <c r="B6" s="52">
        <v>8</v>
      </c>
      <c r="C6" s="52">
        <v>1</v>
      </c>
      <c r="D6" s="52">
        <f>B6*C6</f>
        <v>8</v>
      </c>
      <c r="E6" s="53">
        <f>'Labor Rate and Summary Data'!$F$9</f>
        <v>170</v>
      </c>
      <c r="F6" s="71">
        <f>D6*E6</f>
        <v>1360</v>
      </c>
      <c r="G6" s="52">
        <f>F6*0.05</f>
        <v>68</v>
      </c>
      <c r="H6" s="52">
        <f>F6*0.1</f>
        <v>136</v>
      </c>
      <c r="I6" s="60">
        <f>F6*$F$3+G6*$G$3+H6*$H$3</f>
        <v>178141.57200000001</v>
      </c>
      <c r="J6" s="45"/>
      <c r="K6" s="30"/>
      <c r="L6" s="31"/>
      <c r="M6" s="9"/>
      <c r="N6" s="1"/>
    </row>
    <row r="7" spans="1:14" ht="18" customHeight="1" x14ac:dyDescent="0.25">
      <c r="A7" s="51" t="s">
        <v>142</v>
      </c>
      <c r="B7" s="52">
        <v>4</v>
      </c>
      <c r="C7" s="52">
        <v>4</v>
      </c>
      <c r="D7" s="52">
        <f>B7*C7</f>
        <v>16</v>
      </c>
      <c r="E7" s="53">
        <f>'Labor Rate and Summary Data'!$B$9</f>
        <v>1</v>
      </c>
      <c r="F7" s="52">
        <f>D7*E7</f>
        <v>16</v>
      </c>
      <c r="G7" s="52">
        <f>F7*0.05</f>
        <v>0.8</v>
      </c>
      <c r="H7" s="52">
        <f>F7*0.1</f>
        <v>1.6</v>
      </c>
      <c r="I7" s="60">
        <f>F7*$F$3+G7*$G$3+H7*$H$3</f>
        <v>2095.7831999999999</v>
      </c>
      <c r="J7" s="8"/>
      <c r="K7" s="32"/>
      <c r="L7" s="31"/>
      <c r="M7" s="9"/>
      <c r="N7" s="1"/>
    </row>
    <row r="8" spans="1:14" ht="18.75" customHeight="1" x14ac:dyDescent="0.25">
      <c r="A8" s="51" t="s">
        <v>143</v>
      </c>
      <c r="B8" s="52"/>
      <c r="C8" s="52"/>
      <c r="D8" s="52"/>
      <c r="E8" s="53"/>
      <c r="F8" s="52"/>
      <c r="G8" s="52"/>
      <c r="H8" s="52"/>
      <c r="I8" s="60"/>
      <c r="J8" s="8"/>
      <c r="K8" s="32"/>
      <c r="L8" s="31"/>
      <c r="M8" s="9"/>
      <c r="N8" s="1"/>
    </row>
    <row r="9" spans="1:14" ht="16.5" customHeight="1" x14ac:dyDescent="0.25">
      <c r="A9" s="90" t="s">
        <v>90</v>
      </c>
      <c r="B9" s="52">
        <v>24</v>
      </c>
      <c r="C9" s="52">
        <v>1</v>
      </c>
      <c r="D9" s="52">
        <f t="shared" ref="D9:D10" si="0">B9*C9</f>
        <v>24</v>
      </c>
      <c r="E9" s="91">
        <f>+'Labor Rate and Summary Data'!$M$10</f>
        <v>22</v>
      </c>
      <c r="F9" s="61">
        <f t="shared" ref="F9:F10" si="1">D9*E9</f>
        <v>528</v>
      </c>
      <c r="G9" s="61">
        <f t="shared" ref="G9:G10" si="2">F9*0.05</f>
        <v>26.400000000000002</v>
      </c>
      <c r="H9" s="61">
        <f t="shared" ref="H9:H10" si="3">F9*0.1</f>
        <v>52.800000000000004</v>
      </c>
      <c r="I9" s="60">
        <f t="shared" ref="I9:I10" si="4">F9*$F$3+G9*$G$3+H9*$H$3</f>
        <v>69160.845600000001</v>
      </c>
      <c r="J9" s="8"/>
      <c r="K9" s="32"/>
      <c r="L9" s="31"/>
      <c r="M9" s="9"/>
      <c r="N9" s="1"/>
    </row>
    <row r="10" spans="1:14" ht="16.5" customHeight="1" x14ac:dyDescent="0.25">
      <c r="A10" s="90" t="s">
        <v>91</v>
      </c>
      <c r="B10" s="52">
        <v>10</v>
      </c>
      <c r="C10" s="52">
        <v>2</v>
      </c>
      <c r="D10" s="52">
        <f t="shared" si="0"/>
        <v>20</v>
      </c>
      <c r="E10" s="91">
        <f>+'Labor Rate and Summary Data'!$M$10</f>
        <v>22</v>
      </c>
      <c r="F10" s="61">
        <f t="shared" si="1"/>
        <v>440</v>
      </c>
      <c r="G10" s="61">
        <f t="shared" si="2"/>
        <v>22</v>
      </c>
      <c r="H10" s="61">
        <f t="shared" si="3"/>
        <v>44</v>
      </c>
      <c r="I10" s="60">
        <f t="shared" si="4"/>
        <v>57634.038</v>
      </c>
      <c r="J10" s="8"/>
      <c r="K10" s="32"/>
      <c r="L10" s="31"/>
      <c r="M10" s="9"/>
      <c r="N10" s="1"/>
    </row>
    <row r="11" spans="1:14" x14ac:dyDescent="0.25">
      <c r="A11" s="51" t="s">
        <v>131</v>
      </c>
      <c r="B11" s="52"/>
      <c r="C11" s="52"/>
      <c r="D11" s="52"/>
      <c r="E11" s="53"/>
      <c r="F11" s="52"/>
      <c r="G11" s="52"/>
      <c r="H11" s="52"/>
      <c r="I11" s="60"/>
      <c r="J11" s="8"/>
      <c r="K11" s="1"/>
      <c r="L11" s="1"/>
      <c r="M11" s="1"/>
      <c r="N11" s="1"/>
    </row>
    <row r="12" spans="1:14" ht="15.75" x14ac:dyDescent="0.25">
      <c r="A12" s="90" t="s">
        <v>144</v>
      </c>
      <c r="B12" s="52">
        <v>2</v>
      </c>
      <c r="C12" s="52">
        <v>1</v>
      </c>
      <c r="D12" s="52">
        <f t="shared" ref="D12:D19" si="5">B12*C12</f>
        <v>2</v>
      </c>
      <c r="E12" s="53">
        <f>'Labor Rate and Summary Data'!$B$9</f>
        <v>1</v>
      </c>
      <c r="F12" s="52">
        <f t="shared" ref="F12:F19" si="6">D12*E12</f>
        <v>2</v>
      </c>
      <c r="G12" s="52">
        <f t="shared" ref="G12:G19" si="7">F12*0.05</f>
        <v>0.1</v>
      </c>
      <c r="H12" s="52">
        <f t="shared" ref="H12:H19" si="8">F12*0.1</f>
        <v>0.2</v>
      </c>
      <c r="I12" s="60">
        <f t="shared" ref="I12:I19" si="9">F12*$F$3+G12*$G$3+H12*$H$3</f>
        <v>261.97289999999998</v>
      </c>
      <c r="J12" s="8"/>
      <c r="K12" s="117"/>
      <c r="L12" s="118"/>
      <c r="M12" s="118"/>
      <c r="N12" s="1"/>
    </row>
    <row r="13" spans="1:14" ht="15.75" x14ac:dyDescent="0.25">
      <c r="A13" s="90" t="s">
        <v>145</v>
      </c>
      <c r="B13" s="52">
        <v>2</v>
      </c>
      <c r="C13" s="52">
        <v>1</v>
      </c>
      <c r="D13" s="52">
        <f t="shared" si="5"/>
        <v>2</v>
      </c>
      <c r="E13" s="53">
        <f>'Labor Rate and Summary Data'!$B$9</f>
        <v>1</v>
      </c>
      <c r="F13" s="52">
        <f t="shared" si="6"/>
        <v>2</v>
      </c>
      <c r="G13" s="52">
        <f t="shared" si="7"/>
        <v>0.1</v>
      </c>
      <c r="H13" s="52">
        <f t="shared" si="8"/>
        <v>0.2</v>
      </c>
      <c r="I13" s="60">
        <f t="shared" si="9"/>
        <v>261.97289999999998</v>
      </c>
      <c r="J13" s="8"/>
      <c r="K13" s="26"/>
      <c r="L13" s="26"/>
      <c r="M13" s="26"/>
      <c r="N13" s="1"/>
    </row>
    <row r="14" spans="1:14" ht="15.75" x14ac:dyDescent="0.25">
      <c r="A14" s="90" t="s">
        <v>146</v>
      </c>
      <c r="B14" s="52">
        <v>2</v>
      </c>
      <c r="C14" s="52">
        <v>1</v>
      </c>
      <c r="D14" s="52">
        <f t="shared" si="5"/>
        <v>2</v>
      </c>
      <c r="E14" s="53">
        <f>'Labor Rate and Summary Data'!$B9</f>
        <v>1</v>
      </c>
      <c r="F14" s="52">
        <f t="shared" si="6"/>
        <v>2</v>
      </c>
      <c r="G14" s="52">
        <f t="shared" si="7"/>
        <v>0.1</v>
      </c>
      <c r="H14" s="52">
        <f t="shared" si="8"/>
        <v>0.2</v>
      </c>
      <c r="I14" s="60">
        <f t="shared" si="9"/>
        <v>261.97289999999998</v>
      </c>
      <c r="J14" s="8"/>
      <c r="K14" s="27"/>
      <c r="L14" s="28"/>
      <c r="M14" s="28"/>
      <c r="N14" s="1"/>
    </row>
    <row r="15" spans="1:14" ht="25.5" hidden="1" x14ac:dyDescent="0.25">
      <c r="A15" s="90" t="s">
        <v>106</v>
      </c>
      <c r="B15" s="52">
        <f>5*0</f>
        <v>0</v>
      </c>
      <c r="C15" s="52">
        <f>1*0</f>
        <v>0</v>
      </c>
      <c r="D15" s="52">
        <f t="shared" si="5"/>
        <v>0</v>
      </c>
      <c r="E15" s="53">
        <f>'Labor Rate and Summary Data'!F$9*0</f>
        <v>0</v>
      </c>
      <c r="F15" s="52">
        <f t="shared" ref="F15" si="10">D15*E15</f>
        <v>0</v>
      </c>
      <c r="G15" s="52">
        <f t="shared" ref="G15" si="11">F15*0.05</f>
        <v>0</v>
      </c>
      <c r="H15" s="52">
        <f t="shared" ref="H15" si="12">F15*0.1</f>
        <v>0</v>
      </c>
      <c r="I15" s="60">
        <f t="shared" ref="I15" si="13">F15*$F$3+G15*$G$3+H15*$H$3</f>
        <v>0</v>
      </c>
      <c r="J15" s="8"/>
      <c r="K15" s="27"/>
      <c r="L15" s="28"/>
      <c r="M15" s="28"/>
      <c r="N15" s="1"/>
    </row>
    <row r="16" spans="1:14" ht="25.5" hidden="1" x14ac:dyDescent="0.25">
      <c r="A16" s="90" t="s">
        <v>107</v>
      </c>
      <c r="B16" s="52">
        <f>2*0</f>
        <v>0</v>
      </c>
      <c r="C16" s="52">
        <f>1*0</f>
        <v>0</v>
      </c>
      <c r="D16" s="52">
        <f t="shared" si="5"/>
        <v>0</v>
      </c>
      <c r="E16" s="53">
        <f>'Labor Rate and Summary Data'!F$9*0</f>
        <v>0</v>
      </c>
      <c r="F16" s="52">
        <f t="shared" ref="F16" si="14">D16*E16</f>
        <v>0</v>
      </c>
      <c r="G16" s="52">
        <f t="shared" ref="G16" si="15">F16*0.05</f>
        <v>0</v>
      </c>
      <c r="H16" s="52">
        <f t="shared" ref="H16" si="16">F16*0.1</f>
        <v>0</v>
      </c>
      <c r="I16" s="60">
        <f t="shared" ref="I16" si="17">F16*$F$3+G16*$G$3+H16*$H$3</f>
        <v>0</v>
      </c>
      <c r="J16" s="8"/>
      <c r="K16" s="27"/>
      <c r="L16" s="28"/>
      <c r="M16" s="28"/>
      <c r="N16" s="1"/>
    </row>
    <row r="17" spans="1:15" ht="15.75" x14ac:dyDescent="0.25">
      <c r="A17" s="90" t="s">
        <v>147</v>
      </c>
      <c r="B17" s="52">
        <v>2</v>
      </c>
      <c r="C17" s="52">
        <v>1</v>
      </c>
      <c r="D17" s="52">
        <f t="shared" si="5"/>
        <v>2</v>
      </c>
      <c r="E17" s="53">
        <f>'Labor Rate and Summary Data'!$B9</f>
        <v>1</v>
      </c>
      <c r="F17" s="52">
        <f t="shared" si="6"/>
        <v>2</v>
      </c>
      <c r="G17" s="52">
        <f t="shared" si="7"/>
        <v>0.1</v>
      </c>
      <c r="H17" s="52">
        <f t="shared" si="8"/>
        <v>0.2</v>
      </c>
      <c r="I17" s="60">
        <f t="shared" si="9"/>
        <v>261.97289999999998</v>
      </c>
      <c r="J17" s="8"/>
      <c r="K17" s="27"/>
      <c r="L17" s="28"/>
      <c r="M17" s="28"/>
      <c r="N17" s="1"/>
    </row>
    <row r="18" spans="1:15" ht="15.75" x14ac:dyDescent="0.25">
      <c r="A18" s="90" t="s">
        <v>148</v>
      </c>
      <c r="B18" s="52">
        <v>2</v>
      </c>
      <c r="C18" s="52">
        <v>1</v>
      </c>
      <c r="D18" s="52">
        <f t="shared" si="5"/>
        <v>2</v>
      </c>
      <c r="E18" s="53">
        <f>+'Labor Rate and Summary Data'!$M$11</f>
        <v>22</v>
      </c>
      <c r="F18" s="52">
        <f t="shared" ref="F18" si="18">D18*E18</f>
        <v>44</v>
      </c>
      <c r="G18" s="52">
        <f t="shared" ref="G18" si="19">F18*0.05</f>
        <v>2.2000000000000002</v>
      </c>
      <c r="H18" s="52">
        <f t="shared" ref="H18" si="20">F18*0.1</f>
        <v>4.4000000000000004</v>
      </c>
      <c r="I18" s="60">
        <f t="shared" ref="I18" si="21">F18*$F$3+G18*$G$3+H18*$H$3</f>
        <v>5763.4037999999991</v>
      </c>
      <c r="J18" s="8"/>
      <c r="K18" s="27"/>
      <c r="L18" s="28"/>
      <c r="M18" s="28"/>
      <c r="N18" s="1"/>
    </row>
    <row r="19" spans="1:15" x14ac:dyDescent="0.25">
      <c r="A19" s="90" t="s">
        <v>110</v>
      </c>
      <c r="B19" s="52">
        <v>4</v>
      </c>
      <c r="C19" s="52">
        <v>2</v>
      </c>
      <c r="D19" s="52">
        <f t="shared" si="5"/>
        <v>8</v>
      </c>
      <c r="E19" s="53">
        <f>'Labor Rate and Summary Data'!$F$9</f>
        <v>170</v>
      </c>
      <c r="F19" s="71">
        <f t="shared" si="6"/>
        <v>1360</v>
      </c>
      <c r="G19" s="52">
        <f t="shared" si="7"/>
        <v>68</v>
      </c>
      <c r="H19" s="52">
        <f t="shared" si="8"/>
        <v>136</v>
      </c>
      <c r="I19" s="60">
        <f t="shared" si="9"/>
        <v>178141.57200000001</v>
      </c>
      <c r="J19" s="8"/>
      <c r="K19" s="29"/>
      <c r="L19" s="29"/>
      <c r="M19" s="29"/>
      <c r="N19" s="1"/>
    </row>
    <row r="20" spans="1:15" x14ac:dyDescent="0.25">
      <c r="A20" s="121" t="s">
        <v>75</v>
      </c>
      <c r="B20" s="122"/>
      <c r="C20" s="122"/>
      <c r="D20" s="122"/>
      <c r="E20" s="123"/>
      <c r="F20" s="124">
        <f>SUM(F6:H19)</f>
        <v>4319.3999999999987</v>
      </c>
      <c r="G20" s="125"/>
      <c r="H20" s="126"/>
      <c r="I20" s="6">
        <f>SUM(I6:I19)</f>
        <v>491985.10620000004</v>
      </c>
      <c r="J20" s="8"/>
      <c r="K20" s="1"/>
      <c r="L20" s="1"/>
      <c r="M20" s="1"/>
      <c r="N20" s="1"/>
    </row>
    <row r="21" spans="1:15" x14ac:dyDescent="0.25">
      <c r="A21" s="51" t="s">
        <v>5</v>
      </c>
      <c r="B21" s="52"/>
      <c r="C21" s="52"/>
      <c r="D21" s="52"/>
      <c r="E21" s="53"/>
      <c r="F21" s="52"/>
      <c r="G21" s="52"/>
      <c r="H21" s="52"/>
      <c r="I21" s="5"/>
      <c r="J21" s="8"/>
      <c r="K21" s="1"/>
      <c r="L21" s="1"/>
    </row>
    <row r="22" spans="1:15" ht="15.75" x14ac:dyDescent="0.25">
      <c r="A22" s="51" t="s">
        <v>149</v>
      </c>
      <c r="B22" s="52">
        <v>4</v>
      </c>
      <c r="C22" s="52">
        <v>1</v>
      </c>
      <c r="D22" s="52">
        <f t="shared" ref="D22:D24" si="22">B22*C22</f>
        <v>4</v>
      </c>
      <c r="E22" s="53">
        <f>'Labor Rate and Summary Data'!B$9</f>
        <v>1</v>
      </c>
      <c r="F22" s="52">
        <f t="shared" ref="F22:F24" si="23">D22*E22</f>
        <v>4</v>
      </c>
      <c r="G22" s="52">
        <f t="shared" ref="G22:G24" si="24">F22*0.05</f>
        <v>0.2</v>
      </c>
      <c r="H22" s="52">
        <f t="shared" ref="H22:H24" si="25">F22*0.1</f>
        <v>0.4</v>
      </c>
      <c r="I22" s="60">
        <f t="shared" ref="I22:I24" si="26">F22*$F$3+G22*$G$3+H22*$H$3</f>
        <v>523.94579999999996</v>
      </c>
      <c r="J22" s="8"/>
      <c r="K22" s="1"/>
      <c r="L22" s="1"/>
    </row>
    <row r="23" spans="1:15" ht="15.75" x14ac:dyDescent="0.25">
      <c r="A23" s="51" t="s">
        <v>82</v>
      </c>
      <c r="B23" s="52">
        <v>15</v>
      </c>
      <c r="C23" s="52">
        <v>1</v>
      </c>
      <c r="D23" s="52">
        <f t="shared" si="22"/>
        <v>15</v>
      </c>
      <c r="E23" s="53">
        <f>'Labor Rate and Summary Data'!B$9</f>
        <v>1</v>
      </c>
      <c r="F23" s="52">
        <f t="shared" si="23"/>
        <v>15</v>
      </c>
      <c r="G23" s="52">
        <f t="shared" si="24"/>
        <v>0.75</v>
      </c>
      <c r="H23" s="52">
        <f t="shared" si="25"/>
        <v>1.5</v>
      </c>
      <c r="I23" s="63">
        <f t="shared" si="26"/>
        <v>1964.79675</v>
      </c>
      <c r="J23" s="8"/>
      <c r="K23" s="1"/>
      <c r="L23" s="1"/>
    </row>
    <row r="24" spans="1:15" ht="31.5" x14ac:dyDescent="0.25">
      <c r="A24" s="51" t="s">
        <v>94</v>
      </c>
      <c r="B24" s="52">
        <v>5</v>
      </c>
      <c r="C24" s="52">
        <v>12</v>
      </c>
      <c r="D24" s="52">
        <f t="shared" si="22"/>
        <v>60</v>
      </c>
      <c r="E24" s="53">
        <v>80</v>
      </c>
      <c r="F24" s="71">
        <f t="shared" si="23"/>
        <v>4800</v>
      </c>
      <c r="G24" s="53">
        <f t="shared" si="24"/>
        <v>240</v>
      </c>
      <c r="H24" s="53">
        <f t="shared" si="25"/>
        <v>480</v>
      </c>
      <c r="I24" s="64">
        <f t="shared" si="26"/>
        <v>628734.96</v>
      </c>
      <c r="J24" s="9"/>
      <c r="K24" s="2"/>
      <c r="L24" s="1"/>
    </row>
    <row r="25" spans="1:15" ht="28.5" x14ac:dyDescent="0.25">
      <c r="A25" s="51" t="s">
        <v>83</v>
      </c>
      <c r="B25" s="52"/>
      <c r="C25" s="52"/>
      <c r="D25" s="52"/>
      <c r="E25" s="53"/>
      <c r="F25" s="52"/>
      <c r="G25" s="52"/>
      <c r="H25" s="52"/>
      <c r="I25" s="63"/>
      <c r="J25" s="8"/>
      <c r="K25" s="1"/>
      <c r="L25" s="1"/>
      <c r="M25" s="1"/>
      <c r="N25" s="1"/>
    </row>
    <row r="26" spans="1:15" x14ac:dyDescent="0.25">
      <c r="A26" s="51" t="s">
        <v>6</v>
      </c>
      <c r="B26" s="52">
        <v>12</v>
      </c>
      <c r="C26" s="52">
        <v>1</v>
      </c>
      <c r="D26" s="52">
        <f t="shared" ref="D26:D27" si="27">B26*C26</f>
        <v>12</v>
      </c>
      <c r="E26" s="53">
        <f>'Labor Rate and Summary Data'!B$9</f>
        <v>1</v>
      </c>
      <c r="F26" s="52">
        <f t="shared" ref="F26:F27" si="28">D26*E26</f>
        <v>12</v>
      </c>
      <c r="G26" s="52">
        <f t="shared" ref="G26:G27" si="29">F26*0.05</f>
        <v>0.60000000000000009</v>
      </c>
      <c r="H26" s="52">
        <f t="shared" ref="H26:H27" si="30">F26*0.1</f>
        <v>1.2000000000000002</v>
      </c>
      <c r="I26" s="63">
        <f t="shared" ref="I26:I27" si="31">F26*$F$3+G26*$G$3+H26*$H$3</f>
        <v>1571.8373999999999</v>
      </c>
      <c r="J26" s="8"/>
      <c r="K26" s="1"/>
      <c r="L26" s="1"/>
      <c r="M26" s="1"/>
      <c r="N26" s="1"/>
      <c r="O26" s="11"/>
    </row>
    <row r="27" spans="1:15" x14ac:dyDescent="0.25">
      <c r="A27" s="51" t="s">
        <v>7</v>
      </c>
      <c r="B27" s="52">
        <v>20</v>
      </c>
      <c r="C27" s="52">
        <v>1</v>
      </c>
      <c r="D27" s="52">
        <f t="shared" si="27"/>
        <v>20</v>
      </c>
      <c r="E27" s="53">
        <f>'Labor Rate and Summary Data'!B$9</f>
        <v>1</v>
      </c>
      <c r="F27" s="52">
        <f t="shared" si="28"/>
        <v>20</v>
      </c>
      <c r="G27" s="52">
        <f t="shared" si="29"/>
        <v>1</v>
      </c>
      <c r="H27" s="52">
        <f t="shared" si="30"/>
        <v>2</v>
      </c>
      <c r="I27" s="63">
        <f t="shared" si="31"/>
        <v>2619.7289999999998</v>
      </c>
      <c r="J27" s="8"/>
      <c r="K27" s="1"/>
      <c r="L27" s="1"/>
      <c r="M27" s="1"/>
      <c r="N27" s="1"/>
    </row>
    <row r="28" spans="1:15" x14ac:dyDescent="0.25">
      <c r="A28" s="51" t="s">
        <v>8</v>
      </c>
      <c r="B28" s="52"/>
      <c r="C28" s="52"/>
      <c r="D28" s="52"/>
      <c r="E28" s="53"/>
      <c r="F28" s="52"/>
      <c r="G28" s="52"/>
      <c r="H28" s="52"/>
      <c r="I28" s="63"/>
      <c r="J28" s="8"/>
      <c r="K28" s="1"/>
      <c r="L28" s="1"/>
      <c r="M28" s="1"/>
      <c r="N28" s="1"/>
    </row>
    <row r="29" spans="1:15" ht="15.75" x14ac:dyDescent="0.25">
      <c r="A29" s="51" t="s">
        <v>95</v>
      </c>
      <c r="B29" s="52">
        <v>10</v>
      </c>
      <c r="C29" s="52">
        <v>1</v>
      </c>
      <c r="D29" s="52">
        <f t="shared" ref="D29:D30" si="32">B29*C29</f>
        <v>10</v>
      </c>
      <c r="E29" s="53">
        <f>E24</f>
        <v>80</v>
      </c>
      <c r="F29" s="52">
        <f t="shared" ref="F29:F30" si="33">D29*E29</f>
        <v>800</v>
      </c>
      <c r="G29" s="52">
        <f t="shared" ref="G29:G30" si="34">F29*0.05</f>
        <v>40</v>
      </c>
      <c r="H29" s="52">
        <f t="shared" ref="H29:H30" si="35">F29*0.1</f>
        <v>80</v>
      </c>
      <c r="I29" s="63">
        <f t="shared" ref="I29:I30" si="36">F29*$F$3+G29*$G$3+H29*$H$3</f>
        <v>104789.16</v>
      </c>
      <c r="J29" s="9"/>
      <c r="K29" s="1"/>
      <c r="L29" s="1"/>
      <c r="M29" s="1"/>
      <c r="N29" s="1"/>
    </row>
    <row r="30" spans="1:15" ht="15.75" x14ac:dyDescent="0.25">
      <c r="A30" s="51" t="s">
        <v>96</v>
      </c>
      <c r="B30" s="52">
        <v>10</v>
      </c>
      <c r="C30" s="52">
        <v>1</v>
      </c>
      <c r="D30" s="52">
        <f t="shared" si="32"/>
        <v>10</v>
      </c>
      <c r="E30" s="53">
        <f>'Labor Rate and Summary Data'!B$9</f>
        <v>1</v>
      </c>
      <c r="F30" s="52">
        <f t="shared" si="33"/>
        <v>10</v>
      </c>
      <c r="G30" s="52">
        <f t="shared" si="34"/>
        <v>0.5</v>
      </c>
      <c r="H30" s="52">
        <f t="shared" si="35"/>
        <v>1</v>
      </c>
      <c r="I30" s="63">
        <f t="shared" si="36"/>
        <v>1309.8644999999999</v>
      </c>
      <c r="J30" s="8"/>
      <c r="K30" s="1"/>
      <c r="L30" s="1"/>
      <c r="M30" s="1"/>
      <c r="N30" s="1"/>
    </row>
    <row r="31" spans="1:15" x14ac:dyDescent="0.25">
      <c r="A31" s="51" t="s">
        <v>9</v>
      </c>
      <c r="B31" s="52"/>
      <c r="C31" s="52"/>
      <c r="D31" s="52"/>
      <c r="E31" s="53"/>
      <c r="F31" s="52"/>
      <c r="G31" s="52"/>
      <c r="H31" s="52"/>
      <c r="I31" s="63"/>
      <c r="J31" s="8"/>
      <c r="K31" s="1"/>
      <c r="L31" s="1"/>
      <c r="M31" s="1"/>
      <c r="N31" s="1"/>
    </row>
    <row r="32" spans="1:15" ht="15.75" x14ac:dyDescent="0.25">
      <c r="A32" s="51" t="s">
        <v>85</v>
      </c>
      <c r="B32" s="52">
        <v>2</v>
      </c>
      <c r="C32" s="52">
        <v>12</v>
      </c>
      <c r="D32" s="52">
        <f t="shared" ref="D32:D34" si="37">B32*C32</f>
        <v>24</v>
      </c>
      <c r="E32" s="53">
        <f>E24</f>
        <v>80</v>
      </c>
      <c r="F32" s="71">
        <f t="shared" ref="F32:F33" si="38">D32*E32</f>
        <v>1920</v>
      </c>
      <c r="G32" s="52">
        <f t="shared" ref="G32:G33" si="39">F32*0.05</f>
        <v>96</v>
      </c>
      <c r="H32" s="52">
        <f t="shared" ref="H32:H33" si="40">F32*0.1</f>
        <v>192</v>
      </c>
      <c r="I32" s="63">
        <f t="shared" ref="I32:I33" si="41">F32*$F$3+G32*$G$3+H32*$H$3</f>
        <v>251493.984</v>
      </c>
      <c r="J32" s="9"/>
      <c r="K32" s="1"/>
      <c r="L32" s="1"/>
      <c r="M32" s="1"/>
      <c r="N32" s="1"/>
    </row>
    <row r="33" spans="1:14" ht="15.75" x14ac:dyDescent="0.25">
      <c r="A33" s="51" t="s">
        <v>86</v>
      </c>
      <c r="B33" s="52">
        <v>1</v>
      </c>
      <c r="C33" s="52">
        <v>1</v>
      </c>
      <c r="D33" s="52">
        <f t="shared" si="37"/>
        <v>1</v>
      </c>
      <c r="E33" s="53">
        <f>'Labor Rate and Summary Data'!$D$35</f>
        <v>90</v>
      </c>
      <c r="F33" s="52">
        <f t="shared" si="38"/>
        <v>90</v>
      </c>
      <c r="G33" s="52">
        <f t="shared" si="39"/>
        <v>4.5</v>
      </c>
      <c r="H33" s="52">
        <f t="shared" si="40"/>
        <v>9</v>
      </c>
      <c r="I33" s="63">
        <f t="shared" si="41"/>
        <v>11788.780499999999</v>
      </c>
      <c r="J33" s="9"/>
      <c r="K33" s="1"/>
      <c r="L33" s="1"/>
      <c r="M33" s="1"/>
      <c r="N33" s="1"/>
    </row>
    <row r="34" spans="1:14" ht="28.5" x14ac:dyDescent="0.25">
      <c r="A34" s="51" t="s">
        <v>97</v>
      </c>
      <c r="B34" s="52">
        <v>2</v>
      </c>
      <c r="C34" s="52">
        <v>12</v>
      </c>
      <c r="D34" s="52">
        <f t="shared" si="37"/>
        <v>24</v>
      </c>
      <c r="E34" s="53">
        <f>'Labor Rate and Summary Data'!$C$41</f>
        <v>8.5</v>
      </c>
      <c r="F34" s="52">
        <f t="shared" ref="F34" si="42">D34*E34</f>
        <v>204</v>
      </c>
      <c r="G34" s="52">
        <f t="shared" ref="G34" si="43">F34*0.05</f>
        <v>10.200000000000001</v>
      </c>
      <c r="H34" s="52">
        <f t="shared" ref="H34" si="44">F34*0.1</f>
        <v>20.400000000000002</v>
      </c>
      <c r="I34" s="63">
        <f t="shared" ref="I34" si="45">F34*$F$3+G34*$G$3+H34*$H$3</f>
        <v>26721.235799999999</v>
      </c>
      <c r="J34" s="9"/>
      <c r="K34" s="1"/>
      <c r="L34" s="1"/>
      <c r="M34" s="1"/>
      <c r="N34" s="1"/>
    </row>
    <row r="35" spans="1:14" x14ac:dyDescent="0.25">
      <c r="A35" s="51" t="s">
        <v>10</v>
      </c>
      <c r="B35" s="52"/>
      <c r="C35" s="52"/>
      <c r="D35" s="52"/>
      <c r="E35" s="53"/>
      <c r="F35" s="52"/>
      <c r="G35" s="52"/>
      <c r="H35" s="52"/>
      <c r="I35" s="63"/>
      <c r="J35" s="9"/>
      <c r="K35" s="1"/>
      <c r="L35" s="1"/>
      <c r="M35" s="1"/>
      <c r="N35" s="1"/>
    </row>
    <row r="36" spans="1:14" ht="15.75" x14ac:dyDescent="0.25">
      <c r="A36" s="51" t="s">
        <v>84</v>
      </c>
      <c r="B36" s="52">
        <v>15</v>
      </c>
      <c r="C36" s="52">
        <v>1</v>
      </c>
      <c r="D36" s="52">
        <f t="shared" ref="D36:D40" si="46">B36*C36</f>
        <v>15</v>
      </c>
      <c r="E36" s="53">
        <f>'Labor Rate and Summary Data'!B$9</f>
        <v>1</v>
      </c>
      <c r="F36" s="52">
        <f t="shared" ref="F36:F40" si="47">D36*E36</f>
        <v>15</v>
      </c>
      <c r="G36" s="52">
        <f t="shared" ref="G36:G40" si="48">F36*0.05</f>
        <v>0.75</v>
      </c>
      <c r="H36" s="52">
        <f t="shared" ref="H36:H40" si="49">F36*0.1</f>
        <v>1.5</v>
      </c>
      <c r="I36" s="63">
        <f t="shared" ref="I36:I40" si="50">F36*$F$3+G36*$G$3+H36*$H$3</f>
        <v>1964.79675</v>
      </c>
      <c r="J36" s="9"/>
      <c r="K36" s="1"/>
      <c r="L36" s="1"/>
      <c r="M36" s="1"/>
      <c r="N36" s="1"/>
    </row>
    <row r="37" spans="1:14" ht="15.75" x14ac:dyDescent="0.25">
      <c r="A37" s="51" t="s">
        <v>87</v>
      </c>
      <c r="B37" s="52">
        <v>10</v>
      </c>
      <c r="C37" s="52">
        <v>1</v>
      </c>
      <c r="D37" s="52">
        <f t="shared" si="46"/>
        <v>10</v>
      </c>
      <c r="E37" s="53">
        <f>'Labor Rate and Summary Data'!$D$35</f>
        <v>90</v>
      </c>
      <c r="F37" s="52">
        <f t="shared" si="47"/>
        <v>900</v>
      </c>
      <c r="G37" s="52">
        <f t="shared" si="48"/>
        <v>45</v>
      </c>
      <c r="H37" s="52">
        <f t="shared" si="49"/>
        <v>90</v>
      </c>
      <c r="I37" s="63">
        <f t="shared" si="50"/>
        <v>117887.80500000001</v>
      </c>
      <c r="J37" s="9"/>
      <c r="K37" s="1"/>
      <c r="L37" s="1"/>
      <c r="M37" s="1"/>
      <c r="N37" s="1"/>
    </row>
    <row r="38" spans="1:14" x14ac:dyDescent="0.25">
      <c r="A38" s="51" t="s">
        <v>104</v>
      </c>
      <c r="B38" s="52">
        <v>10</v>
      </c>
      <c r="C38" s="52">
        <v>1</v>
      </c>
      <c r="D38" s="52">
        <f t="shared" si="46"/>
        <v>10</v>
      </c>
      <c r="E38" s="53">
        <f>'Labor Rate and Summary Data'!$F$9</f>
        <v>170</v>
      </c>
      <c r="F38" s="71">
        <f t="shared" si="47"/>
        <v>1700</v>
      </c>
      <c r="G38" s="52">
        <f t="shared" si="48"/>
        <v>85</v>
      </c>
      <c r="H38" s="52">
        <f t="shared" si="49"/>
        <v>170</v>
      </c>
      <c r="I38" s="63">
        <f t="shared" si="50"/>
        <v>222676.965</v>
      </c>
      <c r="J38" s="9"/>
      <c r="K38" s="1"/>
      <c r="L38" s="1"/>
      <c r="M38" s="1"/>
      <c r="N38" s="1"/>
    </row>
    <row r="39" spans="1:14" ht="16.5" thickBot="1" x14ac:dyDescent="0.3">
      <c r="A39" s="51" t="s">
        <v>98</v>
      </c>
      <c r="B39" s="52">
        <v>0.25</v>
      </c>
      <c r="C39" s="52">
        <v>12</v>
      </c>
      <c r="D39" s="52">
        <f t="shared" si="46"/>
        <v>3</v>
      </c>
      <c r="E39" s="53">
        <f>'Labor Rate and Summary Data'!$F$9</f>
        <v>170</v>
      </c>
      <c r="F39" s="52">
        <f t="shared" si="47"/>
        <v>510</v>
      </c>
      <c r="G39" s="52">
        <f t="shared" si="48"/>
        <v>25.5</v>
      </c>
      <c r="H39" s="52">
        <f t="shared" si="49"/>
        <v>51</v>
      </c>
      <c r="I39" s="63">
        <f t="shared" si="50"/>
        <v>66803.089500000002</v>
      </c>
      <c r="J39" s="8"/>
      <c r="K39" s="1"/>
      <c r="L39" s="1"/>
      <c r="M39" s="1"/>
      <c r="N39" s="1"/>
    </row>
    <row r="40" spans="1:14" ht="16.5" thickBot="1" x14ac:dyDescent="0.3">
      <c r="A40" s="51" t="s">
        <v>99</v>
      </c>
      <c r="B40" s="52">
        <v>0.25</v>
      </c>
      <c r="C40" s="52">
        <v>12</v>
      </c>
      <c r="D40" s="52">
        <f t="shared" si="46"/>
        <v>3</v>
      </c>
      <c r="E40" s="53">
        <f>'Labor Rate and Summary Data'!$F$9</f>
        <v>170</v>
      </c>
      <c r="F40" s="52">
        <f t="shared" si="47"/>
        <v>510</v>
      </c>
      <c r="G40" s="52">
        <f t="shared" si="48"/>
        <v>25.5</v>
      </c>
      <c r="H40" s="52">
        <f t="shared" si="49"/>
        <v>51</v>
      </c>
      <c r="I40" s="65">
        <f t="shared" si="50"/>
        <v>66803.089500000002</v>
      </c>
      <c r="J40" s="82" t="s">
        <v>12</v>
      </c>
      <c r="K40" s="83"/>
      <c r="L40" s="1"/>
      <c r="M40" s="1"/>
      <c r="N40" s="1"/>
    </row>
    <row r="41" spans="1:14" ht="15.75" thickBot="1" x14ac:dyDescent="0.3">
      <c r="A41" s="127" t="s">
        <v>76</v>
      </c>
      <c r="B41" s="127"/>
      <c r="C41" s="127"/>
      <c r="D41" s="127"/>
      <c r="E41" s="127"/>
      <c r="F41" s="124">
        <f>SUM(F22:H40)</f>
        <v>13236.500000000002</v>
      </c>
      <c r="G41" s="125"/>
      <c r="H41" s="126"/>
      <c r="I41" s="56">
        <f>SUM(I22:I40)</f>
        <v>1507654.0395</v>
      </c>
      <c r="J41" s="84" t="s">
        <v>13</v>
      </c>
      <c r="K41" s="84" t="s">
        <v>14</v>
      </c>
      <c r="L41" s="10"/>
      <c r="M41" s="1"/>
      <c r="N41" s="1"/>
    </row>
    <row r="42" spans="1:14" ht="15.75" thickBot="1" x14ac:dyDescent="0.3">
      <c r="A42" s="119" t="s">
        <v>100</v>
      </c>
      <c r="B42" s="119"/>
      <c r="C42" s="119"/>
      <c r="D42" s="119"/>
      <c r="E42" s="119"/>
      <c r="F42" s="124">
        <f>ROUND(SUM(F20,F41), -2)</f>
        <v>17600</v>
      </c>
      <c r="G42" s="125"/>
      <c r="H42" s="126"/>
      <c r="I42" s="56">
        <f>ROUND(SUM(I41,I20), -4)</f>
        <v>2000000</v>
      </c>
      <c r="J42" s="85">
        <v>13800</v>
      </c>
      <c r="K42" s="85">
        <v>1380000</v>
      </c>
      <c r="L42" s="8"/>
      <c r="M42" s="1"/>
      <c r="N42" s="1"/>
    </row>
    <row r="43" spans="1:14" ht="15.75" thickBot="1" x14ac:dyDescent="0.3">
      <c r="A43" s="119" t="s">
        <v>101</v>
      </c>
      <c r="B43" s="119"/>
      <c r="C43" s="119"/>
      <c r="D43" s="119"/>
      <c r="E43" s="119"/>
      <c r="F43" s="119"/>
      <c r="G43" s="119"/>
      <c r="H43" s="119"/>
      <c r="I43" s="87">
        <f>ROUND('Labor Rate and Summary Data'!I28,-3)</f>
        <v>789000</v>
      </c>
      <c r="J43" s="85"/>
      <c r="K43" s="85">
        <v>1010000</v>
      </c>
      <c r="L43" s="8"/>
      <c r="M43" s="1"/>
      <c r="N43" s="1"/>
    </row>
    <row r="44" spans="1:14" ht="15.75" thickBot="1" x14ac:dyDescent="0.3">
      <c r="A44" s="119" t="s">
        <v>102</v>
      </c>
      <c r="B44" s="119"/>
      <c r="C44" s="119"/>
      <c r="D44" s="119"/>
      <c r="E44" s="119"/>
      <c r="F44" s="119"/>
      <c r="G44" s="119"/>
      <c r="H44" s="119"/>
      <c r="I44" s="56">
        <f>ROUND(SUM(I42:I43), -3)</f>
        <v>2789000</v>
      </c>
      <c r="J44" s="86"/>
      <c r="K44" s="85">
        <v>2390000</v>
      </c>
      <c r="L44" s="8"/>
      <c r="M44" s="1"/>
      <c r="N44" s="1"/>
    </row>
    <row r="45" spans="1:14" x14ac:dyDescent="0.25">
      <c r="A45" s="1"/>
      <c r="B45" s="1"/>
      <c r="C45" s="1"/>
      <c r="D45" s="1"/>
      <c r="E45" s="2"/>
      <c r="F45" s="1"/>
      <c r="G45" s="36"/>
      <c r="H45" s="1"/>
      <c r="I45" s="3"/>
      <c r="J45" s="8"/>
      <c r="K45" s="1"/>
      <c r="L45" s="1"/>
      <c r="M45" s="1"/>
      <c r="N45" s="1"/>
    </row>
    <row r="46" spans="1:14" x14ac:dyDescent="0.25">
      <c r="A46" s="7" t="s">
        <v>11</v>
      </c>
      <c r="B46" s="1"/>
      <c r="C46" s="1"/>
      <c r="D46" s="1"/>
      <c r="E46" s="2"/>
      <c r="F46" s="1"/>
      <c r="G46" s="1"/>
      <c r="H46" s="1"/>
      <c r="I46" s="3"/>
      <c r="J46" s="8"/>
      <c r="K46" s="1"/>
      <c r="L46" s="1"/>
      <c r="M46" s="1"/>
      <c r="N46" s="1"/>
    </row>
    <row r="47" spans="1:14" ht="30.75" customHeight="1" x14ac:dyDescent="0.25">
      <c r="A47" s="114" t="s">
        <v>137</v>
      </c>
      <c r="B47" s="113"/>
      <c r="C47" s="113"/>
      <c r="D47" s="113"/>
      <c r="E47" s="113"/>
      <c r="F47" s="113"/>
      <c r="G47" s="113"/>
      <c r="H47" s="113"/>
      <c r="I47" s="113"/>
      <c r="J47" s="8"/>
      <c r="K47" s="1"/>
      <c r="L47" s="1"/>
      <c r="M47" s="1"/>
      <c r="N47" s="1"/>
    </row>
    <row r="48" spans="1:14" ht="43.5" customHeight="1" x14ac:dyDescent="0.25">
      <c r="A48" s="120" t="str">
        <f>CONCATENATE("b  This ICR uses the following labor rates:  ",TEXT('Labor Rate and Summary Data'!C14,"$#,##.#0")," per hour for Executive, Administrative, and Managerial labor; ",TEXT('Labor Rate and Summary Data'!C15,"$#,##.#0")&amp;" per hour for Technical labor, and ",TEXT('Labor Rate and Summary Data'!C16,"$#,##.#0")," per hour for Clerical labor.  These rates are from the United States Department of Labor, Bureau of Labor Statistics, September 2018, “Table 2: Civilian Workers, by occupational and industry group.”","  The rates are from column 1: “Total Compensation.”  The rates have been increased by 110 percent to account for the benefit packages available to those employed by private industry.")</f>
        <v>b  This ICR uses the following labor rates:  $147.40 per hour for Executive, Administrative, and Managerial labor; $117.92 per hour for Technical labor, and $57.02 per hour for Clerical labor.  These rates are from the United States Department of Labor, Bureau of Labor Statistics, September 2018, “Table 2: Civilian Workers, by occupational and industry group.”  The rates are from column 1: “Total Compensation.”  The rates have been increased by 110 percent to account for the benefit packages available to those employed by private industry.</v>
      </c>
      <c r="B48" s="120"/>
      <c r="C48" s="120"/>
      <c r="D48" s="120"/>
      <c r="E48" s="120"/>
      <c r="F48" s="120"/>
      <c r="G48" s="120"/>
      <c r="H48" s="120"/>
      <c r="I48" s="120"/>
      <c r="J48" s="8"/>
      <c r="K48" s="1"/>
      <c r="L48" s="1"/>
      <c r="M48" s="1"/>
      <c r="N48" s="1"/>
    </row>
    <row r="49" spans="1:14" x14ac:dyDescent="0.25">
      <c r="A49" s="114" t="s">
        <v>124</v>
      </c>
      <c r="B49" s="113"/>
      <c r="C49" s="113"/>
      <c r="D49" s="113"/>
      <c r="E49" s="113"/>
      <c r="F49" s="113"/>
      <c r="G49" s="113"/>
      <c r="H49" s="113"/>
      <c r="I49" s="113"/>
      <c r="J49" s="8"/>
      <c r="K49" s="1"/>
      <c r="L49" s="1"/>
      <c r="M49" s="1"/>
      <c r="N49" s="1"/>
    </row>
    <row r="50" spans="1:14" ht="17.25" customHeight="1" x14ac:dyDescent="0.25">
      <c r="A50" s="114" t="s">
        <v>125</v>
      </c>
      <c r="B50" s="113"/>
      <c r="C50" s="113"/>
      <c r="D50" s="113"/>
      <c r="E50" s="113"/>
      <c r="F50" s="113"/>
      <c r="G50" s="113"/>
      <c r="H50" s="113"/>
      <c r="I50" s="113"/>
      <c r="J50" s="8"/>
      <c r="K50" s="1"/>
      <c r="L50" s="1"/>
      <c r="M50" s="1"/>
      <c r="N50" s="1"/>
    </row>
    <row r="51" spans="1:14" x14ac:dyDescent="0.25">
      <c r="A51" s="115" t="s">
        <v>138</v>
      </c>
      <c r="B51" s="116"/>
      <c r="C51" s="116"/>
      <c r="D51" s="116"/>
      <c r="E51" s="116"/>
      <c r="F51" s="116"/>
      <c r="G51" s="116"/>
      <c r="H51" s="116"/>
      <c r="I51" s="116"/>
      <c r="J51" s="45"/>
      <c r="K51" s="1"/>
      <c r="L51" s="1"/>
      <c r="M51" s="1"/>
      <c r="N51" s="1"/>
    </row>
    <row r="52" spans="1:14" ht="27.75" customHeight="1" x14ac:dyDescent="0.25">
      <c r="A52" s="115" t="s">
        <v>134</v>
      </c>
      <c r="B52" s="113"/>
      <c r="C52" s="113"/>
      <c r="D52" s="113"/>
      <c r="E52" s="113"/>
      <c r="F52" s="113"/>
      <c r="G52" s="113"/>
      <c r="H52" s="113"/>
      <c r="I52" s="113"/>
      <c r="J52" s="1">
        <f>90+1</f>
        <v>91</v>
      </c>
      <c r="K52" s="1"/>
      <c r="L52" s="1"/>
      <c r="M52" s="1"/>
      <c r="N52" s="1"/>
    </row>
    <row r="53" spans="1:14" x14ac:dyDescent="0.25">
      <c r="A53" s="48" t="s">
        <v>139</v>
      </c>
      <c r="B53" s="81"/>
      <c r="C53" s="81"/>
      <c r="D53" s="81"/>
      <c r="E53" s="81"/>
      <c r="F53" s="81"/>
      <c r="G53" s="81"/>
      <c r="H53" s="81"/>
      <c r="I53" s="81"/>
      <c r="J53" s="1"/>
      <c r="K53" s="1"/>
      <c r="L53" s="1"/>
      <c r="M53" s="1"/>
      <c r="N53" s="1"/>
    </row>
    <row r="54" spans="1:14" x14ac:dyDescent="0.25">
      <c r="A54" s="114" t="s">
        <v>140</v>
      </c>
      <c r="B54" s="113"/>
      <c r="C54" s="113"/>
      <c r="D54" s="113"/>
      <c r="E54" s="113"/>
      <c r="F54" s="113"/>
      <c r="G54" s="113"/>
      <c r="H54" s="113"/>
      <c r="I54" s="113"/>
    </row>
    <row r="55" spans="1:14" x14ac:dyDescent="0.25">
      <c r="A55" s="112" t="s">
        <v>123</v>
      </c>
      <c r="B55" s="113"/>
      <c r="C55" s="113"/>
      <c r="D55" s="113"/>
      <c r="E55" s="113"/>
      <c r="F55" s="113"/>
      <c r="G55" s="113"/>
      <c r="H55" s="113"/>
      <c r="I55" s="113"/>
    </row>
  </sheetData>
  <mergeCells count="17">
    <mergeCell ref="K12:M12"/>
    <mergeCell ref="A43:H43"/>
    <mergeCell ref="A44:H44"/>
    <mergeCell ref="A48:I48"/>
    <mergeCell ref="A20:E20"/>
    <mergeCell ref="F20:H20"/>
    <mergeCell ref="A41:E41"/>
    <mergeCell ref="F41:H41"/>
    <mergeCell ref="A42:E42"/>
    <mergeCell ref="F42:H42"/>
    <mergeCell ref="A47:I47"/>
    <mergeCell ref="A55:I55"/>
    <mergeCell ref="A49:I49"/>
    <mergeCell ref="A50:I50"/>
    <mergeCell ref="A51:I51"/>
    <mergeCell ref="A52:I52"/>
    <mergeCell ref="A54:I54"/>
  </mergeCells>
  <pageMargins left="0.7" right="0.7" top="0.75" bottom="0.75" header="0.3" footer="0.3"/>
  <pageSetup scale="50" fitToHeight="2" orientation="landscape" r:id="rId1"/>
  <headerFooter>
    <oddFooter>&amp;R&amp;D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3"/>
  <sheetViews>
    <sheetView tabSelected="1" workbookViewId="0">
      <selection activeCell="I14" sqref="I14"/>
    </sheetView>
  </sheetViews>
  <sheetFormatPr defaultRowHeight="15" x14ac:dyDescent="0.25"/>
  <cols>
    <col min="1" max="1" width="42.42578125" style="92" customWidth="1"/>
    <col min="2" max="2" width="17.42578125" style="92" customWidth="1"/>
    <col min="3" max="3" width="17.5703125" style="92" customWidth="1"/>
    <col min="4" max="4" width="17.42578125" style="92" customWidth="1"/>
    <col min="5" max="5" width="16.28515625" style="92" customWidth="1"/>
    <col min="6" max="6" width="15.7109375" style="92" customWidth="1"/>
    <col min="7" max="7" width="16" style="92" customWidth="1"/>
    <col min="8" max="8" width="17.7109375" style="92" customWidth="1"/>
    <col min="9" max="9" width="18.28515625" style="92" customWidth="1"/>
    <col min="10" max="10" width="8.140625" style="92" customWidth="1"/>
    <col min="11" max="11" width="9.140625" style="92" customWidth="1"/>
    <col min="12" max="16384" width="9.140625" style="92"/>
  </cols>
  <sheetData>
    <row r="1" spans="1:12" ht="15.75" x14ac:dyDescent="0.25">
      <c r="A1" s="88" t="s">
        <v>103</v>
      </c>
      <c r="B1" s="48"/>
      <c r="C1" s="48"/>
      <c r="D1" s="48"/>
      <c r="E1" s="48"/>
      <c r="F1" s="48"/>
      <c r="G1" s="48"/>
      <c r="H1" s="48"/>
      <c r="I1" s="48"/>
    </row>
    <row r="2" spans="1:12" x14ac:dyDescent="0.25">
      <c r="A2" s="48"/>
      <c r="B2" s="48"/>
      <c r="C2" s="48"/>
      <c r="D2" s="48"/>
      <c r="E2" s="48"/>
      <c r="F2" s="33"/>
      <c r="G2" s="33"/>
      <c r="H2" s="33"/>
      <c r="I2" s="35"/>
    </row>
    <row r="3" spans="1:12" x14ac:dyDescent="0.25">
      <c r="A3" s="48"/>
      <c r="B3" s="48"/>
      <c r="C3" s="48"/>
      <c r="D3" s="48"/>
      <c r="E3" s="48"/>
      <c r="F3" s="49">
        <f>ROUND(1.6*30.47,2)</f>
        <v>48.75</v>
      </c>
      <c r="G3" s="49">
        <f>ROUND(1.6*41.07,2)</f>
        <v>65.709999999999994</v>
      </c>
      <c r="H3" s="49">
        <f>ROUND(1.6*16.49,2)</f>
        <v>26.38</v>
      </c>
      <c r="I3" s="48"/>
    </row>
    <row r="4" spans="1:12" ht="51.75" x14ac:dyDescent="0.25">
      <c r="A4" s="50" t="s">
        <v>1</v>
      </c>
      <c r="B4" s="50" t="s">
        <v>51</v>
      </c>
      <c r="C4" s="50" t="s">
        <v>52</v>
      </c>
      <c r="D4" s="50" t="s">
        <v>53</v>
      </c>
      <c r="E4" s="50" t="s">
        <v>77</v>
      </c>
      <c r="F4" s="50" t="s">
        <v>54</v>
      </c>
      <c r="G4" s="50" t="s">
        <v>55</v>
      </c>
      <c r="H4" s="50" t="s">
        <v>56</v>
      </c>
      <c r="I4" s="50" t="s">
        <v>78</v>
      </c>
    </row>
    <row r="5" spans="1:12" ht="15.75" x14ac:dyDescent="0.25">
      <c r="A5" s="51" t="s">
        <v>79</v>
      </c>
      <c r="B5" s="52">
        <v>8</v>
      </c>
      <c r="C5" s="52">
        <v>1</v>
      </c>
      <c r="D5" s="52">
        <f>B5*C5</f>
        <v>8</v>
      </c>
      <c r="E5" s="52">
        <f>'Labor Rate and Summary Data'!B$9</f>
        <v>1</v>
      </c>
      <c r="F5" s="52">
        <f>D5*E5</f>
        <v>8</v>
      </c>
      <c r="G5" s="52">
        <f>F5*0.05</f>
        <v>0.4</v>
      </c>
      <c r="H5" s="52">
        <f>F5*0.1</f>
        <v>0.8</v>
      </c>
      <c r="I5" s="54">
        <f>F5*$F$3+G5*$G$3+H5*$H$3</f>
        <v>437.38799999999998</v>
      </c>
    </row>
    <row r="6" spans="1:12" ht="15.75" x14ac:dyDescent="0.25">
      <c r="A6" s="51" t="s">
        <v>80</v>
      </c>
      <c r="B6" s="52">
        <v>10</v>
      </c>
      <c r="C6" s="52">
        <v>1</v>
      </c>
      <c r="D6" s="52">
        <f t="shared" ref="D6:D11" si="0">B6*C6</f>
        <v>10</v>
      </c>
      <c r="E6" s="52">
        <f>'Labor Rate and Summary Data'!B$9</f>
        <v>1</v>
      </c>
      <c r="F6" s="52">
        <f t="shared" ref="F6:F11" si="1">D6*E6</f>
        <v>10</v>
      </c>
      <c r="G6" s="52">
        <f t="shared" ref="G6:G11" si="2">F6*0.05</f>
        <v>0.5</v>
      </c>
      <c r="H6" s="52">
        <f t="shared" ref="H6:H11" si="3">F6*0.1</f>
        <v>1</v>
      </c>
      <c r="I6" s="54">
        <f t="shared" ref="I6:I11" si="4">F6*$F$3+G6*$G$3+H6*$H$3</f>
        <v>546.73500000000001</v>
      </c>
    </row>
    <row r="7" spans="1:12" ht="28.5" hidden="1" x14ac:dyDescent="0.25">
      <c r="A7" s="51" t="s">
        <v>108</v>
      </c>
      <c r="B7" s="52">
        <f>6*0</f>
        <v>0</v>
      </c>
      <c r="C7" s="52">
        <f>1*0</f>
        <v>0</v>
      </c>
      <c r="D7" s="52">
        <f t="shared" si="0"/>
        <v>0</v>
      </c>
      <c r="E7" s="61">
        <f>173/3*0</f>
        <v>0</v>
      </c>
      <c r="F7" s="52">
        <f t="shared" ref="F7" si="5">D7*E7</f>
        <v>0</v>
      </c>
      <c r="G7" s="52">
        <f t="shared" ref="G7" si="6">F7*0.05</f>
        <v>0</v>
      </c>
      <c r="H7" s="52">
        <f t="shared" ref="H7" si="7">F7*0.1</f>
        <v>0</v>
      </c>
      <c r="I7" s="54">
        <f t="shared" ref="I7" si="8">F7*$F$3+G7*$G$3+H7*$H$3</f>
        <v>0</v>
      </c>
    </row>
    <row r="8" spans="1:12" ht="15.75" x14ac:dyDescent="0.25">
      <c r="A8" s="51" t="s">
        <v>117</v>
      </c>
      <c r="B8" s="52">
        <v>15</v>
      </c>
      <c r="C8" s="52">
        <v>2</v>
      </c>
      <c r="D8" s="52">
        <f t="shared" si="0"/>
        <v>30</v>
      </c>
      <c r="E8" s="52">
        <f>'Labor Rate and Summary Data'!F9</f>
        <v>170</v>
      </c>
      <c r="F8" s="71">
        <f t="shared" si="1"/>
        <v>5100</v>
      </c>
      <c r="G8" s="52">
        <f t="shared" si="2"/>
        <v>255</v>
      </c>
      <c r="H8" s="52">
        <f t="shared" si="3"/>
        <v>510</v>
      </c>
      <c r="I8" s="54">
        <f t="shared" si="4"/>
        <v>278834.84999999998</v>
      </c>
    </row>
    <row r="9" spans="1:12" ht="15.75" x14ac:dyDescent="0.25">
      <c r="A9" s="51" t="s">
        <v>114</v>
      </c>
      <c r="B9" s="52">
        <v>2</v>
      </c>
      <c r="C9" s="52">
        <v>1</v>
      </c>
      <c r="D9" s="52">
        <f t="shared" si="0"/>
        <v>2</v>
      </c>
      <c r="E9" s="52">
        <f>'Labor Rate and Summary Data'!B$9</f>
        <v>1</v>
      </c>
      <c r="F9" s="52">
        <f t="shared" si="1"/>
        <v>2</v>
      </c>
      <c r="G9" s="52">
        <f t="shared" si="2"/>
        <v>0.1</v>
      </c>
      <c r="H9" s="52">
        <f t="shared" si="3"/>
        <v>0.2</v>
      </c>
      <c r="I9" s="54">
        <f t="shared" si="4"/>
        <v>109.34699999999999</v>
      </c>
      <c r="J9" s="93" t="s">
        <v>12</v>
      </c>
      <c r="K9" s="93"/>
    </row>
    <row r="10" spans="1:12" ht="28.5" x14ac:dyDescent="0.25">
      <c r="A10" s="51" t="s">
        <v>118</v>
      </c>
      <c r="B10" s="52">
        <v>4</v>
      </c>
      <c r="C10" s="52">
        <v>1</v>
      </c>
      <c r="D10" s="52">
        <f t="shared" si="0"/>
        <v>4</v>
      </c>
      <c r="E10" s="52">
        <f>+'Labor Rate and Summary Data'!J11</f>
        <v>22</v>
      </c>
      <c r="F10" s="52">
        <f t="shared" ref="F10" si="9">D10*E10</f>
        <v>88</v>
      </c>
      <c r="G10" s="52">
        <f t="shared" ref="G10" si="10">F10*0.05</f>
        <v>4.4000000000000004</v>
      </c>
      <c r="H10" s="52">
        <f t="shared" ref="H10" si="11">F10*0.1</f>
        <v>8.8000000000000007</v>
      </c>
      <c r="I10" s="54">
        <f t="shared" ref="I10" si="12">F10*$F$3+G10*$G$3+H10*$H$3</f>
        <v>4811.268</v>
      </c>
      <c r="J10" s="93"/>
      <c r="K10" s="93"/>
    </row>
    <row r="11" spans="1:12" ht="15.75" x14ac:dyDescent="0.25">
      <c r="A11" s="51" t="s">
        <v>115</v>
      </c>
      <c r="B11" s="52">
        <v>10</v>
      </c>
      <c r="C11" s="52">
        <v>1</v>
      </c>
      <c r="D11" s="52">
        <f t="shared" si="0"/>
        <v>10</v>
      </c>
      <c r="E11" s="52">
        <f>'Labor Rate and Summary Data'!B$9</f>
        <v>1</v>
      </c>
      <c r="F11" s="52">
        <f t="shared" si="1"/>
        <v>10</v>
      </c>
      <c r="G11" s="52">
        <f t="shared" si="2"/>
        <v>0.5</v>
      </c>
      <c r="H11" s="52">
        <f t="shared" si="3"/>
        <v>1</v>
      </c>
      <c r="I11" s="54">
        <f t="shared" si="4"/>
        <v>546.73500000000001</v>
      </c>
      <c r="J11" s="93" t="s">
        <v>13</v>
      </c>
      <c r="K11" s="93" t="s">
        <v>14</v>
      </c>
    </row>
    <row r="12" spans="1:12" ht="28.5" x14ac:dyDescent="0.25">
      <c r="A12" s="51" t="s">
        <v>119</v>
      </c>
      <c r="B12" s="52">
        <v>10</v>
      </c>
      <c r="C12" s="52">
        <v>1</v>
      </c>
      <c r="D12" s="52">
        <f t="shared" ref="D12" si="13">B12*C12</f>
        <v>10</v>
      </c>
      <c r="E12" s="52">
        <f>+'Labor Rate and Summary Data'!J10</f>
        <v>22</v>
      </c>
      <c r="F12" s="52">
        <f t="shared" ref="F12" si="14">D12*E12</f>
        <v>220</v>
      </c>
      <c r="G12" s="52">
        <f t="shared" ref="G12" si="15">F12*0.05</f>
        <v>11</v>
      </c>
      <c r="H12" s="52">
        <f t="shared" ref="H12" si="16">F12*0.1</f>
        <v>22</v>
      </c>
      <c r="I12" s="54">
        <f t="shared" ref="I12" si="17">F12*$F$3+G12*$G$3+H12*$H$3</f>
        <v>12028.17</v>
      </c>
      <c r="J12" s="93"/>
      <c r="K12" s="93"/>
    </row>
    <row r="13" spans="1:12" x14ac:dyDescent="0.25">
      <c r="A13" s="119" t="s">
        <v>116</v>
      </c>
      <c r="B13" s="119"/>
      <c r="C13" s="119"/>
      <c r="D13" s="119"/>
      <c r="E13" s="119"/>
      <c r="F13" s="131">
        <f>ROUND(SUM(F5:H12), -2)</f>
        <v>6300</v>
      </c>
      <c r="G13" s="131"/>
      <c r="H13" s="131"/>
      <c r="I13" s="96">
        <f>ROUND(SUM(I5:I12), -3)</f>
        <v>297000</v>
      </c>
      <c r="J13" s="94">
        <v>9080</v>
      </c>
      <c r="K13" s="94">
        <v>413000</v>
      </c>
      <c r="L13" s="95"/>
    </row>
    <row r="14" spans="1:12" x14ac:dyDescent="0.25">
      <c r="A14" s="48"/>
      <c r="B14" s="48"/>
      <c r="C14" s="48"/>
      <c r="D14" s="48"/>
      <c r="E14" s="48"/>
      <c r="F14" s="48"/>
      <c r="G14" s="48"/>
      <c r="H14" s="48"/>
      <c r="I14" s="48"/>
    </row>
    <row r="15" spans="1:12" x14ac:dyDescent="0.25">
      <c r="A15" s="55" t="s">
        <v>11</v>
      </c>
      <c r="B15" s="48"/>
      <c r="C15" s="48"/>
      <c r="D15" s="48"/>
      <c r="E15" s="48"/>
      <c r="F15" s="48"/>
      <c r="G15" s="48"/>
      <c r="H15" s="48"/>
      <c r="I15" s="48"/>
    </row>
    <row r="16" spans="1:12" ht="27.75" customHeight="1" x14ac:dyDescent="0.25">
      <c r="A16" s="132" t="s">
        <v>150</v>
      </c>
      <c r="B16" s="132"/>
      <c r="C16" s="132"/>
      <c r="D16" s="132"/>
      <c r="E16" s="132"/>
      <c r="F16" s="132"/>
      <c r="G16" s="132"/>
      <c r="H16" s="132"/>
      <c r="I16" s="132"/>
    </row>
    <row r="17" spans="1:9" ht="30.75" customHeight="1" x14ac:dyDescent="0.25">
      <c r="A17" s="132" t="s">
        <v>88</v>
      </c>
      <c r="B17" s="132"/>
      <c r="C17" s="132"/>
      <c r="D17" s="132"/>
      <c r="E17" s="132"/>
      <c r="F17" s="132"/>
      <c r="G17" s="132"/>
      <c r="H17" s="132"/>
      <c r="I17" s="132"/>
    </row>
    <row r="18" spans="1:9" x14ac:dyDescent="0.25">
      <c r="A18" s="133" t="s">
        <v>81</v>
      </c>
      <c r="B18" s="129"/>
      <c r="C18" s="129"/>
      <c r="D18" s="129"/>
      <c r="E18" s="129"/>
      <c r="F18" s="129"/>
      <c r="G18" s="129"/>
      <c r="H18" s="129"/>
      <c r="I18" s="129"/>
    </row>
    <row r="19" spans="1:9" ht="31.5" hidden="1" customHeight="1" x14ac:dyDescent="0.25">
      <c r="A19" s="132" t="s">
        <v>105</v>
      </c>
      <c r="B19" s="132"/>
      <c r="C19" s="132"/>
      <c r="D19" s="132"/>
      <c r="E19" s="132"/>
      <c r="F19" s="132"/>
      <c r="G19" s="132"/>
      <c r="H19" s="132"/>
      <c r="I19" s="132"/>
    </row>
    <row r="20" spans="1:9" x14ac:dyDescent="0.25">
      <c r="A20" s="128" t="s">
        <v>113</v>
      </c>
      <c r="B20" s="129"/>
      <c r="C20" s="129"/>
      <c r="D20" s="129"/>
      <c r="E20" s="129"/>
      <c r="F20" s="129"/>
      <c r="G20" s="129"/>
      <c r="H20" s="129"/>
      <c r="I20" s="129"/>
    </row>
    <row r="21" spans="1:9" x14ac:dyDescent="0.25">
      <c r="A21" s="128" t="s">
        <v>151</v>
      </c>
      <c r="B21" s="129"/>
      <c r="C21" s="129"/>
      <c r="D21" s="129"/>
      <c r="E21" s="129"/>
      <c r="F21" s="129"/>
      <c r="G21" s="129"/>
      <c r="H21" s="129"/>
      <c r="I21" s="129"/>
    </row>
    <row r="22" spans="1:9" x14ac:dyDescent="0.25">
      <c r="A22" s="128" t="s">
        <v>112</v>
      </c>
      <c r="B22" s="129"/>
      <c r="C22" s="129"/>
      <c r="D22" s="129"/>
      <c r="E22" s="129"/>
      <c r="F22" s="129"/>
      <c r="G22" s="129"/>
      <c r="H22" s="129"/>
      <c r="I22" s="129"/>
    </row>
    <row r="23" spans="1:9" x14ac:dyDescent="0.25">
      <c r="A23" s="130" t="s">
        <v>111</v>
      </c>
      <c r="B23" s="129"/>
      <c r="C23" s="129"/>
      <c r="D23" s="129"/>
      <c r="E23" s="129"/>
      <c r="F23" s="129"/>
      <c r="G23" s="129"/>
      <c r="H23" s="129"/>
      <c r="I23" s="129"/>
    </row>
    <row r="24" spans="1:9" x14ac:dyDescent="0.25">
      <c r="A24" s="48"/>
      <c r="B24" s="48"/>
      <c r="C24" s="48"/>
      <c r="D24" s="48"/>
      <c r="E24" s="48"/>
      <c r="F24" s="48"/>
      <c r="G24" s="48"/>
      <c r="H24" s="48"/>
      <c r="I24" s="48"/>
    </row>
    <row r="25" spans="1:9" x14ac:dyDescent="0.25">
      <c r="A25" s="48"/>
      <c r="B25" s="48"/>
      <c r="C25" s="48"/>
      <c r="D25" s="48"/>
      <c r="E25" s="48"/>
      <c r="F25" s="48"/>
      <c r="G25" s="48"/>
      <c r="H25" s="48"/>
      <c r="I25" s="48"/>
    </row>
    <row r="26" spans="1:9" x14ac:dyDescent="0.25">
      <c r="A26" s="48"/>
      <c r="B26" s="48"/>
      <c r="C26" s="48"/>
      <c r="D26" s="48"/>
      <c r="E26" s="48"/>
      <c r="F26" s="48"/>
      <c r="G26" s="48"/>
      <c r="H26" s="48"/>
      <c r="I26" s="48"/>
    </row>
    <row r="27" spans="1:9" x14ac:dyDescent="0.25">
      <c r="A27" s="48"/>
      <c r="B27" s="48"/>
      <c r="C27" s="48"/>
      <c r="D27" s="48"/>
      <c r="E27" s="48"/>
      <c r="F27" s="48"/>
      <c r="G27" s="48"/>
      <c r="H27" s="48"/>
      <c r="I27" s="48"/>
    </row>
    <row r="28" spans="1:9" x14ac:dyDescent="0.25">
      <c r="A28" s="48"/>
      <c r="B28" s="48"/>
      <c r="C28" s="48"/>
      <c r="D28" s="48"/>
      <c r="E28" s="48"/>
      <c r="F28" s="48"/>
      <c r="G28" s="48"/>
      <c r="H28" s="48"/>
      <c r="I28" s="48"/>
    </row>
    <row r="29" spans="1:9" x14ac:dyDescent="0.25">
      <c r="A29" s="48"/>
      <c r="B29" s="48"/>
      <c r="C29" s="48"/>
      <c r="D29" s="48"/>
      <c r="E29" s="48"/>
      <c r="F29" s="48"/>
      <c r="G29" s="48"/>
      <c r="H29" s="48"/>
      <c r="I29" s="48"/>
    </row>
    <row r="30" spans="1:9" x14ac:dyDescent="0.25">
      <c r="A30" s="48"/>
      <c r="B30" s="48"/>
      <c r="C30" s="48"/>
      <c r="D30" s="48"/>
      <c r="E30" s="48"/>
      <c r="F30" s="48"/>
      <c r="G30" s="48"/>
      <c r="H30" s="48"/>
      <c r="I30" s="48"/>
    </row>
    <row r="31" spans="1:9" x14ac:dyDescent="0.25">
      <c r="A31" s="48"/>
      <c r="B31" s="48"/>
      <c r="C31" s="48"/>
      <c r="D31" s="48"/>
      <c r="E31" s="48"/>
      <c r="F31" s="48"/>
      <c r="G31" s="48"/>
      <c r="H31" s="48"/>
      <c r="I31" s="48"/>
    </row>
    <row r="32" spans="1:9" x14ac:dyDescent="0.25">
      <c r="A32" s="48"/>
      <c r="B32" s="48"/>
      <c r="C32" s="48"/>
      <c r="D32" s="48"/>
      <c r="E32" s="48"/>
      <c r="F32" s="48"/>
      <c r="G32" s="48"/>
      <c r="H32" s="48"/>
      <c r="I32" s="48"/>
    </row>
    <row r="33" spans="1:9" x14ac:dyDescent="0.25">
      <c r="A33" s="48"/>
      <c r="B33" s="48"/>
      <c r="C33" s="48"/>
      <c r="D33" s="48"/>
      <c r="E33" s="48"/>
      <c r="F33" s="48"/>
      <c r="G33" s="48"/>
      <c r="H33" s="48"/>
      <c r="I33" s="48"/>
    </row>
  </sheetData>
  <mergeCells count="10">
    <mergeCell ref="A20:I20"/>
    <mergeCell ref="A22:I22"/>
    <mergeCell ref="A23:I23"/>
    <mergeCell ref="A13:E13"/>
    <mergeCell ref="F13:H13"/>
    <mergeCell ref="A16:I16"/>
    <mergeCell ref="A17:I17"/>
    <mergeCell ref="A19:I19"/>
    <mergeCell ref="A18:I18"/>
    <mergeCell ref="A21:I21"/>
  </mergeCells>
  <pageMargins left="0.7" right="0.7" top="0.75" bottom="0.75" header="0.3" footer="0.3"/>
  <pageSetup scale="62" orientation="landscape" r:id="rId1"/>
  <headerFooter>
    <oddFooter>&amp;R&amp;D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48FB-C5F8-4736-8944-26991301B77D}">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Labor Rate and Summary Data</vt: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Courtney Kerwin</cp:lastModifiedBy>
  <cp:lastPrinted>2019-05-31T15:46:23Z</cp:lastPrinted>
  <dcterms:created xsi:type="dcterms:W3CDTF">2018-07-19T14:57:42Z</dcterms:created>
  <dcterms:modified xsi:type="dcterms:W3CDTF">2019-09-20T02:15:55Z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143c63a8b3f84020a7e47dcc3fd621fb</vt:lpwstr>
  </property>
</Properties>
</file>