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1E954136-BF1D-404F-8170-992CFEE85457}" xr6:coauthVersionLast="36" xr6:coauthVersionMax="36" xr10:uidLastSave="{00000000-0000-0000-0000-000000000000}"/>
  <bookViews>
    <workbookView xWindow="-120" yWindow="-120" windowWidth="25440" windowHeight="15390" tabRatio="890" xr2:uid="{00000000-000D-0000-FFFF-FFFF00000000}"/>
  </bookViews>
  <sheets>
    <sheet name="Table 1a-Private" sheetId="50" r:id="rId1"/>
    <sheet name="Table 1b-Public" sheetId="39" r:id="rId2"/>
    <sheet name="Table 1c-Summary" sheetId="55" r:id="rId3"/>
    <sheet name="Table 1d-State and Local Agency" sheetId="54" r:id="rId4"/>
    <sheet name="Table 2-EPA" sheetId="34" r:id="rId5"/>
    <sheet name="Respondents and Responses" sheetId="51" r:id="rId6"/>
    <sheet name="Capital - O&amp;M" sheetId="44" r:id="rId7"/>
    <sheet name="Other Cost Basis" sheetId="53" state="hidden" r:id="rId8"/>
  </sheets>
  <externalReferences>
    <externalReference r:id="rId9"/>
  </externalReferences>
  <definedNames>
    <definedName name="\b" localSheetId="0">#REF!</definedName>
    <definedName name="\b" localSheetId="1">#REF!</definedName>
    <definedName name="\b" localSheetId="4">#REF!</definedName>
    <definedName name="\b">#REF!</definedName>
    <definedName name="\c" localSheetId="0">#REF!</definedName>
    <definedName name="\c" localSheetId="1">#REF!</definedName>
    <definedName name="\c" localSheetId="4">#REF!</definedName>
    <definedName name="\c">#REF!</definedName>
    <definedName name="\p">#N/A</definedName>
    <definedName name="\z" localSheetId="0">#REF!</definedName>
    <definedName name="\z" localSheetId="1">#REF!</definedName>
    <definedName name="\z" localSheetId="4">#REF!</definedName>
    <definedName name="\z">#REF!</definedName>
    <definedName name="_Hlk526947918" localSheetId="6">'Capital - O&amp;M'!$A$14</definedName>
    <definedName name="APPC" localSheetId="0">#REF!</definedName>
    <definedName name="APPC" localSheetId="1">#REF!</definedName>
    <definedName name="APPC" localSheetId="4">#REF!</definedName>
    <definedName name="APPC">#REF!</definedName>
    <definedName name="cler">[1]basis!$C$26</definedName>
    <definedName name="comptime" localSheetId="4">'Table 2-EPA'!#REF!</definedName>
    <definedName name="DUST" localSheetId="0">#REF!</definedName>
    <definedName name="DUST" localSheetId="1">#REF!</definedName>
    <definedName name="DUST" localSheetId="4">#REF!</definedName>
    <definedName name="DUST">#REF!</definedName>
    <definedName name="excd">[1]basis!$C$19</definedName>
    <definedName name="GOVERNMENT" localSheetId="0">#REF!</definedName>
    <definedName name="GOVERNMENT" localSheetId="1">#REF!</definedName>
    <definedName name="GOVERNMENT" localSheetId="4">#REF!</definedName>
    <definedName name="GOVERNMENT">#REF!</definedName>
    <definedName name="INDUSTRY" localSheetId="0">#REF!</definedName>
    <definedName name="INDUSTRY" localSheetId="1">#REF!</definedName>
    <definedName name="INDUSTRY" localSheetId="4">#REF!</definedName>
    <definedName name="INDUSTRY">#REF!</definedName>
    <definedName name="June_2003_HMIWI_Inventory" localSheetId="0">#REF!</definedName>
    <definedName name="June_2003_HMIWI_Inventory" localSheetId="1">#REF!</definedName>
    <definedName name="June_2003_HMIWI_Inventory" localSheetId="4">#REF!</definedName>
    <definedName name="June_2003_HMIWI_Inventory">#REF!</definedName>
    <definedName name="LIME" localSheetId="0">#REF!</definedName>
    <definedName name="LIME" localSheetId="1">#REF!</definedName>
    <definedName name="LIME" localSheetId="4">#REF!</definedName>
    <definedName name="LIME">#REF!</definedName>
    <definedName name="lit">[1]basis!$C$13</definedName>
    <definedName name="mang">[1]basis!$C$25</definedName>
    <definedName name="new_respondents">[1]basis!$C$17</definedName>
    <definedName name="noexcd">[1]basis!$C$20</definedName>
    <definedName name="_xlnm.Print_Area" localSheetId="0">'Table 1a-Private'!$A$1:$Q$51</definedName>
    <definedName name="_xlnm.Print_Area" localSheetId="1">'Table 1b-Public'!$A$1:$P$51</definedName>
    <definedName name="_xlnm.Print_Area" localSheetId="4">'Table 2-EPA'!$A$1:$I$35</definedName>
    <definedName name="_xlnm.Print_Titles" localSheetId="0">'Table 1a-Private'!$1:$3</definedName>
    <definedName name="_xlnm.Print_Titles" localSheetId="1">'Table 1b-Public'!$1:$3</definedName>
    <definedName name="read1" localSheetId="0">#REF!</definedName>
    <definedName name="read1" localSheetId="1">#REF!</definedName>
    <definedName name="read1" localSheetId="4">#REF!</definedName>
    <definedName name="read1">#REF!</definedName>
    <definedName name="respondents" localSheetId="4">'Table 2-EPA'!#REF!</definedName>
    <definedName name="retest" localSheetId="4">'Table 2-EPA'!#REF!</definedName>
    <definedName name="sperfac" localSheetId="4">'Table 2-EPA'!#REF!</definedName>
    <definedName name="ssmalf">[1]basis!$C$21</definedName>
    <definedName name="TABLE1" localSheetId="0">#REF!</definedName>
    <definedName name="TABLE1" localSheetId="1">#REF!</definedName>
    <definedName name="TABLE1" localSheetId="4">#REF!</definedName>
    <definedName name="TABLE1">#REF!</definedName>
    <definedName name="TABLE16">#N/A</definedName>
    <definedName name="TABLE17">#N/A</definedName>
    <definedName name="TABLE2" localSheetId="0">#REF!</definedName>
    <definedName name="TABLE2" localSheetId="1">#REF!</definedName>
    <definedName name="TABLE2" localSheetId="4">#REF!</definedName>
    <definedName name="TABLE2">#REF!</definedName>
    <definedName name="TABLE23">#N/A</definedName>
    <definedName name="tech">[1]basis!$C$24</definedName>
    <definedName name="TOTAL" localSheetId="0">#REF!</definedName>
    <definedName name="TOTAL" localSheetId="1">#REF!</definedName>
    <definedName name="TOTAL" localSheetId="4">#REF!</definedName>
    <definedName name="TOTAL">#REF!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 i="50" l="1"/>
  <c r="I7" i="50"/>
  <c r="J7" i="50"/>
  <c r="K7" i="50"/>
  <c r="I26" i="50"/>
  <c r="D76" i="51"/>
  <c r="E76" i="51"/>
  <c r="F76" i="51"/>
  <c r="B76" i="51"/>
  <c r="H76" i="51"/>
  <c r="H7" i="39"/>
  <c r="I7" i="39"/>
  <c r="J7" i="39"/>
  <c r="K7" i="39"/>
  <c r="I26" i="39"/>
  <c r="D77" i="51"/>
  <c r="E77" i="51"/>
  <c r="F77" i="51"/>
  <c r="B77" i="51"/>
  <c r="H77" i="51"/>
  <c r="F22" i="51"/>
  <c r="F23" i="51"/>
  <c r="F24" i="51"/>
  <c r="F25" i="51"/>
  <c r="F5" i="54"/>
  <c r="G5" i="54"/>
  <c r="H5" i="54"/>
  <c r="I5" i="54"/>
  <c r="F7" i="51"/>
  <c r="F8" i="51"/>
  <c r="F9" i="51"/>
  <c r="F10" i="51"/>
  <c r="F12" i="51"/>
  <c r="F13" i="51"/>
  <c r="F14" i="51"/>
  <c r="F15" i="51"/>
  <c r="F16" i="51"/>
  <c r="D6" i="54"/>
  <c r="E6" i="54"/>
  <c r="F6" i="54"/>
  <c r="G6" i="54"/>
  <c r="H6" i="54"/>
  <c r="I6" i="54"/>
  <c r="F7" i="54"/>
  <c r="G7" i="54"/>
  <c r="D8" i="54"/>
  <c r="E8" i="54"/>
  <c r="F8" i="54"/>
  <c r="G8" i="54"/>
  <c r="H8" i="54"/>
  <c r="I8" i="54"/>
  <c r="D9" i="54"/>
  <c r="E9" i="54"/>
  <c r="F9" i="54"/>
  <c r="G9" i="54"/>
  <c r="H9" i="54"/>
  <c r="I9" i="54"/>
  <c r="D10" i="54"/>
  <c r="E10" i="54"/>
  <c r="F10" i="54"/>
  <c r="G10" i="54"/>
  <c r="H10" i="54"/>
  <c r="I10" i="54"/>
  <c r="D11" i="54"/>
  <c r="E11" i="54"/>
  <c r="F11" i="54"/>
  <c r="G11" i="54"/>
  <c r="H11" i="54"/>
  <c r="I11" i="54"/>
  <c r="D12" i="54"/>
  <c r="E12" i="54"/>
  <c r="F12" i="54"/>
  <c r="G12" i="54"/>
  <c r="H12" i="54"/>
  <c r="I12" i="54"/>
  <c r="F13" i="54"/>
  <c r="G13" i="54"/>
  <c r="H13" i="54"/>
  <c r="I13" i="54"/>
  <c r="F15" i="54"/>
  <c r="G15" i="54"/>
  <c r="H15" i="54"/>
  <c r="I15" i="54"/>
  <c r="F16" i="54"/>
  <c r="G16" i="54"/>
  <c r="F17" i="54"/>
  <c r="G17" i="54"/>
  <c r="H17" i="54"/>
  <c r="I17" i="54"/>
  <c r="F18" i="54"/>
  <c r="G18" i="54"/>
  <c r="H18" i="54"/>
  <c r="I18" i="54"/>
  <c r="F19" i="54"/>
  <c r="G19" i="54"/>
  <c r="H19" i="54"/>
  <c r="I19" i="54"/>
  <c r="F20" i="54"/>
  <c r="G20" i="54"/>
  <c r="H20" i="54"/>
  <c r="I20" i="54"/>
  <c r="F21" i="54"/>
  <c r="G21" i="54"/>
  <c r="H21" i="54"/>
  <c r="I21" i="54"/>
  <c r="F22" i="54"/>
  <c r="G22" i="54"/>
  <c r="H22" i="54"/>
  <c r="I22" i="54"/>
  <c r="F23" i="54"/>
  <c r="G23" i="54"/>
  <c r="H23" i="54"/>
  <c r="I23" i="54"/>
  <c r="D17" i="54"/>
  <c r="D18" i="54"/>
  <c r="D19" i="54"/>
  <c r="D20" i="54"/>
  <c r="D21" i="54"/>
  <c r="D22" i="54"/>
  <c r="D23" i="54"/>
  <c r="D24" i="54"/>
  <c r="E24" i="54"/>
  <c r="F24" i="54"/>
  <c r="G24" i="54"/>
  <c r="H24" i="54"/>
  <c r="I24" i="54"/>
  <c r="G26" i="54"/>
  <c r="D78" i="51"/>
  <c r="F78" i="51"/>
  <c r="B78" i="51"/>
  <c r="H78" i="51"/>
  <c r="C76" i="51"/>
  <c r="G76" i="51"/>
  <c r="C77" i="51"/>
  <c r="G77" i="51"/>
  <c r="E69" i="51"/>
  <c r="C78" i="51"/>
  <c r="G78" i="51"/>
  <c r="C79" i="51"/>
  <c r="D79" i="51"/>
  <c r="E79" i="51"/>
  <c r="F79" i="51"/>
  <c r="G79" i="51"/>
  <c r="D6" i="55"/>
  <c r="F6" i="55"/>
  <c r="D7" i="55"/>
  <c r="F7" i="55"/>
  <c r="F5" i="55"/>
  <c r="E70" i="51"/>
  <c r="H70" i="51"/>
  <c r="O35" i="54"/>
  <c r="C7" i="55"/>
  <c r="C6" i="55"/>
  <c r="C5" i="55"/>
  <c r="E19" i="54"/>
  <c r="D13" i="54"/>
  <c r="E13" i="54"/>
  <c r="D25" i="54"/>
  <c r="L40" i="50"/>
  <c r="L40" i="39"/>
  <c r="H7" i="55"/>
  <c r="H6" i="55"/>
  <c r="H5" i="55"/>
  <c r="G7" i="50"/>
  <c r="D10" i="51"/>
  <c r="B7" i="55"/>
  <c r="E23" i="54"/>
  <c r="E22" i="54"/>
  <c r="E21" i="54"/>
  <c r="E20" i="54"/>
  <c r="E18" i="54"/>
  <c r="E17" i="54"/>
  <c r="E15" i="54"/>
  <c r="B6" i="55"/>
  <c r="B5" i="55"/>
  <c r="D15" i="51"/>
  <c r="J16" i="54"/>
  <c r="J7" i="54"/>
  <c r="J5" i="54"/>
  <c r="J15" i="54"/>
  <c r="J17" i="54"/>
  <c r="B11" i="50"/>
  <c r="D9" i="50"/>
  <c r="D9" i="39"/>
  <c r="E27" i="53"/>
  <c r="E26" i="53"/>
  <c r="B4" i="53"/>
  <c r="D4" i="53"/>
  <c r="D19" i="53"/>
  <c r="D18" i="53"/>
  <c r="D17" i="53"/>
  <c r="B15" i="53"/>
  <c r="F15" i="53"/>
  <c r="B14" i="53"/>
  <c r="F14" i="53"/>
  <c r="B13" i="53"/>
  <c r="C23" i="53"/>
  <c r="B7" i="53"/>
  <c r="D6" i="53"/>
  <c r="B6" i="53"/>
  <c r="F4" i="53"/>
  <c r="H4" i="53"/>
  <c r="F2" i="53"/>
  <c r="G2" i="53"/>
  <c r="D2" i="53"/>
  <c r="C9" i="50"/>
  <c r="C11" i="39"/>
  <c r="C11" i="50"/>
  <c r="C18" i="39"/>
  <c r="C18" i="50"/>
  <c r="C9" i="39"/>
  <c r="B3" i="53"/>
  <c r="D3" i="53"/>
  <c r="J6" i="54"/>
  <c r="J18" i="54"/>
  <c r="F13" i="53"/>
  <c r="B23" i="53"/>
  <c r="G4" i="53"/>
  <c r="C10" i="39"/>
  <c r="C10" i="50"/>
  <c r="J8" i="54"/>
  <c r="J19" i="54"/>
  <c r="G19" i="39"/>
  <c r="G18" i="39"/>
  <c r="G17" i="39"/>
  <c r="G16" i="39"/>
  <c r="G15" i="39"/>
  <c r="G9" i="39"/>
  <c r="G7" i="39"/>
  <c r="J20" i="54"/>
  <c r="J9" i="54"/>
  <c r="I9" i="39"/>
  <c r="D13" i="34"/>
  <c r="J24" i="54"/>
  <c r="J10" i="54"/>
  <c r="D15" i="54"/>
  <c r="F25" i="54"/>
  <c r="J25" i="54"/>
  <c r="J21" i="54"/>
  <c r="F13" i="34"/>
  <c r="I25" i="34"/>
  <c r="F7" i="34"/>
  <c r="I7" i="34"/>
  <c r="F16" i="34"/>
  <c r="I16" i="34"/>
  <c r="F25" i="34"/>
  <c r="H25" i="34"/>
  <c r="J11" i="54"/>
  <c r="J22" i="54"/>
  <c r="G25" i="34"/>
  <c r="P38" i="50"/>
  <c r="O38" i="50"/>
  <c r="J12" i="54"/>
  <c r="J13" i="54"/>
  <c r="J23" i="54"/>
  <c r="O10" i="50"/>
  <c r="N10" i="39"/>
  <c r="J26" i="54"/>
  <c r="O7" i="50"/>
  <c r="N7" i="39"/>
  <c r="N7" i="50"/>
  <c r="Q38" i="50"/>
  <c r="N35" i="50"/>
  <c r="G35" i="50"/>
  <c r="I35" i="50"/>
  <c r="H34" i="50"/>
  <c r="N34" i="50"/>
  <c r="G34" i="50"/>
  <c r="I34" i="50"/>
  <c r="H33" i="50"/>
  <c r="N33" i="50"/>
  <c r="N38" i="50"/>
  <c r="G33" i="50"/>
  <c r="Q26" i="50"/>
  <c r="P26" i="50"/>
  <c r="P39" i="50"/>
  <c r="P40" i="50"/>
  <c r="O25" i="50"/>
  <c r="N25" i="50"/>
  <c r="G25" i="50"/>
  <c r="I25" i="50"/>
  <c r="G22" i="50"/>
  <c r="H21" i="50"/>
  <c r="H22" i="50"/>
  <c r="O22" i="50"/>
  <c r="G21" i="50"/>
  <c r="O20" i="50"/>
  <c r="N20" i="50"/>
  <c r="B20" i="50"/>
  <c r="G20" i="50"/>
  <c r="I20" i="50"/>
  <c r="O19" i="50"/>
  <c r="N19" i="50"/>
  <c r="G19" i="50"/>
  <c r="I19" i="50"/>
  <c r="G18" i="50"/>
  <c r="O17" i="50"/>
  <c r="N17" i="50"/>
  <c r="G17" i="50"/>
  <c r="I17" i="50"/>
  <c r="H16" i="50"/>
  <c r="O16" i="50"/>
  <c r="G16" i="50"/>
  <c r="N15" i="50"/>
  <c r="G15" i="50"/>
  <c r="H11" i="50"/>
  <c r="O11" i="50"/>
  <c r="F11" i="50"/>
  <c r="O9" i="50"/>
  <c r="G9" i="50"/>
  <c r="I9" i="50"/>
  <c r="K9" i="50"/>
  <c r="K17" i="50"/>
  <c r="I33" i="50"/>
  <c r="J33" i="50"/>
  <c r="N21" i="50"/>
  <c r="O21" i="50"/>
  <c r="I11" i="50"/>
  <c r="L11" i="50"/>
  <c r="I21" i="50"/>
  <c r="K19" i="50"/>
  <c r="J19" i="50"/>
  <c r="L19" i="50"/>
  <c r="K34" i="50"/>
  <c r="J34" i="50"/>
  <c r="L34" i="50"/>
  <c r="K35" i="50"/>
  <c r="J35" i="50"/>
  <c r="L35" i="50"/>
  <c r="J25" i="50"/>
  <c r="K25" i="50"/>
  <c r="J9" i="50"/>
  <c r="L9" i="50"/>
  <c r="N16" i="50"/>
  <c r="J17" i="50"/>
  <c r="K33" i="50"/>
  <c r="O15" i="50"/>
  <c r="I16" i="50"/>
  <c r="I15" i="50"/>
  <c r="I22" i="50"/>
  <c r="J20" i="50"/>
  <c r="K20" i="50"/>
  <c r="N22" i="50"/>
  <c r="L25" i="50"/>
  <c r="L20" i="50"/>
  <c r="L17" i="50"/>
  <c r="K22" i="50"/>
  <c r="K16" i="50"/>
  <c r="K21" i="50"/>
  <c r="L33" i="50"/>
  <c r="I38" i="50"/>
  <c r="E6" i="55"/>
  <c r="J21" i="50"/>
  <c r="J16" i="50"/>
  <c r="K15" i="50"/>
  <c r="J15" i="50"/>
  <c r="L15" i="50"/>
  <c r="J22" i="50"/>
  <c r="L22" i="50"/>
  <c r="L21" i="50"/>
  <c r="L7" i="50"/>
  <c r="L16" i="50"/>
  <c r="F10" i="50"/>
  <c r="I10" i="50"/>
  <c r="L10" i="50"/>
  <c r="F10" i="39"/>
  <c r="B11" i="39"/>
  <c r="F11" i="39"/>
  <c r="O26" i="39"/>
  <c r="N11" i="50"/>
  <c r="D20" i="34"/>
  <c r="F20" i="34"/>
  <c r="D19" i="34"/>
  <c r="F19" i="34"/>
  <c r="D5" i="34"/>
  <c r="F5" i="34"/>
  <c r="O38" i="39"/>
  <c r="N38" i="39"/>
  <c r="G35" i="39"/>
  <c r="G34" i="39"/>
  <c r="G33" i="39"/>
  <c r="G25" i="39"/>
  <c r="G22" i="39"/>
  <c r="G21" i="39"/>
  <c r="N20" i="39"/>
  <c r="M20" i="39"/>
  <c r="B20" i="39"/>
  <c r="G20" i="39"/>
  <c r="I20" i="39"/>
  <c r="N19" i="39"/>
  <c r="M19" i="39"/>
  <c r="I19" i="39"/>
  <c r="H16" i="39"/>
  <c r="N16" i="39"/>
  <c r="M15" i="39"/>
  <c r="N9" i="39"/>
  <c r="N9" i="50"/>
  <c r="J19" i="39"/>
  <c r="L19" i="39"/>
  <c r="M25" i="39"/>
  <c r="H19" i="34"/>
  <c r="G19" i="34"/>
  <c r="M9" i="39"/>
  <c r="N10" i="50"/>
  <c r="J20" i="39"/>
  <c r="K20" i="39"/>
  <c r="K19" i="39"/>
  <c r="H5" i="34"/>
  <c r="G5" i="34"/>
  <c r="D15" i="34"/>
  <c r="F15" i="34"/>
  <c r="H33" i="39"/>
  <c r="M16" i="39"/>
  <c r="I16" i="39"/>
  <c r="G20" i="34"/>
  <c r="H20" i="34"/>
  <c r="H21" i="39"/>
  <c r="M21" i="39"/>
  <c r="I15" i="39"/>
  <c r="N15" i="39"/>
  <c r="D17" i="34"/>
  <c r="F17" i="34"/>
  <c r="O39" i="39"/>
  <c r="O40" i="39"/>
  <c r="L20" i="39"/>
  <c r="I19" i="34"/>
  <c r="I20" i="34"/>
  <c r="I5" i="34"/>
  <c r="G17" i="34"/>
  <c r="G15" i="34"/>
  <c r="L38" i="50"/>
  <c r="N25" i="39"/>
  <c r="C24" i="34"/>
  <c r="D6" i="34"/>
  <c r="F6" i="34"/>
  <c r="D9" i="34"/>
  <c r="F9" i="34"/>
  <c r="H15" i="34"/>
  <c r="I25" i="39"/>
  <c r="H17" i="34"/>
  <c r="N21" i="39"/>
  <c r="I21" i="39"/>
  <c r="H22" i="39"/>
  <c r="M22" i="39"/>
  <c r="K16" i="39"/>
  <c r="J16" i="39"/>
  <c r="H34" i="39"/>
  <c r="H11" i="39"/>
  <c r="N11" i="39"/>
  <c r="M10" i="39"/>
  <c r="I10" i="39"/>
  <c r="L10" i="39"/>
  <c r="M33" i="39"/>
  <c r="I33" i="39"/>
  <c r="K15" i="39"/>
  <c r="J15" i="39"/>
  <c r="K9" i="39"/>
  <c r="J9" i="39"/>
  <c r="L9" i="39"/>
  <c r="L15" i="39"/>
  <c r="L16" i="39"/>
  <c r="I17" i="34"/>
  <c r="I15" i="34"/>
  <c r="G9" i="34"/>
  <c r="L33" i="39"/>
  <c r="M18" i="39"/>
  <c r="H6" i="34"/>
  <c r="G6" i="34"/>
  <c r="K25" i="39"/>
  <c r="K21" i="39"/>
  <c r="H9" i="34"/>
  <c r="I9" i="34"/>
  <c r="J25" i="39"/>
  <c r="L25" i="39"/>
  <c r="D24" i="34"/>
  <c r="F24" i="34"/>
  <c r="I22" i="39"/>
  <c r="N22" i="39"/>
  <c r="J21" i="39"/>
  <c r="I34" i="39"/>
  <c r="M34" i="39"/>
  <c r="M7" i="39"/>
  <c r="I11" i="39"/>
  <c r="L11" i="39"/>
  <c r="M11" i="39"/>
  <c r="D11" i="34"/>
  <c r="F11" i="34"/>
  <c r="N17" i="39"/>
  <c r="M17" i="39"/>
  <c r="I17" i="39"/>
  <c r="K33" i="39"/>
  <c r="J33" i="39"/>
  <c r="L21" i="39"/>
  <c r="I6" i="34"/>
  <c r="I18" i="39"/>
  <c r="N18" i="39"/>
  <c r="O18" i="50"/>
  <c r="O26" i="50"/>
  <c r="O39" i="50"/>
  <c r="I18" i="50"/>
  <c r="N18" i="50"/>
  <c r="N26" i="50"/>
  <c r="K22" i="39"/>
  <c r="H13" i="34"/>
  <c r="G13" i="34"/>
  <c r="C23" i="34"/>
  <c r="D23" i="34"/>
  <c r="F23" i="34"/>
  <c r="J22" i="39"/>
  <c r="M26" i="39"/>
  <c r="K17" i="39"/>
  <c r="J17" i="39"/>
  <c r="L17" i="39"/>
  <c r="D12" i="34"/>
  <c r="F12" i="34"/>
  <c r="J34" i="39"/>
  <c r="K34" i="39"/>
  <c r="L34" i="39"/>
  <c r="G11" i="34"/>
  <c r="H11" i="34"/>
  <c r="K18" i="39"/>
  <c r="H24" i="34"/>
  <c r="G24" i="34"/>
  <c r="D8" i="34"/>
  <c r="F8" i="34"/>
  <c r="M35" i="39"/>
  <c r="M38" i="39"/>
  <c r="I35" i="39"/>
  <c r="I24" i="34"/>
  <c r="L22" i="39"/>
  <c r="I13" i="34"/>
  <c r="L7" i="39"/>
  <c r="I11" i="34"/>
  <c r="J18" i="39"/>
  <c r="L18" i="39"/>
  <c r="N26" i="39"/>
  <c r="N39" i="39"/>
  <c r="N39" i="50"/>
  <c r="K18" i="50"/>
  <c r="J18" i="50"/>
  <c r="M39" i="39"/>
  <c r="K35" i="39"/>
  <c r="J35" i="39"/>
  <c r="L35" i="39"/>
  <c r="L38" i="39"/>
  <c r="D21" i="34"/>
  <c r="F21" i="34"/>
  <c r="D10" i="34"/>
  <c r="F10" i="34"/>
  <c r="H8" i="34"/>
  <c r="G8" i="34"/>
  <c r="G12" i="34"/>
  <c r="H12" i="34"/>
  <c r="D18" i="34"/>
  <c r="F18" i="34"/>
  <c r="G18" i="34"/>
  <c r="D22" i="34"/>
  <c r="F22" i="34"/>
  <c r="H23" i="34"/>
  <c r="G23" i="34"/>
  <c r="I23" i="34"/>
  <c r="I12" i="34"/>
  <c r="L18" i="50"/>
  <c r="L26" i="39"/>
  <c r="I8" i="34"/>
  <c r="I38" i="39"/>
  <c r="L26" i="50"/>
  <c r="L39" i="50"/>
  <c r="H18" i="34"/>
  <c r="H22" i="34"/>
  <c r="G22" i="34"/>
  <c r="H10" i="34"/>
  <c r="G10" i="34"/>
  <c r="I10" i="34"/>
  <c r="H21" i="34"/>
  <c r="G21" i="34"/>
  <c r="I21" i="34"/>
  <c r="I39" i="39"/>
  <c r="E7" i="55"/>
  <c r="L41" i="50"/>
  <c r="G6" i="55"/>
  <c r="I39" i="50"/>
  <c r="D5" i="55"/>
  <c r="F26" i="34"/>
  <c r="I18" i="34"/>
  <c r="I22" i="34"/>
  <c r="L39" i="39"/>
  <c r="E5" i="55"/>
  <c r="I26" i="34"/>
  <c r="L41" i="39"/>
  <c r="G7" i="55"/>
  <c r="I7" i="55"/>
  <c r="I6" i="55"/>
  <c r="I5" i="55"/>
  <c r="M41" i="39"/>
  <c r="N41" i="50"/>
  <c r="G5" i="55"/>
  <c r="M26"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JShweky</author>
    <author>ASingleton</author>
    <author>Katie Stout</author>
  </authors>
  <commentList>
    <comment ref="A2" authorId="0" shapeId="0" xr:uid="{A8DD0E0E-8190-498A-B695-76839F2E6698}">
      <text>
        <r>
          <rPr>
            <b/>
            <sz val="9"/>
            <color indexed="81"/>
            <rFont val="Tahoma"/>
            <family val="2"/>
          </rPr>
          <t>JShweky:</t>
        </r>
        <r>
          <rPr>
            <sz val="9"/>
            <color indexed="81"/>
            <rFont val="Tahoma"/>
            <family val="2"/>
          </rPr>
          <t xml:space="preserve">
may potentially require periodic testing (3-5 yrs?) which would affect cell D2</t>
        </r>
      </text>
    </comment>
    <comment ref="A3" authorId="0" shapeId="0" xr:uid="{8521291A-2FC5-4EED-8D70-E594BD9F8D37}">
      <text>
        <r>
          <rPr>
            <b/>
            <sz val="9"/>
            <color indexed="81"/>
            <rFont val="Tahoma"/>
            <family val="2"/>
          </rPr>
          <t>JShweky:</t>
        </r>
        <r>
          <rPr>
            <sz val="9"/>
            <color indexed="81"/>
            <rFont val="Tahoma"/>
            <family val="2"/>
          </rPr>
          <t xml:space="preserve">
Why didn't this cost go in the NSPS tables? Is this part of the 28 technical hours for Tier 1?</t>
        </r>
      </text>
    </comment>
    <comment ref="A7" authorId="1" shapeId="0" xr:uid="{59825886-0618-473F-8335-40E7A5F93C4B}">
      <text>
        <r>
          <rPr>
            <b/>
            <sz val="9"/>
            <color indexed="81"/>
            <rFont val="Tahoma"/>
            <family val="2"/>
          </rPr>
          <t>ASingleton:</t>
        </r>
        <r>
          <rPr>
            <sz val="9"/>
            <color indexed="81"/>
            <rFont val="Tahoma"/>
            <family val="2"/>
          </rPr>
          <t xml:space="preserve">
4 occurances per year</t>
        </r>
      </text>
    </comment>
    <comment ref="A8" authorId="1" shapeId="0" xr:uid="{D1D0C08F-9AD7-4344-9AB5-851999D1DB15}">
      <text>
        <r>
          <rPr>
            <b/>
            <sz val="9"/>
            <color indexed="81"/>
            <rFont val="Tahoma"/>
            <family val="2"/>
          </rPr>
          <t>ASingleton:</t>
        </r>
        <r>
          <rPr>
            <sz val="9"/>
            <color indexed="81"/>
            <rFont val="Tahoma"/>
            <family val="2"/>
          </rPr>
          <t xml:space="preserve">
4 occurances per year</t>
        </r>
      </text>
    </comment>
    <comment ref="A9" authorId="1" shapeId="0" xr:uid="{C88A17A7-9CCB-4A31-8A35-96FD33C412D5}">
      <text>
        <r>
          <rPr>
            <b/>
            <sz val="9"/>
            <color indexed="81"/>
            <rFont val="Tahoma"/>
            <family val="2"/>
          </rPr>
          <t>ASingleton:</t>
        </r>
        <r>
          <rPr>
            <sz val="9"/>
            <color indexed="81"/>
            <rFont val="Tahoma"/>
            <family val="2"/>
          </rPr>
          <t xml:space="preserve">
4 occurances per year</t>
        </r>
      </text>
    </comment>
    <comment ref="A10" authorId="1" shapeId="0" xr:uid="{CC39C406-2931-4092-BBDE-457C06547293}">
      <text>
        <r>
          <rPr>
            <b/>
            <sz val="9"/>
            <color indexed="81"/>
            <rFont val="Tahoma"/>
            <family val="2"/>
          </rPr>
          <t>ASingleton:</t>
        </r>
        <r>
          <rPr>
            <sz val="9"/>
            <color indexed="81"/>
            <rFont val="Tahoma"/>
            <family val="2"/>
          </rPr>
          <t xml:space="preserve">
4 occurances per year</t>
        </r>
      </text>
    </comment>
    <comment ref="A12" authorId="1" shapeId="0" xr:uid="{3BE2EB1C-36E1-473B-B9A4-330AEF0D02B3}">
      <text>
        <r>
          <rPr>
            <b/>
            <sz val="9"/>
            <color indexed="81"/>
            <rFont val="Tahoma"/>
            <family val="2"/>
          </rPr>
          <t>ASingleton:</t>
        </r>
        <r>
          <rPr>
            <sz val="9"/>
            <color indexed="81"/>
            <rFont val="Tahoma"/>
            <family val="2"/>
          </rPr>
          <t xml:space="preserve">
Only at 25% of sites that do not have a data logger, 4 occurances per year. Estimated based on 25% of total acreage.</t>
        </r>
      </text>
    </comment>
    <comment ref="A29" authorId="2" shapeId="0" xr:uid="{39ABA2AC-D710-4291-BAC5-C950AA7D6FE0}">
      <text>
        <r>
          <rPr>
            <b/>
            <sz val="9"/>
            <color indexed="81"/>
            <rFont val="Tahoma"/>
            <family val="2"/>
          </rPr>
          <t>Katie Stout:</t>
        </r>
        <r>
          <rPr>
            <sz val="9"/>
            <color indexed="81"/>
            <rFont val="Tahoma"/>
            <family val="2"/>
          </rPr>
          <t xml:space="preserve">
update</t>
        </r>
      </text>
    </comment>
  </commentList>
</comments>
</file>

<file path=xl/sharedStrings.xml><?xml version="1.0" encoding="utf-8"?>
<sst xmlns="http://schemas.openxmlformats.org/spreadsheetml/2006/main" count="514" uniqueCount="315">
  <si>
    <t>Labor Rates</t>
  </si>
  <si>
    <t>Occupation</t>
  </si>
  <si>
    <t>Civil Engineer</t>
  </si>
  <si>
    <t>Civil Engineering Technician</t>
  </si>
  <si>
    <t>Cost per occurrence</t>
  </si>
  <si>
    <t>Reference</t>
  </si>
  <si>
    <t>Annualized cost</t>
  </si>
  <si>
    <t>CRF</t>
  </si>
  <si>
    <t>Initial Performance Tests</t>
  </si>
  <si>
    <t>(Method 25A, EPA Monitoring Cost Tool)</t>
  </si>
  <si>
    <t>15 years @ 7%i</t>
  </si>
  <si>
    <t>NMOC Test - Tier 1</t>
  </si>
  <si>
    <t>labor</t>
  </si>
  <si>
    <t>n/a - annual item</t>
  </si>
  <si>
    <t>NMOC Test - Tier 2</t>
  </si>
  <si>
    <t>labor + (Method 25A, EPA Monitoring Cost Tool)</t>
  </si>
  <si>
    <t>5 years @ 7%i</t>
  </si>
  <si>
    <t>Hours per acre/occurance (25 foot pattern)</t>
  </si>
  <si>
    <t>http://www.arb.ca.gov/regact/2009/landfills09/appf.pdf</t>
  </si>
  <si>
    <t>Hours per acre/occurance (30 meter pattern)</t>
  </si>
  <si>
    <t xml:space="preserve">ratio of 25 feet to 30 meters </t>
  </si>
  <si>
    <t>Quarterly Surface Monitoring (labor only) $/hr</t>
  </si>
  <si>
    <t>http://www.arb.ca.gov/regact/2009/landfills09/appf.pdf plus updates to 2012 labor rates using USBLS</t>
  </si>
  <si>
    <t>Equipment Rental, $/day</t>
  </si>
  <si>
    <t>Equipment Rental, $/week</t>
  </si>
  <si>
    <t>Equipment Rental, $/month</t>
  </si>
  <si>
    <t>Quarterly Improved Surface Maintenance ($/acre)</t>
  </si>
  <si>
    <t>http://www.arb.ca.gov/regact/2009/landfills09/appf.pdf (2008$, did not escalate as factor is presumably part labor and part materials, the portion of each type is unknown and labor costs are relatively flat during this period)</t>
  </si>
  <si>
    <t>Additional costs to transpose hand collected data from quarterly surface monitoring. (Hours per acre/occurance)</t>
  </si>
  <si>
    <t>17-2051</t>
  </si>
  <si>
    <t>Occupation Code</t>
  </si>
  <si>
    <t>17-3022</t>
  </si>
  <si>
    <t xml:space="preserve">     F.  Time for Audits</t>
  </si>
  <si>
    <t xml:space="preserve">     E.  Personnel Training</t>
  </si>
  <si>
    <t xml:space="preserve">     E.  Record Information</t>
  </si>
  <si>
    <t xml:space="preserve">     D.  Develop Record System</t>
  </si>
  <si>
    <t xml:space="preserve">     C.  Implement Activities</t>
  </si>
  <si>
    <t xml:space="preserve">     B.  Plan Activities</t>
  </si>
  <si>
    <t>Included in 3a</t>
  </si>
  <si>
    <t xml:space="preserve">     A.  Read Instructions</t>
  </si>
  <si>
    <t>4.  Recordkeeping Requirements</t>
  </si>
  <si>
    <t xml:space="preserve">    E.  Report Preparation</t>
  </si>
  <si>
    <t xml:space="preserve">    D.  Gather Information</t>
  </si>
  <si>
    <t xml:space="preserve">    C.  Create Information </t>
  </si>
  <si>
    <t xml:space="preserve">    B.  Required Activities</t>
  </si>
  <si>
    <t>3. Reporting Requirements</t>
  </si>
  <si>
    <t>2. Surveys and Studies</t>
  </si>
  <si>
    <t>1. Applications</t>
  </si>
  <si>
    <t>Annualized Capital/start-up O&amp;M</t>
  </si>
  <si>
    <t>Burden Item</t>
  </si>
  <si>
    <t>Included in 3B</t>
  </si>
  <si>
    <t>CRF:</t>
  </si>
  <si>
    <t>Annualized labor</t>
  </si>
  <si>
    <t>Number of Responses</t>
  </si>
  <si>
    <t>Technical</t>
  </si>
  <si>
    <t>Clerical</t>
  </si>
  <si>
    <t>(C) 
Number of Occurrences Per Respondent Per Year</t>
  </si>
  <si>
    <t>(F) 
Number of Respondents Per Year</t>
  </si>
  <si>
    <t>Base Rate</t>
  </si>
  <si>
    <t>Overhead</t>
  </si>
  <si>
    <t>Loaded Rate</t>
  </si>
  <si>
    <t>41.17 + 110%(41.17)</t>
  </si>
  <si>
    <t>23.74 + 110%(23.74)</t>
  </si>
  <si>
    <t>http://www.bls.gov/oes/current/oes_nat.htm#17-0000 (May 2013)</t>
  </si>
  <si>
    <t>Annualized cost @ 7%</t>
  </si>
  <si>
    <t>105 L of CH4-500ppm/Air 105 L; Zero Air &lt;1 ppm THC 105 L;</t>
  </si>
  <si>
    <t>quote from Pine Environmental + 20% shipping/handling</t>
  </si>
  <si>
    <t>Hydrogen fuel for TVA (estimate quantity good for one year of monitoring)</t>
  </si>
  <si>
    <t>620 L</t>
  </si>
  <si>
    <t>@3 DAYS</t>
  </si>
  <si>
    <t>@3 Weeks</t>
  </si>
  <si>
    <t xml:space="preserve">Total Non-labor costs for Surface methane monitoring quarterly </t>
  </si>
  <si>
    <t>9. Initial Performance Test</t>
  </si>
  <si>
    <t>10. Compliance Report</t>
  </si>
  <si>
    <t>Flowmeter</t>
  </si>
  <si>
    <t>Thermocouple</t>
  </si>
  <si>
    <t>Data Recorder</t>
  </si>
  <si>
    <t>Annual O&amp;M</t>
  </si>
  <si>
    <t>(B1)
Annualized Non-Labor Capital Costs Per Occurrence</t>
  </si>
  <si>
    <t>(B2)
Annual Non-Labor O&amp;M Costs Per Occurrence</t>
  </si>
  <si>
    <t>Surface Monitoring - Calibration Gases (estimate quantity good for one year)</t>
  </si>
  <si>
    <t>Wellhead Monitoring - Calibration Gases (estimate quantity good for one year)</t>
  </si>
  <si>
    <t>105 L of oxygen - 4%/N2 and CH4-50%/35%CO2/N2</t>
  </si>
  <si>
    <t>per quarter</t>
  </si>
  <si>
    <t>per month</t>
  </si>
  <si>
    <t>(A)</t>
  </si>
  <si>
    <t>(B)</t>
  </si>
  <si>
    <t>(C)</t>
  </si>
  <si>
    <t>(D)</t>
  </si>
  <si>
    <t>(E)</t>
  </si>
  <si>
    <t>(F)</t>
  </si>
  <si>
    <t>Annual O&amp;M Costs for One Respondent</t>
  </si>
  <si>
    <t>(G)</t>
  </si>
  <si>
    <t>(H)</t>
  </si>
  <si>
    <t>Katie Updated</t>
  </si>
  <si>
    <t>rental quote from Elkins Earthworks (4/12/16)</t>
  </si>
  <si>
    <t>Supporting Statement Tables</t>
  </si>
  <si>
    <t>(M) Capital/Start-up Costs per occurence</t>
  </si>
  <si>
    <t>Information Collection Activity</t>
  </si>
  <si>
    <t>Number of Existing Respondents That Keep Records But Do Not Submit Reports</t>
  </si>
  <si>
    <t>Year</t>
  </si>
  <si>
    <t>Number of Existing Respondents</t>
  </si>
  <si>
    <t>Number of Existing Respondents That Are Also New Respondents</t>
  </si>
  <si>
    <t>Average</t>
  </si>
  <si>
    <t>Number of Respondents
(E=A+B+C-D)</t>
  </si>
  <si>
    <t>Subtotal for Reporting Requirements</t>
  </si>
  <si>
    <t>Subtotal for Recordkeeping Requirements</t>
  </si>
  <si>
    <r>
      <t>Number of Existing</t>
    </r>
    <r>
      <rPr>
        <strike/>
        <sz val="10"/>
        <color rgb="FFFF0000"/>
        <rFont val="Times New Roman"/>
        <family val="1"/>
      </rPr>
      <t xml:space="preserve">  </t>
    </r>
    <r>
      <rPr>
        <u/>
        <sz val="10"/>
        <color rgb="FF008080"/>
        <rFont val="Times New Roman"/>
        <family val="1"/>
      </rPr>
      <t xml:space="preserve"> </t>
    </r>
    <r>
      <rPr>
        <sz val="10"/>
        <color theme="1"/>
        <rFont val="Times New Roman"/>
        <family val="1"/>
      </rPr>
      <t>Respondents that keep records but do not submit reports</t>
    </r>
    <r>
      <rPr>
        <vertAlign val="superscript"/>
        <sz val="10"/>
        <color theme="1"/>
        <rFont val="Times New Roman"/>
        <family val="1"/>
      </rPr>
      <t>1</t>
    </r>
  </si>
  <si>
    <r>
      <t>Number of New Respondents</t>
    </r>
    <r>
      <rPr>
        <vertAlign val="superscript"/>
        <sz val="10"/>
        <color theme="1"/>
        <rFont val="Times New Roman"/>
        <family val="1"/>
      </rPr>
      <t>1</t>
    </r>
  </si>
  <si>
    <t>Amended design capacity report</t>
  </si>
  <si>
    <t>(E) Technical Hours per Respondent Per Year
 (A × C)</t>
  </si>
  <si>
    <t>(K) 
Total Annualized Non-Labor Capital and O&amp;M Costs Per Year 
(B1+B2) × (C × F)</t>
  </si>
  <si>
    <t>3 days * ($134 hotel + $63 meals/incidentals) + ($600 round trip) = $1191 per trip</t>
  </si>
  <si>
    <t>(D) 
Civil Engineer Technician Hours per Respondent Per Year
 (A × C)</t>
  </si>
  <si>
    <r>
      <t xml:space="preserve">    A.  Familiarization with Regulatory Requirements </t>
    </r>
    <r>
      <rPr>
        <vertAlign val="superscript"/>
        <sz val="10"/>
        <rFont val="Times New Roman"/>
        <family val="1"/>
      </rPr>
      <t>c</t>
    </r>
  </si>
  <si>
    <r>
      <t xml:space="preserve">1.   Initial performance test report </t>
    </r>
    <r>
      <rPr>
        <vertAlign val="superscript"/>
        <sz val="10"/>
        <rFont val="Times New Roman"/>
        <family val="1"/>
      </rPr>
      <t>d,e</t>
    </r>
  </si>
  <si>
    <r>
      <t xml:space="preserve">2. Surface methane monitoring quarterly </t>
    </r>
    <r>
      <rPr>
        <vertAlign val="superscript"/>
        <sz val="10"/>
        <rFont val="Times New Roman"/>
        <family val="1"/>
      </rPr>
      <t>a,e,f</t>
    </r>
  </si>
  <si>
    <r>
      <t xml:space="preserve">3. Wellhead monitoring monthly </t>
    </r>
    <r>
      <rPr>
        <vertAlign val="superscript"/>
        <sz val="10"/>
        <rFont val="Times New Roman"/>
        <family val="1"/>
      </rPr>
      <t>a,e,f</t>
    </r>
  </si>
  <si>
    <r>
      <t xml:space="preserve">1. Initial design capacity report </t>
    </r>
    <r>
      <rPr>
        <vertAlign val="superscript"/>
        <sz val="10"/>
        <rFont val="Times New Roman"/>
        <family val="1"/>
      </rPr>
      <t>g</t>
    </r>
  </si>
  <si>
    <r>
      <t xml:space="preserve">2. Amended design capacity report </t>
    </r>
    <r>
      <rPr>
        <vertAlign val="superscript"/>
        <sz val="10"/>
        <rFont val="Times New Roman"/>
        <family val="1"/>
      </rPr>
      <t>g</t>
    </r>
  </si>
  <si>
    <r>
      <t xml:space="preserve">3. Report of NMOC rate (Tier 1) </t>
    </r>
    <r>
      <rPr>
        <vertAlign val="superscript"/>
        <sz val="10"/>
        <rFont val="Times New Roman"/>
        <family val="1"/>
      </rPr>
      <t>e</t>
    </r>
  </si>
  <si>
    <r>
      <t xml:space="preserve">4. Report of NMOC rate (Tier 2) </t>
    </r>
    <r>
      <rPr>
        <vertAlign val="superscript"/>
        <sz val="10"/>
        <rFont val="Times New Roman"/>
        <family val="1"/>
      </rPr>
      <t>e,h</t>
    </r>
  </si>
  <si>
    <r>
      <t xml:space="preserve">5. Landfill Closure Report </t>
    </r>
    <r>
      <rPr>
        <vertAlign val="superscript"/>
        <sz val="10"/>
        <rFont val="Times New Roman"/>
        <family val="1"/>
      </rPr>
      <t>e</t>
    </r>
  </si>
  <si>
    <r>
      <t xml:space="preserve">6. Equipment Removal Report </t>
    </r>
    <r>
      <rPr>
        <vertAlign val="superscript"/>
        <sz val="10"/>
        <rFont val="Times New Roman"/>
        <family val="1"/>
      </rPr>
      <t>e</t>
    </r>
  </si>
  <si>
    <r>
      <t xml:space="preserve">7. Collection and Control System Design Plan </t>
    </r>
    <r>
      <rPr>
        <vertAlign val="superscript"/>
        <sz val="10"/>
        <rFont val="Times New Roman"/>
        <family val="1"/>
      </rPr>
      <t>e</t>
    </r>
  </si>
  <si>
    <r>
      <t xml:space="preserve">8. Revised design plan </t>
    </r>
    <r>
      <rPr>
        <vertAlign val="superscript"/>
        <sz val="10"/>
        <rFont val="Times New Roman"/>
        <family val="1"/>
      </rPr>
      <t>e</t>
    </r>
  </si>
  <si>
    <r>
      <t xml:space="preserve">11. Annual Report </t>
    </r>
    <r>
      <rPr>
        <vertAlign val="superscript"/>
        <sz val="10"/>
        <rFont val="Times New Roman"/>
        <family val="1"/>
      </rPr>
      <t>e</t>
    </r>
  </si>
  <si>
    <r>
      <t xml:space="preserve">1. Data Compilation and Review (controllers) </t>
    </r>
    <r>
      <rPr>
        <vertAlign val="superscript"/>
        <sz val="10"/>
        <rFont val="Times New Roman"/>
        <family val="1"/>
      </rPr>
      <t>e</t>
    </r>
  </si>
  <si>
    <r>
      <t xml:space="preserve">2. Recordkeeping and Data Storage (controllers) </t>
    </r>
    <r>
      <rPr>
        <vertAlign val="superscript"/>
        <sz val="10"/>
        <rFont val="Times New Roman"/>
        <family val="1"/>
      </rPr>
      <t>e</t>
    </r>
  </si>
  <si>
    <r>
      <t xml:space="preserve">3. Recordkeeping and Data Storage (others) </t>
    </r>
    <r>
      <rPr>
        <vertAlign val="superscript"/>
        <sz val="10"/>
        <rFont val="Times New Roman"/>
        <family val="1"/>
      </rPr>
      <t>e</t>
    </r>
  </si>
  <si>
    <r>
      <t xml:space="preserve">GRAND TOTAL (rounded) </t>
    </r>
    <r>
      <rPr>
        <b/>
        <vertAlign val="superscript"/>
        <sz val="10"/>
        <color theme="1"/>
        <rFont val="Times New Roman"/>
        <family val="1"/>
      </rPr>
      <t>i</t>
    </r>
  </si>
  <si>
    <r>
      <t>(A) Respondent Hours per Occurrence</t>
    </r>
    <r>
      <rPr>
        <vertAlign val="superscript"/>
        <sz val="10"/>
        <rFont val="Times New Roman"/>
        <family val="1"/>
      </rPr>
      <t>a</t>
    </r>
  </si>
  <si>
    <r>
      <t xml:space="preserve">(J)  Total Labor Costs Per Year </t>
    </r>
    <r>
      <rPr>
        <vertAlign val="superscript"/>
        <sz val="10"/>
        <rFont val="Times New Roman"/>
        <family val="1"/>
      </rPr>
      <t>b</t>
    </r>
  </si>
  <si>
    <r>
      <t xml:space="preserve">(L) 
Total Number of Responses per Year 
(C × F) </t>
    </r>
    <r>
      <rPr>
        <vertAlign val="superscript"/>
        <sz val="10"/>
        <rFont val="Times New Roman"/>
        <family val="1"/>
      </rPr>
      <t>c</t>
    </r>
  </si>
  <si>
    <r>
      <t xml:space="preserve">1. Initial performance test report </t>
    </r>
    <r>
      <rPr>
        <vertAlign val="superscript"/>
        <sz val="10"/>
        <rFont val="Times New Roman"/>
        <family val="1"/>
      </rPr>
      <t>d,e</t>
    </r>
  </si>
  <si>
    <t>Table 2:  Average Annual EPA Burden and Cost - Emission Guidelines and Compliance Times for Existing Municipal Solid Waste Landfills (40 CFR Part 60, Subpart Cc and 40 CFR Part 62, Subpart GGG) (Renewal)</t>
  </si>
  <si>
    <r>
      <t xml:space="preserve">(J)  
Total Labor Costs Per Year </t>
    </r>
    <r>
      <rPr>
        <vertAlign val="superscript"/>
        <sz val="10"/>
        <rFont val="Times New Roman"/>
        <family val="1"/>
      </rPr>
      <t>b</t>
    </r>
  </si>
  <si>
    <r>
      <t xml:space="preserve">Total Labor Burden and Costs (rounded) </t>
    </r>
    <r>
      <rPr>
        <b/>
        <vertAlign val="superscript"/>
        <sz val="10"/>
        <color theme="1"/>
        <rFont val="Times New Roman"/>
        <family val="1"/>
      </rPr>
      <t>i</t>
    </r>
  </si>
  <si>
    <r>
      <t xml:space="preserve">Total Capital and O&amp;M Cost (rounded) </t>
    </r>
    <r>
      <rPr>
        <b/>
        <vertAlign val="superscript"/>
        <sz val="10"/>
        <color theme="1"/>
        <rFont val="Times New Roman"/>
        <family val="1"/>
      </rPr>
      <t>i</t>
    </r>
  </si>
  <si>
    <t>Management</t>
  </si>
  <si>
    <t>a  We have assumed all respondent hours equals the number of Technical Hours except for surface methane monitoring and wellhead monitoring which fall under Civil Engineer Technician Hours.</t>
  </si>
  <si>
    <t>b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</si>
  <si>
    <t>d  Based on the annualized capital costs for method 25 or 25C over 15 years, which is the expected lifetime of the flare or other destruction device. Other capital costs related to flare station monitoring include a thermocouple, flowmeter and data recorder. The costs for these equipment purchases were provided based on industry comment on the ICR renewal 1557.09 burden. These capital/start-up costs were also annualized over 15 years, since this is a one-time requirement. In addition, the industry comments also reported an annual O&amp;M cost for these equipment in the most recent ICR renewal, and these costs were incorporated here.</t>
  </si>
  <si>
    <t xml:space="preserve">e  No respondents are included here because the burden are accounted for in the estimates for the corresponding burden line items under the ICRs for 40 CFR Part 60 Subpart XXX (ICR 2498.03, OMB 2060-0697) and 40 CFR Part 60 Subpart Cf (ICR 2522.02, OMB 2060-0720). </t>
  </si>
  <si>
    <t>h  Based on the annualized capital costs for conducting a method 25, method 25A or 25C over 5 years, since a Tier 2 test must be repeated every 5 years. Labor burden is assigned once every 5 years.</t>
  </si>
  <si>
    <t>i  Totals have been rounded to 3 significant figures. Figures may not add exactly due to rounding.</t>
  </si>
  <si>
    <t>3. Required activities</t>
  </si>
  <si>
    <t>5. Notification requirements</t>
  </si>
  <si>
    <t>6. Reporting requirements</t>
  </si>
  <si>
    <r>
      <t xml:space="preserve">TOTAL (rounded) </t>
    </r>
    <r>
      <rPr>
        <b/>
        <vertAlign val="superscript"/>
        <sz val="10"/>
        <rFont val="Times New Roman"/>
        <family val="1"/>
      </rPr>
      <t>h</t>
    </r>
  </si>
  <si>
    <t>g   There are no trips estimated since this line item is accounted for under ICRs for 40 Part 60 Subpart XXX (ICR 2498.03, OMB 2060-0697) and 40 CFR Part 60 Subpart Cf (ICR 2522.02, OMB 2060-0720) and therefore not duplicated here. The source for hotel and meals/incidental costs is based on FY '18 per diem rates, averaged across all locations in the United States. Airfares are estimated based on experience from other rulemakings. See: http://www.gsa.gov/portal/category/100120</t>
  </si>
  <si>
    <t>h   Totals have been rounded to 3 significant figures. Figures may not add exactly due to rounding.</t>
  </si>
  <si>
    <t xml:space="preserve">EPA hours per occurrence </t>
  </si>
  <si>
    <t xml:space="preserve">Number of occurrences per year </t>
  </si>
  <si>
    <t>EPA hours per occurrence per year 
(C=A×B)</t>
  </si>
  <si>
    <t>Technical person- hours per year
(E=CxD)</t>
  </si>
  <si>
    <t>Management person-hours per year
(F=Ex0.05)</t>
  </si>
  <si>
    <t>Clerical person-hours per year
(G=Ex0.1)</t>
  </si>
  <si>
    <t>Assumptions:</t>
  </si>
  <si>
    <r>
      <t xml:space="preserve">Costs, $ </t>
    </r>
    <r>
      <rPr>
        <vertAlign val="superscript"/>
        <sz val="10"/>
        <rFont val="Times New Roman"/>
        <family val="1"/>
      </rPr>
      <t>b</t>
    </r>
  </si>
  <si>
    <t>b  This cost is based on the following hourly labor rates: $65.71 for Managerial (GS-13, Step 5, $41.07 + 60%), $48.75 for Technical (GS-12, Step 1, $30.47 + 60%) and $26.38 Clerical (GS-6, Step 3, $16.49 + 60%).  These rates are from the Office of Personnel Management (OPM) “2018 General Schedule” which excludes locality rates of pay. These rates have been increased by 60 percent to account for the benefit packages available to government employees.</t>
  </si>
  <si>
    <t>(G) Technical Hours per Year 
(E × F)</t>
  </si>
  <si>
    <t>(G) Technical Hours per Year
(E × F)</t>
  </si>
  <si>
    <t>(H)         Clerical Hours per Year
(G × 0.1)</t>
  </si>
  <si>
    <t>(I)       Management Hours per Year
(G × .05)</t>
  </si>
  <si>
    <t>(H)         Clerical Hours per Year 
(G × 0.1)</t>
  </si>
  <si>
    <t>(I)       Management Hours per Year 
(G × .05)</t>
  </si>
  <si>
    <r>
      <t xml:space="preserve">1. Familiarization with Regulatory Requirements </t>
    </r>
    <r>
      <rPr>
        <vertAlign val="superscript"/>
        <sz val="10"/>
        <rFont val="Times New Roman"/>
        <family val="1"/>
      </rPr>
      <t>c</t>
    </r>
  </si>
  <si>
    <r>
      <t xml:space="preserve">2. Enter and update information into agency recordkeeping system </t>
    </r>
    <r>
      <rPr>
        <vertAlign val="superscript"/>
        <sz val="10"/>
        <rFont val="Times New Roman"/>
        <family val="1"/>
      </rPr>
      <t>d</t>
    </r>
  </si>
  <si>
    <r>
      <t xml:space="preserve">4. Excess Emissions Enforcement Activities </t>
    </r>
    <r>
      <rPr>
        <vertAlign val="superscript"/>
        <sz val="10"/>
        <rFont val="Times New Roman"/>
        <family val="1"/>
      </rPr>
      <t>f</t>
    </r>
  </si>
  <si>
    <r>
      <t xml:space="preserve">  A. Review amended design capacity report </t>
    </r>
    <r>
      <rPr>
        <vertAlign val="superscript"/>
        <sz val="10"/>
        <rFont val="Times New Roman"/>
        <family val="1"/>
      </rPr>
      <t>g</t>
    </r>
  </si>
  <si>
    <r>
      <t xml:space="preserve">  A. Review initial design capacity report </t>
    </r>
    <r>
      <rPr>
        <vertAlign val="superscript"/>
        <sz val="10"/>
        <rFont val="Times New Roman"/>
        <family val="1"/>
      </rPr>
      <t>g</t>
    </r>
  </si>
  <si>
    <t>e  Number of occurrences is estimated to be zero.This line item is accounted for under ICRs for 40 Part 60 Subpart XXX (ICR 2498.03, OMB 2060-0697) and 40 CFR Part 60 Subpart Cf (ICR 2522.02, OMB 2060-0720) and is not duplicated here.</t>
  </si>
  <si>
    <r>
      <t xml:space="preserve">  H. Review Annual Report </t>
    </r>
    <r>
      <rPr>
        <vertAlign val="superscript"/>
        <sz val="10"/>
        <rFont val="Times New Roman"/>
        <family val="1"/>
      </rPr>
      <t>e</t>
    </r>
  </si>
  <si>
    <r>
      <t xml:space="preserve">  G. Review Initial Performance Test </t>
    </r>
    <r>
      <rPr>
        <vertAlign val="superscript"/>
        <sz val="10"/>
        <rFont val="Times New Roman"/>
        <family val="1"/>
      </rPr>
      <t>e</t>
    </r>
  </si>
  <si>
    <r>
      <t xml:space="preserve">  F. Review Revised Collection and Control System Design Plan </t>
    </r>
    <r>
      <rPr>
        <vertAlign val="superscript"/>
        <sz val="10"/>
        <rFont val="Times New Roman"/>
        <family val="1"/>
      </rPr>
      <t>e</t>
    </r>
  </si>
  <si>
    <r>
      <t xml:space="preserve">  E. Review Collection and Control System Design Plan </t>
    </r>
    <r>
      <rPr>
        <vertAlign val="superscript"/>
        <sz val="10"/>
        <rFont val="Times New Roman"/>
        <family val="1"/>
      </rPr>
      <t>e</t>
    </r>
  </si>
  <si>
    <r>
      <t xml:space="preserve">  D. Review equipment removal report </t>
    </r>
    <r>
      <rPr>
        <vertAlign val="superscript"/>
        <sz val="10"/>
        <rFont val="Times New Roman"/>
        <family val="1"/>
      </rPr>
      <t>e</t>
    </r>
  </si>
  <si>
    <r>
      <t xml:space="preserve">  C. Review landfill closure report </t>
    </r>
    <r>
      <rPr>
        <vertAlign val="superscript"/>
        <sz val="10"/>
        <rFont val="Times New Roman"/>
        <family val="1"/>
      </rPr>
      <t>e</t>
    </r>
  </si>
  <si>
    <r>
      <t xml:space="preserve">  B. Review annual NMOC emission rate report </t>
    </r>
    <r>
      <rPr>
        <vertAlign val="superscript"/>
        <sz val="10"/>
        <rFont val="Times New Roman"/>
        <family val="1"/>
      </rPr>
      <t>e</t>
    </r>
  </si>
  <si>
    <r>
      <t xml:space="preserve">  A. Observe initial performance test </t>
    </r>
    <r>
      <rPr>
        <vertAlign val="superscript"/>
        <sz val="10"/>
        <rFont val="Times New Roman"/>
        <family val="1"/>
      </rPr>
      <t>e</t>
    </r>
  </si>
  <si>
    <r>
      <t xml:space="preserve">  D. Review continuous parameter monitoring </t>
    </r>
    <r>
      <rPr>
        <vertAlign val="superscript"/>
        <sz val="10"/>
        <rFont val="Times New Roman"/>
        <family val="1"/>
      </rPr>
      <t>e</t>
    </r>
  </si>
  <si>
    <r>
      <t xml:space="preserve">  C. Review operating parameters </t>
    </r>
    <r>
      <rPr>
        <vertAlign val="superscript"/>
        <sz val="10"/>
        <rFont val="Times New Roman"/>
        <family val="1"/>
      </rPr>
      <t>e</t>
    </r>
  </si>
  <si>
    <r>
      <t xml:space="preserve">  B. Observe surface methane monitoring quarterly </t>
    </r>
    <r>
      <rPr>
        <vertAlign val="superscript"/>
        <sz val="10"/>
        <rFont val="Times New Roman"/>
        <family val="1"/>
      </rPr>
      <t>e</t>
    </r>
  </si>
  <si>
    <r>
      <t xml:space="preserve">  E. Review notification of performance test </t>
    </r>
    <r>
      <rPr>
        <vertAlign val="superscript"/>
        <sz val="10"/>
        <rFont val="Times New Roman"/>
        <family val="1"/>
      </rPr>
      <t>e</t>
    </r>
  </si>
  <si>
    <r>
      <t xml:space="preserve">Plants per year  </t>
    </r>
    <r>
      <rPr>
        <vertAlign val="superscript"/>
        <sz val="10"/>
        <color rgb="FF000000"/>
        <rFont val="Times New Roman"/>
        <family val="1"/>
      </rPr>
      <t>a</t>
    </r>
  </si>
  <si>
    <t xml:space="preserve">State/Local Agency hours per occurrence </t>
  </si>
  <si>
    <t xml:space="preserve">Number of occurrences per landfill per year </t>
  </si>
  <si>
    <t>Technical person-hours per occurrence per year 
(D=AxBxC)</t>
  </si>
  <si>
    <t>(I)</t>
  </si>
  <si>
    <t>Technical person- hours per year
(F=DxE)</t>
  </si>
  <si>
    <t>Management person-hours per year
(G=Fx0.05)</t>
  </si>
  <si>
    <t>Clerical person-hours per year
(H=Fx0.1)</t>
  </si>
  <si>
    <r>
      <t xml:space="preserve">Landfills per Agency (average # in States enforcing State plans) </t>
    </r>
    <r>
      <rPr>
        <vertAlign val="superscript"/>
        <sz val="10"/>
        <rFont val="Times New Roman"/>
        <family val="1"/>
      </rPr>
      <t>a</t>
    </r>
  </si>
  <si>
    <t>NA</t>
  </si>
  <si>
    <t xml:space="preserve">a  EPA estimates that 459 MSW landfills are subject to the requirements of Subparts Cc and GGG. EPA assumes that no sources will close or modify during the three-year period of this ICR. EPA assumes that 67 percent of sources (308) are subject to State plans and that 33 percent of sources (151) are covered by the Federal Plan (Subpart GGG), for which EPA is the enforcing agency. EPA data indicates that 34 State and local agencies enforce the State plans. </t>
  </si>
  <si>
    <t>Number of Existing  Respondents that keep records but do not submit reports</t>
  </si>
  <si>
    <r>
      <t xml:space="preserve">Number of Existing Respondents That Are No Longer Subject </t>
    </r>
    <r>
      <rPr>
        <vertAlign val="superscript"/>
        <sz val="10"/>
        <color rgb="FF000000"/>
        <rFont val="Times New Roman"/>
        <family val="1"/>
      </rPr>
      <t>1</t>
    </r>
  </si>
  <si>
    <t>Private Landfills</t>
  </si>
  <si>
    <t>Public Landfills</t>
  </si>
  <si>
    <t>Total for Private and Public Landfills</t>
  </si>
  <si>
    <t>Number of Respondents
(E=A+B-C-D)</t>
  </si>
  <si>
    <r>
      <t xml:space="preserve">4. Excess Emissions Enforcement Activities </t>
    </r>
    <r>
      <rPr>
        <vertAlign val="superscript"/>
        <sz val="10"/>
        <rFont val="Times New Roman"/>
        <family val="1"/>
      </rPr>
      <t>e</t>
    </r>
  </si>
  <si>
    <r>
      <t xml:space="preserve">  A. Review amended design capacity report </t>
    </r>
    <r>
      <rPr>
        <vertAlign val="superscript"/>
        <sz val="10"/>
        <rFont val="Times New Roman"/>
        <family val="1"/>
      </rPr>
      <t>f</t>
    </r>
  </si>
  <si>
    <r>
      <t xml:space="preserve">  A. Review initial design capacity report </t>
    </r>
    <r>
      <rPr>
        <vertAlign val="superscript"/>
        <sz val="10"/>
        <rFont val="Times New Roman"/>
        <family val="1"/>
      </rPr>
      <t>f</t>
    </r>
  </si>
  <si>
    <r>
      <t xml:space="preserve">7. Travel Expenses for Tests Attended </t>
    </r>
    <r>
      <rPr>
        <vertAlign val="superscript"/>
        <sz val="10"/>
        <rFont val="Times New Roman"/>
        <family val="1"/>
      </rPr>
      <t>e, g</t>
    </r>
  </si>
  <si>
    <r>
      <t xml:space="preserve">Number of  agencies  enforcing State plans </t>
    </r>
    <r>
      <rPr>
        <vertAlign val="superscript"/>
        <sz val="10"/>
        <color rgb="FF000000"/>
        <rFont val="Times New Roman"/>
        <family val="1"/>
      </rPr>
      <t>b</t>
    </r>
  </si>
  <si>
    <r>
      <t xml:space="preserve">Costs, $ </t>
    </r>
    <r>
      <rPr>
        <vertAlign val="superscript"/>
        <sz val="10"/>
        <rFont val="Times New Roman"/>
        <family val="1"/>
      </rPr>
      <t>c</t>
    </r>
  </si>
  <si>
    <t>c  This cost is based on the following hourly labor rates: $65.71 for Managerial (GS-13, Step 5, $41.07 + 60%), $48.75 for Technical (GS-12, Step 1, $30.47 + 60%) and $26.38 Clerical (GS-6, Step 3, $16.49 + 60%).  These rates are from the Office of Personnel Management (OPM) “2018 General Schedule” which excludes locality rates of pay. These rates have been increased by 60 percent to account for the benefit packages available to government employees.</t>
  </si>
  <si>
    <r>
      <t xml:space="preserve">1. Familiarization with Regulatory Requirements </t>
    </r>
    <r>
      <rPr>
        <vertAlign val="superscript"/>
        <sz val="10"/>
        <rFont val="Times New Roman"/>
        <family val="1"/>
      </rPr>
      <t>d</t>
    </r>
  </si>
  <si>
    <r>
      <t xml:space="preserve">  B. Observe surface methane monitoring quarterly </t>
    </r>
    <r>
      <rPr>
        <vertAlign val="superscript"/>
        <sz val="10"/>
        <rFont val="Times New Roman"/>
        <family val="1"/>
      </rPr>
      <t>f</t>
    </r>
  </si>
  <si>
    <r>
      <t xml:space="preserve">2. Enter and update information into agency recordkeeping system </t>
    </r>
    <r>
      <rPr>
        <vertAlign val="superscript"/>
        <sz val="10"/>
        <rFont val="Times New Roman"/>
        <family val="1"/>
      </rPr>
      <t>e</t>
    </r>
  </si>
  <si>
    <t>b  This ICR assumes that 67% of the 459 landfills (459*0.67 = 307.53 MSW landfills) are subject to State plans, and that 34 State and local agencies will be enforcing State plans. Thus, each agency is expected to review reports for an average of 9 landfills (307.53 / 34 = 9.045, rounded to 9).</t>
  </si>
  <si>
    <t>Capital/Startup vs. Operation and Maintenance (O&amp;M) Costs</t>
  </si>
  <si>
    <t>Continuous Monitoring Device</t>
  </si>
  <si>
    <t xml:space="preserve">Number of New Respondents </t>
  </si>
  <si>
    <t>Total O&amp;M,
(E X F)</t>
  </si>
  <si>
    <t>(B1)</t>
  </si>
  <si>
    <t>Capital/ Startup Cost for One Respondent</t>
  </si>
  <si>
    <t>(B2)</t>
  </si>
  <si>
    <t>Annualized Capital/ Startup Cost for One Respondent</t>
  </si>
  <si>
    <t>Total Capital/ Startup Cost, (B X C)</t>
  </si>
  <si>
    <r>
      <t xml:space="preserve">Number of Respondents with O&amp;M </t>
    </r>
    <r>
      <rPr>
        <vertAlign val="superscript"/>
        <sz val="10"/>
        <color theme="1"/>
        <rFont val="Times New Roman"/>
        <family val="1"/>
      </rPr>
      <t>1</t>
    </r>
  </si>
  <si>
    <t>Method 25, 25A or 25C testing costs for initial performance test</t>
  </si>
  <si>
    <t>Sampling probe and Method 25, 25A or 25C testing costs for Tier 2 test</t>
  </si>
  <si>
    <t>Method 21 Surface Emission Monitor</t>
  </si>
  <si>
    <t>Portable Wellhead Monitor</t>
  </si>
  <si>
    <t>Flow Meter</t>
  </si>
  <si>
    <r>
      <t>1</t>
    </r>
    <r>
      <rPr>
        <sz val="10"/>
        <color theme="1"/>
        <rFont val="Times New Roman"/>
        <family val="1"/>
      </rPr>
      <t xml:space="preserve"> The Capital/Startup and O&amp;M costs per line item are shown here as examples but the number or respondents were not quantified here since the number of respondents incurring these costs are accounted for in the 2016 ICRs for 40 CFR Part 60 Subpart XXX (ICR 2498.03, OMB 2060-0697) and 40 CFR Part 60 Subpart Cf (ICR 2522.02, OMB 2060-0720).</t>
    </r>
  </si>
  <si>
    <r>
      <t xml:space="preserve">Total Annual Responses </t>
    </r>
    <r>
      <rPr>
        <b/>
        <vertAlign val="superscript"/>
        <sz val="12"/>
        <color rgb="FF000000"/>
        <rFont val="Times New Roman"/>
        <family val="1"/>
      </rPr>
      <t>1</t>
    </r>
  </si>
  <si>
    <t xml:space="preserve">Number of Respondents  </t>
  </si>
  <si>
    <t>Total Responses for Private Landfills (rounded)</t>
  </si>
  <si>
    <t>Total Responses for Public Landfills (rounded)</t>
  </si>
  <si>
    <t>State/Local Agencies</t>
  </si>
  <si>
    <t>Total Responses for State/Local Agencies (rounded)</t>
  </si>
  <si>
    <t>Total Responses (rounded)</t>
  </si>
  <si>
    <t>Table 1a: Annual Respondent Burden and Cost for Privately-Owned Municipal Solid Waste Landfills - Emission Guidelines and Compliance Times for Existing Municipal Solid Waste Landfills (40 CFR Part 60, Subpart Cc and 40 CFR Part 62, Subpart GGG) (Renewal)</t>
  </si>
  <si>
    <t>Table 1b: Annual Respondent Burden and Cost for Publicly-Owned Municipal Solid Waste Landfills - Emission Guidelines and Compliance Times for Existing Municipal Solid Waste Landfills (40 CFR Part 60, Subpart Cc and 40 CFR Part 62, Subpart GGG) (Renewal)</t>
  </si>
  <si>
    <t>Initial design capacity report</t>
  </si>
  <si>
    <t>N/A</t>
  </si>
  <si>
    <t>Report of NMOC rate (Tier 1)</t>
  </si>
  <si>
    <t>Report of NMOC rate (Tier 2)</t>
  </si>
  <si>
    <t>Landfill Closure Report</t>
  </si>
  <si>
    <t>Equipment Removal Report</t>
  </si>
  <si>
    <t>Collection and Control System Design Plan</t>
  </si>
  <si>
    <t>Initial Performance Test Report</t>
  </si>
  <si>
    <t>Revised design plan</t>
  </si>
  <si>
    <t>Annual Report</t>
  </si>
  <si>
    <t>Total Annual  Responses 
E=(BxC)+(CxD)</t>
  </si>
  <si>
    <r>
      <t>1</t>
    </r>
    <r>
      <rPr>
        <sz val="12"/>
        <color rgb="FF000000"/>
        <rFont val="Times New Roman"/>
        <family val="1"/>
      </rPr>
      <t xml:space="preserve"> </t>
    </r>
    <r>
      <rPr>
        <sz val="10"/>
        <color rgb="FF000000"/>
        <rFont val="Times New Roman"/>
        <family val="1"/>
      </rPr>
      <t>This ICR assumes that the number of State/local agency respondents will remain constant during the three-year period of this ICR.</t>
    </r>
  </si>
  <si>
    <t>Labor Hours</t>
  </si>
  <si>
    <t>Affected Sector</t>
  </si>
  <si>
    <t>Number of Respondents per Year (Average)</t>
  </si>
  <si>
    <t>Number of Responses Per Year (Average)</t>
  </si>
  <si>
    <t>Reporting</t>
  </si>
  <si>
    <t>Recordkeeping</t>
  </si>
  <si>
    <t>Total</t>
  </si>
  <si>
    <t>Labor Cost</t>
  </si>
  <si>
    <t>Capital and O&amp;M Cost</t>
  </si>
  <si>
    <t>Total Costs</t>
  </si>
  <si>
    <t>Table 1c: Annual Respondent Burden and Cost Breakdown by Affected Sector - Emission Guidelines and Compliance Times for Existing Municipal Solid Waste Landfills (40 CFR Part 60, Subpart Cc and 40 CFR Part 62, Subpart GGG) (Renewal)</t>
  </si>
  <si>
    <t>Private Sector Only</t>
  </si>
  <si>
    <t>Public Sector Only</t>
  </si>
  <si>
    <r>
      <t xml:space="preserve">  F. Review Revised Collection and Control System Design Plan</t>
    </r>
    <r>
      <rPr>
        <vertAlign val="superscript"/>
        <sz val="10"/>
        <rFont val="Times New Roman"/>
        <family val="1"/>
      </rPr>
      <t xml:space="preserve"> h</t>
    </r>
  </si>
  <si>
    <t>i  This ICR assumes 3 percent of landfills will submit a landfill closure report per year.</t>
  </si>
  <si>
    <r>
      <t xml:space="preserve">  A. Observe initial performance test </t>
    </r>
    <r>
      <rPr>
        <vertAlign val="superscript"/>
        <sz val="10"/>
        <rFont val="Times New Roman"/>
        <family val="1"/>
      </rPr>
      <t>h</t>
    </r>
  </si>
  <si>
    <r>
      <t xml:space="preserve">  E. Review notification of performance test </t>
    </r>
    <r>
      <rPr>
        <vertAlign val="superscript"/>
        <sz val="10"/>
        <rFont val="Times New Roman"/>
        <family val="1"/>
      </rPr>
      <t>h</t>
    </r>
  </si>
  <si>
    <r>
      <t xml:space="preserve">  C. Review operating parameters </t>
    </r>
    <r>
      <rPr>
        <vertAlign val="superscript"/>
        <sz val="10"/>
        <rFont val="Times New Roman"/>
        <family val="1"/>
      </rPr>
      <t>h</t>
    </r>
  </si>
  <si>
    <r>
      <t xml:space="preserve">  D. Review continuous parameter monitoring </t>
    </r>
    <r>
      <rPr>
        <vertAlign val="superscript"/>
        <sz val="10"/>
        <rFont val="Times New Roman"/>
        <family val="1"/>
      </rPr>
      <t>h</t>
    </r>
  </si>
  <si>
    <r>
      <t xml:space="preserve">  D. Review equipment removal report </t>
    </r>
    <r>
      <rPr>
        <vertAlign val="superscript"/>
        <sz val="10"/>
        <rFont val="Times New Roman"/>
        <family val="1"/>
      </rPr>
      <t>h</t>
    </r>
  </si>
  <si>
    <t>k   The source for hotel and meals/incidental costs is based on FY '18 per diem rates, averaged across all locations in the United States. Airfares are estimated based on experience from other rulemakings. See: http://www.gsa.gov/portal/category/100120</t>
  </si>
  <si>
    <t>l   Totals have been rounded to 3 significant figures. Figures may not add exactly due to rounding.</t>
  </si>
  <si>
    <r>
      <t xml:space="preserve">  H. Review Annual Report </t>
    </r>
    <r>
      <rPr>
        <vertAlign val="superscript"/>
        <sz val="10"/>
        <rFont val="Times New Roman"/>
        <family val="1"/>
      </rPr>
      <t>j</t>
    </r>
  </si>
  <si>
    <t>f  Number of occurrences for observing surface emissions and related travel costs is estimated to be 20 percent of the landfills in each state. 9 landfills * 0.2 = 1.8.  Number of occurrences for enforcement is based on the assumption that of the landfills that control emissions, 10% of them will have exceedances and need enforcement, 9 landfills *0.1 = 0.9.</t>
  </si>
  <si>
    <r>
      <t xml:space="preserve">TOTAL (rounded) </t>
    </r>
    <r>
      <rPr>
        <b/>
        <vertAlign val="superscript"/>
        <sz val="10"/>
        <rFont val="Times New Roman"/>
        <family val="1"/>
      </rPr>
      <t>l</t>
    </r>
  </si>
  <si>
    <r>
      <t>1</t>
    </r>
    <r>
      <rPr>
        <sz val="12"/>
        <rFont val="Times New Roman"/>
        <family val="1"/>
      </rPr>
      <t xml:space="preserve"> </t>
    </r>
    <r>
      <rPr>
        <sz val="10"/>
        <rFont val="Times New Roman"/>
        <family val="1"/>
      </rPr>
      <t xml:space="preserve">There are no new respondents under 40 CFR Part 60 Subpart Cc and 40 CFR Part 62 Subpart GGG. If a landfill subject to Subparts Cc/GGG were to modify, it would become subject to 40 CFR Part 60 Subpart XXX.  </t>
    </r>
  </si>
  <si>
    <r>
      <t>1</t>
    </r>
    <r>
      <rPr>
        <sz val="10"/>
        <rFont val="Times New Roman"/>
        <family val="1"/>
      </rPr>
      <t xml:space="preserve"> The responses for individual notifications and reports on affected landfills were not quantified here since those items are accounted for in the responses table for 2016 ICRs for 40 CFR Part 60 Subpart XXX (ICR 2498.03, OMB 2060-0697) and 40 CFR Part 60 Subpart Cf (ICR 2522.02, OMB 2060-0720). Instead, we captured the number of responses in this ICR as the number of total respondents that keep records but do not submit reports</t>
    </r>
    <r>
      <rPr>
        <sz val="12"/>
        <rFont val="Times New Roman"/>
        <family val="1"/>
      </rPr>
      <t xml:space="preserve">. </t>
    </r>
  </si>
  <si>
    <t xml:space="preserve">a  EPA estimates that 459 MSW landfills are subject to the requirements of Subparts Cc and GGG. EPA assumes that 67 percent of sources (308) are subject to State plans and that 33 percent of sources (151) are covered by the Federal Plan (Subpart GGG), for which EPA is the enforcing agency. EPA data indicates that 34 State and local agencies enforce the State plans. </t>
  </si>
  <si>
    <t>e   Number of occurrences is based on the total number of landfills that are subject to the standard.</t>
  </si>
  <si>
    <r>
      <t xml:space="preserve">  B. Review annual NMOC emission rate report </t>
    </r>
    <r>
      <rPr>
        <vertAlign val="superscript"/>
        <sz val="10"/>
        <rFont val="Times New Roman"/>
        <family val="1"/>
      </rPr>
      <t>h</t>
    </r>
  </si>
  <si>
    <r>
      <t xml:space="preserve">  C. Review landfill closure report </t>
    </r>
    <r>
      <rPr>
        <vertAlign val="superscript"/>
        <sz val="10"/>
        <rFont val="Times New Roman"/>
        <family val="1"/>
      </rPr>
      <t>i</t>
    </r>
  </si>
  <si>
    <r>
      <t xml:space="preserve">  E. Review Collection and Control System Design Plan </t>
    </r>
    <r>
      <rPr>
        <vertAlign val="superscript"/>
        <sz val="10"/>
        <rFont val="Times New Roman"/>
        <family val="1"/>
      </rPr>
      <t>h</t>
    </r>
  </si>
  <si>
    <r>
      <t xml:space="preserve">  G. Review Initial Performance Test </t>
    </r>
    <r>
      <rPr>
        <vertAlign val="superscript"/>
        <sz val="10"/>
        <rFont val="Times New Roman"/>
        <family val="1"/>
      </rPr>
      <t>h</t>
    </r>
  </si>
  <si>
    <r>
      <t xml:space="preserve">7. Travel Expenses for Tests Attended </t>
    </r>
    <r>
      <rPr>
        <vertAlign val="superscript"/>
        <sz val="10"/>
        <rFont val="Times New Roman"/>
        <family val="1"/>
      </rPr>
      <t>f, k</t>
    </r>
    <r>
      <rPr>
        <sz val="10"/>
        <rFont val="Times New Roman"/>
        <family val="1"/>
      </rPr>
      <t xml:space="preserve">
3 days * ($134 hotel + $63 meals/incidentals) + ($600 round trip) = $1191 per trip</t>
    </r>
  </si>
  <si>
    <t>Table 1d: Average Annual State/Local Agency Burden and Cost – Emission Guidelines and Compliance Times for Existing Municipal Solid Waste Landfills (40 CFR Part 60, Subpart Cc and 40 CFR Part 62, Subpart GGG) (Renewal)</t>
  </si>
  <si>
    <t>Number of Respondents – Privately-Owned and Publicly-Owned Landfills</t>
  </si>
  <si>
    <t>Privately-Owned Landfills</t>
  </si>
  <si>
    <t>Publicly-Owned Landfills</t>
  </si>
  <si>
    <t>Number of Respondents - State and Local Agencies</t>
  </si>
  <si>
    <t xml:space="preserve">c  We have assumed that it will take five hours for each respondent to read instructions as part of their reporting requirements. There are a total of 1,147 existing MSW landfills estimated have a design capacity of 2.5 million Mg or more and expected to review the rule requirements. Of these it is estimated that 60 percent (661) of the respondents are subject to Subpart WWW and 40 percent (459) of the respondents are subject to a state or federal plan implementing Subpart Cc. Based on the regulatory database, 38% of the respondents (174) are private and 62% of the respondents (285) are public.  There are no new respondents anticipated under this rule. </t>
  </si>
  <si>
    <t>f  For surface monitoring: The average acreage of controlled sites is estimated to be 174 acres (44 labor hours @ 0.25 hours per acre). We assumed weekly equipment rental costs at $350/week, and one week per occurrence. In addition, the landfill will need to purchase calibration gases and hydrogen fuel to operate the surface monitoring equipment. 36% of which are public and 64% of which are private.  For wellhead monitoring: The estimated burden was based on industry consultation of $2,000 per month during the most recent ICR renewal for Subpart WWW (ICR# 1557.09), or approximately 40 hours of technician labor time. The burden provided did not breakdown labor vs. non-labor costs, therefore we have not incorporated equipment rental costs in this estimate. We did however include costs for calibration gases for the wellhead equipment. Cost of re-monitoring for exceedances of surface monitoring or wellhead monitoring are not included because the rule does not require re-monitoring unless an exceedance is found. Landfills can minimize the number of exceedances found by ensuring the GCCS is well-operated and the surface is well sealed.</t>
  </si>
  <si>
    <t>g  No respondents are estimated here because the landfills have already submitted initial design capacity reports. Amended design capacity reports would be submitted as landfills were modified with additional capacity and would become subject to Subpart XXX.</t>
  </si>
  <si>
    <t>g  No respondents are estimated here because the landfills have already submitted initial design capacity reports. Amended design capacity reports would be submitted as landfills were modified with additional capacity and would become subject to subpart XXX.</t>
  </si>
  <si>
    <t xml:space="preserve">d   This ICR estimates that staff from each State or Local Agency will familiarize themselves with the requirements of Subparts Cc and GGG each year, to account for staff transitions. </t>
  </si>
  <si>
    <t>f   No respondents are estimated here because the landfills have already submitted initial design capacity reports under Subpart Cc. Amended design capacity reports would be submitted as landfills were modified with additional capacity and would become subject to Subpart XXX.</t>
  </si>
  <si>
    <r>
      <t xml:space="preserve">Total </t>
    </r>
    <r>
      <rPr>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</si>
  <si>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Totals have been rounded to 3 significant figures. Figures may not add exactly due to rounding.</t>
    </r>
  </si>
  <si>
    <t>g  No respondents are estimated here because the landfills have already submitted initial design capacity reports under Subpart Cc. Amended design capacity reports would be submitted as landfills were modified with additional capacity and would become subject to Subpart XXX.</t>
  </si>
  <si>
    <t>h  This ICR assumes that all landfills affected by a State plan have already exceeded the 50 Mg/yr NMOC emission threshold and are no longer submitting annual NMOC emission rate reports. It also assumes that all landfills subject to the state plan have already submitted the design plan, and no revisions to design plan occur. Further, all landfills have conducted their initial performance test and the operating parameters have already been reviewed in prior years. Since no landfills are conducting testing, no excess emissions enforcement activities are estimated to occur. No equipment removal reports were submitted during this period.</t>
  </si>
  <si>
    <t xml:space="preserve">j  Each state will review the reports of landfills in its state each year. </t>
  </si>
  <si>
    <t xml:space="preserve">c  This ICR estimates that staff from each of EPA's 10 regions will familiarize themselves with the requirements of Subpart Cc and GGG each year, to account for staff transitions. </t>
  </si>
  <si>
    <t xml:space="preserve">d  Number of occurrences is based on the total number of landfills that are subject to the standard. This line item is accounted for under ICRs for 40 Part 60 Subpart XXX (ICR 2498.03, OMB 2060-0697) and 40 CFR Part 60 Subpart Cf (ICR 2522.02, OMB 2060-0720). </t>
  </si>
  <si>
    <t>Number of Respondents</t>
  </si>
  <si>
    <t>Reporting Hours</t>
  </si>
  <si>
    <t>Recordkeeping Hours</t>
  </si>
  <si>
    <t>Total Hours</t>
  </si>
  <si>
    <t>Hours per Response</t>
  </si>
  <si>
    <t>Hours Per Respondent</t>
  </si>
  <si>
    <t>-</t>
  </si>
  <si>
    <t>Respondent</t>
  </si>
  <si>
    <t>Private</t>
  </si>
  <si>
    <t>Public</t>
  </si>
  <si>
    <t>State &amp; Local Agency</t>
  </si>
  <si>
    <t>Respondents, Responses, and Hours</t>
  </si>
  <si>
    <t>QA hr/response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</si>
</sst>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0000"/>
    <numFmt numFmtId="165" formatCode="&quot;$&quot;#,##0"/>
    <numFmt numFmtId="166" formatCode="&quot;$&quot;#,##0.00"/>
    <numFmt numFmtId="167" formatCode="General_)"/>
    <numFmt numFmtId="168" formatCode="#,##0.0"/>
  </numFmts>
  <fonts count="46" x14ac:knownFonts="1">
    <font>
      <sz val="11"/>
      <color theme="1"/>
      <name val="Calibri"/>
      <family val="2"/>
      <scheme val="minor"/>
    </font>
    <font>
      <sz val="8"/>
      <name val="Arial"/>
      <family val="2"/>
    </font>
    <font>
      <sz val="10"/>
      <name val="Arial"/>
      <family val="2"/>
    </font>
    <font>
      <sz val="10"/>
      <name val="MS Sans Serif"/>
      <family val="2"/>
    </font>
    <font>
      <sz val="11"/>
      <color theme="1"/>
      <name val="Arial"/>
      <family val="2"/>
    </font>
    <font>
      <u/>
      <sz val="11"/>
      <color theme="10"/>
      <name val="Calibri"/>
      <family val="2"/>
    </font>
    <font>
      <b/>
      <sz val="9"/>
      <color indexed="81"/>
      <name val="Tahoma"/>
      <family val="2"/>
    </font>
    <font>
      <sz val="9"/>
      <color indexed="81"/>
      <name val="Tahoma"/>
      <family val="2"/>
    </font>
    <font>
      <b/>
      <sz val="10"/>
      <name val="Arial"/>
      <family val="2"/>
    </font>
    <font>
      <b/>
      <sz val="10"/>
      <color indexed="8"/>
      <name val="Arial"/>
      <family val="2"/>
    </font>
    <font>
      <sz val="11"/>
      <color theme="1"/>
      <name val="Calibri"/>
      <family val="2"/>
      <scheme val="minor"/>
    </font>
    <font>
      <sz val="8"/>
      <name val="Helv"/>
    </font>
    <font>
      <sz val="11"/>
      <color rgb="FF000000"/>
      <name val="Calibri"/>
      <family val="2"/>
      <scheme val="minor"/>
    </font>
    <font>
      <sz val="10"/>
      <name val="Arial"/>
      <family val="2"/>
    </font>
    <font>
      <b/>
      <sz val="11"/>
      <color theme="1"/>
      <name val="Calibri"/>
      <family val="2"/>
      <scheme val="minor"/>
    </font>
    <font>
      <b/>
      <sz val="11"/>
      <color rgb="FF000000"/>
      <name val="Times New Roman"/>
      <family val="1"/>
    </font>
    <font>
      <sz val="11"/>
      <color rgb="FF000000"/>
      <name val="Times New Roman"/>
      <family val="1"/>
    </font>
    <font>
      <sz val="11"/>
      <color rgb="FF00B050"/>
      <name val="Calibri"/>
      <family val="2"/>
      <scheme val="minor"/>
    </font>
    <font>
      <sz val="10"/>
      <color theme="1"/>
      <name val="Times New Roman"/>
      <family val="1"/>
    </font>
    <font>
      <b/>
      <sz val="10"/>
      <color theme="1"/>
      <name val="Times New Roman"/>
      <family val="1"/>
    </font>
    <font>
      <sz val="10"/>
      <color rgb="FF000000"/>
      <name val="Times New Roman"/>
      <family val="1"/>
    </font>
    <font>
      <b/>
      <sz val="12"/>
      <color theme="1"/>
      <name val="Times New Roman"/>
      <family val="1"/>
    </font>
    <font>
      <strike/>
      <sz val="10"/>
      <color rgb="FFFF0000"/>
      <name val="Times New Roman"/>
      <family val="1"/>
    </font>
    <font>
      <u/>
      <sz val="10"/>
      <color rgb="FF008080"/>
      <name val="Times New Roman"/>
      <family val="1"/>
    </font>
    <font>
      <vertAlign val="superscript"/>
      <sz val="10"/>
      <color theme="1"/>
      <name val="Times New Roman"/>
      <family val="1"/>
    </font>
    <font>
      <b/>
      <vertAlign val="superscript"/>
      <sz val="10"/>
      <color theme="1"/>
      <name val="Times New Roman"/>
      <family val="1"/>
    </font>
    <font>
      <b/>
      <sz val="10"/>
      <color rgb="FF000000"/>
      <name val="Times New Roman"/>
      <family val="1"/>
    </font>
    <font>
      <sz val="10"/>
      <name val="Times New Roman"/>
      <family val="1"/>
    </font>
    <font>
      <vertAlign val="superscript"/>
      <sz val="10"/>
      <name val="Times New Roman"/>
      <family val="1"/>
    </font>
    <font>
      <b/>
      <i/>
      <sz val="10"/>
      <name val="Times New Roman"/>
      <family val="1"/>
    </font>
    <font>
      <b/>
      <sz val="10"/>
      <name val="Times New Roman"/>
      <family val="1"/>
    </font>
    <font>
      <b/>
      <sz val="10"/>
      <color rgb="FFFF0000"/>
      <name val="Times New Roman"/>
      <family val="1"/>
    </font>
    <font>
      <b/>
      <vertAlign val="superscript"/>
      <sz val="10"/>
      <name val="Times New Roman"/>
      <family val="1"/>
    </font>
    <font>
      <vertAlign val="superscript"/>
      <sz val="12"/>
      <color rgb="FF000000"/>
      <name val="Times New Roman"/>
      <family val="1"/>
    </font>
    <font>
      <b/>
      <sz val="12"/>
      <color rgb="FF000000"/>
      <name val="Times New Roman"/>
      <family val="1"/>
    </font>
    <font>
      <vertAlign val="superscript"/>
      <sz val="10"/>
      <color rgb="FF000000"/>
      <name val="Times New Roman"/>
      <family val="1"/>
    </font>
    <font>
      <sz val="12"/>
      <color rgb="FF000000"/>
      <name val="Times New Roman"/>
      <family val="1"/>
    </font>
    <font>
      <b/>
      <sz val="9"/>
      <color rgb="FF000000"/>
      <name val="Times New Roman"/>
      <family val="1"/>
    </font>
    <font>
      <sz val="9"/>
      <color rgb="FF000000"/>
      <name val="Times New Roman"/>
      <family val="1"/>
    </font>
    <font>
      <sz val="12"/>
      <color theme="1"/>
      <name val="Times New Roman"/>
      <family val="1"/>
    </font>
    <font>
      <b/>
      <vertAlign val="superscript"/>
      <sz val="12"/>
      <color rgb="FF000000"/>
      <name val="Times New Roman"/>
      <family val="1"/>
    </font>
    <font>
      <b/>
      <sz val="9"/>
      <color theme="1"/>
      <name val="Times New Roman"/>
      <family val="1"/>
    </font>
    <font>
      <sz val="9"/>
      <color theme="1"/>
      <name val="Times New Roman"/>
      <family val="1"/>
    </font>
    <font>
      <vertAlign val="superscript"/>
      <sz val="12"/>
      <name val="Times New Roman"/>
      <family val="1"/>
    </font>
    <font>
      <sz val="12"/>
      <name val="Times New Roman"/>
      <family val="1"/>
    </font>
    <font>
      <b/>
      <sz val="12"/>
      <name val="Times New Roman"/>
      <family val="1"/>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theme="4"/>
        <bgColor indexed="64"/>
      </patternFill>
    </fill>
    <fill>
      <patternFill patternType="solid">
        <fgColor theme="0"/>
        <bgColor indexed="64"/>
      </patternFill>
    </fill>
    <fill>
      <patternFill patternType="solid">
        <fgColor theme="6"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s>
  <cellStyleXfs count="20">
    <xf numFmtId="0" fontId="0" fillId="0" borderId="0"/>
    <xf numFmtId="43" fontId="1" fillId="0" borderId="0" applyFont="0" applyFill="0" applyBorder="0" applyAlignment="0" applyProtection="0"/>
    <xf numFmtId="0" fontId="2" fillId="0" borderId="0" applyNumberFormat="0" applyFont="0" applyFill="0" applyBorder="0" applyAlignment="0" applyProtection="0"/>
    <xf numFmtId="0" fontId="1" fillId="0" borderId="0"/>
    <xf numFmtId="0" fontId="3" fillId="0" borderId="0"/>
    <xf numFmtId="0" fontId="4" fillId="0" borderId="0"/>
    <xf numFmtId="0" fontId="5" fillId="0" borderId="0" applyNumberFormat="0" applyFill="0" applyBorder="0" applyAlignment="0" applyProtection="0">
      <alignment vertical="top"/>
      <protection locked="0"/>
    </xf>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10" fillId="0" borderId="0"/>
    <xf numFmtId="167" fontId="11" fillId="0" borderId="0"/>
    <xf numFmtId="9" fontId="2" fillId="0" borderId="0" applyFont="0" applyFill="0" applyBorder="0" applyAlignment="0" applyProtection="0"/>
    <xf numFmtId="0" fontId="13" fillId="0" borderId="0"/>
    <xf numFmtId="0" fontId="2" fillId="0" borderId="0"/>
    <xf numFmtId="44" fontId="10" fillId="0" borderId="0" applyFont="0" applyFill="0" applyBorder="0" applyAlignment="0" applyProtection="0"/>
  </cellStyleXfs>
  <cellXfs count="230">
    <xf numFmtId="0" fontId="0" fillId="0" borderId="0" xfId="0"/>
    <xf numFmtId="0" fontId="0" fillId="0" borderId="0" xfId="0" applyAlignment="1">
      <alignment wrapText="1"/>
    </xf>
    <xf numFmtId="0" fontId="5" fillId="0" borderId="0" xfId="6" applyAlignment="1" applyProtection="1"/>
    <xf numFmtId="0" fontId="0" fillId="3" borderId="0" xfId="0" applyFill="1"/>
    <xf numFmtId="0" fontId="0" fillId="3" borderId="0" xfId="0" applyFill="1" applyAlignment="1">
      <alignment wrapText="1"/>
    </xf>
    <xf numFmtId="0" fontId="0" fillId="0" borderId="1" xfId="0" applyBorder="1"/>
    <xf numFmtId="3" fontId="0" fillId="0" borderId="1" xfId="0" applyNumberFormat="1" applyBorder="1"/>
    <xf numFmtId="0" fontId="0" fillId="0" borderId="1" xfId="0" applyBorder="1" applyAlignment="1">
      <alignment wrapText="1"/>
    </xf>
    <xf numFmtId="0" fontId="0" fillId="2" borderId="0" xfId="0" applyFill="1" applyBorder="1"/>
    <xf numFmtId="0" fontId="0" fillId="0" borderId="0" xfId="0" applyBorder="1" applyAlignment="1">
      <alignment wrapText="1"/>
    </xf>
    <xf numFmtId="0" fontId="0" fillId="0" borderId="0" xfId="0" applyBorder="1"/>
    <xf numFmtId="0" fontId="0" fillId="0" borderId="4" xfId="0" applyFill="1" applyBorder="1" applyAlignment="1">
      <alignment wrapText="1"/>
    </xf>
    <xf numFmtId="0" fontId="0" fillId="0" borderId="0" xfId="0" applyFill="1" applyBorder="1"/>
    <xf numFmtId="0" fontId="0" fillId="4" borderId="1" xfId="0" applyFill="1" applyBorder="1"/>
    <xf numFmtId="0" fontId="8" fillId="0" borderId="0" xfId="7" applyFont="1"/>
    <xf numFmtId="164" fontId="9" fillId="0" borderId="1" xfId="7" quotePrefix="1" applyNumberFormat="1" applyFont="1" applyFill="1" applyBorder="1" applyAlignment="1" applyProtection="1">
      <alignment vertical="top" wrapText="1"/>
    </xf>
    <xf numFmtId="0" fontId="0" fillId="0" borderId="1" xfId="0" applyFill="1" applyBorder="1"/>
    <xf numFmtId="0" fontId="0" fillId="5" borderId="0" xfId="0" applyFill="1"/>
    <xf numFmtId="0" fontId="0" fillId="0" borderId="0" xfId="0" applyFill="1"/>
    <xf numFmtId="0" fontId="0" fillId="6" borderId="1" xfId="0" applyFill="1" applyBorder="1"/>
    <xf numFmtId="0" fontId="15" fillId="7" borderId="1" xfId="0" applyFont="1" applyFill="1" applyBorder="1" applyAlignment="1">
      <alignment horizontal="center" wrapText="1"/>
    </xf>
    <xf numFmtId="0" fontId="0" fillId="7" borderId="1" xfId="0" applyFill="1" applyBorder="1" applyAlignment="1">
      <alignment wrapText="1"/>
    </xf>
    <xf numFmtId="0" fontId="0" fillId="7" borderId="1" xfId="0" applyFill="1" applyBorder="1"/>
    <xf numFmtId="0" fontId="12" fillId="0" borderId="1" xfId="0" applyFont="1" applyBorder="1"/>
    <xf numFmtId="0" fontId="16" fillId="0" borderId="1" xfId="0" applyFont="1" applyBorder="1" applyAlignment="1">
      <alignment horizontal="center" vertical="top" wrapText="1"/>
    </xf>
    <xf numFmtId="8" fontId="0" fillId="0" borderId="1" xfId="0" applyNumberFormat="1" applyBorder="1"/>
    <xf numFmtId="0" fontId="0" fillId="8" borderId="1" xfId="0" applyFill="1" applyBorder="1"/>
    <xf numFmtId="8" fontId="0" fillId="2" borderId="0" xfId="0" applyNumberFormat="1" applyFill="1"/>
    <xf numFmtId="0" fontId="17" fillId="0" borderId="4" xfId="0" applyFont="1" applyFill="1" applyBorder="1" applyAlignment="1">
      <alignment wrapText="1"/>
    </xf>
    <xf numFmtId="0" fontId="17" fillId="0" borderId="0" xfId="0" applyFont="1" applyFill="1" applyBorder="1" applyAlignment="1">
      <alignment wrapText="1"/>
    </xf>
    <xf numFmtId="0" fontId="0" fillId="0" borderId="1" xfId="0" quotePrefix="1" applyBorder="1"/>
    <xf numFmtId="0" fontId="14" fillId="5" borderId="1" xfId="0" applyFont="1" applyFill="1" applyBorder="1" applyAlignment="1">
      <alignment wrapText="1"/>
    </xf>
    <xf numFmtId="0" fontId="0" fillId="4" borderId="5" xfId="0" applyFill="1" applyBorder="1"/>
    <xf numFmtId="0" fontId="17" fillId="0" borderId="1" xfId="0" applyFont="1" applyFill="1" applyBorder="1" applyAlignment="1">
      <alignment wrapText="1"/>
    </xf>
    <xf numFmtId="6" fontId="18" fillId="0" borderId="1" xfId="0" applyNumberFormat="1" applyFont="1" applyBorder="1" applyAlignment="1">
      <alignment vertical="center" wrapText="1"/>
    </xf>
    <xf numFmtId="0" fontId="0" fillId="9" borderId="1" xfId="0" applyFill="1" applyBorder="1"/>
    <xf numFmtId="0" fontId="0" fillId="9" borderId="0" xfId="0" applyFill="1"/>
    <xf numFmtId="8"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27" fillId="0" borderId="1" xfId="8" applyFont="1" applyFill="1" applyBorder="1" applyAlignment="1">
      <alignment horizontal="center" wrapText="1"/>
    </xf>
    <xf numFmtId="0" fontId="27" fillId="0" borderId="1" xfId="8" applyFont="1" applyFill="1" applyBorder="1"/>
    <xf numFmtId="0" fontId="27" fillId="0" borderId="1" xfId="8" applyFont="1" applyFill="1" applyBorder="1" applyAlignment="1">
      <alignment wrapText="1"/>
    </xf>
    <xf numFmtId="0" fontId="27" fillId="0" borderId="1" xfId="8" applyFont="1" applyFill="1" applyBorder="1" applyAlignment="1">
      <alignment horizontal="left" wrapText="1" indent="4"/>
    </xf>
    <xf numFmtId="0" fontId="27" fillId="0" borderId="1" xfId="8" applyFont="1" applyFill="1" applyBorder="1" applyAlignment="1">
      <alignment horizontal="left" indent="4"/>
    </xf>
    <xf numFmtId="0" fontId="29" fillId="0" borderId="1" xfId="8" applyFont="1" applyFill="1" applyBorder="1" applyAlignment="1">
      <alignment horizontal="left" indent="1"/>
    </xf>
    <xf numFmtId="0" fontId="19" fillId="0" borderId="1" xfId="0" applyFont="1" applyFill="1" applyBorder="1" applyAlignment="1">
      <alignment wrapText="1"/>
    </xf>
    <xf numFmtId="0" fontId="27" fillId="0" borderId="0" xfId="8" applyFont="1" applyFill="1"/>
    <xf numFmtId="0" fontId="27" fillId="0" borderId="0" xfId="8" applyFont="1" applyFill="1" applyAlignment="1">
      <alignment wrapText="1"/>
    </xf>
    <xf numFmtId="0" fontId="27" fillId="0" borderId="1" xfId="8" applyFont="1" applyFill="1" applyBorder="1" applyAlignment="1">
      <alignment horizontal="center"/>
    </xf>
    <xf numFmtId="3" fontId="27" fillId="0" borderId="1" xfId="8" applyNumberFormat="1" applyFont="1" applyFill="1" applyBorder="1" applyAlignment="1">
      <alignment horizontal="center"/>
    </xf>
    <xf numFmtId="165" fontId="27" fillId="0" borderId="1" xfId="8" applyNumberFormat="1" applyFont="1" applyFill="1" applyBorder="1" applyAlignment="1">
      <alignment horizontal="center"/>
    </xf>
    <xf numFmtId="3" fontId="27" fillId="0" borderId="1" xfId="9" applyNumberFormat="1" applyFont="1" applyFill="1" applyBorder="1" applyAlignment="1">
      <alignment horizontal="center"/>
    </xf>
    <xf numFmtId="166" fontId="27" fillId="0" borderId="1" xfId="8" applyNumberFormat="1" applyFont="1" applyFill="1" applyBorder="1" applyAlignment="1">
      <alignment horizontal="center"/>
    </xf>
    <xf numFmtId="1" fontId="27" fillId="0" borderId="1" xfId="8" applyNumberFormat="1" applyFont="1" applyFill="1" applyBorder="1" applyAlignment="1">
      <alignment horizontal="center"/>
    </xf>
    <xf numFmtId="166" fontId="27" fillId="0" borderId="0" xfId="8" applyNumberFormat="1" applyFont="1" applyFill="1"/>
    <xf numFmtId="0" fontId="27" fillId="0" borderId="0" xfId="8" applyFont="1" applyFill="1" applyAlignment="1">
      <alignment horizontal="right"/>
    </xf>
    <xf numFmtId="165" fontId="27" fillId="0" borderId="0" xfId="8" applyNumberFormat="1" applyFont="1" applyFill="1" applyAlignment="1">
      <alignment horizontal="right"/>
    </xf>
    <xf numFmtId="165" fontId="27" fillId="0" borderId="6" xfId="8" applyNumberFormat="1" applyFont="1" applyFill="1" applyBorder="1" applyAlignment="1">
      <alignment horizontal="center"/>
    </xf>
    <xf numFmtId="165" fontId="30" fillId="0" borderId="1" xfId="8" applyNumberFormat="1" applyFont="1" applyFill="1" applyBorder="1" applyAlignment="1">
      <alignment horizontal="center"/>
    </xf>
    <xf numFmtId="3" fontId="30" fillId="0" borderId="1" xfId="8" applyNumberFormat="1" applyFont="1" applyFill="1" applyBorder="1" applyAlignment="1">
      <alignment horizontal="center"/>
    </xf>
    <xf numFmtId="165" fontId="27" fillId="0" borderId="0" xfId="8" applyNumberFormat="1" applyFont="1" applyFill="1" applyBorder="1" applyAlignment="1">
      <alignment horizontal="center"/>
    </xf>
    <xf numFmtId="0" fontId="30" fillId="0" borderId="0" xfId="8" applyFont="1" applyFill="1"/>
    <xf numFmtId="0" fontId="30" fillId="0" borderId="1" xfId="8" applyFont="1" applyFill="1" applyBorder="1" applyAlignment="1">
      <alignment horizontal="center"/>
    </xf>
    <xf numFmtId="1" fontId="30" fillId="0" borderId="1" xfId="8" applyNumberFormat="1" applyFont="1" applyFill="1" applyBorder="1" applyAlignment="1">
      <alignment horizontal="center"/>
    </xf>
    <xf numFmtId="0" fontId="27" fillId="0" borderId="0" xfId="8" applyFont="1" applyFill="1" applyAlignment="1">
      <alignment horizontal="center"/>
    </xf>
    <xf numFmtId="1" fontId="27" fillId="0" borderId="0" xfId="8" applyNumberFormat="1" applyFont="1" applyFill="1" applyAlignment="1">
      <alignment horizontal="center"/>
    </xf>
    <xf numFmtId="3" fontId="27" fillId="0" borderId="0" xfId="8" applyNumberFormat="1" applyFont="1" applyFill="1" applyAlignment="1">
      <alignment horizontal="center"/>
    </xf>
    <xf numFmtId="0" fontId="30" fillId="0" borderId="0" xfId="8" applyFont="1" applyFill="1" applyAlignment="1">
      <alignment wrapText="1"/>
    </xf>
    <xf numFmtId="0" fontId="18" fillId="0" borderId="0" xfId="8" applyFont="1" applyFill="1" applyAlignment="1">
      <alignment horizontal="left" wrapText="1"/>
    </xf>
    <xf numFmtId="0" fontId="30" fillId="0" borderId="0" xfId="8" applyFont="1" applyFill="1" applyBorder="1" applyAlignment="1">
      <alignment horizontal="center"/>
    </xf>
    <xf numFmtId="165" fontId="30" fillId="0" borderId="0" xfId="8" applyNumberFormat="1" applyFont="1" applyFill="1" applyBorder="1" applyAlignment="1">
      <alignment horizontal="center"/>
    </xf>
    <xf numFmtId="1" fontId="30" fillId="0" borderId="0" xfId="8" applyNumberFormat="1" applyFont="1" applyFill="1" applyBorder="1" applyAlignment="1">
      <alignment horizontal="center"/>
    </xf>
    <xf numFmtId="3" fontId="30" fillId="0" borderId="0" xfId="8" applyNumberFormat="1" applyFont="1" applyFill="1" applyBorder="1" applyAlignment="1">
      <alignment horizontal="center"/>
    </xf>
    <xf numFmtId="0" fontId="18" fillId="0" borderId="0" xfId="0" applyFont="1"/>
    <xf numFmtId="0" fontId="27" fillId="0" borderId="0" xfId="17" applyFont="1" applyFill="1"/>
    <xf numFmtId="0" fontId="27" fillId="0" borderId="0" xfId="17" applyFont="1" applyFill="1" applyAlignment="1">
      <alignment horizontal="center" wrapText="1"/>
    </xf>
    <xf numFmtId="3" fontId="27" fillId="0" borderId="0" xfId="17" applyNumberFormat="1" applyFont="1" applyFill="1" applyAlignment="1">
      <alignment horizontal="center" wrapText="1"/>
    </xf>
    <xf numFmtId="0" fontId="31" fillId="0" borderId="0" xfId="17" applyFont="1" applyFill="1"/>
    <xf numFmtId="0" fontId="30" fillId="0" borderId="0" xfId="17" applyFont="1" applyFill="1"/>
    <xf numFmtId="167" fontId="27" fillId="0" borderId="0" xfId="0" applyNumberFormat="1" applyFont="1" applyFill="1" applyBorder="1"/>
    <xf numFmtId="167" fontId="27" fillId="0" borderId="0" xfId="0" applyNumberFormat="1" applyFont="1" applyFill="1"/>
    <xf numFmtId="0" fontId="27" fillId="0" borderId="1" xfId="17" applyFont="1" applyFill="1" applyBorder="1"/>
    <xf numFmtId="0" fontId="27" fillId="0" borderId="1" xfId="17" applyFont="1" applyFill="1" applyBorder="1" applyAlignment="1">
      <alignment horizontal="center" wrapText="1"/>
    </xf>
    <xf numFmtId="3" fontId="27" fillId="0" borderId="1" xfId="17" applyNumberFormat="1" applyFont="1" applyFill="1" applyBorder="1" applyAlignment="1">
      <alignment horizontal="center" wrapText="1"/>
    </xf>
    <xf numFmtId="166" fontId="27" fillId="0" borderId="1" xfId="17" applyNumberFormat="1" applyFont="1" applyFill="1" applyBorder="1" applyAlignment="1">
      <alignment horizontal="center" wrapText="1"/>
    </xf>
    <xf numFmtId="165" fontId="27" fillId="0" borderId="1" xfId="17" applyNumberFormat="1" applyFont="1" applyFill="1" applyBorder="1" applyAlignment="1">
      <alignment horizontal="center" wrapText="1"/>
    </xf>
    <xf numFmtId="49" fontId="27" fillId="0" borderId="1" xfId="17" applyNumberFormat="1" applyFont="1" applyFill="1" applyBorder="1" applyAlignment="1">
      <alignment vertical="top"/>
    </xf>
    <xf numFmtId="3" fontId="27" fillId="0" borderId="1" xfId="17" applyNumberFormat="1" applyFont="1" applyFill="1" applyBorder="1" applyAlignment="1">
      <alignment vertical="top"/>
    </xf>
    <xf numFmtId="0" fontId="27" fillId="0" borderId="1" xfId="17" applyFont="1" applyFill="1" applyBorder="1" applyAlignment="1">
      <alignment horizontal="center"/>
    </xf>
    <xf numFmtId="0" fontId="27" fillId="0" borderId="1" xfId="8" applyFont="1" applyFill="1" applyBorder="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27" fillId="0" borderId="1" xfId="0" applyFont="1" applyFill="1" applyBorder="1" applyAlignment="1" applyProtection="1">
      <alignment vertical="center"/>
    </xf>
    <xf numFmtId="166" fontId="18" fillId="0" borderId="1" xfId="0" applyNumberFormat="1" applyFont="1" applyBorder="1"/>
    <xf numFmtId="0" fontId="27" fillId="0" borderId="1" xfId="8" applyFont="1" applyFill="1" applyBorder="1" applyAlignment="1">
      <alignment horizontal="center" vertical="top" wrapText="1"/>
    </xf>
    <xf numFmtId="1" fontId="27" fillId="0" borderId="1" xfId="8" applyNumberFormat="1" applyFont="1" applyFill="1" applyBorder="1" applyAlignment="1">
      <alignment horizontal="center" vertical="top" wrapText="1"/>
    </xf>
    <xf numFmtId="3" fontId="27" fillId="0" borderId="1" xfId="8" applyNumberFormat="1" applyFont="1" applyFill="1" applyBorder="1" applyAlignment="1">
      <alignment horizontal="center" vertical="top" wrapText="1"/>
    </xf>
    <xf numFmtId="0" fontId="18" fillId="0" borderId="0" xfId="8" applyFont="1" applyFill="1" applyAlignment="1"/>
    <xf numFmtId="0" fontId="18" fillId="0" borderId="0" xfId="8" applyFont="1" applyFill="1" applyAlignment="1">
      <alignment wrapText="1"/>
    </xf>
    <xf numFmtId="0" fontId="27" fillId="0" borderId="0" xfId="8" applyFont="1" applyFill="1" applyAlignment="1"/>
    <xf numFmtId="49" fontId="27" fillId="0" borderId="1" xfId="17" applyNumberFormat="1" applyFont="1" applyFill="1" applyBorder="1" applyAlignment="1">
      <alignment vertical="top" wrapText="1"/>
    </xf>
    <xf numFmtId="0" fontId="30" fillId="0" borderId="1" xfId="17" applyFont="1" applyFill="1" applyBorder="1" applyAlignment="1">
      <alignment vertical="center"/>
    </xf>
    <xf numFmtId="165" fontId="30" fillId="0" borderId="1" xfId="19" applyNumberFormat="1" applyFont="1" applyFill="1" applyBorder="1" applyAlignment="1">
      <alignment horizontal="center" wrapText="1"/>
    </xf>
    <xf numFmtId="0" fontId="27" fillId="0" borderId="0" xfId="17" applyFont="1" applyFill="1" applyAlignment="1">
      <alignment horizontal="center"/>
    </xf>
    <xf numFmtId="0" fontId="27" fillId="0" borderId="1" xfId="17" applyFont="1" applyFill="1" applyBorder="1" applyAlignment="1">
      <alignment horizontal="center" vertical="top" wrapText="1"/>
    </xf>
    <xf numFmtId="0" fontId="20" fillId="0" borderId="1" xfId="0" applyFont="1" applyBorder="1" applyAlignment="1">
      <alignment horizontal="center" vertical="top" wrapText="1"/>
    </xf>
    <xf numFmtId="3" fontId="27" fillId="0" borderId="1" xfId="17" applyNumberFormat="1" applyFont="1" applyFill="1" applyBorder="1" applyAlignment="1">
      <alignment horizontal="center" vertical="top" wrapText="1"/>
    </xf>
    <xf numFmtId="0" fontId="30" fillId="0" borderId="0" xfId="8" applyFont="1" applyFill="1" applyAlignment="1">
      <alignment vertical="top" wrapText="1"/>
    </xf>
    <xf numFmtId="0" fontId="30" fillId="0" borderId="0" xfId="8" applyFont="1" applyFill="1" applyAlignment="1"/>
    <xf numFmtId="165" fontId="29" fillId="0" borderId="1" xfId="8" applyNumberFormat="1" applyFont="1" applyFill="1" applyBorder="1" applyAlignment="1">
      <alignment horizontal="center"/>
    </xf>
    <xf numFmtId="49" fontId="18" fillId="0" borderId="0" xfId="0" applyNumberFormat="1" applyFont="1"/>
    <xf numFmtId="1" fontId="27" fillId="0" borderId="0" xfId="17" applyNumberFormat="1" applyFont="1" applyFill="1"/>
    <xf numFmtId="0" fontId="20"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8" fillId="0" borderId="0" xfId="0" applyFont="1" applyBorder="1"/>
    <xf numFmtId="1" fontId="38" fillId="0" borderId="1" xfId="0" applyNumberFormat="1" applyFont="1" applyBorder="1" applyAlignment="1">
      <alignment horizontal="center" vertical="center" wrapText="1"/>
    </xf>
    <xf numFmtId="1" fontId="37" fillId="0" borderId="1" xfId="0" applyNumberFormat="1" applyFont="1" applyBorder="1" applyAlignment="1">
      <alignment horizontal="center" wrapText="1"/>
    </xf>
    <xf numFmtId="3" fontId="27" fillId="0" borderId="0" xfId="8" applyNumberFormat="1" applyFont="1" applyFill="1"/>
    <xf numFmtId="6"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39" fillId="0" borderId="0" xfId="0" applyFont="1" applyAlignment="1">
      <alignment vertical="center"/>
    </xf>
    <xf numFmtId="0" fontId="21" fillId="0" borderId="0" xfId="0" applyFont="1" applyBorder="1" applyAlignment="1">
      <alignment vertical="center" wrapText="1"/>
    </xf>
    <xf numFmtId="0" fontId="39" fillId="0" borderId="0" xfId="0" applyFont="1" applyBorder="1" applyAlignment="1">
      <alignment vertical="center" wrapText="1"/>
    </xf>
    <xf numFmtId="0" fontId="0" fillId="0" borderId="1" xfId="0" applyBorder="1" applyAlignment="1">
      <alignment vertical="top" wrapText="1"/>
    </xf>
    <xf numFmtId="0" fontId="18" fillId="0" borderId="1" xfId="0" applyFont="1" applyBorder="1" applyAlignment="1">
      <alignment horizontal="center" vertical="center" wrapText="1"/>
    </xf>
    <xf numFmtId="0" fontId="36" fillId="0" borderId="0" xfId="0" applyFont="1" applyAlignment="1">
      <alignment vertical="center"/>
    </xf>
    <xf numFmtId="0" fontId="41" fillId="0" borderId="1" xfId="0" applyFont="1" applyBorder="1" applyAlignment="1">
      <alignment vertical="center" wrapText="1"/>
    </xf>
    <xf numFmtId="0" fontId="41" fillId="0" borderId="0" xfId="0" applyFont="1" applyBorder="1" applyAlignment="1">
      <alignment vertical="center" wrapText="1"/>
    </xf>
    <xf numFmtId="0" fontId="41"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1" xfId="0" applyFont="1" applyBorder="1" applyAlignment="1">
      <alignment vertical="center" wrapText="1"/>
    </xf>
    <xf numFmtId="0" fontId="20" fillId="0" borderId="1" xfId="0" applyFont="1" applyBorder="1" applyAlignment="1">
      <alignment vertical="center" wrapText="1"/>
    </xf>
    <xf numFmtId="0" fontId="19" fillId="0" borderId="1" xfId="0" applyFont="1" applyBorder="1" applyAlignment="1">
      <alignment horizontal="center" vertical="center" wrapText="1"/>
    </xf>
    <xf numFmtId="0" fontId="27" fillId="0" borderId="0" xfId="17" applyFont="1" applyFill="1" applyBorder="1"/>
    <xf numFmtId="0" fontId="26" fillId="0" borderId="1" xfId="0" applyFont="1" applyBorder="1" applyAlignment="1">
      <alignment horizontal="center" vertical="center" wrapText="1"/>
    </xf>
    <xf numFmtId="168" fontId="27" fillId="0" borderId="1" xfId="17" applyNumberFormat="1" applyFont="1" applyFill="1" applyBorder="1" applyAlignment="1">
      <alignment horizontal="center" wrapText="1"/>
    </xf>
    <xf numFmtId="4" fontId="27" fillId="0" borderId="1" xfId="17" applyNumberFormat="1" applyFont="1" applyFill="1" applyBorder="1" applyAlignment="1">
      <alignment horizontal="center" wrapText="1"/>
    </xf>
    <xf numFmtId="0" fontId="20" fillId="0" borderId="1" xfId="0" applyFont="1" applyFill="1" applyBorder="1" applyAlignment="1">
      <alignment horizontal="center" vertical="center" wrapText="1"/>
    </xf>
    <xf numFmtId="0" fontId="18" fillId="0" borderId="0" xfId="0" applyFont="1" applyFill="1" applyAlignment="1">
      <alignment wrapText="1"/>
    </xf>
    <xf numFmtId="1" fontId="20"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1" fontId="38"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18" fillId="0" borderId="1" xfId="0" applyFont="1" applyBorder="1"/>
    <xf numFmtId="0" fontId="18" fillId="0" borderId="1" xfId="0" applyFont="1" applyBorder="1" applyAlignment="1">
      <alignment horizontal="center"/>
    </xf>
    <xf numFmtId="3" fontId="18" fillId="0" borderId="1" xfId="0" applyNumberFormat="1" applyFont="1" applyBorder="1" applyAlignment="1">
      <alignment horizontal="center"/>
    </xf>
    <xf numFmtId="165" fontId="18" fillId="0" borderId="1" xfId="0" applyNumberFormat="1" applyFont="1" applyBorder="1" applyAlignment="1">
      <alignment horizontal="center"/>
    </xf>
    <xf numFmtId="3"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165" fontId="18" fillId="0" borderId="1" xfId="0" applyNumberFormat="1" applyFont="1" applyBorder="1" applyAlignment="1">
      <alignment horizontal="center" vertical="center"/>
    </xf>
    <xf numFmtId="0" fontId="18" fillId="0" borderId="0" xfId="0" applyFont="1" applyFill="1"/>
    <xf numFmtId="3" fontId="27" fillId="0" borderId="1" xfId="17" applyNumberFormat="1" applyFont="1" applyFill="1" applyBorder="1" applyAlignment="1">
      <alignment vertical="top" wrapText="1"/>
    </xf>
    <xf numFmtId="0" fontId="27" fillId="0" borderId="2" xfId="17" applyFont="1" applyFill="1" applyBorder="1" applyAlignment="1">
      <alignment horizontal="center" wrapText="1"/>
    </xf>
    <xf numFmtId="0" fontId="21" fillId="0" borderId="0" xfId="0" applyFont="1"/>
    <xf numFmtId="2" fontId="18" fillId="0" borderId="0" xfId="0" applyNumberFormat="1" applyFont="1" applyAlignment="1">
      <alignment horizontal="center"/>
    </xf>
    <xf numFmtId="3" fontId="27" fillId="0" borderId="0" xfId="17" applyNumberFormat="1" applyFont="1" applyFill="1"/>
    <xf numFmtId="0" fontId="30" fillId="0" borderId="3" xfId="8" applyFont="1" applyFill="1" applyBorder="1" applyAlignment="1"/>
    <xf numFmtId="3" fontId="27" fillId="0" borderId="5" xfId="8" applyNumberFormat="1" applyFont="1" applyFill="1" applyBorder="1" applyAlignment="1">
      <alignment horizontal="center" vertical="top" wrapText="1"/>
    </xf>
    <xf numFmtId="165" fontId="27" fillId="0" borderId="5" xfId="8" applyNumberFormat="1" applyFont="1" applyFill="1" applyBorder="1" applyAlignment="1">
      <alignment horizontal="center"/>
    </xf>
    <xf numFmtId="165" fontId="30" fillId="0" borderId="5" xfId="8" applyNumberFormat="1" applyFont="1" applyFill="1" applyBorder="1" applyAlignment="1">
      <alignment horizontal="center"/>
    </xf>
    <xf numFmtId="0" fontId="45" fillId="0" borderId="0" xfId="8" applyFont="1" applyFill="1" applyBorder="1" applyAlignment="1">
      <alignment horizontal="left" vertical="top" wrapText="1"/>
    </xf>
    <xf numFmtId="0" fontId="30" fillId="0" borderId="0" xfId="8" applyFont="1" applyFill="1" applyBorder="1" applyAlignment="1"/>
    <xf numFmtId="0" fontId="27" fillId="0" borderId="0" xfId="8" applyFont="1" applyFill="1" applyBorder="1" applyAlignment="1">
      <alignment horizontal="center" vertical="top" wrapText="1"/>
    </xf>
    <xf numFmtId="166" fontId="27" fillId="0" borderId="0" xfId="8" applyNumberFormat="1" applyFont="1" applyFill="1" applyBorder="1" applyAlignment="1">
      <alignment horizontal="center"/>
    </xf>
    <xf numFmtId="165" fontId="29" fillId="0" borderId="0" xfId="8" applyNumberFormat="1" applyFont="1" applyFill="1" applyBorder="1" applyAlignment="1">
      <alignment horizontal="center"/>
    </xf>
    <xf numFmtId="0" fontId="27" fillId="0" borderId="0" xfId="8" applyFont="1" applyFill="1" applyBorder="1" applyAlignment="1">
      <alignment horizontal="center"/>
    </xf>
    <xf numFmtId="0" fontId="30" fillId="0" borderId="0" xfId="8" applyFont="1" applyFill="1" applyBorder="1" applyAlignment="1">
      <alignment wrapText="1"/>
    </xf>
    <xf numFmtId="0" fontId="18" fillId="0" borderId="0" xfId="8" applyFont="1" applyFill="1" applyBorder="1" applyAlignment="1">
      <alignment horizontal="left" vertical="top" wrapText="1"/>
    </xf>
    <xf numFmtId="0" fontId="27" fillId="0" borderId="0" xfId="8" applyFont="1" applyFill="1" applyBorder="1" applyAlignment="1">
      <alignment horizontal="left" vertical="top" wrapText="1"/>
    </xf>
    <xf numFmtId="0" fontId="30" fillId="0" borderId="0" xfId="17" applyFont="1" applyFill="1" applyAlignment="1"/>
    <xf numFmtId="167" fontId="27" fillId="8" borderId="8" xfId="0" applyNumberFormat="1" applyFont="1" applyFill="1" applyBorder="1" applyAlignment="1">
      <alignment horizontal="center"/>
    </xf>
    <xf numFmtId="167" fontId="27" fillId="8" borderId="9" xfId="0" applyNumberFormat="1" applyFont="1" applyFill="1" applyBorder="1" applyAlignment="1">
      <alignment horizontal="center" wrapText="1"/>
    </xf>
    <xf numFmtId="167" fontId="27" fillId="0" borderId="10" xfId="0" applyNumberFormat="1" applyFont="1" applyBorder="1" applyAlignment="1">
      <alignment horizontal="center" wrapText="1"/>
    </xf>
    <xf numFmtId="167" fontId="27" fillId="8" borderId="11" xfId="0" applyNumberFormat="1" applyFont="1" applyFill="1" applyBorder="1" applyAlignment="1">
      <alignment horizontal="center"/>
    </xf>
    <xf numFmtId="3" fontId="27" fillId="0" borderId="12" xfId="0" applyNumberFormat="1" applyFont="1" applyBorder="1" applyAlignment="1">
      <alignment horizontal="center"/>
    </xf>
    <xf numFmtId="3" fontId="27" fillId="0" borderId="12" xfId="0" quotePrefix="1" applyNumberFormat="1" applyFont="1" applyBorder="1" applyAlignment="1">
      <alignment horizontal="center"/>
    </xf>
    <xf numFmtId="3" fontId="27" fillId="0" borderId="13" xfId="0" applyNumberFormat="1" applyFont="1" applyBorder="1" applyAlignment="1">
      <alignment horizontal="center"/>
    </xf>
    <xf numFmtId="168" fontId="27" fillId="0" borderId="13" xfId="0" applyNumberFormat="1" applyFont="1" applyBorder="1" applyAlignment="1">
      <alignment horizontal="center"/>
    </xf>
    <xf numFmtId="3" fontId="27" fillId="0" borderId="14" xfId="0" applyNumberFormat="1" applyFont="1" applyBorder="1" applyAlignment="1">
      <alignment horizontal="center"/>
    </xf>
    <xf numFmtId="167" fontId="27" fillId="8" borderId="15" xfId="0" applyNumberFormat="1" applyFont="1" applyFill="1" applyBorder="1" applyAlignment="1">
      <alignment horizontal="center"/>
    </xf>
    <xf numFmtId="3" fontId="27" fillId="0" borderId="1" xfId="0" applyNumberFormat="1" applyFont="1" applyBorder="1" applyAlignment="1">
      <alignment horizontal="center"/>
    </xf>
    <xf numFmtId="167" fontId="27" fillId="8" borderId="16" xfId="0" applyNumberFormat="1" applyFont="1" applyFill="1" applyBorder="1" applyAlignment="1">
      <alignment horizontal="center"/>
    </xf>
    <xf numFmtId="3" fontId="27" fillId="0" borderId="17" xfId="0" applyNumberFormat="1" applyFont="1" applyBorder="1" applyAlignment="1">
      <alignment horizontal="center"/>
    </xf>
    <xf numFmtId="3" fontId="27" fillId="0" borderId="18" xfId="0" applyNumberFormat="1" applyFont="1" applyBorder="1" applyAlignment="1">
      <alignment horizontal="center"/>
    </xf>
    <xf numFmtId="3" fontId="27" fillId="8" borderId="12" xfId="0" applyNumberFormat="1" applyFont="1" applyFill="1" applyBorder="1" applyAlignment="1">
      <alignment horizontal="center"/>
    </xf>
    <xf numFmtId="168" fontId="27" fillId="8" borderId="12" xfId="0" applyNumberFormat="1" applyFont="1" applyFill="1" applyBorder="1" applyAlignment="1">
      <alignment horizontal="center"/>
    </xf>
    <xf numFmtId="3" fontId="27" fillId="8" borderId="19" xfId="0" applyNumberFormat="1" applyFont="1" applyFill="1" applyBorder="1" applyAlignment="1">
      <alignment horizontal="center"/>
    </xf>
    <xf numFmtId="168" fontId="27" fillId="0" borderId="1" xfId="0" applyNumberFormat="1" applyFont="1" applyBorder="1" applyAlignment="1">
      <alignment horizontal="center"/>
    </xf>
    <xf numFmtId="0" fontId="18" fillId="0" borderId="0" xfId="8" applyFont="1" applyFill="1" applyAlignment="1">
      <alignment horizontal="left" vertical="top" wrapText="1"/>
    </xf>
    <xf numFmtId="0" fontId="27" fillId="0" borderId="0" xfId="8" applyFont="1" applyFill="1" applyAlignment="1">
      <alignment horizontal="left" vertical="top" wrapText="1"/>
    </xf>
    <xf numFmtId="0" fontId="45" fillId="0" borderId="0" xfId="8" applyFont="1" applyFill="1" applyAlignment="1">
      <alignment horizontal="left" vertical="top" wrapText="1"/>
    </xf>
    <xf numFmtId="3" fontId="29" fillId="0" borderId="1" xfId="8" applyNumberFormat="1" applyFont="1" applyFill="1" applyBorder="1" applyAlignment="1">
      <alignment horizontal="center"/>
    </xf>
    <xf numFmtId="3" fontId="29" fillId="0" borderId="2" xfId="8" applyNumberFormat="1" applyFont="1" applyFill="1" applyBorder="1" applyAlignment="1">
      <alignment horizontal="center"/>
    </xf>
    <xf numFmtId="3" fontId="29" fillId="0" borderId="7" xfId="8" applyNumberFormat="1" applyFont="1" applyFill="1" applyBorder="1" applyAlignment="1">
      <alignment horizontal="center"/>
    </xf>
    <xf numFmtId="3" fontId="29" fillId="0" borderId="5" xfId="8" applyNumberFormat="1" applyFont="1" applyFill="1" applyBorder="1" applyAlignment="1">
      <alignment horizontal="center"/>
    </xf>
    <xf numFmtId="3" fontId="30" fillId="0" borderId="2" xfId="8" applyNumberFormat="1" applyFont="1" applyFill="1" applyBorder="1" applyAlignment="1">
      <alignment horizontal="center"/>
    </xf>
    <xf numFmtId="3" fontId="30" fillId="0" borderId="7" xfId="8" applyNumberFormat="1" applyFont="1" applyFill="1" applyBorder="1" applyAlignment="1">
      <alignment horizontal="center"/>
    </xf>
    <xf numFmtId="3" fontId="30" fillId="0" borderId="5" xfId="8" applyNumberFormat="1" applyFont="1" applyFill="1" applyBorder="1" applyAlignment="1">
      <alignment horizontal="center"/>
    </xf>
    <xf numFmtId="0" fontId="27" fillId="0" borderId="1" xfId="8" applyFont="1" applyFill="1" applyBorder="1" applyAlignment="1">
      <alignment horizontal="center"/>
    </xf>
    <xf numFmtId="0" fontId="27" fillId="0" borderId="1" xfId="0" applyFont="1" applyBorder="1" applyAlignment="1">
      <alignment horizontal="center"/>
    </xf>
    <xf numFmtId="0" fontId="30" fillId="0" borderId="3" xfId="8" applyFont="1" applyFill="1" applyBorder="1" applyAlignment="1">
      <alignment horizontal="center"/>
    </xf>
    <xf numFmtId="0" fontId="19" fillId="0" borderId="1" xfId="0" applyFont="1" applyBorder="1" applyAlignment="1">
      <alignment horizontal="center"/>
    </xf>
    <xf numFmtId="0" fontId="21" fillId="0" borderId="0" xfId="0" applyFont="1" applyAlignment="1">
      <alignment horizontal="left" vertical="top" wrapText="1"/>
    </xf>
    <xf numFmtId="0" fontId="27" fillId="0" borderId="0" xfId="17" applyFont="1" applyFill="1" applyAlignment="1">
      <alignment horizontal="left" vertical="top"/>
    </xf>
    <xf numFmtId="0" fontId="27" fillId="0" borderId="0" xfId="17" applyFont="1" applyFill="1" applyAlignment="1">
      <alignment horizontal="left" vertical="top" wrapText="1"/>
    </xf>
    <xf numFmtId="0" fontId="34" fillId="0" borderId="0" xfId="0" applyFont="1" applyAlignment="1">
      <alignment horizontal="left" vertical="top" wrapText="1"/>
    </xf>
    <xf numFmtId="0" fontId="27" fillId="0" borderId="1" xfId="17" applyFont="1" applyFill="1" applyBorder="1" applyAlignment="1">
      <alignment horizontal="center" vertical="center"/>
    </xf>
    <xf numFmtId="3" fontId="30" fillId="0" borderId="1" xfId="17" applyNumberFormat="1" applyFont="1" applyFill="1" applyBorder="1" applyAlignment="1">
      <alignment horizontal="center" wrapText="1"/>
    </xf>
    <xf numFmtId="0" fontId="18" fillId="0" borderId="0" xfId="0" applyFont="1" applyFill="1" applyAlignment="1">
      <alignment horizontal="center" vertical="top" wrapText="1"/>
    </xf>
    <xf numFmtId="0" fontId="45" fillId="0" borderId="0" xfId="17" applyFont="1" applyFill="1" applyAlignment="1">
      <alignment horizontal="left" vertical="top" wrapText="1"/>
    </xf>
    <xf numFmtId="0" fontId="27" fillId="0" borderId="2" xfId="17" applyFont="1" applyFill="1" applyBorder="1" applyAlignment="1">
      <alignment horizontal="center" vertical="top" wrapText="1"/>
    </xf>
    <xf numFmtId="0" fontId="27" fillId="0" borderId="7" xfId="17" applyFont="1" applyFill="1" applyBorder="1" applyAlignment="1">
      <alignment horizontal="center" vertical="top" wrapText="1"/>
    </xf>
    <xf numFmtId="3" fontId="27" fillId="0" borderId="20" xfId="0" applyNumberFormat="1" applyFont="1" applyBorder="1" applyAlignment="1">
      <alignment horizontal="center"/>
    </xf>
    <xf numFmtId="3" fontId="27" fillId="0" borderId="21" xfId="0" applyNumberFormat="1" applyFont="1" applyBorder="1" applyAlignment="1">
      <alignment horizontal="center"/>
    </xf>
    <xf numFmtId="0" fontId="19" fillId="0" borderId="22" xfId="0" applyFont="1" applyBorder="1" applyAlignment="1">
      <alignment horizontal="center"/>
    </xf>
    <xf numFmtId="0" fontId="28" fillId="0" borderId="0" xfId="0" applyFont="1" applyBorder="1" applyAlignment="1">
      <alignment horizontal="left" vertical="top" wrapText="1"/>
    </xf>
    <xf numFmtId="0" fontId="34" fillId="0" borderId="1" xfId="0" applyFont="1" applyBorder="1" applyAlignment="1">
      <alignment horizontal="center" vertical="center" wrapText="1"/>
    </xf>
    <xf numFmtId="0" fontId="36" fillId="0" borderId="0" xfId="0" applyFont="1" applyBorder="1" applyAlignment="1">
      <alignment vertical="center" wrapText="1"/>
    </xf>
    <xf numFmtId="0" fontId="33" fillId="0" borderId="0" xfId="0" applyFont="1" applyBorder="1" applyAlignment="1">
      <alignment horizontal="left" vertical="top" wrapText="1"/>
    </xf>
    <xf numFmtId="0" fontId="26" fillId="0" borderId="1" xfId="0" applyFont="1" applyBorder="1" applyAlignment="1">
      <alignment horizontal="left" wrapText="1"/>
    </xf>
    <xf numFmtId="0" fontId="20" fillId="0" borderId="1" xfId="0" applyFont="1" applyBorder="1" applyAlignment="1">
      <alignment horizontal="center" vertical="center" wrapText="1"/>
    </xf>
    <xf numFmtId="0" fontId="43" fillId="0" borderId="0" xfId="0" applyFont="1" applyBorder="1" applyAlignment="1">
      <alignment horizontal="left" vertical="top" wrapText="1"/>
    </xf>
    <xf numFmtId="0" fontId="37" fillId="0" borderId="1" xfId="0" applyFont="1" applyBorder="1" applyAlignment="1">
      <alignment wrapText="1"/>
    </xf>
    <xf numFmtId="0" fontId="37" fillId="0" borderId="1" xfId="0" applyFont="1" applyFill="1" applyBorder="1" applyAlignment="1">
      <alignment wrapText="1"/>
    </xf>
    <xf numFmtId="0" fontId="39" fillId="0" borderId="0" xfId="0" applyFont="1" applyBorder="1" applyAlignment="1">
      <alignment vertical="center" wrapText="1"/>
    </xf>
    <xf numFmtId="0" fontId="24" fillId="0" borderId="0" xfId="0" applyFont="1" applyAlignment="1">
      <alignment horizontal="left" vertical="top" wrapText="1"/>
    </xf>
    <xf numFmtId="6"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21" fillId="0" borderId="1" xfId="0" applyFont="1" applyBorder="1" applyAlignment="1">
      <alignment horizontal="center" vertical="center" wrapText="1"/>
    </xf>
  </cellXfs>
  <cellStyles count="20">
    <cellStyle name="Comma 2" xfId="1" xr:uid="{00000000-0005-0000-0000-000004000000}"/>
    <cellStyle name="Comma 3" xfId="9" xr:uid="{00000000-0005-0000-0000-000005000000}"/>
    <cellStyle name="Currency" xfId="19" builtinId="4"/>
    <cellStyle name="Currency 2" xfId="10" xr:uid="{00000000-0005-0000-0000-000007000000}"/>
    <cellStyle name="Currency 3" xfId="11" xr:uid="{00000000-0005-0000-0000-000008000000}"/>
    <cellStyle name="Hyperlink" xfId="6" builtinId="8"/>
    <cellStyle name="Normal" xfId="0" builtinId="0"/>
    <cellStyle name="Normal 2" xfId="2" xr:uid="{00000000-0005-0000-0000-00000D000000}"/>
    <cellStyle name="Normal 2 2" xfId="12" xr:uid="{00000000-0005-0000-0000-00000E000000}"/>
    <cellStyle name="Normal 2 3" xfId="13" xr:uid="{00000000-0005-0000-0000-00000F000000}"/>
    <cellStyle name="Normal 3" xfId="3" xr:uid="{00000000-0005-0000-0000-000010000000}"/>
    <cellStyle name="Normal 3 2" xfId="14" xr:uid="{00000000-0005-0000-0000-000011000000}"/>
    <cellStyle name="Normal 4" xfId="4" xr:uid="{00000000-0005-0000-0000-000012000000}"/>
    <cellStyle name="Normal 5" xfId="5" xr:uid="{00000000-0005-0000-0000-000013000000}"/>
    <cellStyle name="Normal 6" xfId="15" xr:uid="{00000000-0005-0000-0000-000014000000}"/>
    <cellStyle name="Normal 7" xfId="8" xr:uid="{00000000-0005-0000-0000-000015000000}"/>
    <cellStyle name="Normal 8" xfId="17" xr:uid="{00000000-0005-0000-0000-000016000000}"/>
    <cellStyle name="Normal 8 2" xfId="18" xr:uid="{00000000-0005-0000-0000-000017000000}"/>
    <cellStyle name="Normal_ICR Cost Inputs" xfId="7" xr:uid="{00000000-0005-0000-0000-00001B000000}"/>
    <cellStyle name="Percent 2" xfId="16" xr:uid="{00000000-0005-0000-0000-00001E00000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www.bls.gov/oes/current/oes_nat.htm" TargetMode="External"/><Relationship Id="rId2" Type="http://schemas.openxmlformats.org/officeDocument/2006/relationships/hyperlink" Target="http://www.arb.ca.gov/regact/2009/landfills09/appf.pdf%20plus%20updates%20to%202012%20labor%20rates%20using%20USBLS" TargetMode="External"/><Relationship Id="rId1" Type="http://schemas.openxmlformats.org/officeDocument/2006/relationships/hyperlink" Target="http://www.arb.ca.gov/regact/2009/landfills09/appf.pdf%20(2008$,%20did%20not%20escalate%20as%20factor%20is%20presumably%20part%20labor%20and%20part%20materials,%20the%20portion%20of%20each%20type%20is%20unknown%20and%20labor%20costs%20are%20relatively%20flat%20during%20this%20perio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221AE-DDEC-49EF-B3A6-E4C6F8E2C6B7}">
  <sheetPr>
    <pageSetUpPr fitToPage="1"/>
  </sheetPr>
  <dimension ref="A1:T52"/>
  <sheetViews>
    <sheetView tabSelected="1" zoomScaleNormal="100" zoomScaleSheetLayoutView="100" workbookViewId="0">
      <selection sqref="A1:L1"/>
    </sheetView>
  </sheetViews>
  <sheetFormatPr defaultRowHeight="12.75" x14ac:dyDescent="0.2"/>
  <cols>
    <col min="1" max="1" width="44" style="46" customWidth="1"/>
    <col min="2" max="2" width="10" style="64" customWidth="1"/>
    <col min="3" max="3" width="9.7109375" style="64" bestFit="1" customWidth="1"/>
    <col min="4" max="4" width="10.5703125" style="64" customWidth="1"/>
    <col min="5" max="5" width="11.28515625" style="64" customWidth="1"/>
    <col min="6" max="6" width="10.28515625" style="64" customWidth="1"/>
    <col min="7" max="7" width="9.5703125" style="64" customWidth="1"/>
    <col min="8" max="8" width="11.140625" style="65" customWidth="1"/>
    <col min="9" max="9" width="8.5703125" style="64" customWidth="1"/>
    <col min="10" max="10" width="8.42578125" style="64" customWidth="1"/>
    <col min="11" max="11" width="10.28515625" style="64" customWidth="1"/>
    <col min="12" max="12" width="10" style="64" customWidth="1"/>
    <col min="13" max="13" width="2.42578125" style="166" customWidth="1"/>
    <col min="14" max="14" width="11.85546875" style="66" hidden="1" customWidth="1"/>
    <col min="15" max="16" width="10" style="66" hidden="1" customWidth="1"/>
    <col min="17" max="17" width="0.140625" style="46" hidden="1" customWidth="1"/>
    <col min="18" max="18" width="3.7109375" style="46" customWidth="1"/>
    <col min="19" max="19" width="11.5703125" style="46" customWidth="1"/>
    <col min="20" max="16384" width="9.140625" style="46"/>
  </cols>
  <sheetData>
    <row r="1" spans="1:20" ht="37.5" customHeight="1" x14ac:dyDescent="0.2">
      <c r="A1" s="191" t="s">
        <v>236</v>
      </c>
      <c r="B1" s="191"/>
      <c r="C1" s="191"/>
      <c r="D1" s="191"/>
      <c r="E1" s="191"/>
      <c r="F1" s="191"/>
      <c r="G1" s="191"/>
      <c r="H1" s="191"/>
      <c r="I1" s="191"/>
      <c r="J1" s="191"/>
      <c r="K1" s="191"/>
      <c r="L1" s="191"/>
      <c r="M1" s="161"/>
      <c r="N1" s="107"/>
      <c r="O1" s="107"/>
      <c r="P1" s="107"/>
      <c r="Q1" s="107"/>
    </row>
    <row r="2" spans="1:20" x14ac:dyDescent="0.2">
      <c r="A2" s="157"/>
      <c r="B2" s="157"/>
      <c r="C2" s="157"/>
      <c r="D2" s="157"/>
      <c r="E2" s="157"/>
      <c r="F2" s="157"/>
      <c r="G2" s="157"/>
      <c r="H2" s="157"/>
      <c r="I2" s="157"/>
      <c r="J2" s="157"/>
      <c r="K2" s="157"/>
      <c r="L2" s="157"/>
      <c r="M2" s="162"/>
      <c r="N2" s="157"/>
      <c r="O2" s="157"/>
      <c r="P2" s="157"/>
      <c r="Q2" s="157"/>
    </row>
    <row r="3" spans="1:20" s="47" customFormat="1" ht="107.25" customHeight="1" x14ac:dyDescent="0.2">
      <c r="A3" s="39" t="s">
        <v>49</v>
      </c>
      <c r="B3" s="94" t="s">
        <v>131</v>
      </c>
      <c r="C3" s="94" t="s">
        <v>78</v>
      </c>
      <c r="D3" s="94" t="s">
        <v>79</v>
      </c>
      <c r="E3" s="94" t="s">
        <v>56</v>
      </c>
      <c r="F3" s="94" t="s">
        <v>113</v>
      </c>
      <c r="G3" s="94" t="s">
        <v>110</v>
      </c>
      <c r="H3" s="95" t="s">
        <v>57</v>
      </c>
      <c r="I3" s="96" t="s">
        <v>161</v>
      </c>
      <c r="J3" s="96" t="s">
        <v>165</v>
      </c>
      <c r="K3" s="96" t="s">
        <v>166</v>
      </c>
      <c r="L3" s="94" t="s">
        <v>132</v>
      </c>
      <c r="M3" s="163"/>
      <c r="N3" s="158" t="s">
        <v>111</v>
      </c>
      <c r="O3" s="96" t="s">
        <v>133</v>
      </c>
      <c r="P3" s="96" t="s">
        <v>97</v>
      </c>
      <c r="Q3" s="47" t="s">
        <v>48</v>
      </c>
    </row>
    <row r="4" spans="1:20" ht="15.75" customHeight="1" x14ac:dyDescent="0.2">
      <c r="A4" s="40" t="s">
        <v>47</v>
      </c>
      <c r="B4" s="199" t="s">
        <v>194</v>
      </c>
      <c r="C4" s="199"/>
      <c r="D4" s="48"/>
      <c r="E4" s="48"/>
      <c r="F4" s="48"/>
      <c r="G4" s="48"/>
      <c r="H4" s="49"/>
      <c r="I4" s="49"/>
      <c r="J4" s="49"/>
      <c r="K4" s="49"/>
      <c r="L4" s="50"/>
      <c r="M4" s="60"/>
      <c r="N4" s="159"/>
      <c r="O4" s="50"/>
      <c r="P4" s="50"/>
      <c r="S4" s="200" t="s">
        <v>0</v>
      </c>
      <c r="T4" s="200"/>
    </row>
    <row r="5" spans="1:20" x14ac:dyDescent="0.2">
      <c r="A5" s="40" t="s">
        <v>46</v>
      </c>
      <c r="B5" s="199" t="s">
        <v>194</v>
      </c>
      <c r="C5" s="199"/>
      <c r="D5" s="48"/>
      <c r="E5" s="48"/>
      <c r="F5" s="48"/>
      <c r="G5" s="48"/>
      <c r="H5" s="49"/>
      <c r="I5" s="49"/>
      <c r="J5" s="49"/>
      <c r="K5" s="49"/>
      <c r="L5" s="50"/>
      <c r="M5" s="60"/>
      <c r="N5" s="159"/>
      <c r="O5" s="50"/>
      <c r="P5" s="50"/>
      <c r="S5" s="92" t="s">
        <v>139</v>
      </c>
      <c r="T5" s="93">
        <v>147.4</v>
      </c>
    </row>
    <row r="6" spans="1:20" x14ac:dyDescent="0.2">
      <c r="A6" s="40" t="s">
        <v>45</v>
      </c>
      <c r="B6" s="48"/>
      <c r="C6" s="50"/>
      <c r="D6" s="50"/>
      <c r="E6" s="48"/>
      <c r="F6" s="48"/>
      <c r="G6" s="48"/>
      <c r="H6" s="49"/>
      <c r="I6" s="49"/>
      <c r="J6" s="49"/>
      <c r="K6" s="49"/>
      <c r="L6" s="50"/>
      <c r="M6" s="60"/>
      <c r="N6" s="159"/>
      <c r="O6" s="50"/>
      <c r="P6" s="50"/>
      <c r="S6" s="92" t="s">
        <v>54</v>
      </c>
      <c r="T6" s="93">
        <v>117.92</v>
      </c>
    </row>
    <row r="7" spans="1:20" ht="15.75" x14ac:dyDescent="0.2">
      <c r="A7" s="41" t="s">
        <v>114</v>
      </c>
      <c r="B7" s="48">
        <v>5</v>
      </c>
      <c r="C7" s="50">
        <v>0</v>
      </c>
      <c r="D7" s="50"/>
      <c r="E7" s="48">
        <v>1</v>
      </c>
      <c r="F7" s="48">
        <v>0</v>
      </c>
      <c r="G7" s="48">
        <f>B7*E7</f>
        <v>5</v>
      </c>
      <c r="H7" s="51">
        <f>ROUND('Respondents and Responses'!D8,0)</f>
        <v>174</v>
      </c>
      <c r="I7" s="49">
        <f>G7*H7</f>
        <v>870</v>
      </c>
      <c r="J7" s="49">
        <f>I7*0.1</f>
        <v>87</v>
      </c>
      <c r="K7" s="49">
        <f>I7*0.05</f>
        <v>43.5</v>
      </c>
      <c r="L7" s="52">
        <f>(I7*T$6)+(J7*T$7)+(K7*T$5)</f>
        <v>113963.04000000001</v>
      </c>
      <c r="M7" s="164"/>
      <c r="N7" s="159">
        <f>C7*E7*H7</f>
        <v>0</v>
      </c>
      <c r="O7" s="53">
        <f>E7*H7</f>
        <v>174</v>
      </c>
      <c r="P7" s="49"/>
      <c r="S7" s="92" t="s">
        <v>55</v>
      </c>
      <c r="T7" s="93">
        <v>57.02</v>
      </c>
    </row>
    <row r="8" spans="1:20" x14ac:dyDescent="0.2">
      <c r="A8" s="40" t="s">
        <v>44</v>
      </c>
      <c r="B8" s="48"/>
      <c r="C8" s="50"/>
      <c r="D8" s="50"/>
      <c r="E8" s="48"/>
      <c r="F8" s="48"/>
      <c r="G8" s="48"/>
      <c r="H8" s="49"/>
      <c r="I8" s="49"/>
      <c r="J8" s="49"/>
      <c r="K8" s="49"/>
      <c r="L8" s="52"/>
      <c r="M8" s="164"/>
      <c r="N8" s="159"/>
      <c r="O8" s="50"/>
      <c r="P8" s="50"/>
      <c r="R8" s="54"/>
    </row>
    <row r="9" spans="1:20" ht="15.75" x14ac:dyDescent="0.2">
      <c r="A9" s="42" t="s">
        <v>115</v>
      </c>
      <c r="B9" s="89">
        <v>12</v>
      </c>
      <c r="C9" s="52">
        <f>'Other Cost Basis'!D2+'Other Cost Basis'!D17+'Other Cost Basis'!D18+'Other Cost Basis'!D19</f>
        <v>1983.6594844730848</v>
      </c>
      <c r="D9" s="52">
        <f>'Other Cost Basis'!D20</f>
        <v>1000</v>
      </c>
      <c r="E9" s="48">
        <v>1</v>
      </c>
      <c r="F9" s="48">
        <v>0</v>
      </c>
      <c r="G9" s="48">
        <f>B9*E9</f>
        <v>12</v>
      </c>
      <c r="H9" s="51">
        <v>0</v>
      </c>
      <c r="I9" s="49">
        <f>G9*H9</f>
        <v>0</v>
      </c>
      <c r="J9" s="49">
        <f>I9*0.1</f>
        <v>0</v>
      </c>
      <c r="K9" s="49">
        <f>I9*0.05</f>
        <v>0</v>
      </c>
      <c r="L9" s="50">
        <f>(I9*T$6)+(J9*T$7)+(K9*T$5)</f>
        <v>0</v>
      </c>
      <c r="M9" s="60"/>
      <c r="N9" s="159">
        <f>(C9+D9)*E9*H9</f>
        <v>0</v>
      </c>
      <c r="O9" s="49">
        <f>E9*H9</f>
        <v>0</v>
      </c>
      <c r="P9" s="49"/>
      <c r="R9" s="54"/>
    </row>
    <row r="10" spans="1:20" ht="15.75" x14ac:dyDescent="0.2">
      <c r="A10" s="42" t="s">
        <v>116</v>
      </c>
      <c r="B10" s="53">
        <v>44</v>
      </c>
      <c r="C10" s="52">
        <f>'Other Cost Basis'!B9+'Other Cost Basis'!F13+'Other Cost Basis'!F14</f>
        <v>703.5</v>
      </c>
      <c r="D10" s="50"/>
      <c r="E10" s="48">
        <v>4</v>
      </c>
      <c r="F10" s="53">
        <f>B10*E10</f>
        <v>176</v>
      </c>
      <c r="G10" s="48">
        <v>0</v>
      </c>
      <c r="H10" s="51">
        <v>0</v>
      </c>
      <c r="I10" s="49">
        <f>F10*H10</f>
        <v>0</v>
      </c>
      <c r="J10" s="49">
        <v>0</v>
      </c>
      <c r="K10" s="49">
        <v>0</v>
      </c>
      <c r="L10" s="50">
        <f>(I10*T$6)+(J10*T$7)+(K10*T$5)</f>
        <v>0</v>
      </c>
      <c r="M10" s="60"/>
      <c r="N10" s="159">
        <f>C10*E10*H10</f>
        <v>0</v>
      </c>
      <c r="O10" s="49">
        <f>E10*H10</f>
        <v>0</v>
      </c>
      <c r="P10" s="49"/>
      <c r="R10" s="54"/>
    </row>
    <row r="11" spans="1:20" ht="15.75" x14ac:dyDescent="0.2">
      <c r="A11" s="42" t="s">
        <v>117</v>
      </c>
      <c r="B11" s="53">
        <f>ROUND(2000/49.85,0)</f>
        <v>40</v>
      </c>
      <c r="C11" s="52">
        <f>'Other Cost Basis'!F15</f>
        <v>17</v>
      </c>
      <c r="D11" s="50"/>
      <c r="E11" s="48">
        <v>12</v>
      </c>
      <c r="F11" s="53">
        <f>B11*E11</f>
        <v>480</v>
      </c>
      <c r="G11" s="48">
        <v>0</v>
      </c>
      <c r="H11" s="51">
        <f>H10</f>
        <v>0</v>
      </c>
      <c r="I11" s="49">
        <f>F11*H11</f>
        <v>0</v>
      </c>
      <c r="J11" s="49">
        <v>0</v>
      </c>
      <c r="K11" s="49">
        <v>0</v>
      </c>
      <c r="L11" s="50">
        <f>(I11*T$6)+(J11*T$7)+(K11*T$5)</f>
        <v>0</v>
      </c>
      <c r="M11" s="60"/>
      <c r="N11" s="159">
        <f>C11*E11*H11</f>
        <v>0</v>
      </c>
      <c r="O11" s="49">
        <f>E11*H11</f>
        <v>0</v>
      </c>
      <c r="P11" s="49"/>
      <c r="R11" s="54"/>
    </row>
    <row r="12" spans="1:20" x14ac:dyDescent="0.2">
      <c r="A12" s="40" t="s">
        <v>43</v>
      </c>
      <c r="B12" s="199" t="s">
        <v>50</v>
      </c>
      <c r="C12" s="199"/>
      <c r="D12" s="48"/>
      <c r="E12" s="48"/>
      <c r="F12" s="48"/>
      <c r="G12" s="48"/>
      <c r="H12" s="49"/>
      <c r="I12" s="49"/>
      <c r="J12" s="49"/>
      <c r="K12" s="49"/>
      <c r="L12" s="50"/>
      <c r="M12" s="60"/>
      <c r="N12" s="159"/>
      <c r="O12" s="50"/>
      <c r="P12" s="50"/>
      <c r="R12" s="54"/>
    </row>
    <row r="13" spans="1:20" x14ac:dyDescent="0.2">
      <c r="A13" s="40" t="s">
        <v>42</v>
      </c>
      <c r="B13" s="199" t="s">
        <v>50</v>
      </c>
      <c r="C13" s="199"/>
      <c r="D13" s="48"/>
      <c r="E13" s="48"/>
      <c r="F13" s="48"/>
      <c r="G13" s="48"/>
      <c r="H13" s="49"/>
      <c r="I13" s="49"/>
      <c r="J13" s="49"/>
      <c r="K13" s="49"/>
      <c r="L13" s="50"/>
      <c r="M13" s="60"/>
      <c r="N13" s="159"/>
      <c r="O13" s="50"/>
      <c r="P13" s="50"/>
    </row>
    <row r="14" spans="1:20" x14ac:dyDescent="0.2">
      <c r="A14" s="40" t="s">
        <v>41</v>
      </c>
      <c r="B14" s="48"/>
      <c r="C14" s="50"/>
      <c r="D14" s="50"/>
      <c r="E14" s="48"/>
      <c r="F14" s="48"/>
      <c r="G14" s="48"/>
      <c r="H14" s="49"/>
      <c r="I14" s="49"/>
      <c r="J14" s="49"/>
      <c r="K14" s="49"/>
      <c r="L14" s="50"/>
      <c r="M14" s="60"/>
      <c r="N14" s="159"/>
      <c r="O14" s="50"/>
      <c r="P14" s="50"/>
    </row>
    <row r="15" spans="1:20" ht="15.75" x14ac:dyDescent="0.2">
      <c r="A15" s="42" t="s">
        <v>118</v>
      </c>
      <c r="B15" s="48">
        <v>2</v>
      </c>
      <c r="C15" s="50">
        <v>0</v>
      </c>
      <c r="D15" s="50"/>
      <c r="E15" s="48">
        <v>1</v>
      </c>
      <c r="F15" s="48">
        <v>0</v>
      </c>
      <c r="G15" s="48">
        <f t="shared" ref="G15:G22" si="0">B15*E15</f>
        <v>2</v>
      </c>
      <c r="H15" s="51">
        <v>0</v>
      </c>
      <c r="I15" s="49">
        <f t="shared" ref="I15:I22" si="1">G15*H15</f>
        <v>0</v>
      </c>
      <c r="J15" s="49">
        <f t="shared" ref="J15:J22" si="2">I15*0.1</f>
        <v>0</v>
      </c>
      <c r="K15" s="49">
        <f t="shared" ref="K15:K22" si="3">I15*0.05</f>
        <v>0</v>
      </c>
      <c r="L15" s="50">
        <f t="shared" ref="L15:L22" si="4">(I15*T$6)+(J15*T$7)+(K15*T$5)</f>
        <v>0</v>
      </c>
      <c r="M15" s="60"/>
      <c r="N15" s="159">
        <f t="shared" ref="N15:N22" si="5">C15*E15*H15</f>
        <v>0</v>
      </c>
      <c r="O15" s="49">
        <f t="shared" ref="O15:O22" si="6">E15*H15</f>
        <v>0</v>
      </c>
      <c r="P15" s="49"/>
    </row>
    <row r="16" spans="1:20" ht="15.75" x14ac:dyDescent="0.2">
      <c r="A16" s="43" t="s">
        <v>119</v>
      </c>
      <c r="B16" s="48">
        <v>2</v>
      </c>
      <c r="C16" s="50">
        <v>0</v>
      </c>
      <c r="D16" s="50"/>
      <c r="E16" s="48">
        <v>1</v>
      </c>
      <c r="F16" s="48">
        <v>0</v>
      </c>
      <c r="G16" s="48">
        <f t="shared" si="0"/>
        <v>2</v>
      </c>
      <c r="H16" s="51">
        <f>0</f>
        <v>0</v>
      </c>
      <c r="I16" s="49">
        <f t="shared" si="1"/>
        <v>0</v>
      </c>
      <c r="J16" s="49">
        <f t="shared" si="2"/>
        <v>0</v>
      </c>
      <c r="K16" s="49">
        <f t="shared" si="3"/>
        <v>0</v>
      </c>
      <c r="L16" s="50">
        <f t="shared" si="4"/>
        <v>0</v>
      </c>
      <c r="M16" s="60"/>
      <c r="N16" s="159">
        <f t="shared" si="5"/>
        <v>0</v>
      </c>
      <c r="O16" s="49">
        <f t="shared" si="6"/>
        <v>0</v>
      </c>
      <c r="P16" s="49"/>
    </row>
    <row r="17" spans="1:17" ht="15.75" x14ac:dyDescent="0.2">
      <c r="A17" s="43" t="s">
        <v>120</v>
      </c>
      <c r="B17" s="48">
        <v>8</v>
      </c>
      <c r="C17" s="50">
        <v>0</v>
      </c>
      <c r="D17" s="50"/>
      <c r="E17" s="48">
        <v>1</v>
      </c>
      <c r="F17" s="48">
        <v>0</v>
      </c>
      <c r="G17" s="48">
        <f t="shared" si="0"/>
        <v>8</v>
      </c>
      <c r="H17" s="51">
        <v>0</v>
      </c>
      <c r="I17" s="49">
        <f t="shared" si="1"/>
        <v>0</v>
      </c>
      <c r="J17" s="49">
        <f t="shared" si="2"/>
        <v>0</v>
      </c>
      <c r="K17" s="49">
        <f t="shared" si="3"/>
        <v>0</v>
      </c>
      <c r="L17" s="50">
        <f t="shared" si="4"/>
        <v>0</v>
      </c>
      <c r="M17" s="60"/>
      <c r="N17" s="159">
        <f t="shared" si="5"/>
        <v>0</v>
      </c>
      <c r="O17" s="49">
        <f t="shared" si="6"/>
        <v>0</v>
      </c>
      <c r="P17" s="49"/>
      <c r="Q17" s="55"/>
    </row>
    <row r="18" spans="1:17" ht="15.75" x14ac:dyDescent="0.2">
      <c r="A18" s="43" t="s">
        <v>121</v>
      </c>
      <c r="B18" s="53">
        <v>12</v>
      </c>
      <c r="C18" s="52">
        <f>'Other Cost Basis'!D4</f>
        <v>2708.280314173127</v>
      </c>
      <c r="D18" s="50"/>
      <c r="E18" s="48">
        <v>1</v>
      </c>
      <c r="F18" s="48">
        <v>0</v>
      </c>
      <c r="G18" s="53">
        <f t="shared" si="0"/>
        <v>12</v>
      </c>
      <c r="H18" s="49">
        <v>0</v>
      </c>
      <c r="I18" s="49">
        <f t="shared" si="1"/>
        <v>0</v>
      </c>
      <c r="J18" s="49">
        <f t="shared" si="2"/>
        <v>0</v>
      </c>
      <c r="K18" s="49">
        <f t="shared" si="3"/>
        <v>0</v>
      </c>
      <c r="L18" s="50">
        <f t="shared" si="4"/>
        <v>0</v>
      </c>
      <c r="M18" s="60"/>
      <c r="N18" s="159">
        <f t="shared" si="5"/>
        <v>0</v>
      </c>
      <c r="O18" s="49">
        <f t="shared" si="6"/>
        <v>0</v>
      </c>
      <c r="P18" s="49"/>
      <c r="Q18" s="55"/>
    </row>
    <row r="19" spans="1:17" ht="15.75" x14ac:dyDescent="0.2">
      <c r="A19" s="43" t="s">
        <v>122</v>
      </c>
      <c r="B19" s="48">
        <v>1</v>
      </c>
      <c r="C19" s="50">
        <v>0</v>
      </c>
      <c r="D19" s="50"/>
      <c r="E19" s="48">
        <v>1</v>
      </c>
      <c r="F19" s="48">
        <v>0</v>
      </c>
      <c r="G19" s="48">
        <f t="shared" si="0"/>
        <v>1</v>
      </c>
      <c r="H19" s="51">
        <v>0</v>
      </c>
      <c r="I19" s="49">
        <f t="shared" si="1"/>
        <v>0</v>
      </c>
      <c r="J19" s="49">
        <f t="shared" si="2"/>
        <v>0</v>
      </c>
      <c r="K19" s="49">
        <f t="shared" si="3"/>
        <v>0</v>
      </c>
      <c r="L19" s="50">
        <f t="shared" si="4"/>
        <v>0</v>
      </c>
      <c r="M19" s="60"/>
      <c r="N19" s="159">
        <f t="shared" si="5"/>
        <v>0</v>
      </c>
      <c r="O19" s="49">
        <f t="shared" si="6"/>
        <v>0</v>
      </c>
      <c r="P19" s="49"/>
      <c r="Q19" s="55"/>
    </row>
    <row r="20" spans="1:17" ht="15.75" x14ac:dyDescent="0.2">
      <c r="A20" s="43" t="s">
        <v>123</v>
      </c>
      <c r="B20" s="48">
        <f>3*B18</f>
        <v>36</v>
      </c>
      <c r="C20" s="50">
        <v>0</v>
      </c>
      <c r="D20" s="50"/>
      <c r="E20" s="48">
        <v>1</v>
      </c>
      <c r="F20" s="48">
        <v>0</v>
      </c>
      <c r="G20" s="48">
        <f t="shared" si="0"/>
        <v>36</v>
      </c>
      <c r="H20" s="51">
        <v>0</v>
      </c>
      <c r="I20" s="49">
        <f t="shared" si="1"/>
        <v>0</v>
      </c>
      <c r="J20" s="49">
        <f t="shared" si="2"/>
        <v>0</v>
      </c>
      <c r="K20" s="49">
        <f t="shared" si="3"/>
        <v>0</v>
      </c>
      <c r="L20" s="50">
        <f t="shared" si="4"/>
        <v>0</v>
      </c>
      <c r="M20" s="60"/>
      <c r="N20" s="159">
        <f t="shared" si="5"/>
        <v>0</v>
      </c>
      <c r="O20" s="49">
        <f t="shared" si="6"/>
        <v>0</v>
      </c>
      <c r="P20" s="49"/>
      <c r="Q20" s="55"/>
    </row>
    <row r="21" spans="1:17" ht="15.75" x14ac:dyDescent="0.2">
      <c r="A21" s="42" t="s">
        <v>124</v>
      </c>
      <c r="B21" s="48">
        <v>80</v>
      </c>
      <c r="C21" s="50">
        <v>0</v>
      </c>
      <c r="D21" s="50"/>
      <c r="E21" s="48">
        <v>1</v>
      </c>
      <c r="F21" s="48">
        <v>0</v>
      </c>
      <c r="G21" s="48">
        <f t="shared" si="0"/>
        <v>80</v>
      </c>
      <c r="H21" s="51">
        <f>H$9</f>
        <v>0</v>
      </c>
      <c r="I21" s="49">
        <f t="shared" si="1"/>
        <v>0</v>
      </c>
      <c r="J21" s="49">
        <f t="shared" si="2"/>
        <v>0</v>
      </c>
      <c r="K21" s="49">
        <f t="shared" si="3"/>
        <v>0</v>
      </c>
      <c r="L21" s="50">
        <f t="shared" si="4"/>
        <v>0</v>
      </c>
      <c r="M21" s="60"/>
      <c r="N21" s="159">
        <f t="shared" si="5"/>
        <v>0</v>
      </c>
      <c r="O21" s="49">
        <f t="shared" si="6"/>
        <v>0</v>
      </c>
      <c r="P21" s="49"/>
      <c r="Q21" s="55"/>
    </row>
    <row r="22" spans="1:17" ht="15.75" x14ac:dyDescent="0.2">
      <c r="A22" s="43" t="s">
        <v>125</v>
      </c>
      <c r="B22" s="48">
        <v>20</v>
      </c>
      <c r="C22" s="50">
        <v>0</v>
      </c>
      <c r="D22" s="50"/>
      <c r="E22" s="48">
        <v>1</v>
      </c>
      <c r="F22" s="48">
        <v>0</v>
      </c>
      <c r="G22" s="48">
        <f t="shared" si="0"/>
        <v>20</v>
      </c>
      <c r="H22" s="51">
        <f>H21*0.1</f>
        <v>0</v>
      </c>
      <c r="I22" s="49">
        <f t="shared" si="1"/>
        <v>0</v>
      </c>
      <c r="J22" s="49">
        <f t="shared" si="2"/>
        <v>0</v>
      </c>
      <c r="K22" s="49">
        <f t="shared" si="3"/>
        <v>0</v>
      </c>
      <c r="L22" s="50">
        <f t="shared" si="4"/>
        <v>0</v>
      </c>
      <c r="M22" s="60"/>
      <c r="N22" s="159">
        <f t="shared" si="5"/>
        <v>0</v>
      </c>
      <c r="O22" s="49">
        <f t="shared" si="6"/>
        <v>0</v>
      </c>
      <c r="P22" s="49"/>
      <c r="Q22" s="55"/>
    </row>
    <row r="23" spans="1:17" x14ac:dyDescent="0.2">
      <c r="A23" s="43" t="s">
        <v>72</v>
      </c>
      <c r="B23" s="199" t="s">
        <v>50</v>
      </c>
      <c r="C23" s="199"/>
      <c r="D23" s="48"/>
      <c r="E23" s="48"/>
      <c r="F23" s="48"/>
      <c r="G23" s="48"/>
      <c r="H23" s="51"/>
      <c r="I23" s="49"/>
      <c r="J23" s="49"/>
      <c r="K23" s="49"/>
      <c r="L23" s="50"/>
      <c r="M23" s="60"/>
      <c r="N23" s="159"/>
      <c r="O23" s="49"/>
      <c r="P23" s="49"/>
      <c r="Q23" s="55"/>
    </row>
    <row r="24" spans="1:17" x14ac:dyDescent="0.2">
      <c r="A24" s="43" t="s">
        <v>73</v>
      </c>
      <c r="B24" s="199" t="s">
        <v>50</v>
      </c>
      <c r="C24" s="199"/>
      <c r="D24" s="48"/>
      <c r="E24" s="48"/>
      <c r="F24" s="48"/>
      <c r="G24" s="48"/>
      <c r="H24" s="51"/>
      <c r="I24" s="49"/>
      <c r="J24" s="49"/>
      <c r="K24" s="49"/>
      <c r="L24" s="50"/>
      <c r="M24" s="60"/>
      <c r="N24" s="159"/>
      <c r="O24" s="49"/>
      <c r="P24" s="49"/>
      <c r="Q24" s="55"/>
    </row>
    <row r="25" spans="1:17" ht="15.75" x14ac:dyDescent="0.2">
      <c r="A25" s="43" t="s">
        <v>126</v>
      </c>
      <c r="B25" s="48">
        <v>27</v>
      </c>
      <c r="C25" s="50">
        <v>0</v>
      </c>
      <c r="D25" s="50"/>
      <c r="E25" s="48">
        <v>1</v>
      </c>
      <c r="F25" s="48">
        <v>0</v>
      </c>
      <c r="G25" s="48">
        <f>B25*E25</f>
        <v>27</v>
      </c>
      <c r="H25" s="51">
        <v>0</v>
      </c>
      <c r="I25" s="49">
        <f>G25*H25</f>
        <v>0</v>
      </c>
      <c r="J25" s="49">
        <f>I25*0.1</f>
        <v>0</v>
      </c>
      <c r="K25" s="49">
        <f>I25*0.05</f>
        <v>0</v>
      </c>
      <c r="L25" s="50">
        <f>(I25*T$6)+(J25*T$7)+(K25*T$5)</f>
        <v>0</v>
      </c>
      <c r="M25" s="60"/>
      <c r="N25" s="159">
        <f>C25*E25*H25</f>
        <v>0</v>
      </c>
      <c r="O25" s="49">
        <f>E25*H25</f>
        <v>0</v>
      </c>
      <c r="P25" s="49"/>
      <c r="Q25" s="55"/>
    </row>
    <row r="26" spans="1:17" ht="15" customHeight="1" x14ac:dyDescent="0.25">
      <c r="A26" s="44" t="s">
        <v>105</v>
      </c>
      <c r="B26" s="48"/>
      <c r="C26" s="50"/>
      <c r="D26" s="50"/>
      <c r="E26" s="48"/>
      <c r="F26" s="48"/>
      <c r="G26" s="48"/>
      <c r="H26" s="51"/>
      <c r="I26" s="192">
        <f>SUM(I7:I25)+SUM(J7:J25)+SUM(K7:K25)</f>
        <v>1000.5</v>
      </c>
      <c r="J26" s="192"/>
      <c r="K26" s="192"/>
      <c r="L26" s="109">
        <f>SUM(L7:L25)</f>
        <v>113963.04000000001</v>
      </c>
      <c r="M26" s="165"/>
      <c r="N26" s="159">
        <f>SUM(N7:N25)</f>
        <v>0</v>
      </c>
      <c r="O26" s="49">
        <f>SUM(O15:O25)+O9</f>
        <v>0</v>
      </c>
      <c r="P26" s="50">
        <f>SUM(P7:P25)</f>
        <v>0</v>
      </c>
      <c r="Q26" s="56" t="e">
        <f>SUM(N7,N9:N10,#REF!,#REF!,#REF!,#REF!,#REF!,#REF!,#REF!)</f>
        <v>#REF!</v>
      </c>
    </row>
    <row r="27" spans="1:17" x14ac:dyDescent="0.2">
      <c r="A27" s="40" t="s">
        <v>40</v>
      </c>
      <c r="B27" s="48"/>
      <c r="C27" s="50"/>
      <c r="D27" s="50"/>
      <c r="E27" s="48"/>
      <c r="F27" s="48"/>
      <c r="G27" s="48"/>
      <c r="H27" s="49"/>
      <c r="I27" s="49"/>
      <c r="J27" s="49"/>
      <c r="K27" s="49"/>
      <c r="L27" s="50"/>
      <c r="M27" s="60"/>
      <c r="N27" s="159"/>
      <c r="O27" s="50"/>
      <c r="P27" s="50"/>
    </row>
    <row r="28" spans="1:17" x14ac:dyDescent="0.2">
      <c r="A28" s="40" t="s">
        <v>39</v>
      </c>
      <c r="B28" s="199" t="s">
        <v>38</v>
      </c>
      <c r="C28" s="199"/>
      <c r="D28" s="48"/>
      <c r="E28" s="48"/>
      <c r="F28" s="48"/>
      <c r="G28" s="48"/>
      <c r="H28" s="49"/>
      <c r="I28" s="49"/>
      <c r="J28" s="49"/>
      <c r="K28" s="49"/>
      <c r="L28" s="50"/>
      <c r="M28" s="60"/>
      <c r="N28" s="159"/>
      <c r="O28" s="50"/>
      <c r="P28" s="50"/>
    </row>
    <row r="29" spans="1:17" x14ac:dyDescent="0.2">
      <c r="A29" s="40" t="s">
        <v>37</v>
      </c>
      <c r="B29" s="199" t="s">
        <v>194</v>
      </c>
      <c r="C29" s="199"/>
      <c r="D29" s="48"/>
      <c r="E29" s="48"/>
      <c r="F29" s="48"/>
      <c r="G29" s="48"/>
      <c r="H29" s="49"/>
      <c r="I29" s="49"/>
      <c r="J29" s="49"/>
      <c r="K29" s="49"/>
      <c r="L29" s="50"/>
      <c r="M29" s="60"/>
      <c r="N29" s="159"/>
      <c r="O29" s="50"/>
      <c r="P29" s="50"/>
    </row>
    <row r="30" spans="1:17" x14ac:dyDescent="0.2">
      <c r="A30" s="40" t="s">
        <v>36</v>
      </c>
      <c r="B30" s="199" t="s">
        <v>194</v>
      </c>
      <c r="C30" s="199"/>
      <c r="D30" s="48"/>
      <c r="E30" s="48"/>
      <c r="F30" s="48"/>
      <c r="G30" s="48"/>
      <c r="H30" s="49"/>
      <c r="I30" s="49"/>
      <c r="J30" s="49"/>
      <c r="K30" s="49"/>
      <c r="L30" s="50"/>
      <c r="M30" s="60"/>
      <c r="N30" s="159"/>
      <c r="O30" s="50"/>
      <c r="P30" s="50"/>
    </row>
    <row r="31" spans="1:17" x14ac:dyDescent="0.2">
      <c r="A31" s="40" t="s">
        <v>35</v>
      </c>
      <c r="B31" s="199" t="s">
        <v>194</v>
      </c>
      <c r="C31" s="199"/>
      <c r="D31" s="48"/>
      <c r="E31" s="48"/>
      <c r="F31" s="48"/>
      <c r="G31" s="48"/>
      <c r="H31" s="49"/>
      <c r="I31" s="49"/>
      <c r="J31" s="49"/>
      <c r="K31" s="49"/>
      <c r="L31" s="50"/>
      <c r="M31" s="60"/>
      <c r="N31" s="159"/>
      <c r="O31" s="50"/>
      <c r="P31" s="50"/>
    </row>
    <row r="32" spans="1:17" x14ac:dyDescent="0.2">
      <c r="A32" s="40" t="s">
        <v>34</v>
      </c>
      <c r="B32" s="48"/>
      <c r="C32" s="50"/>
      <c r="D32" s="50"/>
      <c r="E32" s="48"/>
      <c r="F32" s="48"/>
      <c r="G32" s="48"/>
      <c r="H32" s="49"/>
      <c r="I32" s="49"/>
      <c r="J32" s="49"/>
      <c r="K32" s="49"/>
      <c r="L32" s="50"/>
      <c r="M32" s="60"/>
      <c r="N32" s="159"/>
      <c r="O32" s="50"/>
      <c r="P32" s="50"/>
    </row>
    <row r="33" spans="1:20" ht="15.75" x14ac:dyDescent="0.2">
      <c r="A33" s="42" t="s">
        <v>127</v>
      </c>
      <c r="B33" s="48">
        <v>5</v>
      </c>
      <c r="C33" s="50">
        <v>0</v>
      </c>
      <c r="D33" s="50"/>
      <c r="E33" s="48">
        <v>12</v>
      </c>
      <c r="F33" s="48">
        <v>0</v>
      </c>
      <c r="G33" s="48">
        <f>B33*E33</f>
        <v>60</v>
      </c>
      <c r="H33" s="51">
        <f>H$10</f>
        <v>0</v>
      </c>
      <c r="I33" s="49">
        <f>G33*H33</f>
        <v>0</v>
      </c>
      <c r="J33" s="49">
        <f>I33*0.1</f>
        <v>0</v>
      </c>
      <c r="K33" s="49">
        <f>I33*0.05</f>
        <v>0</v>
      </c>
      <c r="L33" s="50">
        <f>(I33*T$6)+(J33*T$7)+(K33*T$5)</f>
        <v>0</v>
      </c>
      <c r="M33" s="60"/>
      <c r="N33" s="159">
        <f>C33*E33*H33</f>
        <v>0</v>
      </c>
      <c r="O33" s="49">
        <v>0</v>
      </c>
      <c r="P33" s="49"/>
    </row>
    <row r="34" spans="1:20" ht="28.5" x14ac:dyDescent="0.2">
      <c r="A34" s="42" t="s">
        <v>128</v>
      </c>
      <c r="B34" s="48">
        <v>11</v>
      </c>
      <c r="C34" s="50">
        <v>0</v>
      </c>
      <c r="D34" s="50"/>
      <c r="E34" s="48">
        <v>12</v>
      </c>
      <c r="F34" s="48">
        <v>0</v>
      </c>
      <c r="G34" s="48">
        <f>B34*E34</f>
        <v>132</v>
      </c>
      <c r="H34" s="51">
        <f>H$10</f>
        <v>0</v>
      </c>
      <c r="I34" s="49">
        <f>G34*H34</f>
        <v>0</v>
      </c>
      <c r="J34" s="49">
        <f>I34*0.1</f>
        <v>0</v>
      </c>
      <c r="K34" s="49">
        <f>I34*0.05</f>
        <v>0</v>
      </c>
      <c r="L34" s="50">
        <f>(I34*T$6)+(J34*T$7)+(K34*T$5)</f>
        <v>0</v>
      </c>
      <c r="M34" s="60"/>
      <c r="N34" s="159">
        <f>C34*E34*H34</f>
        <v>0</v>
      </c>
      <c r="O34" s="49">
        <v>0</v>
      </c>
      <c r="P34" s="49"/>
    </row>
    <row r="35" spans="1:20" ht="15.75" x14ac:dyDescent="0.2">
      <c r="A35" s="42" t="s">
        <v>129</v>
      </c>
      <c r="B35" s="48">
        <v>4</v>
      </c>
      <c r="C35" s="50">
        <v>0</v>
      </c>
      <c r="D35" s="50"/>
      <c r="E35" s="48">
        <v>1</v>
      </c>
      <c r="F35" s="48">
        <v>0</v>
      </c>
      <c r="G35" s="48">
        <f>B35*E35</f>
        <v>4</v>
      </c>
      <c r="H35" s="51">
        <v>0</v>
      </c>
      <c r="I35" s="49">
        <f>G35*H35</f>
        <v>0</v>
      </c>
      <c r="J35" s="49">
        <f>I35*0.1</f>
        <v>0</v>
      </c>
      <c r="K35" s="49">
        <f>I35*0.05</f>
        <v>0</v>
      </c>
      <c r="L35" s="50">
        <f>(I35*T$6)+(J35*T$7)+(K35*T$5)</f>
        <v>0</v>
      </c>
      <c r="M35" s="60"/>
      <c r="N35" s="159">
        <f>C35*E35*H35</f>
        <v>0</v>
      </c>
      <c r="O35" s="49">
        <v>0</v>
      </c>
      <c r="P35" s="49"/>
    </row>
    <row r="36" spans="1:20" x14ac:dyDescent="0.2">
      <c r="A36" s="40" t="s">
        <v>33</v>
      </c>
      <c r="B36" s="199" t="s">
        <v>194</v>
      </c>
      <c r="C36" s="199"/>
      <c r="D36" s="48"/>
      <c r="E36" s="48"/>
      <c r="F36" s="48"/>
      <c r="G36" s="48"/>
      <c r="H36" s="51"/>
      <c r="I36" s="49"/>
      <c r="J36" s="49"/>
      <c r="K36" s="49"/>
      <c r="L36" s="50"/>
      <c r="M36" s="60"/>
      <c r="N36" s="159"/>
      <c r="O36" s="49"/>
      <c r="P36" s="49"/>
    </row>
    <row r="37" spans="1:20" x14ac:dyDescent="0.2">
      <c r="A37" s="40" t="s">
        <v>32</v>
      </c>
      <c r="B37" s="199" t="s">
        <v>194</v>
      </c>
      <c r="C37" s="199"/>
      <c r="D37" s="48"/>
      <c r="E37" s="48"/>
      <c r="F37" s="48"/>
      <c r="G37" s="48"/>
      <c r="H37" s="51"/>
      <c r="I37" s="49"/>
      <c r="J37" s="49"/>
      <c r="K37" s="49"/>
      <c r="L37" s="50"/>
      <c r="M37" s="60"/>
      <c r="N37" s="159"/>
      <c r="O37" s="50"/>
      <c r="P37" s="50"/>
    </row>
    <row r="38" spans="1:20" ht="13.5" x14ac:dyDescent="0.25">
      <c r="A38" s="44" t="s">
        <v>106</v>
      </c>
      <c r="B38" s="48"/>
      <c r="C38" s="50"/>
      <c r="D38" s="50"/>
      <c r="E38" s="48"/>
      <c r="F38" s="48"/>
      <c r="G38" s="48"/>
      <c r="H38" s="49"/>
      <c r="I38" s="193">
        <f>SUM(I28:I37)+SUM(J28:J38)+SUM(K28:K38)</f>
        <v>0</v>
      </c>
      <c r="J38" s="194"/>
      <c r="K38" s="195"/>
      <c r="L38" s="109">
        <f>SUM(L28:L37)</f>
        <v>0</v>
      </c>
      <c r="M38" s="165"/>
      <c r="N38" s="159">
        <f t="shared" ref="N38:P38" si="7">SUM(N28:N37)</f>
        <v>0</v>
      </c>
      <c r="O38" s="49">
        <f t="shared" si="7"/>
        <v>0</v>
      </c>
      <c r="P38" s="50">
        <f t="shared" si="7"/>
        <v>0</v>
      </c>
      <c r="Q38" s="57">
        <f>SUM(Q28:Q37)</f>
        <v>0</v>
      </c>
    </row>
    <row r="39" spans="1:20" ht="15.75" x14ac:dyDescent="0.2">
      <c r="A39" s="45" t="s">
        <v>137</v>
      </c>
      <c r="B39" s="48"/>
      <c r="C39" s="50"/>
      <c r="D39" s="50"/>
      <c r="E39" s="48"/>
      <c r="F39" s="48"/>
      <c r="G39" s="48"/>
      <c r="H39" s="49"/>
      <c r="I39" s="196">
        <f>I26+I38</f>
        <v>1000.5</v>
      </c>
      <c r="J39" s="197"/>
      <c r="K39" s="198"/>
      <c r="L39" s="58">
        <f>ROUND(L26+L38,-3)</f>
        <v>114000</v>
      </c>
      <c r="M39" s="70"/>
      <c r="N39" s="160">
        <f>N26+N38</f>
        <v>0</v>
      </c>
      <c r="O39" s="59">
        <f>O26+O38</f>
        <v>0</v>
      </c>
      <c r="P39" s="58">
        <f t="shared" ref="P39:P40" si="8">P26+P38</f>
        <v>0</v>
      </c>
      <c r="Q39" s="60"/>
      <c r="T39" s="117"/>
    </row>
    <row r="40" spans="1:20" ht="15.75" x14ac:dyDescent="0.2">
      <c r="A40" s="45" t="s">
        <v>138</v>
      </c>
      <c r="B40" s="48"/>
      <c r="C40" s="50"/>
      <c r="D40" s="50"/>
      <c r="E40" s="48"/>
      <c r="F40" s="48"/>
      <c r="G40" s="48"/>
      <c r="H40" s="49"/>
      <c r="I40" s="59"/>
      <c r="J40" s="59"/>
      <c r="K40" s="59"/>
      <c r="L40" s="58">
        <f>'Capital - O&amp;M'!H11</f>
        <v>0</v>
      </c>
      <c r="M40" s="70"/>
      <c r="N40" s="160">
        <v>0</v>
      </c>
      <c r="O40" s="59">
        <v>0</v>
      </c>
      <c r="P40" s="58">
        <f t="shared" si="8"/>
        <v>0</v>
      </c>
      <c r="Q40" s="60"/>
    </row>
    <row r="41" spans="1:20" s="61" customFormat="1" ht="15.75" x14ac:dyDescent="0.2">
      <c r="A41" s="45" t="s">
        <v>130</v>
      </c>
      <c r="B41" s="62"/>
      <c r="C41" s="58"/>
      <c r="D41" s="58"/>
      <c r="E41" s="62"/>
      <c r="F41" s="62"/>
      <c r="G41" s="62"/>
      <c r="H41" s="63"/>
      <c r="I41" s="59"/>
      <c r="J41" s="59"/>
      <c r="K41" s="59"/>
      <c r="L41" s="58">
        <f>ROUND(SUM(L39:L40),-3)</f>
        <v>114000</v>
      </c>
      <c r="M41" s="70"/>
      <c r="N41" s="160">
        <f>N40+L39</f>
        <v>114000</v>
      </c>
      <c r="O41" s="59"/>
      <c r="P41" s="58"/>
    </row>
    <row r="42" spans="1:20" ht="16.5" customHeight="1" x14ac:dyDescent="0.2"/>
    <row r="43" spans="1:20" ht="12.75" customHeight="1" x14ac:dyDescent="0.2">
      <c r="A43" s="78" t="s">
        <v>158</v>
      </c>
      <c r="B43" s="67"/>
      <c r="C43" s="67"/>
      <c r="D43" s="67"/>
      <c r="E43" s="67"/>
      <c r="F43" s="67"/>
      <c r="G43" s="67"/>
      <c r="H43" s="67"/>
      <c r="I43" s="67"/>
      <c r="J43" s="67"/>
      <c r="K43" s="67"/>
      <c r="L43" s="67"/>
      <c r="M43" s="167"/>
      <c r="N43" s="67"/>
      <c r="O43" s="67"/>
      <c r="P43" s="67"/>
    </row>
    <row r="44" spans="1:20" ht="18" customHeight="1" x14ac:dyDescent="0.2">
      <c r="A44" s="189" t="s">
        <v>140</v>
      </c>
      <c r="B44" s="189"/>
      <c r="C44" s="189"/>
      <c r="D44" s="189"/>
      <c r="E44" s="189"/>
      <c r="F44" s="189"/>
      <c r="G44" s="189"/>
      <c r="H44" s="189"/>
      <c r="I44" s="189"/>
      <c r="J44" s="189"/>
      <c r="K44" s="189"/>
      <c r="L44" s="189"/>
      <c r="M44" s="168"/>
      <c r="N44" s="46"/>
      <c r="O44" s="46"/>
      <c r="P44" s="46"/>
    </row>
    <row r="45" spans="1:20" ht="42.75" customHeight="1" x14ac:dyDescent="0.2">
      <c r="A45" s="189" t="s">
        <v>141</v>
      </c>
      <c r="B45" s="189"/>
      <c r="C45" s="189"/>
      <c r="D45" s="189"/>
      <c r="E45" s="189"/>
      <c r="F45" s="189"/>
      <c r="G45" s="189"/>
      <c r="H45" s="189"/>
      <c r="I45" s="189"/>
      <c r="J45" s="189"/>
      <c r="K45" s="189"/>
      <c r="L45" s="189"/>
      <c r="M45" s="168"/>
      <c r="N45" s="98"/>
      <c r="O45" s="98"/>
      <c r="P45" s="98"/>
    </row>
    <row r="46" spans="1:20" ht="60.75" customHeight="1" x14ac:dyDescent="0.2">
      <c r="A46" s="190" t="s">
        <v>289</v>
      </c>
      <c r="B46" s="190"/>
      <c r="C46" s="190"/>
      <c r="D46" s="190"/>
      <c r="E46" s="190"/>
      <c r="F46" s="190"/>
      <c r="G46" s="190"/>
      <c r="H46" s="190"/>
      <c r="I46" s="190"/>
      <c r="J46" s="190"/>
      <c r="K46" s="190"/>
      <c r="L46" s="190"/>
      <c r="M46" s="169"/>
      <c r="N46" s="47"/>
      <c r="O46" s="47"/>
      <c r="P46" s="47"/>
    </row>
    <row r="47" spans="1:20" ht="54.75" customHeight="1" x14ac:dyDescent="0.2">
      <c r="A47" s="189" t="s">
        <v>142</v>
      </c>
      <c r="B47" s="189"/>
      <c r="C47" s="189"/>
      <c r="D47" s="189"/>
      <c r="E47" s="189"/>
      <c r="F47" s="189"/>
      <c r="G47" s="189"/>
      <c r="H47" s="189"/>
      <c r="I47" s="189"/>
      <c r="J47" s="189"/>
      <c r="K47" s="189"/>
      <c r="L47" s="189"/>
      <c r="M47" s="168"/>
      <c r="N47" s="98"/>
      <c r="O47" s="98"/>
      <c r="P47" s="98"/>
      <c r="Q47" s="98"/>
    </row>
    <row r="48" spans="1:20" ht="33.75" customHeight="1" x14ac:dyDescent="0.2">
      <c r="A48" s="190" t="s">
        <v>143</v>
      </c>
      <c r="B48" s="190"/>
      <c r="C48" s="190"/>
      <c r="D48" s="190"/>
      <c r="E48" s="190"/>
      <c r="F48" s="190"/>
      <c r="G48" s="190"/>
      <c r="H48" s="190"/>
      <c r="I48" s="190"/>
      <c r="J48" s="190"/>
      <c r="K48" s="190"/>
      <c r="L48" s="190"/>
      <c r="M48" s="169"/>
      <c r="N48" s="47"/>
      <c r="O48" s="47"/>
      <c r="P48" s="47"/>
    </row>
    <row r="49" spans="1:17" ht="90" customHeight="1" x14ac:dyDescent="0.2">
      <c r="A49" s="189" t="s">
        <v>290</v>
      </c>
      <c r="B49" s="189"/>
      <c r="C49" s="189"/>
      <c r="D49" s="189"/>
      <c r="E49" s="189"/>
      <c r="F49" s="189"/>
      <c r="G49" s="189"/>
      <c r="H49" s="189"/>
      <c r="I49" s="189"/>
      <c r="J49" s="189"/>
      <c r="K49" s="189"/>
      <c r="L49" s="189"/>
      <c r="M49" s="168"/>
      <c r="N49" s="98"/>
      <c r="O49" s="98"/>
      <c r="P49" s="98"/>
      <c r="Q49" s="98"/>
    </row>
    <row r="50" spans="1:17" ht="33" customHeight="1" x14ac:dyDescent="0.2">
      <c r="A50" s="189" t="s">
        <v>291</v>
      </c>
      <c r="B50" s="189"/>
      <c r="C50" s="189"/>
      <c r="D50" s="189"/>
      <c r="E50" s="189"/>
      <c r="F50" s="189"/>
      <c r="G50" s="189"/>
      <c r="H50" s="189"/>
      <c r="I50" s="189"/>
      <c r="J50" s="189"/>
      <c r="K50" s="189"/>
      <c r="L50" s="189"/>
      <c r="M50" s="168"/>
      <c r="N50" s="98"/>
      <c r="O50" s="68"/>
      <c r="P50" s="68"/>
      <c r="Q50" s="68"/>
    </row>
    <row r="51" spans="1:17" ht="21" customHeight="1" x14ac:dyDescent="0.2">
      <c r="A51" s="189" t="s">
        <v>144</v>
      </c>
      <c r="B51" s="189"/>
      <c r="C51" s="189"/>
      <c r="D51" s="189"/>
      <c r="E51" s="189"/>
      <c r="F51" s="189"/>
      <c r="G51" s="189"/>
      <c r="H51" s="189"/>
      <c r="I51" s="189"/>
      <c r="J51" s="189"/>
      <c r="K51" s="189"/>
      <c r="L51" s="189"/>
      <c r="M51" s="168"/>
      <c r="N51" s="97"/>
      <c r="O51" s="97"/>
      <c r="P51" s="97"/>
    </row>
    <row r="52" spans="1:17" ht="18" customHeight="1" x14ac:dyDescent="0.2">
      <c r="A52" s="190" t="s">
        <v>145</v>
      </c>
      <c r="B52" s="190"/>
      <c r="C52" s="190"/>
      <c r="D52" s="190"/>
      <c r="E52" s="190"/>
      <c r="F52" s="190"/>
      <c r="G52" s="190"/>
      <c r="H52" s="190"/>
      <c r="I52" s="190"/>
      <c r="J52" s="190"/>
      <c r="K52" s="190"/>
      <c r="L52" s="190"/>
      <c r="M52" s="169"/>
      <c r="N52" s="99"/>
      <c r="O52" s="99"/>
      <c r="P52" s="99"/>
    </row>
  </sheetData>
  <mergeCells count="26">
    <mergeCell ref="S4:T4"/>
    <mergeCell ref="A44:L44"/>
    <mergeCell ref="A45:L45"/>
    <mergeCell ref="A46:L46"/>
    <mergeCell ref="A47:L47"/>
    <mergeCell ref="B30:C30"/>
    <mergeCell ref="B31:C31"/>
    <mergeCell ref="B4:C4"/>
    <mergeCell ref="B5:C5"/>
    <mergeCell ref="B12:C12"/>
    <mergeCell ref="B13:C13"/>
    <mergeCell ref="A49:L49"/>
    <mergeCell ref="A50:L50"/>
    <mergeCell ref="A51:L51"/>
    <mergeCell ref="A52:L52"/>
    <mergeCell ref="A1:L1"/>
    <mergeCell ref="I26:K26"/>
    <mergeCell ref="I38:K38"/>
    <mergeCell ref="I39:K39"/>
    <mergeCell ref="A48:L48"/>
    <mergeCell ref="B36:C36"/>
    <mergeCell ref="B37:C37"/>
    <mergeCell ref="B23:C23"/>
    <mergeCell ref="B24:C24"/>
    <mergeCell ref="B28:C28"/>
    <mergeCell ref="B29:C29"/>
  </mergeCells>
  <pageMargins left="0.25" right="0.25" top="0.5" bottom="0.5" header="0.5" footer="0.5"/>
  <pageSetup scale="6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52"/>
  <sheetViews>
    <sheetView topLeftCell="A13" zoomScale="115" zoomScaleNormal="115" zoomScaleSheetLayoutView="100" workbookViewId="0">
      <selection sqref="A1:L1"/>
    </sheetView>
  </sheetViews>
  <sheetFormatPr defaultRowHeight="12.75" x14ac:dyDescent="0.2"/>
  <cols>
    <col min="1" max="1" width="44.42578125" style="46" customWidth="1"/>
    <col min="2" max="2" width="9.5703125" style="64" customWidth="1"/>
    <col min="3" max="3" width="9.7109375" style="64" bestFit="1" customWidth="1"/>
    <col min="4" max="4" width="9.5703125" style="64" bestFit="1" customWidth="1"/>
    <col min="5" max="5" width="11.28515625" style="64" customWidth="1"/>
    <col min="6" max="6" width="9.28515625" style="64" customWidth="1"/>
    <col min="7" max="7" width="10.42578125" style="64" customWidth="1"/>
    <col min="8" max="8" width="10.42578125" style="65" customWidth="1"/>
    <col min="9" max="9" width="8.28515625" style="64" bestFit="1" customWidth="1"/>
    <col min="10" max="10" width="8" style="64" bestFit="1" customWidth="1"/>
    <col min="11" max="11" width="10.7109375" style="64" customWidth="1"/>
    <col min="12" max="12" width="10.85546875" style="64" customWidth="1"/>
    <col min="13" max="13" width="12.28515625" style="66" hidden="1" customWidth="1"/>
    <col min="14" max="14" width="10" style="66" hidden="1" customWidth="1"/>
    <col min="15" max="15" width="7.85546875" style="66" hidden="1" customWidth="1"/>
    <col min="16" max="16" width="10.42578125" style="46" hidden="1" customWidth="1"/>
    <col min="17" max="17" width="5.140625" style="46" customWidth="1"/>
    <col min="18" max="18" width="11.5703125" style="46" customWidth="1"/>
    <col min="19" max="16384" width="9.140625" style="46"/>
  </cols>
  <sheetData>
    <row r="1" spans="1:19" ht="38.25" customHeight="1" x14ac:dyDescent="0.2">
      <c r="A1" s="191" t="s">
        <v>237</v>
      </c>
      <c r="B1" s="191"/>
      <c r="C1" s="191"/>
      <c r="D1" s="191"/>
      <c r="E1" s="191"/>
      <c r="F1" s="191"/>
      <c r="G1" s="191"/>
      <c r="H1" s="191"/>
      <c r="I1" s="191"/>
      <c r="J1" s="191"/>
      <c r="K1" s="191"/>
      <c r="L1" s="191"/>
      <c r="M1" s="108"/>
      <c r="N1" s="108"/>
      <c r="O1" s="108"/>
    </row>
    <row r="2" spans="1:19" x14ac:dyDescent="0.2">
      <c r="A2" s="201"/>
      <c r="B2" s="201"/>
      <c r="C2" s="201"/>
      <c r="D2" s="201"/>
      <c r="E2" s="201"/>
      <c r="F2" s="201"/>
      <c r="G2" s="201"/>
      <c r="H2" s="201"/>
      <c r="I2" s="201"/>
      <c r="J2" s="201"/>
      <c r="K2" s="201"/>
      <c r="L2" s="201"/>
      <c r="M2" s="201"/>
      <c r="N2" s="201"/>
      <c r="O2" s="201"/>
    </row>
    <row r="3" spans="1:19" s="47" customFormat="1" ht="90" customHeight="1" x14ac:dyDescent="0.2">
      <c r="A3" s="39" t="s">
        <v>49</v>
      </c>
      <c r="B3" s="94" t="s">
        <v>131</v>
      </c>
      <c r="C3" s="94" t="s">
        <v>78</v>
      </c>
      <c r="D3" s="94" t="s">
        <v>79</v>
      </c>
      <c r="E3" s="94" t="s">
        <v>56</v>
      </c>
      <c r="F3" s="94" t="s">
        <v>113</v>
      </c>
      <c r="G3" s="94" t="s">
        <v>110</v>
      </c>
      <c r="H3" s="95" t="s">
        <v>57</v>
      </c>
      <c r="I3" s="96" t="s">
        <v>162</v>
      </c>
      <c r="J3" s="96" t="s">
        <v>163</v>
      </c>
      <c r="K3" s="96" t="s">
        <v>164</v>
      </c>
      <c r="L3" s="94" t="s">
        <v>136</v>
      </c>
      <c r="M3" s="96" t="s">
        <v>111</v>
      </c>
      <c r="N3" s="96" t="s">
        <v>133</v>
      </c>
      <c r="O3" s="96" t="s">
        <v>97</v>
      </c>
      <c r="P3" s="47" t="s">
        <v>48</v>
      </c>
    </row>
    <row r="4" spans="1:19" ht="19.5" customHeight="1" x14ac:dyDescent="0.2">
      <c r="A4" s="40" t="s">
        <v>47</v>
      </c>
      <c r="B4" s="199" t="s">
        <v>194</v>
      </c>
      <c r="C4" s="199"/>
      <c r="D4" s="48"/>
      <c r="E4" s="48"/>
      <c r="F4" s="48"/>
      <c r="G4" s="48"/>
      <c r="H4" s="49"/>
      <c r="I4" s="49"/>
      <c r="J4" s="49"/>
      <c r="K4" s="49"/>
      <c r="L4" s="50"/>
      <c r="M4" s="50"/>
      <c r="N4" s="50"/>
      <c r="O4" s="50"/>
      <c r="R4" s="200" t="s">
        <v>0</v>
      </c>
      <c r="S4" s="200"/>
    </row>
    <row r="5" spans="1:19" x14ac:dyDescent="0.2">
      <c r="A5" s="40" t="s">
        <v>46</v>
      </c>
      <c r="B5" s="199" t="s">
        <v>194</v>
      </c>
      <c r="C5" s="199"/>
      <c r="D5" s="48"/>
      <c r="E5" s="48"/>
      <c r="F5" s="48"/>
      <c r="G5" s="48"/>
      <c r="H5" s="49"/>
      <c r="I5" s="49"/>
      <c r="J5" s="49"/>
      <c r="K5" s="49"/>
      <c r="L5" s="50"/>
      <c r="M5" s="50"/>
      <c r="N5" s="50"/>
      <c r="O5" s="50"/>
      <c r="R5" s="92" t="s">
        <v>139</v>
      </c>
      <c r="S5" s="93">
        <v>65.709999999999994</v>
      </c>
    </row>
    <row r="6" spans="1:19" x14ac:dyDescent="0.2">
      <c r="A6" s="40" t="s">
        <v>45</v>
      </c>
      <c r="B6" s="48"/>
      <c r="C6" s="50"/>
      <c r="D6" s="50"/>
      <c r="E6" s="48"/>
      <c r="F6" s="48"/>
      <c r="G6" s="48"/>
      <c r="H6" s="49"/>
      <c r="I6" s="49"/>
      <c r="J6" s="49"/>
      <c r="K6" s="49"/>
      <c r="L6" s="50"/>
      <c r="M6" s="50"/>
      <c r="N6" s="50"/>
      <c r="O6" s="50"/>
      <c r="R6" s="92" t="s">
        <v>54</v>
      </c>
      <c r="S6" s="93">
        <v>48.75</v>
      </c>
    </row>
    <row r="7" spans="1:19" ht="15.75" x14ac:dyDescent="0.2">
      <c r="A7" s="41" t="s">
        <v>114</v>
      </c>
      <c r="B7" s="48">
        <v>5</v>
      </c>
      <c r="C7" s="50">
        <v>0</v>
      </c>
      <c r="D7" s="50"/>
      <c r="E7" s="48">
        <v>1</v>
      </c>
      <c r="F7" s="48">
        <v>0</v>
      </c>
      <c r="G7" s="48">
        <f>B7*E7</f>
        <v>5</v>
      </c>
      <c r="H7" s="51">
        <f>ROUND('Respondents and Responses'!D13,0)</f>
        <v>285</v>
      </c>
      <c r="I7" s="49">
        <f>G7*H7</f>
        <v>1425</v>
      </c>
      <c r="J7" s="49">
        <f>I7*0.1</f>
        <v>142.5</v>
      </c>
      <c r="K7" s="49">
        <f>I7*0.05</f>
        <v>71.25</v>
      </c>
      <c r="L7" s="52">
        <f>(I7*S$6)+(J7*S$7)+(K7*S$5)</f>
        <v>77909.737499999988</v>
      </c>
      <c r="M7" s="50">
        <f>C7*E7*H7</f>
        <v>0</v>
      </c>
      <c r="N7" s="49">
        <f>E7*H7</f>
        <v>285</v>
      </c>
      <c r="O7" s="49"/>
      <c r="R7" s="92" t="s">
        <v>55</v>
      </c>
      <c r="S7" s="93">
        <v>26.38</v>
      </c>
    </row>
    <row r="8" spans="1:19" x14ac:dyDescent="0.2">
      <c r="A8" s="40" t="s">
        <v>44</v>
      </c>
      <c r="B8" s="48"/>
      <c r="C8" s="50"/>
      <c r="D8" s="50"/>
      <c r="E8" s="48"/>
      <c r="F8" s="48"/>
      <c r="G8" s="48"/>
      <c r="H8" s="49"/>
      <c r="I8" s="49"/>
      <c r="J8" s="49"/>
      <c r="K8" s="49"/>
      <c r="L8" s="52"/>
      <c r="M8" s="50"/>
      <c r="N8" s="50"/>
      <c r="O8" s="50"/>
      <c r="Q8" s="54"/>
    </row>
    <row r="9" spans="1:19" ht="15.75" x14ac:dyDescent="0.2">
      <c r="A9" s="42" t="s">
        <v>134</v>
      </c>
      <c r="B9" s="48">
        <v>12</v>
      </c>
      <c r="C9" s="52">
        <f>'Other Cost Basis'!D2+'Other Cost Basis'!D17+'Other Cost Basis'!D18+'Other Cost Basis'!D19</f>
        <v>1983.6594844730848</v>
      </c>
      <c r="D9" s="52">
        <f>'Other Cost Basis'!D20</f>
        <v>1000</v>
      </c>
      <c r="E9" s="48">
        <v>1</v>
      </c>
      <c r="F9" s="48">
        <v>0</v>
      </c>
      <c r="G9" s="48">
        <f>B9*E9</f>
        <v>12</v>
      </c>
      <c r="H9" s="51">
        <v>0</v>
      </c>
      <c r="I9" s="49">
        <f>G9*H9</f>
        <v>0</v>
      </c>
      <c r="J9" s="49">
        <f>I9*0.1</f>
        <v>0</v>
      </c>
      <c r="K9" s="49">
        <f>I9*0.05</f>
        <v>0</v>
      </c>
      <c r="L9" s="50">
        <f t="shared" ref="L9:L22" si="0">(I9*S$6)+(J9*S$7)+(K9*S$5)</f>
        <v>0</v>
      </c>
      <c r="M9" s="50">
        <f>(C9+D9)*E9*H9</f>
        <v>0</v>
      </c>
      <c r="N9" s="49">
        <f>E9*H9</f>
        <v>0</v>
      </c>
      <c r="O9" s="49"/>
      <c r="Q9" s="54"/>
    </row>
    <row r="10" spans="1:19" ht="15.75" x14ac:dyDescent="0.2">
      <c r="A10" s="42" t="s">
        <v>116</v>
      </c>
      <c r="B10" s="53">
        <v>44</v>
      </c>
      <c r="C10" s="52">
        <f>'Other Cost Basis'!B9+'Other Cost Basis'!F13+'Other Cost Basis'!F14</f>
        <v>703.5</v>
      </c>
      <c r="D10" s="50"/>
      <c r="E10" s="48">
        <v>4</v>
      </c>
      <c r="F10" s="53">
        <f>B10*E10</f>
        <v>176</v>
      </c>
      <c r="G10" s="48">
        <v>0</v>
      </c>
      <c r="H10" s="51">
        <v>0</v>
      </c>
      <c r="I10" s="49">
        <f>F10*H10</f>
        <v>0</v>
      </c>
      <c r="J10" s="49">
        <v>0</v>
      </c>
      <c r="K10" s="49">
        <v>0</v>
      </c>
      <c r="L10" s="50">
        <f t="shared" si="0"/>
        <v>0</v>
      </c>
      <c r="M10" s="50">
        <f>C10*E10*H10</f>
        <v>0</v>
      </c>
      <c r="N10" s="49">
        <f>E10*H10</f>
        <v>0</v>
      </c>
      <c r="O10" s="49"/>
      <c r="Q10" s="54"/>
    </row>
    <row r="11" spans="1:19" ht="15.75" x14ac:dyDescent="0.2">
      <c r="A11" s="42" t="s">
        <v>117</v>
      </c>
      <c r="B11" s="53">
        <f>ROUND(2000/49.85,0)</f>
        <v>40</v>
      </c>
      <c r="C11" s="52">
        <f>'Other Cost Basis'!F15</f>
        <v>17</v>
      </c>
      <c r="D11" s="50"/>
      <c r="E11" s="48">
        <v>12</v>
      </c>
      <c r="F11" s="53">
        <f>B11*E11</f>
        <v>480</v>
      </c>
      <c r="G11" s="48">
        <v>0</v>
      </c>
      <c r="H11" s="51">
        <f>H10</f>
        <v>0</v>
      </c>
      <c r="I11" s="49">
        <f>F11*H11</f>
        <v>0</v>
      </c>
      <c r="J11" s="49">
        <v>0</v>
      </c>
      <c r="K11" s="49">
        <v>0</v>
      </c>
      <c r="L11" s="50">
        <f t="shared" si="0"/>
        <v>0</v>
      </c>
      <c r="M11" s="50">
        <f>C11*E11*H11</f>
        <v>0</v>
      </c>
      <c r="N11" s="49">
        <f>E11*H11</f>
        <v>0</v>
      </c>
      <c r="O11" s="49"/>
      <c r="Q11" s="54"/>
    </row>
    <row r="12" spans="1:19" x14ac:dyDescent="0.2">
      <c r="A12" s="40" t="s">
        <v>43</v>
      </c>
      <c r="B12" s="199" t="s">
        <v>50</v>
      </c>
      <c r="C12" s="199"/>
      <c r="D12" s="48"/>
      <c r="E12" s="48"/>
      <c r="F12" s="48"/>
      <c r="G12" s="48"/>
      <c r="H12" s="49"/>
      <c r="I12" s="49"/>
      <c r="J12" s="49"/>
      <c r="K12" s="49"/>
      <c r="L12" s="50"/>
      <c r="M12" s="50"/>
      <c r="N12" s="50"/>
      <c r="O12" s="50"/>
      <c r="Q12" s="54"/>
    </row>
    <row r="13" spans="1:19" x14ac:dyDescent="0.2">
      <c r="A13" s="40" t="s">
        <v>42</v>
      </c>
      <c r="B13" s="199" t="s">
        <v>50</v>
      </c>
      <c r="C13" s="199"/>
      <c r="D13" s="48"/>
      <c r="E13" s="48"/>
      <c r="F13" s="48"/>
      <c r="G13" s="48"/>
      <c r="H13" s="49"/>
      <c r="I13" s="49"/>
      <c r="J13" s="49"/>
      <c r="K13" s="49"/>
      <c r="L13" s="50"/>
      <c r="M13" s="50"/>
      <c r="N13" s="50"/>
      <c r="O13" s="50"/>
    </row>
    <row r="14" spans="1:19" x14ac:dyDescent="0.2">
      <c r="A14" s="40" t="s">
        <v>41</v>
      </c>
      <c r="B14" s="48"/>
      <c r="C14" s="50"/>
      <c r="D14" s="50"/>
      <c r="E14" s="48"/>
      <c r="F14" s="48"/>
      <c r="G14" s="48"/>
      <c r="H14" s="49"/>
      <c r="I14" s="49"/>
      <c r="J14" s="49"/>
      <c r="K14" s="49"/>
      <c r="L14" s="50"/>
      <c r="M14" s="50"/>
      <c r="N14" s="50"/>
      <c r="O14" s="50"/>
    </row>
    <row r="15" spans="1:19" ht="15.75" x14ac:dyDescent="0.2">
      <c r="A15" s="42" t="s">
        <v>118</v>
      </c>
      <c r="B15" s="48">
        <v>2</v>
      </c>
      <c r="C15" s="50">
        <v>0</v>
      </c>
      <c r="D15" s="50"/>
      <c r="E15" s="48">
        <v>1</v>
      </c>
      <c r="F15" s="48">
        <v>0</v>
      </c>
      <c r="G15" s="48">
        <f>B15*E15</f>
        <v>2</v>
      </c>
      <c r="H15" s="51">
        <v>0</v>
      </c>
      <c r="I15" s="49">
        <f t="shared" ref="I15:I22" si="1">G15*H15</f>
        <v>0</v>
      </c>
      <c r="J15" s="49">
        <f t="shared" ref="J15:J22" si="2">I15*0.1</f>
        <v>0</v>
      </c>
      <c r="K15" s="49">
        <f t="shared" ref="K15:K22" si="3">I15*0.05</f>
        <v>0</v>
      </c>
      <c r="L15" s="50">
        <f t="shared" si="0"/>
        <v>0</v>
      </c>
      <c r="M15" s="50">
        <f>C15*E15*H15</f>
        <v>0</v>
      </c>
      <c r="N15" s="49">
        <f t="shared" ref="N15:N22" si="4">E15*H15</f>
        <v>0</v>
      </c>
      <c r="O15" s="49"/>
    </row>
    <row r="16" spans="1:19" ht="15.75" x14ac:dyDescent="0.2">
      <c r="A16" s="43" t="s">
        <v>119</v>
      </c>
      <c r="B16" s="48">
        <v>2</v>
      </c>
      <c r="C16" s="50">
        <v>0</v>
      </c>
      <c r="D16" s="50"/>
      <c r="E16" s="48">
        <v>1</v>
      </c>
      <c r="F16" s="48">
        <v>0</v>
      </c>
      <c r="G16" s="48">
        <f>B16*E16</f>
        <v>2</v>
      </c>
      <c r="H16" s="51">
        <f>0</f>
        <v>0</v>
      </c>
      <c r="I16" s="49">
        <f t="shared" si="1"/>
        <v>0</v>
      </c>
      <c r="J16" s="49">
        <f t="shared" si="2"/>
        <v>0</v>
      </c>
      <c r="K16" s="49">
        <f t="shared" si="3"/>
        <v>0</v>
      </c>
      <c r="L16" s="50">
        <f t="shared" si="0"/>
        <v>0</v>
      </c>
      <c r="M16" s="50">
        <f t="shared" ref="M16:M22" si="5">C16*E16*H16</f>
        <v>0</v>
      </c>
      <c r="N16" s="49">
        <f t="shared" si="4"/>
        <v>0</v>
      </c>
      <c r="O16" s="49"/>
    </row>
    <row r="17" spans="1:16" ht="15.75" x14ac:dyDescent="0.2">
      <c r="A17" s="43" t="s">
        <v>120</v>
      </c>
      <c r="B17" s="48">
        <v>8</v>
      </c>
      <c r="C17" s="50">
        <v>0</v>
      </c>
      <c r="D17" s="50"/>
      <c r="E17" s="48">
        <v>1</v>
      </c>
      <c r="F17" s="48">
        <v>0</v>
      </c>
      <c r="G17" s="48">
        <f>B17*E17</f>
        <v>8</v>
      </c>
      <c r="H17" s="51">
        <v>0</v>
      </c>
      <c r="I17" s="49">
        <f t="shared" si="1"/>
        <v>0</v>
      </c>
      <c r="J17" s="49">
        <f t="shared" si="2"/>
        <v>0</v>
      </c>
      <c r="K17" s="49">
        <f t="shared" si="3"/>
        <v>0</v>
      </c>
      <c r="L17" s="50">
        <f t="shared" si="0"/>
        <v>0</v>
      </c>
      <c r="M17" s="50">
        <f t="shared" si="5"/>
        <v>0</v>
      </c>
      <c r="N17" s="49">
        <f t="shared" si="4"/>
        <v>0</v>
      </c>
      <c r="O17" s="49"/>
      <c r="P17" s="55"/>
    </row>
    <row r="18" spans="1:16" ht="15.75" x14ac:dyDescent="0.2">
      <c r="A18" s="43" t="s">
        <v>121</v>
      </c>
      <c r="B18" s="53">
        <v>12</v>
      </c>
      <c r="C18" s="52">
        <f>'Other Cost Basis'!D4</f>
        <v>2708.280314173127</v>
      </c>
      <c r="D18" s="50"/>
      <c r="E18" s="48">
        <v>1</v>
      </c>
      <c r="F18" s="48">
        <v>0</v>
      </c>
      <c r="G18" s="53">
        <f>B18*E18</f>
        <v>12</v>
      </c>
      <c r="H18" s="49">
        <v>0</v>
      </c>
      <c r="I18" s="49">
        <f t="shared" si="1"/>
        <v>0</v>
      </c>
      <c r="J18" s="49">
        <f t="shared" si="2"/>
        <v>0</v>
      </c>
      <c r="K18" s="49">
        <f t="shared" si="3"/>
        <v>0</v>
      </c>
      <c r="L18" s="50">
        <f t="shared" si="0"/>
        <v>0</v>
      </c>
      <c r="M18" s="50">
        <f t="shared" si="5"/>
        <v>0</v>
      </c>
      <c r="N18" s="49">
        <f t="shared" si="4"/>
        <v>0</v>
      </c>
      <c r="O18" s="49"/>
      <c r="P18" s="55"/>
    </row>
    <row r="19" spans="1:16" ht="15.75" x14ac:dyDescent="0.2">
      <c r="A19" s="43" t="s">
        <v>122</v>
      </c>
      <c r="B19" s="48">
        <v>1</v>
      </c>
      <c r="C19" s="50">
        <v>0</v>
      </c>
      <c r="D19" s="50"/>
      <c r="E19" s="48">
        <v>1</v>
      </c>
      <c r="F19" s="48">
        <v>0</v>
      </c>
      <c r="G19" s="48">
        <f>B19*E19</f>
        <v>1</v>
      </c>
      <c r="H19" s="51">
        <v>0</v>
      </c>
      <c r="I19" s="49">
        <f t="shared" si="1"/>
        <v>0</v>
      </c>
      <c r="J19" s="49">
        <f t="shared" si="2"/>
        <v>0</v>
      </c>
      <c r="K19" s="49">
        <f t="shared" si="3"/>
        <v>0</v>
      </c>
      <c r="L19" s="50">
        <f t="shared" si="0"/>
        <v>0</v>
      </c>
      <c r="M19" s="50">
        <f t="shared" si="5"/>
        <v>0</v>
      </c>
      <c r="N19" s="49">
        <f t="shared" si="4"/>
        <v>0</v>
      </c>
      <c r="O19" s="49"/>
      <c r="P19" s="55"/>
    </row>
    <row r="20" spans="1:16" ht="15.75" x14ac:dyDescent="0.2">
      <c r="A20" s="43" t="s">
        <v>123</v>
      </c>
      <c r="B20" s="48">
        <f>3*B18</f>
        <v>36</v>
      </c>
      <c r="C20" s="50">
        <v>0</v>
      </c>
      <c r="D20" s="50"/>
      <c r="E20" s="48">
        <v>1</v>
      </c>
      <c r="F20" s="48">
        <v>0</v>
      </c>
      <c r="G20" s="48">
        <f t="shared" ref="G20:G22" si="6">B20*E20</f>
        <v>36</v>
      </c>
      <c r="H20" s="51">
        <v>0</v>
      </c>
      <c r="I20" s="49">
        <f t="shared" si="1"/>
        <v>0</v>
      </c>
      <c r="J20" s="49">
        <f t="shared" si="2"/>
        <v>0</v>
      </c>
      <c r="K20" s="49">
        <f t="shared" si="3"/>
        <v>0</v>
      </c>
      <c r="L20" s="50">
        <f t="shared" si="0"/>
        <v>0</v>
      </c>
      <c r="M20" s="50">
        <f t="shared" si="5"/>
        <v>0</v>
      </c>
      <c r="N20" s="49">
        <f t="shared" si="4"/>
        <v>0</v>
      </c>
      <c r="O20" s="49"/>
      <c r="P20" s="55"/>
    </row>
    <row r="21" spans="1:16" ht="15.75" x14ac:dyDescent="0.2">
      <c r="A21" s="42" t="s">
        <v>124</v>
      </c>
      <c r="B21" s="48">
        <v>80</v>
      </c>
      <c r="C21" s="50">
        <v>0</v>
      </c>
      <c r="D21" s="50"/>
      <c r="E21" s="48">
        <v>1</v>
      </c>
      <c r="F21" s="48">
        <v>0</v>
      </c>
      <c r="G21" s="48">
        <f t="shared" si="6"/>
        <v>80</v>
      </c>
      <c r="H21" s="51">
        <f>H$9</f>
        <v>0</v>
      </c>
      <c r="I21" s="49">
        <f t="shared" si="1"/>
        <v>0</v>
      </c>
      <c r="J21" s="49">
        <f t="shared" si="2"/>
        <v>0</v>
      </c>
      <c r="K21" s="49">
        <f t="shared" si="3"/>
        <v>0</v>
      </c>
      <c r="L21" s="50">
        <f t="shared" si="0"/>
        <v>0</v>
      </c>
      <c r="M21" s="50">
        <f t="shared" si="5"/>
        <v>0</v>
      </c>
      <c r="N21" s="49">
        <f t="shared" si="4"/>
        <v>0</v>
      </c>
      <c r="O21" s="49"/>
      <c r="P21" s="55"/>
    </row>
    <row r="22" spans="1:16" ht="15.75" x14ac:dyDescent="0.2">
      <c r="A22" s="43" t="s">
        <v>125</v>
      </c>
      <c r="B22" s="48">
        <v>20</v>
      </c>
      <c r="C22" s="50">
        <v>0</v>
      </c>
      <c r="D22" s="50"/>
      <c r="E22" s="48">
        <v>1</v>
      </c>
      <c r="F22" s="48">
        <v>0</v>
      </c>
      <c r="G22" s="48">
        <f t="shared" si="6"/>
        <v>20</v>
      </c>
      <c r="H22" s="51">
        <f>H21*0.1</f>
        <v>0</v>
      </c>
      <c r="I22" s="49">
        <f t="shared" si="1"/>
        <v>0</v>
      </c>
      <c r="J22" s="49">
        <f t="shared" si="2"/>
        <v>0</v>
      </c>
      <c r="K22" s="49">
        <f t="shared" si="3"/>
        <v>0</v>
      </c>
      <c r="L22" s="50">
        <f t="shared" si="0"/>
        <v>0</v>
      </c>
      <c r="M22" s="50">
        <f t="shared" si="5"/>
        <v>0</v>
      </c>
      <c r="N22" s="49">
        <f t="shared" si="4"/>
        <v>0</v>
      </c>
      <c r="O22" s="49"/>
      <c r="P22" s="55"/>
    </row>
    <row r="23" spans="1:16" x14ac:dyDescent="0.2">
      <c r="A23" s="43" t="s">
        <v>72</v>
      </c>
      <c r="B23" s="199" t="s">
        <v>50</v>
      </c>
      <c r="C23" s="199"/>
      <c r="D23" s="48"/>
      <c r="E23" s="48"/>
      <c r="F23" s="48"/>
      <c r="G23" s="48"/>
      <c r="H23" s="51"/>
      <c r="I23" s="49"/>
      <c r="J23" s="49"/>
      <c r="K23" s="49"/>
      <c r="L23" s="50"/>
      <c r="M23" s="50"/>
      <c r="N23" s="49"/>
      <c r="O23" s="49"/>
      <c r="P23" s="55"/>
    </row>
    <row r="24" spans="1:16" x14ac:dyDescent="0.2">
      <c r="A24" s="43" t="s">
        <v>73</v>
      </c>
      <c r="B24" s="199" t="s">
        <v>50</v>
      </c>
      <c r="C24" s="199"/>
      <c r="D24" s="48"/>
      <c r="E24" s="48"/>
      <c r="F24" s="48"/>
      <c r="G24" s="48"/>
      <c r="H24" s="51"/>
      <c r="I24" s="49"/>
      <c r="J24" s="49"/>
      <c r="K24" s="49"/>
      <c r="L24" s="50"/>
      <c r="M24" s="50"/>
      <c r="N24" s="49"/>
      <c r="O24" s="49"/>
      <c r="P24" s="55"/>
    </row>
    <row r="25" spans="1:16" ht="15.75" x14ac:dyDescent="0.2">
      <c r="A25" s="43" t="s">
        <v>126</v>
      </c>
      <c r="B25" s="48">
        <v>27</v>
      </c>
      <c r="C25" s="50">
        <v>0</v>
      </c>
      <c r="D25" s="50"/>
      <c r="E25" s="48">
        <v>1</v>
      </c>
      <c r="F25" s="48">
        <v>0</v>
      </c>
      <c r="G25" s="48">
        <f>B25*E25</f>
        <v>27</v>
      </c>
      <c r="H25" s="51">
        <v>0</v>
      </c>
      <c r="I25" s="49">
        <f>G25*H25</f>
        <v>0</v>
      </c>
      <c r="J25" s="49">
        <f>I25*0.1</f>
        <v>0</v>
      </c>
      <c r="K25" s="49">
        <f>I25*0.05</f>
        <v>0</v>
      </c>
      <c r="L25" s="50">
        <f>(I25*S$6)+(J25*S$7)+(K25*S$5)</f>
        <v>0</v>
      </c>
      <c r="M25" s="50">
        <f>C25*E25*H25</f>
        <v>0</v>
      </c>
      <c r="N25" s="49">
        <f>E25*H25</f>
        <v>0</v>
      </c>
      <c r="O25" s="49"/>
      <c r="P25" s="55"/>
    </row>
    <row r="26" spans="1:16" ht="13.5" x14ac:dyDescent="0.25">
      <c r="A26" s="44" t="s">
        <v>105</v>
      </c>
      <c r="B26" s="48"/>
      <c r="C26" s="50"/>
      <c r="D26" s="50"/>
      <c r="E26" s="48"/>
      <c r="F26" s="48"/>
      <c r="G26" s="48"/>
      <c r="H26" s="51"/>
      <c r="I26" s="193">
        <f>SUM(I7:I25)+SUM(J7:J25)+SUM(K7:K25)</f>
        <v>1638.75</v>
      </c>
      <c r="J26" s="194"/>
      <c r="K26" s="195"/>
      <c r="L26" s="109">
        <f>SUM(L7:L25)</f>
        <v>77909.737499999988</v>
      </c>
      <c r="M26" s="50">
        <f>SUM(M7:M25)</f>
        <v>0</v>
      </c>
      <c r="N26" s="49">
        <f>SUM(N15:N25)+N9</f>
        <v>0</v>
      </c>
      <c r="O26" s="50">
        <f>SUM(O7:O25)</f>
        <v>0</v>
      </c>
      <c r="P26" s="56"/>
    </row>
    <row r="27" spans="1:16" x14ac:dyDescent="0.2">
      <c r="A27" s="40" t="s">
        <v>40</v>
      </c>
      <c r="B27" s="48"/>
      <c r="C27" s="50"/>
      <c r="D27" s="50"/>
      <c r="E27" s="48"/>
      <c r="F27" s="48"/>
      <c r="G27" s="48"/>
      <c r="H27" s="49"/>
      <c r="I27" s="49"/>
      <c r="J27" s="49"/>
      <c r="K27" s="49"/>
      <c r="L27" s="50"/>
      <c r="M27" s="50"/>
      <c r="N27" s="50"/>
      <c r="O27" s="50"/>
    </row>
    <row r="28" spans="1:16" x14ac:dyDescent="0.2">
      <c r="A28" s="40" t="s">
        <v>39</v>
      </c>
      <c r="B28" s="199" t="s">
        <v>38</v>
      </c>
      <c r="C28" s="199"/>
      <c r="D28" s="48"/>
      <c r="E28" s="48"/>
      <c r="F28" s="48"/>
      <c r="G28" s="48"/>
      <c r="H28" s="49"/>
      <c r="I28" s="49"/>
      <c r="J28" s="49"/>
      <c r="K28" s="49"/>
      <c r="L28" s="50"/>
      <c r="M28" s="50"/>
      <c r="N28" s="50"/>
      <c r="O28" s="50"/>
    </row>
    <row r="29" spans="1:16" x14ac:dyDescent="0.2">
      <c r="A29" s="40" t="s">
        <v>37</v>
      </c>
      <c r="B29" s="199" t="s">
        <v>194</v>
      </c>
      <c r="C29" s="199"/>
      <c r="D29" s="48"/>
      <c r="E29" s="48"/>
      <c r="F29" s="48"/>
      <c r="G29" s="48"/>
      <c r="H29" s="49"/>
      <c r="I29" s="49"/>
      <c r="J29" s="49"/>
      <c r="K29" s="49"/>
      <c r="L29" s="50"/>
      <c r="M29" s="50"/>
      <c r="N29" s="50"/>
      <c r="O29" s="50"/>
    </row>
    <row r="30" spans="1:16" x14ac:dyDescent="0.2">
      <c r="A30" s="40" t="s">
        <v>36</v>
      </c>
      <c r="B30" s="199" t="s">
        <v>194</v>
      </c>
      <c r="C30" s="199"/>
      <c r="D30" s="48"/>
      <c r="E30" s="48"/>
      <c r="F30" s="48"/>
      <c r="G30" s="48"/>
      <c r="H30" s="49"/>
      <c r="I30" s="49"/>
      <c r="J30" s="49"/>
      <c r="K30" s="49"/>
      <c r="L30" s="50"/>
      <c r="M30" s="50"/>
      <c r="N30" s="50"/>
      <c r="O30" s="50"/>
    </row>
    <row r="31" spans="1:16" x14ac:dyDescent="0.2">
      <c r="A31" s="40" t="s">
        <v>35</v>
      </c>
      <c r="B31" s="199" t="s">
        <v>194</v>
      </c>
      <c r="C31" s="199"/>
      <c r="D31" s="48"/>
      <c r="E31" s="48"/>
      <c r="F31" s="48"/>
      <c r="G31" s="48"/>
      <c r="H31" s="49"/>
      <c r="I31" s="49"/>
      <c r="J31" s="49"/>
      <c r="K31" s="49"/>
      <c r="L31" s="50"/>
      <c r="M31" s="50"/>
      <c r="N31" s="50"/>
      <c r="O31" s="50"/>
    </row>
    <row r="32" spans="1:16" x14ac:dyDescent="0.2">
      <c r="A32" s="40" t="s">
        <v>34</v>
      </c>
      <c r="B32" s="48"/>
      <c r="C32" s="50"/>
      <c r="D32" s="50"/>
      <c r="E32" s="48"/>
      <c r="F32" s="48"/>
      <c r="G32" s="48"/>
      <c r="H32" s="49"/>
      <c r="I32" s="49"/>
      <c r="J32" s="49"/>
      <c r="K32" s="49"/>
      <c r="L32" s="50"/>
      <c r="M32" s="50"/>
      <c r="N32" s="50"/>
      <c r="O32" s="50"/>
    </row>
    <row r="33" spans="1:19" ht="15.75" customHeight="1" x14ac:dyDescent="0.2">
      <c r="A33" s="42" t="s">
        <v>127</v>
      </c>
      <c r="B33" s="48">
        <v>5</v>
      </c>
      <c r="C33" s="50">
        <v>0</v>
      </c>
      <c r="D33" s="50"/>
      <c r="E33" s="48">
        <v>12</v>
      </c>
      <c r="F33" s="48">
        <v>0</v>
      </c>
      <c r="G33" s="48">
        <f>B33*E33</f>
        <v>60</v>
      </c>
      <c r="H33" s="51">
        <f>H$10</f>
        <v>0</v>
      </c>
      <c r="I33" s="49">
        <f>G33*H33</f>
        <v>0</v>
      </c>
      <c r="J33" s="49">
        <f>I33*0.1</f>
        <v>0</v>
      </c>
      <c r="K33" s="49">
        <f>I33*0.05</f>
        <v>0</v>
      </c>
      <c r="L33" s="50">
        <f>(I33*S$6)+(J33*S$7)+(K33*S$5)</f>
        <v>0</v>
      </c>
      <c r="M33" s="50">
        <f>C33*E33*H33</f>
        <v>0</v>
      </c>
      <c r="N33" s="49">
        <v>0</v>
      </c>
      <c r="O33" s="49"/>
    </row>
    <row r="34" spans="1:19" ht="26.25" customHeight="1" x14ac:dyDescent="0.2">
      <c r="A34" s="42" t="s">
        <v>128</v>
      </c>
      <c r="B34" s="48">
        <v>11</v>
      </c>
      <c r="C34" s="50">
        <v>0</v>
      </c>
      <c r="D34" s="50"/>
      <c r="E34" s="48">
        <v>12</v>
      </c>
      <c r="F34" s="48">
        <v>0</v>
      </c>
      <c r="G34" s="48">
        <f>B34*E34</f>
        <v>132</v>
      </c>
      <c r="H34" s="51">
        <f>H$10</f>
        <v>0</v>
      </c>
      <c r="I34" s="49">
        <f>G34*H34</f>
        <v>0</v>
      </c>
      <c r="J34" s="49">
        <f>I34*0.1</f>
        <v>0</v>
      </c>
      <c r="K34" s="49">
        <f>I34*0.05</f>
        <v>0</v>
      </c>
      <c r="L34" s="50">
        <f t="shared" ref="L34:L35" si="7">(I34*S$6)+(J34*S$7)+(K34*S$5)</f>
        <v>0</v>
      </c>
      <c r="M34" s="50">
        <f>C34*E34*H34</f>
        <v>0</v>
      </c>
      <c r="N34" s="49">
        <v>0</v>
      </c>
      <c r="O34" s="49"/>
    </row>
    <row r="35" spans="1:19" ht="19.5" customHeight="1" x14ac:dyDescent="0.2">
      <c r="A35" s="42" t="s">
        <v>129</v>
      </c>
      <c r="B35" s="48">
        <v>4</v>
      </c>
      <c r="C35" s="50">
        <v>0</v>
      </c>
      <c r="D35" s="50"/>
      <c r="E35" s="48">
        <v>1</v>
      </c>
      <c r="F35" s="48">
        <v>0</v>
      </c>
      <c r="G35" s="48">
        <f>B35*E35</f>
        <v>4</v>
      </c>
      <c r="H35" s="51">
        <v>0</v>
      </c>
      <c r="I35" s="49">
        <f>G35*H35</f>
        <v>0</v>
      </c>
      <c r="J35" s="49">
        <f>I35*0.1</f>
        <v>0</v>
      </c>
      <c r="K35" s="49">
        <f>I35*0.05</f>
        <v>0</v>
      </c>
      <c r="L35" s="50">
        <f t="shared" si="7"/>
        <v>0</v>
      </c>
      <c r="M35" s="50">
        <f>C35*E35*H35</f>
        <v>0</v>
      </c>
      <c r="N35" s="49">
        <v>0</v>
      </c>
      <c r="O35" s="49"/>
    </row>
    <row r="36" spans="1:19" x14ac:dyDescent="0.2">
      <c r="A36" s="40" t="s">
        <v>33</v>
      </c>
      <c r="B36" s="199" t="s">
        <v>194</v>
      </c>
      <c r="C36" s="199"/>
      <c r="D36" s="48"/>
      <c r="E36" s="48"/>
      <c r="F36" s="48"/>
      <c r="G36" s="48"/>
      <c r="H36" s="51"/>
      <c r="I36" s="49"/>
      <c r="J36" s="49"/>
      <c r="K36" s="49"/>
      <c r="L36" s="52"/>
      <c r="M36" s="50"/>
      <c r="N36" s="49"/>
      <c r="O36" s="49"/>
    </row>
    <row r="37" spans="1:19" x14ac:dyDescent="0.2">
      <c r="A37" s="40" t="s">
        <v>32</v>
      </c>
      <c r="B37" s="199" t="s">
        <v>194</v>
      </c>
      <c r="C37" s="199"/>
      <c r="D37" s="48"/>
      <c r="E37" s="48"/>
      <c r="F37" s="48"/>
      <c r="G37" s="48"/>
      <c r="H37" s="51"/>
      <c r="I37" s="49"/>
      <c r="J37" s="49"/>
      <c r="K37" s="49"/>
      <c r="L37" s="52"/>
      <c r="M37" s="50"/>
      <c r="N37" s="50"/>
      <c r="O37" s="50"/>
    </row>
    <row r="38" spans="1:19" ht="13.5" x14ac:dyDescent="0.25">
      <c r="A38" s="44" t="s">
        <v>106</v>
      </c>
      <c r="B38" s="48"/>
      <c r="C38" s="50"/>
      <c r="D38" s="50"/>
      <c r="E38" s="48"/>
      <c r="F38" s="48"/>
      <c r="G38" s="48"/>
      <c r="H38" s="49"/>
      <c r="I38" s="193">
        <f>SUM(I28:I37)+SUM(J28:J38)+SUM(K28:K38)</f>
        <v>0</v>
      </c>
      <c r="J38" s="194"/>
      <c r="K38" s="195"/>
      <c r="L38" s="109">
        <f>SUM(L28:L37)</f>
        <v>0</v>
      </c>
      <c r="M38" s="50">
        <f t="shared" ref="M38:O38" si="8">SUM(M28:M37)</f>
        <v>0</v>
      </c>
      <c r="N38" s="49">
        <f t="shared" si="8"/>
        <v>0</v>
      </c>
      <c r="O38" s="50">
        <f t="shared" si="8"/>
        <v>0</v>
      </c>
      <c r="P38" s="57"/>
    </row>
    <row r="39" spans="1:19" s="61" customFormat="1" ht="15.75" x14ac:dyDescent="0.2">
      <c r="A39" s="45" t="s">
        <v>137</v>
      </c>
      <c r="B39" s="62"/>
      <c r="C39" s="58"/>
      <c r="D39" s="58"/>
      <c r="E39" s="62"/>
      <c r="F39" s="62"/>
      <c r="G39" s="62"/>
      <c r="H39" s="63"/>
      <c r="I39" s="196">
        <f>I26+I38</f>
        <v>1638.75</v>
      </c>
      <c r="J39" s="197"/>
      <c r="K39" s="198"/>
      <c r="L39" s="58">
        <f>ROUND(L26+L38,-2)</f>
        <v>77900</v>
      </c>
      <c r="M39" s="58">
        <f>M26+M38</f>
        <v>0</v>
      </c>
      <c r="N39" s="59">
        <f>N26+N38</f>
        <v>0</v>
      </c>
      <c r="O39" s="58">
        <f t="shared" ref="O39:O40" si="9">O26+O38</f>
        <v>0</v>
      </c>
      <c r="S39" s="46"/>
    </row>
    <row r="40" spans="1:19" s="61" customFormat="1" ht="15.75" x14ac:dyDescent="0.2">
      <c r="A40" s="45" t="s">
        <v>138</v>
      </c>
      <c r="B40" s="62"/>
      <c r="C40" s="58"/>
      <c r="D40" s="58"/>
      <c r="E40" s="62"/>
      <c r="F40" s="62"/>
      <c r="G40" s="62"/>
      <c r="H40" s="63"/>
      <c r="I40" s="59"/>
      <c r="J40" s="59"/>
      <c r="K40" s="59"/>
      <c r="L40" s="58">
        <f>'Table 1a-Private'!L40</f>
        <v>0</v>
      </c>
      <c r="M40" s="58">
        <v>0</v>
      </c>
      <c r="N40" s="59">
        <v>0</v>
      </c>
      <c r="O40" s="58">
        <f t="shared" si="9"/>
        <v>0</v>
      </c>
      <c r="S40" s="46"/>
    </row>
    <row r="41" spans="1:19" s="61" customFormat="1" ht="15.75" x14ac:dyDescent="0.2">
      <c r="A41" s="45" t="s">
        <v>130</v>
      </c>
      <c r="B41" s="62"/>
      <c r="C41" s="58"/>
      <c r="D41" s="58"/>
      <c r="E41" s="62"/>
      <c r="F41" s="62"/>
      <c r="G41" s="62"/>
      <c r="H41" s="63"/>
      <c r="I41" s="59"/>
      <c r="J41" s="59"/>
      <c r="K41" s="59"/>
      <c r="L41" s="58">
        <f>ROUND(SUM(L39:L40),-2)</f>
        <v>77900</v>
      </c>
      <c r="M41" s="58">
        <f>M40+L39</f>
        <v>77900</v>
      </c>
      <c r="N41" s="59"/>
      <c r="O41" s="58"/>
      <c r="S41" s="46"/>
    </row>
    <row r="42" spans="1:19" s="61" customFormat="1" x14ac:dyDescent="0.2">
      <c r="A42" s="69"/>
      <c r="B42" s="69"/>
      <c r="C42" s="70"/>
      <c r="D42" s="70"/>
      <c r="E42" s="69"/>
      <c r="F42" s="69"/>
      <c r="G42" s="69"/>
      <c r="H42" s="71"/>
      <c r="I42" s="72"/>
      <c r="J42" s="72"/>
      <c r="K42" s="72"/>
      <c r="L42" s="70"/>
      <c r="M42" s="70"/>
      <c r="N42" s="72"/>
      <c r="O42" s="70"/>
    </row>
    <row r="43" spans="1:19" ht="12.75" customHeight="1" x14ac:dyDescent="0.2">
      <c r="A43" s="78" t="s">
        <v>158</v>
      </c>
      <c r="B43" s="67"/>
      <c r="C43" s="67"/>
      <c r="D43" s="67"/>
      <c r="E43" s="67"/>
      <c r="F43" s="67"/>
      <c r="G43" s="67"/>
      <c r="H43" s="67"/>
      <c r="I43" s="67"/>
      <c r="J43" s="67"/>
      <c r="K43" s="67"/>
      <c r="L43" s="67"/>
      <c r="M43" s="67"/>
      <c r="N43" s="67"/>
      <c r="O43" s="67"/>
    </row>
    <row r="44" spans="1:19" ht="18" customHeight="1" x14ac:dyDescent="0.2">
      <c r="A44" s="189" t="s">
        <v>140</v>
      </c>
      <c r="B44" s="189"/>
      <c r="C44" s="189"/>
      <c r="D44" s="189"/>
      <c r="E44" s="189"/>
      <c r="F44" s="189"/>
      <c r="G44" s="189"/>
      <c r="H44" s="189"/>
      <c r="I44" s="189"/>
      <c r="J44" s="189"/>
      <c r="K44" s="189"/>
      <c r="L44" s="189"/>
      <c r="M44" s="97"/>
      <c r="N44" s="97"/>
      <c r="O44" s="97"/>
    </row>
    <row r="45" spans="1:19" ht="40.5" customHeight="1" x14ac:dyDescent="0.2">
      <c r="A45" s="190" t="s">
        <v>160</v>
      </c>
      <c r="B45" s="190"/>
      <c r="C45" s="190"/>
      <c r="D45" s="190"/>
      <c r="E45" s="190"/>
      <c r="F45" s="190"/>
      <c r="G45" s="190"/>
      <c r="H45" s="190"/>
      <c r="I45" s="190"/>
      <c r="J45" s="190"/>
      <c r="K45" s="190"/>
      <c r="L45" s="190"/>
      <c r="M45" s="47"/>
      <c r="N45" s="47"/>
      <c r="O45" s="47"/>
    </row>
    <row r="46" spans="1:19" ht="54.75" customHeight="1" x14ac:dyDescent="0.2">
      <c r="A46" s="190" t="s">
        <v>289</v>
      </c>
      <c r="B46" s="190"/>
      <c r="C46" s="190"/>
      <c r="D46" s="190"/>
      <c r="E46" s="190"/>
      <c r="F46" s="190"/>
      <c r="G46" s="190"/>
      <c r="H46" s="190"/>
      <c r="I46" s="190"/>
      <c r="J46" s="190"/>
      <c r="K46" s="190"/>
      <c r="L46" s="190"/>
      <c r="M46" s="47"/>
      <c r="N46" s="47"/>
      <c r="O46" s="47"/>
    </row>
    <row r="47" spans="1:19" ht="55.5" customHeight="1" x14ac:dyDescent="0.2">
      <c r="A47" s="189" t="s">
        <v>142</v>
      </c>
      <c r="B47" s="189"/>
      <c r="C47" s="189"/>
      <c r="D47" s="189"/>
      <c r="E47" s="189"/>
      <c r="F47" s="189"/>
      <c r="G47" s="189"/>
      <c r="H47" s="189"/>
      <c r="I47" s="189"/>
      <c r="J47" s="189"/>
      <c r="K47" s="189"/>
      <c r="L47" s="189"/>
      <c r="M47" s="98"/>
      <c r="N47" s="98"/>
      <c r="O47" s="98"/>
      <c r="P47" s="98"/>
    </row>
    <row r="48" spans="1:19" ht="36.75" customHeight="1" x14ac:dyDescent="0.2">
      <c r="A48" s="190" t="s">
        <v>143</v>
      </c>
      <c r="B48" s="190"/>
      <c r="C48" s="190"/>
      <c r="D48" s="190"/>
      <c r="E48" s="190"/>
      <c r="F48" s="190"/>
      <c r="G48" s="190"/>
      <c r="H48" s="190"/>
      <c r="I48" s="190"/>
      <c r="J48" s="190"/>
      <c r="K48" s="190"/>
      <c r="L48" s="190"/>
      <c r="M48" s="47"/>
      <c r="N48" s="47"/>
      <c r="O48" s="47"/>
    </row>
    <row r="49" spans="1:16" ht="91.5" customHeight="1" x14ac:dyDescent="0.2">
      <c r="A49" s="189" t="s">
        <v>290</v>
      </c>
      <c r="B49" s="189"/>
      <c r="C49" s="189"/>
      <c r="D49" s="189"/>
      <c r="E49" s="189"/>
      <c r="F49" s="189"/>
      <c r="G49" s="189"/>
      <c r="H49" s="189"/>
      <c r="I49" s="189"/>
      <c r="J49" s="189"/>
      <c r="K49" s="189"/>
      <c r="L49" s="189"/>
      <c r="M49" s="98"/>
      <c r="N49" s="98"/>
      <c r="O49" s="98"/>
      <c r="P49" s="98"/>
    </row>
    <row r="50" spans="1:16" ht="30.75" customHeight="1" x14ac:dyDescent="0.2">
      <c r="A50" s="189" t="s">
        <v>292</v>
      </c>
      <c r="B50" s="189"/>
      <c r="C50" s="189"/>
      <c r="D50" s="189"/>
      <c r="E50" s="189"/>
      <c r="F50" s="189"/>
      <c r="G50" s="189"/>
      <c r="H50" s="189"/>
      <c r="I50" s="189"/>
      <c r="J50" s="189"/>
      <c r="K50" s="189"/>
      <c r="L50" s="189"/>
      <c r="M50" s="98"/>
      <c r="N50" s="98"/>
      <c r="O50" s="98"/>
      <c r="P50" s="68"/>
    </row>
    <row r="51" spans="1:16" ht="18.75" customHeight="1" x14ac:dyDescent="0.2">
      <c r="A51" s="189" t="s">
        <v>144</v>
      </c>
      <c r="B51" s="189"/>
      <c r="C51" s="189"/>
      <c r="D51" s="189"/>
      <c r="E51" s="189"/>
      <c r="F51" s="189"/>
      <c r="G51" s="189"/>
      <c r="H51" s="189"/>
      <c r="I51" s="189"/>
      <c r="J51" s="189"/>
      <c r="K51" s="189"/>
      <c r="L51" s="189"/>
      <c r="M51" s="97"/>
      <c r="N51" s="97"/>
      <c r="O51" s="97"/>
    </row>
    <row r="52" spans="1:16" ht="17.25" customHeight="1" x14ac:dyDescent="0.2">
      <c r="A52" s="190" t="s">
        <v>145</v>
      </c>
      <c r="B52" s="190"/>
      <c r="C52" s="190"/>
      <c r="D52" s="190"/>
      <c r="E52" s="190"/>
      <c r="F52" s="190"/>
      <c r="G52" s="190"/>
      <c r="H52" s="190"/>
      <c r="I52" s="190"/>
      <c r="J52" s="190"/>
      <c r="K52" s="190"/>
      <c r="L52" s="190"/>
      <c r="M52" s="99"/>
      <c r="N52" s="99"/>
      <c r="O52" s="99"/>
    </row>
  </sheetData>
  <mergeCells count="27">
    <mergeCell ref="A1:L1"/>
    <mergeCell ref="R4:S4"/>
    <mergeCell ref="A44:L44"/>
    <mergeCell ref="A45:L45"/>
    <mergeCell ref="A46:L46"/>
    <mergeCell ref="B4:C4"/>
    <mergeCell ref="A2:O2"/>
    <mergeCell ref="B5:C5"/>
    <mergeCell ref="B12:C12"/>
    <mergeCell ref="B13:C13"/>
    <mergeCell ref="B23:C23"/>
    <mergeCell ref="B24:C24"/>
    <mergeCell ref="B28:C28"/>
    <mergeCell ref="B29:C29"/>
    <mergeCell ref="B30:C30"/>
    <mergeCell ref="B31:C31"/>
    <mergeCell ref="B36:C36"/>
    <mergeCell ref="B37:C37"/>
    <mergeCell ref="I39:K39"/>
    <mergeCell ref="I26:K26"/>
    <mergeCell ref="I38:K38"/>
    <mergeCell ref="A52:L52"/>
    <mergeCell ref="A47:L47"/>
    <mergeCell ref="A48:L48"/>
    <mergeCell ref="A49:L49"/>
    <mergeCell ref="A50:L50"/>
    <mergeCell ref="A51:L51"/>
  </mergeCells>
  <pageMargins left="0.25" right="0.25" top="0.5" bottom="0.5" header="0.5" footer="0.5"/>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57ED4-CD98-48C6-BB55-3BFF758C8AD7}">
  <dimension ref="A1:L12"/>
  <sheetViews>
    <sheetView workbookViewId="0">
      <selection activeCell="F7" sqref="F7"/>
    </sheetView>
  </sheetViews>
  <sheetFormatPr defaultRowHeight="12.75" x14ac:dyDescent="0.2"/>
  <cols>
    <col min="1" max="1" width="19.7109375" style="73" customWidth="1"/>
    <col min="2" max="2" width="14.7109375" style="73" customWidth="1"/>
    <col min="3" max="3" width="14.85546875" style="73" customWidth="1"/>
    <col min="4" max="4" width="9.140625" style="73"/>
    <col min="5" max="5" width="15" style="73" customWidth="1"/>
    <col min="6" max="6" width="9.140625" style="73"/>
    <col min="7" max="8" width="12.140625" style="73" customWidth="1"/>
    <col min="9" max="9" width="12.28515625" style="73" customWidth="1"/>
    <col min="10" max="16384" width="9.140625" style="73"/>
  </cols>
  <sheetData>
    <row r="1" spans="1:12" ht="32.25" customHeight="1" x14ac:dyDescent="0.2">
      <c r="A1" s="203" t="s">
        <v>260</v>
      </c>
      <c r="B1" s="203"/>
      <c r="C1" s="203"/>
      <c r="D1" s="203"/>
      <c r="E1" s="203"/>
      <c r="F1" s="203"/>
      <c r="G1" s="203"/>
      <c r="H1" s="203"/>
      <c r="I1" s="203"/>
    </row>
    <row r="3" spans="1:12" x14ac:dyDescent="0.2">
      <c r="D3" s="202" t="s">
        <v>250</v>
      </c>
      <c r="E3" s="202"/>
      <c r="F3" s="202"/>
    </row>
    <row r="4" spans="1:12" ht="38.25" x14ac:dyDescent="0.2">
      <c r="A4" s="134" t="s">
        <v>251</v>
      </c>
      <c r="B4" s="134" t="s">
        <v>252</v>
      </c>
      <c r="C4" s="134" t="s">
        <v>253</v>
      </c>
      <c r="D4" s="134" t="s">
        <v>254</v>
      </c>
      <c r="E4" s="134" t="s">
        <v>255</v>
      </c>
      <c r="F4" s="134" t="s">
        <v>256</v>
      </c>
      <c r="G4" s="134" t="s">
        <v>257</v>
      </c>
      <c r="H4" s="134" t="s">
        <v>258</v>
      </c>
      <c r="I4" s="134" t="s">
        <v>259</v>
      </c>
    </row>
    <row r="5" spans="1:12" ht="15.75" x14ac:dyDescent="0.2">
      <c r="A5" s="144" t="s">
        <v>295</v>
      </c>
      <c r="B5" s="145">
        <f>SUM(B6:B7)</f>
        <v>459</v>
      </c>
      <c r="C5" s="145">
        <f t="shared" ref="C5:E5" si="0">SUM(C6:C7)</f>
        <v>459</v>
      </c>
      <c r="D5" s="146">
        <f>ROUND(SUM(D6:D7),-1)</f>
        <v>2640</v>
      </c>
      <c r="E5" s="145">
        <f t="shared" si="0"/>
        <v>0</v>
      </c>
      <c r="F5" s="146">
        <f>ROUND(SUM(F6:F7),-1)</f>
        <v>2640</v>
      </c>
      <c r="G5" s="147">
        <f>ROUND(SUM(G6:G7),-3)</f>
        <v>192000</v>
      </c>
      <c r="H5" s="147">
        <f t="shared" ref="H5" si="1">SUM(H6:H7)</f>
        <v>0</v>
      </c>
      <c r="I5" s="147">
        <f>ROUND(SUM(I6:I7),-3)</f>
        <v>192000</v>
      </c>
      <c r="L5" s="151"/>
    </row>
    <row r="6" spans="1:12" x14ac:dyDescent="0.2">
      <c r="A6" s="144" t="s">
        <v>261</v>
      </c>
      <c r="B6" s="148">
        <f>'Table 1a-Private'!H7</f>
        <v>174</v>
      </c>
      <c r="C6" s="149">
        <f>'Respondents and Responses'!E45</f>
        <v>174</v>
      </c>
      <c r="D6" s="148">
        <f>SUM('Table 1a-Private'!I26:K26)</f>
        <v>1000.5</v>
      </c>
      <c r="E6" s="148">
        <f>SUM('Table 1a-Private'!I38:K38)</f>
        <v>0</v>
      </c>
      <c r="F6" s="148">
        <f>D6+E6</f>
        <v>1000.5</v>
      </c>
      <c r="G6" s="150">
        <f>'Table 1a-Private'!L39</f>
        <v>114000</v>
      </c>
      <c r="H6" s="150">
        <f>'Table 1a-Private'!L40</f>
        <v>0</v>
      </c>
      <c r="I6" s="150">
        <f>G6+H6</f>
        <v>114000</v>
      </c>
    </row>
    <row r="7" spans="1:12" x14ac:dyDescent="0.2">
      <c r="A7" s="144" t="s">
        <v>262</v>
      </c>
      <c r="B7" s="148">
        <f>'Table 1b-Public'!H7</f>
        <v>285</v>
      </c>
      <c r="C7" s="149">
        <f>'Respondents and Responses'!E57</f>
        <v>285</v>
      </c>
      <c r="D7" s="148">
        <f>SUM('Table 1b-Public'!I26:K26)</f>
        <v>1638.75</v>
      </c>
      <c r="E7" s="148">
        <f>SUM('Table 1b-Public'!I38:K38)</f>
        <v>0</v>
      </c>
      <c r="F7" s="148">
        <f>D7+E7</f>
        <v>1638.75</v>
      </c>
      <c r="G7" s="150">
        <f>'Table 1b-Public'!L39</f>
        <v>77900</v>
      </c>
      <c r="H7" s="150">
        <f>'Table 1b-Public'!L40</f>
        <v>0</v>
      </c>
      <c r="I7" s="150">
        <f>G7+H7</f>
        <v>77900</v>
      </c>
    </row>
    <row r="9" spans="1:12" ht="15.75" x14ac:dyDescent="0.2">
      <c r="A9" s="73" t="s">
        <v>296</v>
      </c>
    </row>
    <row r="12" spans="1:12" x14ac:dyDescent="0.2">
      <c r="D12" s="155"/>
    </row>
  </sheetData>
  <mergeCells count="2">
    <mergeCell ref="D3:F3"/>
    <mergeCell ref="A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88BF-67DA-4B85-AF28-92FE1189B183}">
  <dimension ref="A1:W60"/>
  <sheetViews>
    <sheetView topLeftCell="A4" workbookViewId="0">
      <selection activeCell="G26" sqref="G26:I26"/>
    </sheetView>
  </sheetViews>
  <sheetFormatPr defaultRowHeight="12.75" x14ac:dyDescent="0.2"/>
  <cols>
    <col min="1" max="1" width="47.85546875" style="73" customWidth="1"/>
    <col min="2" max="2" width="14.28515625" style="73" bestFit="1" customWidth="1"/>
    <col min="3" max="3" width="12.140625" style="73" customWidth="1"/>
    <col min="4" max="4" width="13" style="73" customWidth="1"/>
    <col min="5" max="5" width="12.140625" style="73" customWidth="1"/>
    <col min="6" max="6" width="11.85546875" style="73" customWidth="1"/>
    <col min="7" max="7" width="9.85546875" style="73" customWidth="1"/>
    <col min="8" max="8" width="10.28515625" style="73" customWidth="1"/>
    <col min="9" max="9" width="10.7109375" style="73" customWidth="1"/>
    <col min="10" max="10" width="10.140625" style="73" customWidth="1"/>
    <col min="11" max="11" width="4.140625" style="73" customWidth="1"/>
    <col min="12" max="12" width="10.85546875" style="73" bestFit="1" customWidth="1"/>
    <col min="13" max="16384" width="9.140625" style="73"/>
  </cols>
  <sheetData>
    <row r="1" spans="1:14" ht="33" customHeight="1" x14ac:dyDescent="0.2">
      <c r="A1" s="206" t="s">
        <v>284</v>
      </c>
      <c r="B1" s="206"/>
      <c r="C1" s="206"/>
      <c r="D1" s="206"/>
      <c r="E1" s="206"/>
      <c r="F1" s="206"/>
      <c r="G1" s="206"/>
      <c r="H1" s="206"/>
      <c r="I1" s="206"/>
      <c r="J1" s="206"/>
    </row>
    <row r="3" spans="1:14" x14ac:dyDescent="0.2">
      <c r="A3" s="207" t="s">
        <v>49</v>
      </c>
      <c r="B3" s="88" t="s">
        <v>85</v>
      </c>
      <c r="C3" s="88" t="s">
        <v>86</v>
      </c>
      <c r="D3" s="88" t="s">
        <v>87</v>
      </c>
      <c r="E3" s="88" t="s">
        <v>88</v>
      </c>
      <c r="F3" s="88" t="s">
        <v>89</v>
      </c>
      <c r="G3" s="88" t="s">
        <v>90</v>
      </c>
      <c r="H3" s="88" t="s">
        <v>92</v>
      </c>
      <c r="I3" s="88" t="s">
        <v>93</v>
      </c>
      <c r="J3" s="88" t="s">
        <v>189</v>
      </c>
      <c r="K3" s="74"/>
      <c r="L3" s="74"/>
      <c r="M3" s="74"/>
    </row>
    <row r="4" spans="1:14" ht="79.5" x14ac:dyDescent="0.2">
      <c r="A4" s="207"/>
      <c r="B4" s="104" t="s">
        <v>186</v>
      </c>
      <c r="C4" s="104" t="s">
        <v>187</v>
      </c>
      <c r="D4" s="104" t="s">
        <v>193</v>
      </c>
      <c r="E4" s="104" t="s">
        <v>188</v>
      </c>
      <c r="F4" s="105" t="s">
        <v>206</v>
      </c>
      <c r="G4" s="105" t="s">
        <v>190</v>
      </c>
      <c r="H4" s="105" t="s">
        <v>191</v>
      </c>
      <c r="I4" s="105" t="s">
        <v>192</v>
      </c>
      <c r="J4" s="106" t="s">
        <v>207</v>
      </c>
      <c r="K4" s="77"/>
      <c r="L4" s="78"/>
      <c r="M4" s="78"/>
      <c r="N4" s="110"/>
    </row>
    <row r="5" spans="1:14" ht="15.75" x14ac:dyDescent="0.2">
      <c r="A5" s="81" t="s">
        <v>209</v>
      </c>
      <c r="B5" s="82">
        <v>5</v>
      </c>
      <c r="C5" s="82" t="s">
        <v>194</v>
      </c>
      <c r="D5" s="82" t="s">
        <v>194</v>
      </c>
      <c r="E5" s="83">
        <v>5</v>
      </c>
      <c r="F5" s="83">
        <f>'Respondents and Responses'!F25</f>
        <v>34</v>
      </c>
      <c r="G5" s="83">
        <f>E5*F5</f>
        <v>170</v>
      </c>
      <c r="H5" s="135">
        <f>G5*0.05</f>
        <v>8.5</v>
      </c>
      <c r="I5" s="83">
        <f>G5*0.1</f>
        <v>17</v>
      </c>
      <c r="J5" s="84">
        <f>(G5*M$7)+(H5*M$6)+(I5*M$8)</f>
        <v>9294.494999999999</v>
      </c>
      <c r="K5" s="74"/>
      <c r="L5" s="200" t="s">
        <v>0</v>
      </c>
      <c r="M5" s="200"/>
      <c r="N5" s="110"/>
    </row>
    <row r="6" spans="1:14" ht="28.5" x14ac:dyDescent="0.2">
      <c r="A6" s="100" t="s">
        <v>211</v>
      </c>
      <c r="B6" s="82">
        <v>2</v>
      </c>
      <c r="C6" s="83">
        <v>1</v>
      </c>
      <c r="D6" s="83">
        <f>'Respondents and Responses'!F16*0.67/F5</f>
        <v>9.0450000000000017</v>
      </c>
      <c r="E6" s="83">
        <f>B6*C6*D6</f>
        <v>18.090000000000003</v>
      </c>
      <c r="F6" s="83">
        <f>F5</f>
        <v>34</v>
      </c>
      <c r="G6" s="83">
        <f t="shared" ref="G6:G23" si="0">E6*F6</f>
        <v>615.06000000000017</v>
      </c>
      <c r="H6" s="83">
        <f>G6*0.05</f>
        <v>30.753000000000011</v>
      </c>
      <c r="I6" s="83">
        <f>G6*0.1</f>
        <v>61.506000000000022</v>
      </c>
      <c r="J6" s="84">
        <f t="shared" ref="J6:J23" si="1">(G6*M$7)+(H6*M$6)+(I6*M$8)</f>
        <v>33627.482910000013</v>
      </c>
      <c r="K6" s="74"/>
      <c r="L6" s="92" t="s">
        <v>139</v>
      </c>
      <c r="M6" s="93">
        <v>65.709999999999994</v>
      </c>
      <c r="N6" s="110"/>
    </row>
    <row r="7" spans="1:14" x14ac:dyDescent="0.2">
      <c r="A7" s="86" t="s">
        <v>146</v>
      </c>
      <c r="B7" s="82"/>
      <c r="C7" s="82"/>
      <c r="D7" s="83"/>
      <c r="E7" s="83"/>
      <c r="F7" s="83">
        <f t="shared" ref="F7:F13" si="2">F6</f>
        <v>34</v>
      </c>
      <c r="G7" s="83">
        <f t="shared" si="0"/>
        <v>0</v>
      </c>
      <c r="H7" s="83"/>
      <c r="I7" s="83"/>
      <c r="J7" s="85">
        <f t="shared" si="1"/>
        <v>0</v>
      </c>
      <c r="K7" s="74"/>
      <c r="L7" s="92" t="s">
        <v>54</v>
      </c>
      <c r="M7" s="93">
        <v>48.75</v>
      </c>
      <c r="N7" s="110"/>
    </row>
    <row r="8" spans="1:14" ht="15.75" x14ac:dyDescent="0.2">
      <c r="A8" s="86" t="s">
        <v>265</v>
      </c>
      <c r="B8" s="82">
        <v>12</v>
      </c>
      <c r="C8" s="83">
        <v>0</v>
      </c>
      <c r="D8" s="83">
        <f>D6</f>
        <v>9.0450000000000017</v>
      </c>
      <c r="E8" s="83">
        <f>B8*C8*D8</f>
        <v>0</v>
      </c>
      <c r="F8" s="83">
        <f t="shared" si="2"/>
        <v>34</v>
      </c>
      <c r="G8" s="83">
        <f t="shared" si="0"/>
        <v>0</v>
      </c>
      <c r="H8" s="83">
        <f t="shared" ref="H8:H13" si="3">G8*0.05</f>
        <v>0</v>
      </c>
      <c r="I8" s="83">
        <f t="shared" ref="I8:I13" si="4">G8*0.1</f>
        <v>0</v>
      </c>
      <c r="J8" s="85">
        <f t="shared" si="1"/>
        <v>0</v>
      </c>
      <c r="K8" s="74"/>
      <c r="L8" s="92" t="s">
        <v>55</v>
      </c>
      <c r="M8" s="93">
        <v>26.38</v>
      </c>
      <c r="N8" s="110"/>
    </row>
    <row r="9" spans="1:14" ht="15.75" x14ac:dyDescent="0.2">
      <c r="A9" s="86" t="s">
        <v>210</v>
      </c>
      <c r="B9" s="82">
        <v>20</v>
      </c>
      <c r="C9" s="83">
        <v>1</v>
      </c>
      <c r="D9" s="135">
        <f>D8*0.2</f>
        <v>1.8090000000000004</v>
      </c>
      <c r="E9" s="83">
        <f>B9*C9*D9</f>
        <v>36.180000000000007</v>
      </c>
      <c r="F9" s="83">
        <f t="shared" si="2"/>
        <v>34</v>
      </c>
      <c r="G9" s="83">
        <f>E9*F9</f>
        <v>1230.1200000000003</v>
      </c>
      <c r="H9" s="83">
        <f t="shared" si="3"/>
        <v>61.506000000000022</v>
      </c>
      <c r="I9" s="83">
        <f t="shared" si="4"/>
        <v>123.01200000000004</v>
      </c>
      <c r="J9" s="84">
        <f t="shared" si="1"/>
        <v>67254.965820000027</v>
      </c>
      <c r="K9" s="74"/>
      <c r="L9" s="74"/>
      <c r="M9" s="74"/>
      <c r="N9" s="110"/>
    </row>
    <row r="10" spans="1:14" ht="15.75" x14ac:dyDescent="0.2">
      <c r="A10" s="86" t="s">
        <v>267</v>
      </c>
      <c r="B10" s="82">
        <v>1</v>
      </c>
      <c r="C10" s="83">
        <v>0</v>
      </c>
      <c r="D10" s="83">
        <f t="shared" ref="D10:D12" si="5">D9</f>
        <v>1.8090000000000004</v>
      </c>
      <c r="E10" s="83">
        <f t="shared" ref="E10:E12" si="6">B10*C10*D10</f>
        <v>0</v>
      </c>
      <c r="F10" s="83">
        <f t="shared" si="2"/>
        <v>34</v>
      </c>
      <c r="G10" s="83">
        <f t="shared" si="0"/>
        <v>0</v>
      </c>
      <c r="H10" s="83">
        <f t="shared" si="3"/>
        <v>0</v>
      </c>
      <c r="I10" s="83">
        <f t="shared" si="4"/>
        <v>0</v>
      </c>
      <c r="J10" s="85">
        <f t="shared" si="1"/>
        <v>0</v>
      </c>
      <c r="K10" s="74"/>
      <c r="L10" s="74"/>
      <c r="M10" s="74"/>
      <c r="N10" s="110"/>
    </row>
    <row r="11" spans="1:14" ht="15.75" x14ac:dyDescent="0.2">
      <c r="A11" s="86" t="s">
        <v>268</v>
      </c>
      <c r="B11" s="82">
        <v>1</v>
      </c>
      <c r="C11" s="83">
        <v>0</v>
      </c>
      <c r="D11" s="83">
        <f>D8</f>
        <v>9.0450000000000017</v>
      </c>
      <c r="E11" s="83">
        <f t="shared" si="6"/>
        <v>0</v>
      </c>
      <c r="F11" s="83">
        <f t="shared" si="2"/>
        <v>34</v>
      </c>
      <c r="G11" s="83">
        <f t="shared" si="0"/>
        <v>0</v>
      </c>
      <c r="H11" s="83">
        <f t="shared" si="3"/>
        <v>0</v>
      </c>
      <c r="I11" s="83">
        <f t="shared" si="4"/>
        <v>0</v>
      </c>
      <c r="J11" s="85">
        <f t="shared" si="1"/>
        <v>0</v>
      </c>
      <c r="K11" s="74"/>
      <c r="L11" s="74"/>
      <c r="M11" s="74"/>
      <c r="N11" s="110"/>
    </row>
    <row r="12" spans="1:14" ht="15.75" x14ac:dyDescent="0.2">
      <c r="A12" s="86" t="s">
        <v>266</v>
      </c>
      <c r="B12" s="82">
        <v>2</v>
      </c>
      <c r="C12" s="83">
        <v>0</v>
      </c>
      <c r="D12" s="83">
        <f t="shared" si="5"/>
        <v>9.0450000000000017</v>
      </c>
      <c r="E12" s="83">
        <f t="shared" si="6"/>
        <v>0</v>
      </c>
      <c r="F12" s="83">
        <f t="shared" si="2"/>
        <v>34</v>
      </c>
      <c r="G12" s="83">
        <f t="shared" si="0"/>
        <v>0</v>
      </c>
      <c r="H12" s="83">
        <f t="shared" si="3"/>
        <v>0</v>
      </c>
      <c r="I12" s="83">
        <f t="shared" si="4"/>
        <v>0</v>
      </c>
      <c r="J12" s="85">
        <f t="shared" si="1"/>
        <v>0</v>
      </c>
      <c r="K12" s="74"/>
      <c r="L12" s="74"/>
      <c r="M12" s="74"/>
    </row>
    <row r="13" spans="1:14" ht="15.75" x14ac:dyDescent="0.2">
      <c r="A13" s="86" t="s">
        <v>169</v>
      </c>
      <c r="B13" s="82">
        <v>24</v>
      </c>
      <c r="C13" s="103">
        <v>1</v>
      </c>
      <c r="D13" s="135">
        <f>9*0.1</f>
        <v>0.9</v>
      </c>
      <c r="E13" s="83">
        <f>B13*C13*D13</f>
        <v>21.6</v>
      </c>
      <c r="F13" s="83">
        <f t="shared" si="2"/>
        <v>34</v>
      </c>
      <c r="G13" s="83">
        <f>E13*F13</f>
        <v>734.40000000000009</v>
      </c>
      <c r="H13" s="83">
        <f t="shared" si="3"/>
        <v>36.720000000000006</v>
      </c>
      <c r="I13" s="83">
        <f t="shared" si="4"/>
        <v>73.440000000000012</v>
      </c>
      <c r="J13" s="84">
        <f t="shared" si="1"/>
        <v>40152.218400000012</v>
      </c>
      <c r="K13" s="74"/>
      <c r="L13" s="74"/>
      <c r="M13" s="74"/>
    </row>
    <row r="14" spans="1:14" x14ac:dyDescent="0.2">
      <c r="A14" s="86" t="s">
        <v>147</v>
      </c>
      <c r="B14" s="82"/>
      <c r="C14" s="83"/>
      <c r="D14" s="83"/>
      <c r="E14" s="83"/>
      <c r="F14" s="83"/>
      <c r="G14" s="83"/>
      <c r="H14" s="83"/>
      <c r="I14" s="83"/>
      <c r="J14" s="85"/>
      <c r="K14" s="74"/>
      <c r="L14" s="74"/>
      <c r="M14" s="74"/>
    </row>
    <row r="15" spans="1:14" ht="15.75" x14ac:dyDescent="0.2">
      <c r="A15" s="100" t="s">
        <v>170</v>
      </c>
      <c r="B15" s="82">
        <v>2</v>
      </c>
      <c r="C15" s="83">
        <v>0</v>
      </c>
      <c r="D15" s="83">
        <f>D12</f>
        <v>9.0450000000000017</v>
      </c>
      <c r="E15" s="83">
        <f>B15*C15</f>
        <v>0</v>
      </c>
      <c r="F15" s="83">
        <f>F5</f>
        <v>34</v>
      </c>
      <c r="G15" s="83">
        <f t="shared" si="0"/>
        <v>0</v>
      </c>
      <c r="H15" s="83">
        <f t="shared" ref="H15:H23" si="7">G15*0.05</f>
        <v>0</v>
      </c>
      <c r="I15" s="83">
        <f t="shared" ref="I15:I23" si="8">G15*0.1</f>
        <v>0</v>
      </c>
      <c r="J15" s="85">
        <f t="shared" si="1"/>
        <v>0</v>
      </c>
      <c r="K15" s="74"/>
      <c r="L15" s="74"/>
      <c r="M15" s="74"/>
    </row>
    <row r="16" spans="1:14" x14ac:dyDescent="0.2">
      <c r="A16" s="86" t="s">
        <v>148</v>
      </c>
      <c r="B16" s="82"/>
      <c r="C16" s="83"/>
      <c r="D16" s="83"/>
      <c r="E16" s="83"/>
      <c r="F16" s="83">
        <f>F15</f>
        <v>34</v>
      </c>
      <c r="G16" s="83">
        <f t="shared" si="0"/>
        <v>0</v>
      </c>
      <c r="H16" s="83"/>
      <c r="I16" s="83"/>
      <c r="J16" s="85">
        <f t="shared" si="1"/>
        <v>0</v>
      </c>
      <c r="K16" s="74"/>
      <c r="L16" s="74"/>
      <c r="M16" s="74"/>
    </row>
    <row r="17" spans="1:23" ht="15.75" x14ac:dyDescent="0.2">
      <c r="A17" s="86" t="s">
        <v>171</v>
      </c>
      <c r="B17" s="82">
        <v>1</v>
      </c>
      <c r="C17" s="83">
        <v>0</v>
      </c>
      <c r="D17" s="83">
        <f>D8</f>
        <v>9.0450000000000017</v>
      </c>
      <c r="E17" s="83">
        <f t="shared" ref="E17:E23" si="9">B17*C17</f>
        <v>0</v>
      </c>
      <c r="F17" s="83">
        <f t="shared" ref="F17:F23" si="10">F16</f>
        <v>34</v>
      </c>
      <c r="G17" s="83">
        <f t="shared" si="0"/>
        <v>0</v>
      </c>
      <c r="H17" s="83">
        <f t="shared" si="7"/>
        <v>0</v>
      </c>
      <c r="I17" s="83">
        <f t="shared" si="8"/>
        <v>0</v>
      </c>
      <c r="J17" s="85">
        <f t="shared" si="1"/>
        <v>0</v>
      </c>
      <c r="K17" s="74"/>
      <c r="L17" s="74"/>
      <c r="M17" s="74"/>
    </row>
    <row r="18" spans="1:23" ht="15.75" x14ac:dyDescent="0.2">
      <c r="A18" s="86" t="s">
        <v>279</v>
      </c>
      <c r="B18" s="82">
        <v>2</v>
      </c>
      <c r="C18" s="83">
        <v>0</v>
      </c>
      <c r="D18" s="83">
        <f>D17</f>
        <v>9.0450000000000017</v>
      </c>
      <c r="E18" s="83">
        <f t="shared" si="9"/>
        <v>0</v>
      </c>
      <c r="F18" s="83">
        <f t="shared" si="10"/>
        <v>34</v>
      </c>
      <c r="G18" s="83">
        <f t="shared" si="0"/>
        <v>0</v>
      </c>
      <c r="H18" s="83">
        <f>G18*0.05</f>
        <v>0</v>
      </c>
      <c r="I18" s="83">
        <f t="shared" si="8"/>
        <v>0</v>
      </c>
      <c r="J18" s="85">
        <f t="shared" si="1"/>
        <v>0</v>
      </c>
      <c r="K18" s="74"/>
      <c r="L18" s="74"/>
      <c r="M18" s="133"/>
      <c r="N18" s="114"/>
    </row>
    <row r="19" spans="1:23" ht="15.75" customHeight="1" x14ac:dyDescent="0.2">
      <c r="A19" s="86" t="s">
        <v>280</v>
      </c>
      <c r="B19" s="82">
        <v>1</v>
      </c>
      <c r="C19" s="136">
        <v>0.26</v>
      </c>
      <c r="D19" s="83">
        <f t="shared" ref="D19:D24" si="11">D18</f>
        <v>9.0450000000000017</v>
      </c>
      <c r="E19" s="136">
        <f>B19*C19</f>
        <v>0.26</v>
      </c>
      <c r="F19" s="83">
        <f t="shared" si="10"/>
        <v>34</v>
      </c>
      <c r="G19" s="83">
        <f t="shared" si="0"/>
        <v>8.84</v>
      </c>
      <c r="H19" s="136">
        <f t="shared" si="7"/>
        <v>0.442</v>
      </c>
      <c r="I19" s="136">
        <f t="shared" si="8"/>
        <v>0.88400000000000001</v>
      </c>
      <c r="J19" s="84">
        <f t="shared" si="1"/>
        <v>483.31374</v>
      </c>
      <c r="K19" s="74"/>
      <c r="L19" s="209"/>
      <c r="M19" s="209"/>
      <c r="N19" s="209"/>
      <c r="O19" s="209"/>
      <c r="P19" s="209"/>
      <c r="Q19" s="209"/>
      <c r="R19" s="209"/>
      <c r="S19" s="209"/>
      <c r="T19" s="209"/>
      <c r="U19" s="209"/>
      <c r="V19" s="209"/>
      <c r="W19" s="209"/>
    </row>
    <row r="20" spans="1:23" ht="15.75" x14ac:dyDescent="0.2">
      <c r="A20" s="86" t="s">
        <v>269</v>
      </c>
      <c r="B20" s="82">
        <v>1</v>
      </c>
      <c r="C20" s="83">
        <v>0</v>
      </c>
      <c r="D20" s="83">
        <f t="shared" si="11"/>
        <v>9.0450000000000017</v>
      </c>
      <c r="E20" s="83">
        <f t="shared" si="9"/>
        <v>0</v>
      </c>
      <c r="F20" s="83">
        <f t="shared" si="10"/>
        <v>34</v>
      </c>
      <c r="G20" s="83">
        <f>E20*F20</f>
        <v>0</v>
      </c>
      <c r="H20" s="83">
        <f t="shared" si="7"/>
        <v>0</v>
      </c>
      <c r="I20" s="83">
        <f t="shared" si="8"/>
        <v>0</v>
      </c>
      <c r="J20" s="85">
        <f t="shared" si="1"/>
        <v>0</v>
      </c>
      <c r="K20" s="74"/>
      <c r="L20" s="209"/>
      <c r="M20" s="209"/>
      <c r="N20" s="209"/>
      <c r="O20" s="209"/>
      <c r="P20" s="209"/>
      <c r="Q20" s="209"/>
      <c r="R20" s="209"/>
      <c r="S20" s="209"/>
      <c r="T20" s="209"/>
      <c r="U20" s="209"/>
      <c r="V20" s="209"/>
      <c r="W20" s="209"/>
    </row>
    <row r="21" spans="1:23" ht="15.75" x14ac:dyDescent="0.2">
      <c r="A21" s="86" t="s">
        <v>281</v>
      </c>
      <c r="B21" s="82">
        <v>15</v>
      </c>
      <c r="C21" s="83">
        <v>0</v>
      </c>
      <c r="D21" s="83">
        <f t="shared" si="11"/>
        <v>9.0450000000000017</v>
      </c>
      <c r="E21" s="83">
        <f t="shared" si="9"/>
        <v>0</v>
      </c>
      <c r="F21" s="83">
        <f t="shared" si="10"/>
        <v>34</v>
      </c>
      <c r="G21" s="83">
        <f t="shared" si="0"/>
        <v>0</v>
      </c>
      <c r="H21" s="83">
        <f t="shared" si="7"/>
        <v>0</v>
      </c>
      <c r="I21" s="83">
        <f t="shared" si="8"/>
        <v>0</v>
      </c>
      <c r="J21" s="85">
        <f t="shared" si="1"/>
        <v>0</v>
      </c>
      <c r="K21" s="74"/>
      <c r="L21" s="209"/>
      <c r="M21" s="209"/>
      <c r="N21" s="209"/>
      <c r="O21" s="209"/>
      <c r="P21" s="209"/>
      <c r="Q21" s="209"/>
      <c r="R21" s="209"/>
      <c r="S21" s="209"/>
      <c r="T21" s="209"/>
      <c r="U21" s="209"/>
      <c r="V21" s="209"/>
      <c r="W21" s="209"/>
    </row>
    <row r="22" spans="1:23" ht="28.5" x14ac:dyDescent="0.2">
      <c r="A22" s="100" t="s">
        <v>263</v>
      </c>
      <c r="B22" s="82">
        <v>5</v>
      </c>
      <c r="C22" s="83">
        <v>0</v>
      </c>
      <c r="D22" s="83">
        <f t="shared" si="11"/>
        <v>9.0450000000000017</v>
      </c>
      <c r="E22" s="83">
        <f t="shared" si="9"/>
        <v>0</v>
      </c>
      <c r="F22" s="83">
        <f t="shared" si="10"/>
        <v>34</v>
      </c>
      <c r="G22" s="83">
        <f t="shared" si="0"/>
        <v>0</v>
      </c>
      <c r="H22" s="83">
        <f t="shared" si="7"/>
        <v>0</v>
      </c>
      <c r="I22" s="83">
        <f t="shared" si="8"/>
        <v>0</v>
      </c>
      <c r="J22" s="85">
        <f t="shared" si="1"/>
        <v>0</v>
      </c>
      <c r="K22" s="74"/>
      <c r="L22" s="209"/>
      <c r="M22" s="209"/>
      <c r="N22" s="209"/>
      <c r="O22" s="209"/>
      <c r="P22" s="209"/>
      <c r="Q22" s="209"/>
      <c r="R22" s="209"/>
      <c r="S22" s="209"/>
      <c r="T22" s="209"/>
      <c r="U22" s="209"/>
      <c r="V22" s="209"/>
      <c r="W22" s="209"/>
    </row>
    <row r="23" spans="1:23" ht="15.75" x14ac:dyDescent="0.2">
      <c r="A23" s="86" t="s">
        <v>282</v>
      </c>
      <c r="B23" s="82">
        <v>12</v>
      </c>
      <c r="C23" s="83">
        <v>0</v>
      </c>
      <c r="D23" s="83">
        <f t="shared" si="11"/>
        <v>9.0450000000000017</v>
      </c>
      <c r="E23" s="83">
        <f t="shared" si="9"/>
        <v>0</v>
      </c>
      <c r="F23" s="83">
        <f t="shared" si="10"/>
        <v>34</v>
      </c>
      <c r="G23" s="83">
        <f t="shared" si="0"/>
        <v>0</v>
      </c>
      <c r="H23" s="83">
        <f t="shared" si="7"/>
        <v>0</v>
      </c>
      <c r="I23" s="83">
        <f t="shared" si="8"/>
        <v>0</v>
      </c>
      <c r="J23" s="85">
        <f t="shared" si="1"/>
        <v>0</v>
      </c>
      <c r="K23" s="74"/>
      <c r="L23" s="209"/>
      <c r="M23" s="209"/>
      <c r="N23" s="209"/>
      <c r="O23" s="209"/>
      <c r="P23" s="209"/>
      <c r="Q23" s="209"/>
      <c r="R23" s="209"/>
      <c r="S23" s="209"/>
      <c r="T23" s="209"/>
      <c r="U23" s="209"/>
      <c r="V23" s="209"/>
      <c r="W23" s="209"/>
    </row>
    <row r="24" spans="1:23" ht="15.75" x14ac:dyDescent="0.2">
      <c r="A24" s="86" t="s">
        <v>272</v>
      </c>
      <c r="B24" s="82">
        <v>2</v>
      </c>
      <c r="C24" s="83">
        <v>1</v>
      </c>
      <c r="D24" s="83">
        <f t="shared" si="11"/>
        <v>9.0450000000000017</v>
      </c>
      <c r="E24" s="83">
        <f>B24*C24*D24</f>
        <v>18.090000000000003</v>
      </c>
      <c r="F24" s="83">
        <f>F23</f>
        <v>34</v>
      </c>
      <c r="G24" s="83">
        <f>E24*F24</f>
        <v>615.06000000000017</v>
      </c>
      <c r="H24" s="83">
        <f>G24*0.05</f>
        <v>30.753000000000011</v>
      </c>
      <c r="I24" s="83">
        <f>G24*0.1</f>
        <v>61.506000000000022</v>
      </c>
      <c r="J24" s="84">
        <f>(G24*M$7)+(H24*M$6)+(I24*M$8)</f>
        <v>33627.482910000013</v>
      </c>
      <c r="K24" s="74"/>
      <c r="L24" s="209"/>
      <c r="M24" s="209"/>
      <c r="N24" s="209"/>
      <c r="O24" s="209"/>
      <c r="P24" s="209"/>
      <c r="Q24" s="209"/>
      <c r="R24" s="209"/>
      <c r="S24" s="209"/>
      <c r="T24" s="209"/>
      <c r="U24" s="209"/>
      <c r="V24" s="209"/>
      <c r="W24" s="209"/>
    </row>
    <row r="25" spans="1:23" ht="43.5" customHeight="1" x14ac:dyDescent="0.2">
      <c r="A25" s="152" t="s">
        <v>283</v>
      </c>
      <c r="B25" s="153" t="s">
        <v>194</v>
      </c>
      <c r="C25" s="82">
        <v>1</v>
      </c>
      <c r="D25" s="82">
        <f>9*0.2</f>
        <v>1.8</v>
      </c>
      <c r="E25" s="82">
        <v>0</v>
      </c>
      <c r="F25" s="83">
        <f>F24</f>
        <v>34</v>
      </c>
      <c r="G25" s="153" t="s">
        <v>194</v>
      </c>
      <c r="H25" s="153" t="s">
        <v>194</v>
      </c>
      <c r="I25" s="153" t="s">
        <v>194</v>
      </c>
      <c r="J25" s="84">
        <f>1191*F25*D25</f>
        <v>72889.2</v>
      </c>
      <c r="K25" s="74"/>
      <c r="L25" s="209"/>
      <c r="M25" s="209"/>
      <c r="N25" s="209"/>
      <c r="O25" s="209"/>
      <c r="P25" s="209"/>
      <c r="Q25" s="209"/>
      <c r="R25" s="209"/>
      <c r="S25" s="209"/>
      <c r="T25" s="209"/>
      <c r="U25" s="209"/>
      <c r="V25" s="209"/>
      <c r="W25" s="209"/>
    </row>
    <row r="26" spans="1:23" ht="15.75" x14ac:dyDescent="0.2">
      <c r="A26" s="101" t="s">
        <v>274</v>
      </c>
      <c r="B26" s="88"/>
      <c r="C26" s="88"/>
      <c r="D26" s="88"/>
      <c r="E26" s="88"/>
      <c r="F26" s="88"/>
      <c r="G26" s="208">
        <f>ROUND(SUM(G5:I25),-1)</f>
        <v>3880</v>
      </c>
      <c r="H26" s="208"/>
      <c r="I26" s="208"/>
      <c r="J26" s="102">
        <f>ROUND(SUM(J5:J25),-3)</f>
        <v>257000</v>
      </c>
      <c r="K26" s="74"/>
      <c r="L26" s="74"/>
      <c r="M26" s="156">
        <f>J26+'Table 1c-Summary'!G5</f>
        <v>449000</v>
      </c>
    </row>
    <row r="27" spans="1:23" x14ac:dyDescent="0.2">
      <c r="A27" s="74"/>
      <c r="B27" s="74"/>
      <c r="C27" s="74"/>
      <c r="D27" s="74"/>
      <c r="E27" s="74"/>
      <c r="F27" s="75"/>
      <c r="G27" s="75"/>
      <c r="H27" s="75"/>
      <c r="I27" s="76"/>
      <c r="J27" s="74"/>
      <c r="K27" s="74"/>
      <c r="L27" s="74"/>
    </row>
    <row r="28" spans="1:23" x14ac:dyDescent="0.2">
      <c r="A28" s="78" t="s">
        <v>158</v>
      </c>
      <c r="B28" s="74"/>
      <c r="C28" s="74"/>
      <c r="D28" s="74"/>
      <c r="E28" s="74"/>
      <c r="F28" s="75"/>
      <c r="G28" s="75"/>
      <c r="H28" s="75"/>
      <c r="I28" s="76"/>
      <c r="J28" s="74"/>
      <c r="K28" s="74"/>
      <c r="L28" s="74"/>
    </row>
    <row r="29" spans="1:23" ht="28.5" customHeight="1" x14ac:dyDescent="0.2">
      <c r="A29" s="205" t="s">
        <v>277</v>
      </c>
      <c r="B29" s="205"/>
      <c r="C29" s="205"/>
      <c r="D29" s="205"/>
      <c r="E29" s="205"/>
      <c r="F29" s="205"/>
      <c r="G29" s="205"/>
      <c r="H29" s="205"/>
      <c r="I29" s="205"/>
      <c r="J29" s="205"/>
      <c r="K29" s="74"/>
      <c r="L29" s="74"/>
    </row>
    <row r="30" spans="1:23" ht="31.5" customHeight="1" x14ac:dyDescent="0.2">
      <c r="A30" s="205" t="s">
        <v>212</v>
      </c>
      <c r="B30" s="205"/>
      <c r="C30" s="205"/>
      <c r="D30" s="205"/>
      <c r="E30" s="205"/>
      <c r="F30" s="205"/>
      <c r="G30" s="205"/>
      <c r="H30" s="205"/>
      <c r="I30" s="205"/>
      <c r="J30" s="205"/>
      <c r="K30" s="74"/>
      <c r="L30" s="74"/>
    </row>
    <row r="31" spans="1:23" ht="39" customHeight="1" x14ac:dyDescent="0.2">
      <c r="A31" s="205" t="s">
        <v>208</v>
      </c>
      <c r="B31" s="205"/>
      <c r="C31" s="205"/>
      <c r="D31" s="205"/>
      <c r="E31" s="205"/>
      <c r="F31" s="205"/>
      <c r="G31" s="205"/>
      <c r="H31" s="205"/>
      <c r="I31" s="205"/>
      <c r="J31" s="205"/>
      <c r="K31" s="74"/>
      <c r="L31" s="74"/>
    </row>
    <row r="32" spans="1:23" ht="16.5" customHeight="1" x14ac:dyDescent="0.2">
      <c r="A32" s="205" t="s">
        <v>293</v>
      </c>
      <c r="B32" s="205"/>
      <c r="C32" s="205"/>
      <c r="D32" s="205"/>
      <c r="E32" s="205"/>
      <c r="F32" s="205"/>
      <c r="G32" s="205"/>
      <c r="H32" s="205"/>
      <c r="I32" s="205"/>
      <c r="J32" s="205"/>
      <c r="K32" s="74"/>
      <c r="L32" s="74"/>
    </row>
    <row r="33" spans="1:15" x14ac:dyDescent="0.2">
      <c r="A33" s="205" t="s">
        <v>278</v>
      </c>
      <c r="B33" s="205"/>
      <c r="C33" s="205"/>
      <c r="D33" s="205"/>
      <c r="E33" s="205"/>
      <c r="F33" s="205"/>
      <c r="G33" s="205"/>
      <c r="H33" s="205"/>
      <c r="I33" s="205"/>
      <c r="J33" s="205"/>
      <c r="K33" s="74"/>
      <c r="L33" s="74"/>
    </row>
    <row r="34" spans="1:15" ht="30" customHeight="1" x14ac:dyDescent="0.2">
      <c r="A34" s="205" t="s">
        <v>273</v>
      </c>
      <c r="B34" s="205"/>
      <c r="C34" s="205"/>
      <c r="D34" s="205"/>
      <c r="E34" s="205"/>
      <c r="F34" s="205"/>
      <c r="G34" s="205"/>
      <c r="H34" s="205"/>
      <c r="I34" s="205"/>
      <c r="J34" s="205"/>
      <c r="K34" s="74"/>
      <c r="L34" s="74"/>
    </row>
    <row r="35" spans="1:15" ht="30.75" customHeight="1" x14ac:dyDescent="0.2">
      <c r="A35" s="205" t="s">
        <v>297</v>
      </c>
      <c r="B35" s="205"/>
      <c r="C35" s="205"/>
      <c r="D35" s="205"/>
      <c r="E35" s="205"/>
      <c r="F35" s="205"/>
      <c r="G35" s="205"/>
      <c r="H35" s="205"/>
      <c r="I35" s="205"/>
      <c r="J35" s="205"/>
      <c r="K35" s="74"/>
      <c r="L35" s="74"/>
      <c r="O35" s="73">
        <f>0.03*308</f>
        <v>9.24</v>
      </c>
    </row>
    <row r="36" spans="1:15" ht="57.75" customHeight="1" x14ac:dyDescent="0.2">
      <c r="A36" s="205" t="s">
        <v>298</v>
      </c>
      <c r="B36" s="205"/>
      <c r="C36" s="205"/>
      <c r="D36" s="205"/>
      <c r="E36" s="205"/>
      <c r="F36" s="205"/>
      <c r="G36" s="205"/>
      <c r="H36" s="205"/>
      <c r="I36" s="205"/>
      <c r="J36" s="205"/>
      <c r="K36" s="74"/>
      <c r="L36" s="74"/>
    </row>
    <row r="37" spans="1:15" ht="18.75" customHeight="1" x14ac:dyDescent="0.2">
      <c r="A37" s="204" t="s">
        <v>264</v>
      </c>
      <c r="B37" s="204"/>
      <c r="C37" s="204"/>
      <c r="D37" s="204"/>
      <c r="E37" s="204"/>
      <c r="F37" s="204"/>
      <c r="G37" s="204"/>
      <c r="H37" s="204"/>
      <c r="I37" s="204"/>
      <c r="J37" s="204"/>
      <c r="K37" s="74"/>
      <c r="L37" s="74"/>
    </row>
    <row r="38" spans="1:15" ht="18.75" customHeight="1" x14ac:dyDescent="0.2">
      <c r="A38" s="204" t="s">
        <v>299</v>
      </c>
      <c r="B38" s="204"/>
      <c r="C38" s="204"/>
      <c r="D38" s="204"/>
      <c r="E38" s="204"/>
      <c r="F38" s="204"/>
      <c r="G38" s="204"/>
      <c r="H38" s="204"/>
      <c r="I38" s="204"/>
      <c r="J38" s="204"/>
      <c r="K38" s="74"/>
      <c r="L38" s="74"/>
    </row>
    <row r="39" spans="1:15" ht="28.5" customHeight="1" x14ac:dyDescent="0.2">
      <c r="A39" s="205" t="s">
        <v>270</v>
      </c>
      <c r="B39" s="205"/>
      <c r="C39" s="205"/>
      <c r="D39" s="205"/>
      <c r="E39" s="205"/>
      <c r="F39" s="205"/>
      <c r="G39" s="205"/>
      <c r="H39" s="205"/>
      <c r="I39" s="205"/>
      <c r="J39" s="205"/>
      <c r="K39" s="74"/>
      <c r="L39" s="74"/>
    </row>
    <row r="40" spans="1:15" ht="19.5" customHeight="1" x14ac:dyDescent="0.2">
      <c r="A40" s="190" t="s">
        <v>271</v>
      </c>
      <c r="B40" s="190"/>
      <c r="C40" s="190"/>
      <c r="D40" s="190"/>
      <c r="E40" s="190"/>
      <c r="F40" s="190"/>
      <c r="G40" s="190"/>
      <c r="H40" s="190"/>
      <c r="I40" s="190"/>
      <c r="J40" s="190"/>
      <c r="K40" s="74"/>
      <c r="L40" s="74"/>
    </row>
    <row r="47" spans="1:15" ht="32.25" customHeight="1" x14ac:dyDescent="0.2"/>
    <row r="51" ht="39" customHeight="1" x14ac:dyDescent="0.2"/>
    <row r="52" ht="29.25" customHeight="1" x14ac:dyDescent="0.2"/>
    <row r="53" ht="29.25" customHeight="1" x14ac:dyDescent="0.2"/>
    <row r="54" ht="24.75" customHeight="1" x14ac:dyDescent="0.2"/>
    <row r="56" ht="38.25" customHeight="1" x14ac:dyDescent="0.2"/>
    <row r="57" ht="52.5" customHeight="1" x14ac:dyDescent="0.2"/>
    <row r="58" ht="31.5" customHeight="1" x14ac:dyDescent="0.2"/>
    <row r="59" ht="18" customHeight="1" x14ac:dyDescent="0.2"/>
    <row r="60" ht="39.75" customHeight="1" x14ac:dyDescent="0.2"/>
  </sheetData>
  <mergeCells count="17">
    <mergeCell ref="A1:J1"/>
    <mergeCell ref="A3:A4"/>
    <mergeCell ref="L5:M5"/>
    <mergeCell ref="A35:J35"/>
    <mergeCell ref="A37:J37"/>
    <mergeCell ref="A36:J36"/>
    <mergeCell ref="G26:I26"/>
    <mergeCell ref="L19:W25"/>
    <mergeCell ref="A38:J38"/>
    <mergeCell ref="A39:J39"/>
    <mergeCell ref="A40:J40"/>
    <mergeCell ref="A29:J29"/>
    <mergeCell ref="A30:J30"/>
    <mergeCell ref="A31:J31"/>
    <mergeCell ref="A32:J32"/>
    <mergeCell ref="A33:J33"/>
    <mergeCell ref="A34:J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4"/>
  <sheetViews>
    <sheetView zoomScaleNormal="100" zoomScaleSheetLayoutView="85" workbookViewId="0">
      <selection activeCell="A32" sqref="A32:I32"/>
    </sheetView>
  </sheetViews>
  <sheetFormatPr defaultRowHeight="12.75" x14ac:dyDescent="0.2"/>
  <cols>
    <col min="1" max="1" width="46.5703125" style="74" customWidth="1"/>
    <col min="2" max="2" width="12" style="75" customWidth="1"/>
    <col min="3" max="3" width="13" style="75" customWidth="1"/>
    <col min="4" max="4" width="14.28515625" style="75" customWidth="1"/>
    <col min="5" max="5" width="10.7109375" style="75" customWidth="1"/>
    <col min="6" max="7" width="12.7109375" style="75" customWidth="1"/>
    <col min="8" max="8" width="14" style="75" customWidth="1"/>
    <col min="9" max="9" width="13" style="76" customWidth="1"/>
    <col min="10" max="10" width="4.5703125" style="74" customWidth="1"/>
    <col min="11" max="11" width="12.28515625" style="74" customWidth="1"/>
    <col min="12" max="16384" width="9.140625" style="74"/>
  </cols>
  <sheetData>
    <row r="1" spans="1:12" ht="37.5" customHeight="1" x14ac:dyDescent="0.2">
      <c r="A1" s="210" t="s">
        <v>135</v>
      </c>
      <c r="B1" s="210"/>
      <c r="C1" s="210"/>
      <c r="D1" s="210"/>
      <c r="E1" s="210"/>
      <c r="F1" s="210"/>
      <c r="G1" s="210"/>
      <c r="H1" s="210"/>
      <c r="I1" s="210"/>
    </row>
    <row r="2" spans="1:12" ht="12" customHeight="1" x14ac:dyDescent="0.2">
      <c r="A2" s="170"/>
      <c r="B2" s="170"/>
      <c r="C2" s="170"/>
      <c r="D2" s="170"/>
      <c r="E2" s="170"/>
      <c r="F2" s="170"/>
      <c r="G2" s="170"/>
      <c r="H2" s="170"/>
      <c r="I2" s="170"/>
    </row>
    <row r="3" spans="1:12" ht="12" customHeight="1" x14ac:dyDescent="0.2">
      <c r="A3" s="207" t="s">
        <v>49</v>
      </c>
      <c r="B3" s="88" t="s">
        <v>85</v>
      </c>
      <c r="C3" s="88" t="s">
        <v>86</v>
      </c>
      <c r="D3" s="88" t="s">
        <v>87</v>
      </c>
      <c r="E3" s="88" t="s">
        <v>88</v>
      </c>
      <c r="F3" s="88" t="s">
        <v>89</v>
      </c>
      <c r="G3" s="88" t="s">
        <v>90</v>
      </c>
      <c r="H3" s="88" t="s">
        <v>92</v>
      </c>
      <c r="I3" s="88" t="s">
        <v>93</v>
      </c>
    </row>
    <row r="4" spans="1:12" s="78" customFormat="1" ht="53.25" customHeight="1" x14ac:dyDescent="0.2">
      <c r="A4" s="207"/>
      <c r="B4" s="104" t="s">
        <v>152</v>
      </c>
      <c r="C4" s="104" t="s">
        <v>153</v>
      </c>
      <c r="D4" s="104" t="s">
        <v>154</v>
      </c>
      <c r="E4" s="105" t="s">
        <v>185</v>
      </c>
      <c r="F4" s="105" t="s">
        <v>155</v>
      </c>
      <c r="G4" s="105" t="s">
        <v>156</v>
      </c>
      <c r="H4" s="105" t="s">
        <v>157</v>
      </c>
      <c r="I4" s="106" t="s">
        <v>159</v>
      </c>
      <c r="J4" s="77"/>
    </row>
    <row r="5" spans="1:12" ht="15.75" x14ac:dyDescent="0.2">
      <c r="A5" s="81" t="s">
        <v>167</v>
      </c>
      <c r="B5" s="82">
        <v>5</v>
      </c>
      <c r="C5" s="82">
        <v>10</v>
      </c>
      <c r="D5" s="83">
        <f>B5*C5</f>
        <v>50</v>
      </c>
      <c r="E5" s="83" t="s">
        <v>194</v>
      </c>
      <c r="F5" s="83">
        <f>D5</f>
        <v>50</v>
      </c>
      <c r="G5" s="83">
        <f>F5*0.05</f>
        <v>2.5</v>
      </c>
      <c r="H5" s="83">
        <f>F5*0.1</f>
        <v>5</v>
      </c>
      <c r="I5" s="84">
        <f>(F5*L$7)+(G5*L$6)+(H5*L$8)</f>
        <v>2733.6750000000002</v>
      </c>
      <c r="K5" s="200" t="s">
        <v>0</v>
      </c>
      <c r="L5" s="200"/>
    </row>
    <row r="6" spans="1:12" ht="30.75" customHeight="1" x14ac:dyDescent="0.2">
      <c r="A6" s="100" t="s">
        <v>168</v>
      </c>
      <c r="B6" s="82">
        <v>2</v>
      </c>
      <c r="C6" s="83">
        <v>0</v>
      </c>
      <c r="D6" s="83">
        <f>B6*C6</f>
        <v>0</v>
      </c>
      <c r="E6" s="83">
        <v>0</v>
      </c>
      <c r="F6" s="83">
        <f t="shared" ref="F6:F25" si="0">D6*E6</f>
        <v>0</v>
      </c>
      <c r="G6" s="83">
        <f>F6*0.05</f>
        <v>0</v>
      </c>
      <c r="H6" s="83">
        <f>F6*0.1</f>
        <v>0</v>
      </c>
      <c r="I6" s="85">
        <f t="shared" ref="I6:I24" si="1">(F6*L$7)+(G6*L$6)+(H6*L$8)</f>
        <v>0</v>
      </c>
      <c r="K6" s="92" t="s">
        <v>139</v>
      </c>
      <c r="L6" s="93">
        <v>65.709999999999994</v>
      </c>
    </row>
    <row r="7" spans="1:12" ht="15" customHeight="1" x14ac:dyDescent="0.2">
      <c r="A7" s="86" t="s">
        <v>146</v>
      </c>
      <c r="B7" s="82"/>
      <c r="C7" s="82"/>
      <c r="D7" s="83"/>
      <c r="E7" s="83">
        <v>0</v>
      </c>
      <c r="F7" s="83">
        <f t="shared" si="0"/>
        <v>0</v>
      </c>
      <c r="G7" s="83"/>
      <c r="H7" s="83"/>
      <c r="I7" s="85">
        <f t="shared" si="1"/>
        <v>0</v>
      </c>
      <c r="K7" s="92" t="s">
        <v>54</v>
      </c>
      <c r="L7" s="93">
        <v>48.75</v>
      </c>
    </row>
    <row r="8" spans="1:12" ht="15" customHeight="1" x14ac:dyDescent="0.2">
      <c r="A8" s="86" t="s">
        <v>180</v>
      </c>
      <c r="B8" s="82">
        <v>12</v>
      </c>
      <c r="C8" s="83">
        <v>0</v>
      </c>
      <c r="D8" s="83">
        <f t="shared" ref="D8:D12" si="2">B8*C8</f>
        <v>0</v>
      </c>
      <c r="E8" s="83">
        <v>0</v>
      </c>
      <c r="F8" s="83">
        <f t="shared" si="0"/>
        <v>0</v>
      </c>
      <c r="G8" s="83">
        <f t="shared" ref="G8:G13" si="3">F8*0.05</f>
        <v>0</v>
      </c>
      <c r="H8" s="83">
        <f t="shared" ref="H8:H13" si="4">F8*0.1</f>
        <v>0</v>
      </c>
      <c r="I8" s="85">
        <f t="shared" si="1"/>
        <v>0</v>
      </c>
      <c r="K8" s="92" t="s">
        <v>55</v>
      </c>
      <c r="L8" s="93">
        <v>26.38</v>
      </c>
    </row>
    <row r="9" spans="1:12" ht="15" customHeight="1" x14ac:dyDescent="0.2">
      <c r="A9" s="86" t="s">
        <v>183</v>
      </c>
      <c r="B9" s="82">
        <v>20</v>
      </c>
      <c r="C9" s="83">
        <v>0</v>
      </c>
      <c r="D9" s="83">
        <f t="shared" si="2"/>
        <v>0</v>
      </c>
      <c r="E9" s="83">
        <v>0</v>
      </c>
      <c r="F9" s="83">
        <f t="shared" si="0"/>
        <v>0</v>
      </c>
      <c r="G9" s="83">
        <f t="shared" si="3"/>
        <v>0</v>
      </c>
      <c r="H9" s="83">
        <f t="shared" si="4"/>
        <v>0</v>
      </c>
      <c r="I9" s="85">
        <f t="shared" si="1"/>
        <v>0</v>
      </c>
    </row>
    <row r="10" spans="1:12" ht="15" customHeight="1" x14ac:dyDescent="0.2">
      <c r="A10" s="86" t="s">
        <v>182</v>
      </c>
      <c r="B10" s="82">
        <v>1</v>
      </c>
      <c r="C10" s="83">
        <v>0</v>
      </c>
      <c r="D10" s="83">
        <f t="shared" si="2"/>
        <v>0</v>
      </c>
      <c r="E10" s="83">
        <v>0</v>
      </c>
      <c r="F10" s="83">
        <f t="shared" si="0"/>
        <v>0</v>
      </c>
      <c r="G10" s="83">
        <f t="shared" si="3"/>
        <v>0</v>
      </c>
      <c r="H10" s="83">
        <f t="shared" si="4"/>
        <v>0</v>
      </c>
      <c r="I10" s="85">
        <f t="shared" si="1"/>
        <v>0</v>
      </c>
    </row>
    <row r="11" spans="1:12" ht="15" customHeight="1" x14ac:dyDescent="0.2">
      <c r="A11" s="86" t="s">
        <v>181</v>
      </c>
      <c r="B11" s="82">
        <v>1</v>
      </c>
      <c r="C11" s="83">
        <v>0</v>
      </c>
      <c r="D11" s="83">
        <f t="shared" si="2"/>
        <v>0</v>
      </c>
      <c r="E11" s="83">
        <v>0</v>
      </c>
      <c r="F11" s="83">
        <f t="shared" si="0"/>
        <v>0</v>
      </c>
      <c r="G11" s="83">
        <f t="shared" si="3"/>
        <v>0</v>
      </c>
      <c r="H11" s="83">
        <f t="shared" si="4"/>
        <v>0</v>
      </c>
      <c r="I11" s="85">
        <f t="shared" si="1"/>
        <v>0</v>
      </c>
    </row>
    <row r="12" spans="1:12" ht="15" customHeight="1" x14ac:dyDescent="0.2">
      <c r="A12" s="86" t="s">
        <v>184</v>
      </c>
      <c r="B12" s="82">
        <v>2</v>
      </c>
      <c r="C12" s="83">
        <v>0</v>
      </c>
      <c r="D12" s="83">
        <f t="shared" si="2"/>
        <v>0</v>
      </c>
      <c r="E12" s="83">
        <v>0</v>
      </c>
      <c r="F12" s="83">
        <f t="shared" si="0"/>
        <v>0</v>
      </c>
      <c r="G12" s="83">
        <f t="shared" si="3"/>
        <v>0</v>
      </c>
      <c r="H12" s="83">
        <f t="shared" si="4"/>
        <v>0</v>
      </c>
      <c r="I12" s="85">
        <f t="shared" si="1"/>
        <v>0</v>
      </c>
    </row>
    <row r="13" spans="1:12" ht="15" customHeight="1" x14ac:dyDescent="0.2">
      <c r="A13" s="86" t="s">
        <v>202</v>
      </c>
      <c r="B13" s="82">
        <v>24</v>
      </c>
      <c r="C13" s="103">
        <v>0</v>
      </c>
      <c r="D13" s="83">
        <f>B13*C13</f>
        <v>0</v>
      </c>
      <c r="E13" s="83">
        <v>0</v>
      </c>
      <c r="F13" s="83">
        <f>D13*E13</f>
        <v>0</v>
      </c>
      <c r="G13" s="83">
        <f t="shared" si="3"/>
        <v>0</v>
      </c>
      <c r="H13" s="83">
        <f t="shared" si="4"/>
        <v>0</v>
      </c>
      <c r="I13" s="85">
        <f t="shared" si="1"/>
        <v>0</v>
      </c>
    </row>
    <row r="14" spans="1:12" ht="15.75" customHeight="1" x14ac:dyDescent="0.2">
      <c r="A14" s="86" t="s">
        <v>147</v>
      </c>
      <c r="B14" s="82"/>
      <c r="C14" s="83"/>
      <c r="D14" s="83"/>
      <c r="E14" s="83"/>
      <c r="F14" s="83"/>
      <c r="G14" s="83"/>
      <c r="H14" s="83"/>
      <c r="I14" s="84"/>
    </row>
    <row r="15" spans="1:12" ht="20.25" customHeight="1" x14ac:dyDescent="0.2">
      <c r="A15" s="100" t="s">
        <v>203</v>
      </c>
      <c r="B15" s="82">
        <v>2</v>
      </c>
      <c r="C15" s="83">
        <v>0</v>
      </c>
      <c r="D15" s="83">
        <f t="shared" ref="D15:D24" si="5">B15*C15</f>
        <v>0</v>
      </c>
      <c r="E15" s="83">
        <v>0</v>
      </c>
      <c r="F15" s="83">
        <f t="shared" si="0"/>
        <v>0</v>
      </c>
      <c r="G15" s="83">
        <f t="shared" ref="G15:G24" si="6">F15*0.05</f>
        <v>0</v>
      </c>
      <c r="H15" s="83">
        <f t="shared" ref="H15:H24" si="7">F15*0.1</f>
        <v>0</v>
      </c>
      <c r="I15" s="85">
        <f t="shared" si="1"/>
        <v>0</v>
      </c>
    </row>
    <row r="16" spans="1:12" ht="15" customHeight="1" x14ac:dyDescent="0.2">
      <c r="A16" s="86" t="s">
        <v>148</v>
      </c>
      <c r="B16" s="82"/>
      <c r="C16" s="83"/>
      <c r="D16" s="83"/>
      <c r="E16" s="83">
        <v>0</v>
      </c>
      <c r="F16" s="83">
        <f t="shared" si="0"/>
        <v>0</v>
      </c>
      <c r="G16" s="83"/>
      <c r="H16" s="83"/>
      <c r="I16" s="85">
        <f t="shared" si="1"/>
        <v>0</v>
      </c>
    </row>
    <row r="17" spans="1:11" ht="15" customHeight="1" x14ac:dyDescent="0.2">
      <c r="A17" s="86" t="s">
        <v>204</v>
      </c>
      <c r="B17" s="82">
        <v>1</v>
      </c>
      <c r="C17" s="83">
        <v>0</v>
      </c>
      <c r="D17" s="83">
        <f t="shared" si="5"/>
        <v>0</v>
      </c>
      <c r="E17" s="83">
        <v>0</v>
      </c>
      <c r="F17" s="83">
        <f t="shared" si="0"/>
        <v>0</v>
      </c>
      <c r="G17" s="83">
        <f t="shared" si="6"/>
        <v>0</v>
      </c>
      <c r="H17" s="83">
        <f t="shared" si="7"/>
        <v>0</v>
      </c>
      <c r="I17" s="85">
        <f t="shared" si="1"/>
        <v>0</v>
      </c>
    </row>
    <row r="18" spans="1:11" ht="15" customHeight="1" x14ac:dyDescent="0.2">
      <c r="A18" s="86" t="s">
        <v>179</v>
      </c>
      <c r="B18" s="82">
        <v>2</v>
      </c>
      <c r="C18" s="83">
        <v>0</v>
      </c>
      <c r="D18" s="83">
        <f t="shared" si="5"/>
        <v>0</v>
      </c>
      <c r="E18" s="83">
        <v>0</v>
      </c>
      <c r="F18" s="83">
        <f t="shared" si="0"/>
        <v>0</v>
      </c>
      <c r="G18" s="83">
        <f>F18*0.05</f>
        <v>0</v>
      </c>
      <c r="H18" s="83">
        <f t="shared" si="7"/>
        <v>0</v>
      </c>
      <c r="I18" s="85">
        <f t="shared" si="1"/>
        <v>0</v>
      </c>
    </row>
    <row r="19" spans="1:11" ht="15" customHeight="1" x14ac:dyDescent="0.2">
      <c r="A19" s="86" t="s">
        <v>178</v>
      </c>
      <c r="B19" s="82">
        <v>1</v>
      </c>
      <c r="C19" s="83">
        <v>0</v>
      </c>
      <c r="D19" s="83">
        <f t="shared" si="5"/>
        <v>0</v>
      </c>
      <c r="E19" s="83">
        <v>0</v>
      </c>
      <c r="F19" s="83">
        <f t="shared" si="0"/>
        <v>0</v>
      </c>
      <c r="G19" s="83">
        <f t="shared" si="6"/>
        <v>0</v>
      </c>
      <c r="H19" s="83">
        <f t="shared" si="7"/>
        <v>0</v>
      </c>
      <c r="I19" s="85">
        <f t="shared" si="1"/>
        <v>0</v>
      </c>
    </row>
    <row r="20" spans="1:11" ht="15" customHeight="1" x14ac:dyDescent="0.2">
      <c r="A20" s="86" t="s">
        <v>177</v>
      </c>
      <c r="B20" s="82">
        <v>1</v>
      </c>
      <c r="C20" s="83">
        <v>0</v>
      </c>
      <c r="D20" s="83">
        <f t="shared" si="5"/>
        <v>0</v>
      </c>
      <c r="E20" s="83">
        <v>0</v>
      </c>
      <c r="F20" s="83">
        <f t="shared" si="0"/>
        <v>0</v>
      </c>
      <c r="G20" s="83">
        <f t="shared" si="6"/>
        <v>0</v>
      </c>
      <c r="H20" s="83">
        <f t="shared" si="7"/>
        <v>0</v>
      </c>
      <c r="I20" s="85">
        <f t="shared" si="1"/>
        <v>0</v>
      </c>
    </row>
    <row r="21" spans="1:11" ht="15" customHeight="1" x14ac:dyDescent="0.2">
      <c r="A21" s="86" t="s">
        <v>176</v>
      </c>
      <c r="B21" s="82">
        <v>15</v>
      </c>
      <c r="C21" s="83">
        <v>0</v>
      </c>
      <c r="D21" s="83">
        <f t="shared" si="5"/>
        <v>0</v>
      </c>
      <c r="E21" s="83">
        <v>0</v>
      </c>
      <c r="F21" s="83">
        <f t="shared" si="0"/>
        <v>0</v>
      </c>
      <c r="G21" s="83">
        <f t="shared" si="6"/>
        <v>0</v>
      </c>
      <c r="H21" s="83">
        <f t="shared" si="7"/>
        <v>0</v>
      </c>
      <c r="I21" s="85">
        <f t="shared" si="1"/>
        <v>0</v>
      </c>
    </row>
    <row r="22" spans="1:11" ht="30" customHeight="1" x14ac:dyDescent="0.2">
      <c r="A22" s="100" t="s">
        <v>175</v>
      </c>
      <c r="B22" s="82">
        <v>5</v>
      </c>
      <c r="C22" s="83">
        <v>0</v>
      </c>
      <c r="D22" s="83">
        <f t="shared" si="5"/>
        <v>0</v>
      </c>
      <c r="E22" s="83">
        <v>0</v>
      </c>
      <c r="F22" s="83">
        <f t="shared" si="0"/>
        <v>0</v>
      </c>
      <c r="G22" s="83">
        <f t="shared" si="6"/>
        <v>0</v>
      </c>
      <c r="H22" s="83">
        <f t="shared" si="7"/>
        <v>0</v>
      </c>
      <c r="I22" s="85">
        <f t="shared" si="1"/>
        <v>0</v>
      </c>
    </row>
    <row r="23" spans="1:11" ht="15" customHeight="1" x14ac:dyDescent="0.2">
      <c r="A23" s="86" t="s">
        <v>174</v>
      </c>
      <c r="B23" s="82">
        <v>12</v>
      </c>
      <c r="C23" s="83">
        <f>C$12</f>
        <v>0</v>
      </c>
      <c r="D23" s="83">
        <f t="shared" si="5"/>
        <v>0</v>
      </c>
      <c r="E23" s="83">
        <v>0</v>
      </c>
      <c r="F23" s="83">
        <f t="shared" si="0"/>
        <v>0</v>
      </c>
      <c r="G23" s="83">
        <f t="shared" si="6"/>
        <v>0</v>
      </c>
      <c r="H23" s="83">
        <f t="shared" si="7"/>
        <v>0</v>
      </c>
      <c r="I23" s="85">
        <f t="shared" si="1"/>
        <v>0</v>
      </c>
    </row>
    <row r="24" spans="1:11" ht="15" customHeight="1" x14ac:dyDescent="0.2">
      <c r="A24" s="86" t="s">
        <v>173</v>
      </c>
      <c r="B24" s="82">
        <v>2</v>
      </c>
      <c r="C24" s="83">
        <f>C$11</f>
        <v>0</v>
      </c>
      <c r="D24" s="83">
        <f t="shared" si="5"/>
        <v>0</v>
      </c>
      <c r="E24" s="83">
        <v>0</v>
      </c>
      <c r="F24" s="83">
        <f t="shared" si="0"/>
        <v>0</v>
      </c>
      <c r="G24" s="83">
        <f t="shared" si="6"/>
        <v>0</v>
      </c>
      <c r="H24" s="83">
        <f t="shared" si="7"/>
        <v>0</v>
      </c>
      <c r="I24" s="85">
        <f t="shared" si="1"/>
        <v>0</v>
      </c>
    </row>
    <row r="25" spans="1:11" ht="27.75" customHeight="1" x14ac:dyDescent="0.2">
      <c r="A25" s="87" t="s">
        <v>205</v>
      </c>
      <c r="B25" s="211" t="s">
        <v>112</v>
      </c>
      <c r="C25" s="212"/>
      <c r="D25" s="212"/>
      <c r="E25" s="83">
        <v>0</v>
      </c>
      <c r="F25" s="83">
        <f t="shared" si="0"/>
        <v>0</v>
      </c>
      <c r="G25" s="83">
        <f>F25*0.05</f>
        <v>0</v>
      </c>
      <c r="H25" s="83">
        <f>F25*0.1</f>
        <v>0</v>
      </c>
      <c r="I25" s="85">
        <f>E25*1191</f>
        <v>0</v>
      </c>
    </row>
    <row r="26" spans="1:11" ht="15.75" customHeight="1" x14ac:dyDescent="0.2">
      <c r="A26" s="101" t="s">
        <v>149</v>
      </c>
      <c r="B26" s="88"/>
      <c r="C26" s="88"/>
      <c r="D26" s="88"/>
      <c r="E26" s="88"/>
      <c r="F26" s="208">
        <f>SUM(F5:H25)</f>
        <v>57.5</v>
      </c>
      <c r="G26" s="208"/>
      <c r="H26" s="208"/>
      <c r="I26" s="102">
        <f>ROUND(SUM(I5:I25),-1)</f>
        <v>2730</v>
      </c>
      <c r="K26" s="111"/>
    </row>
    <row r="27" spans="1:11" ht="21" customHeight="1" x14ac:dyDescent="0.2">
      <c r="B27" s="74"/>
      <c r="C27" s="74"/>
      <c r="D27" s="74"/>
      <c r="E27" s="74"/>
      <c r="K27" s="111"/>
    </row>
    <row r="28" spans="1:11" ht="14.25" customHeight="1" x14ac:dyDescent="0.2">
      <c r="A28" s="78" t="s">
        <v>158</v>
      </c>
      <c r="B28" s="74"/>
      <c r="C28" s="74"/>
      <c r="D28" s="74"/>
      <c r="E28" s="74"/>
    </row>
    <row r="29" spans="1:11" ht="45" customHeight="1" x14ac:dyDescent="0.2">
      <c r="A29" s="205" t="s">
        <v>195</v>
      </c>
      <c r="B29" s="205"/>
      <c r="C29" s="205"/>
      <c r="D29" s="205"/>
      <c r="E29" s="205"/>
      <c r="F29" s="205"/>
      <c r="G29" s="205"/>
      <c r="H29" s="205"/>
      <c r="I29" s="205"/>
    </row>
    <row r="30" spans="1:11" ht="41.25" customHeight="1" x14ac:dyDescent="0.2">
      <c r="A30" s="205" t="s">
        <v>160</v>
      </c>
      <c r="B30" s="205"/>
      <c r="C30" s="205"/>
      <c r="D30" s="205"/>
      <c r="E30" s="205"/>
      <c r="F30" s="205"/>
      <c r="G30" s="205"/>
      <c r="H30" s="205"/>
      <c r="I30" s="205"/>
    </row>
    <row r="31" spans="1:11" ht="27" customHeight="1" x14ac:dyDescent="0.2">
      <c r="A31" s="205" t="s">
        <v>300</v>
      </c>
      <c r="B31" s="205"/>
      <c r="C31" s="205"/>
      <c r="D31" s="205"/>
      <c r="E31" s="205"/>
      <c r="F31" s="205"/>
      <c r="G31" s="205"/>
      <c r="H31" s="205"/>
      <c r="I31" s="205"/>
    </row>
    <row r="32" spans="1:11" ht="27" customHeight="1" x14ac:dyDescent="0.2">
      <c r="A32" s="205" t="s">
        <v>301</v>
      </c>
      <c r="B32" s="205"/>
      <c r="C32" s="205"/>
      <c r="D32" s="205"/>
      <c r="E32" s="205"/>
      <c r="F32" s="205"/>
      <c r="G32" s="205"/>
      <c r="H32" s="205"/>
      <c r="I32" s="205"/>
    </row>
    <row r="33" spans="1:9" ht="25.5" customHeight="1" x14ac:dyDescent="0.2">
      <c r="A33" s="205" t="s">
        <v>172</v>
      </c>
      <c r="B33" s="205"/>
      <c r="C33" s="205"/>
      <c r="D33" s="205"/>
      <c r="E33" s="205"/>
      <c r="F33" s="205"/>
      <c r="G33" s="205"/>
      <c r="H33" s="205"/>
      <c r="I33" s="205"/>
    </row>
    <row r="34" spans="1:9" ht="32.25" customHeight="1" x14ac:dyDescent="0.2">
      <c r="A34" s="205" t="s">
        <v>294</v>
      </c>
      <c r="B34" s="205"/>
      <c r="C34" s="205"/>
      <c r="D34" s="205"/>
      <c r="E34" s="205"/>
      <c r="F34" s="205"/>
      <c r="G34" s="205"/>
      <c r="H34" s="205"/>
      <c r="I34" s="205"/>
    </row>
    <row r="35" spans="1:9" ht="40.5" customHeight="1" x14ac:dyDescent="0.2">
      <c r="A35" s="205" t="s">
        <v>150</v>
      </c>
      <c r="B35" s="205"/>
      <c r="C35" s="205"/>
      <c r="D35" s="205"/>
      <c r="E35" s="205"/>
      <c r="F35" s="205"/>
      <c r="G35" s="205"/>
      <c r="H35" s="205"/>
      <c r="I35" s="205"/>
    </row>
    <row r="36" spans="1:9" ht="22.5" customHeight="1" x14ac:dyDescent="0.2">
      <c r="A36" s="190" t="s">
        <v>151</v>
      </c>
      <c r="B36" s="190"/>
      <c r="C36" s="190"/>
      <c r="D36" s="190"/>
      <c r="E36" s="190"/>
      <c r="F36" s="190"/>
      <c r="G36" s="190"/>
      <c r="H36" s="190"/>
      <c r="I36" s="190"/>
    </row>
    <row r="39" spans="1:9" x14ac:dyDescent="0.2">
      <c r="F39" s="76"/>
    </row>
    <row r="41" spans="1:9" x14ac:dyDescent="0.2">
      <c r="B41" s="79"/>
      <c r="C41" s="79"/>
      <c r="F41" s="76"/>
    </row>
    <row r="42" spans="1:9" x14ac:dyDescent="0.2">
      <c r="B42" s="79"/>
      <c r="C42" s="79"/>
    </row>
    <row r="43" spans="1:9" x14ac:dyDescent="0.2">
      <c r="B43" s="80"/>
      <c r="C43" s="79"/>
    </row>
    <row r="44" spans="1:9" x14ac:dyDescent="0.2">
      <c r="B44" s="79"/>
      <c r="C44" s="79"/>
    </row>
  </sheetData>
  <mergeCells count="13">
    <mergeCell ref="A36:I36"/>
    <mergeCell ref="A1:I1"/>
    <mergeCell ref="A3:A4"/>
    <mergeCell ref="B25:D25"/>
    <mergeCell ref="A30:I30"/>
    <mergeCell ref="A29:I29"/>
    <mergeCell ref="A34:I34"/>
    <mergeCell ref="A35:I35"/>
    <mergeCell ref="K5:L5"/>
    <mergeCell ref="A31:I31"/>
    <mergeCell ref="A32:I32"/>
    <mergeCell ref="A33:I33"/>
    <mergeCell ref="F26:H26"/>
  </mergeCells>
  <pageMargins left="0.25" right="0.25" top="0.5" bottom="0.5" header="0.5" footer="0.5"/>
  <pageSetup scale="7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BE10-FD17-494F-9C0E-BE29B35DAB66}">
  <dimension ref="A1:O79"/>
  <sheetViews>
    <sheetView topLeftCell="A64" workbookViewId="0">
      <selection activeCell="I87" sqref="I87"/>
    </sheetView>
  </sheetViews>
  <sheetFormatPr defaultRowHeight="12.75" x14ac:dyDescent="0.2"/>
  <cols>
    <col min="1" max="1" width="22.28515625" style="73" customWidth="1"/>
    <col min="2" max="2" width="13.28515625" style="73" customWidth="1"/>
    <col min="3" max="3" width="11.5703125" style="73" customWidth="1"/>
    <col min="4" max="4" width="16.28515625" style="73" customWidth="1"/>
    <col min="5" max="5" width="16" style="73" customWidth="1"/>
    <col min="6" max="6" width="12.42578125" style="73" customWidth="1"/>
    <col min="7" max="7" width="9.140625" style="73"/>
    <col min="8" max="8" width="11" style="73" customWidth="1"/>
    <col min="9" max="16384" width="9.140625" style="73"/>
  </cols>
  <sheetData>
    <row r="1" spans="1:6" ht="15.75" x14ac:dyDescent="0.25">
      <c r="A1" s="154" t="s">
        <v>96</v>
      </c>
    </row>
    <row r="3" spans="1:6" ht="12.75" customHeight="1" x14ac:dyDescent="0.2">
      <c r="A3" s="217" t="s">
        <v>285</v>
      </c>
      <c r="B3" s="217"/>
      <c r="C3" s="217"/>
      <c r="D3" s="217"/>
      <c r="E3" s="217"/>
      <c r="F3" s="217"/>
    </row>
    <row r="4" spans="1:6" x14ac:dyDescent="0.2">
      <c r="A4" s="221" t="s">
        <v>100</v>
      </c>
      <c r="B4" s="112" t="s">
        <v>85</v>
      </c>
      <c r="C4" s="112" t="s">
        <v>86</v>
      </c>
      <c r="D4" s="112" t="s">
        <v>87</v>
      </c>
      <c r="E4" s="112" t="s">
        <v>88</v>
      </c>
      <c r="F4" s="112" t="s">
        <v>89</v>
      </c>
    </row>
    <row r="5" spans="1:6" ht="59.25" customHeight="1" x14ac:dyDescent="0.2">
      <c r="A5" s="221"/>
      <c r="B5" s="90" t="s">
        <v>108</v>
      </c>
      <c r="C5" s="90" t="s">
        <v>101</v>
      </c>
      <c r="D5" s="90" t="s">
        <v>107</v>
      </c>
      <c r="E5" s="90" t="s">
        <v>102</v>
      </c>
      <c r="F5" s="112" t="s">
        <v>104</v>
      </c>
    </row>
    <row r="6" spans="1:6" x14ac:dyDescent="0.2">
      <c r="A6" s="223" t="s">
        <v>286</v>
      </c>
      <c r="B6" s="223"/>
      <c r="C6" s="223"/>
      <c r="D6" s="223"/>
      <c r="E6" s="223"/>
      <c r="F6" s="223"/>
    </row>
    <row r="7" spans="1:6" x14ac:dyDescent="0.2">
      <c r="A7" s="137">
        <v>1</v>
      </c>
      <c r="B7" s="137">
        <v>0</v>
      </c>
      <c r="C7" s="137">
        <v>0</v>
      </c>
      <c r="D7" s="139">
        <v>174</v>
      </c>
      <c r="E7" s="137">
        <v>0</v>
      </c>
      <c r="F7" s="139">
        <f>B7+C7+D7-E7</f>
        <v>174</v>
      </c>
    </row>
    <row r="8" spans="1:6" x14ac:dyDescent="0.2">
      <c r="A8" s="137">
        <v>2</v>
      </c>
      <c r="B8" s="140">
        <v>0</v>
      </c>
      <c r="C8" s="140">
        <v>0</v>
      </c>
      <c r="D8" s="140">
        <v>174</v>
      </c>
      <c r="E8" s="140">
        <v>0</v>
      </c>
      <c r="F8" s="139">
        <f t="shared" ref="F8:F9" si="0">B8+C8+D8-E8</f>
        <v>174</v>
      </c>
    </row>
    <row r="9" spans="1:6" x14ac:dyDescent="0.2">
      <c r="A9" s="137">
        <v>3</v>
      </c>
      <c r="B9" s="140">
        <v>0</v>
      </c>
      <c r="C9" s="140">
        <v>0</v>
      </c>
      <c r="D9" s="141">
        <v>174</v>
      </c>
      <c r="E9" s="140">
        <v>0</v>
      </c>
      <c r="F9" s="139">
        <f t="shared" si="0"/>
        <v>174</v>
      </c>
    </row>
    <row r="10" spans="1:6" x14ac:dyDescent="0.2">
      <c r="A10" s="140" t="s">
        <v>103</v>
      </c>
      <c r="B10" s="140">
        <v>0</v>
      </c>
      <c r="C10" s="140">
        <v>0</v>
      </c>
      <c r="D10" s="141">
        <f>AVERAGE(D7:D9)</f>
        <v>174</v>
      </c>
      <c r="E10" s="140">
        <v>0</v>
      </c>
      <c r="F10" s="141">
        <f>AVERAGE(F7:F9)</f>
        <v>174</v>
      </c>
    </row>
    <row r="11" spans="1:6" x14ac:dyDescent="0.2">
      <c r="A11" s="224" t="s">
        <v>287</v>
      </c>
      <c r="B11" s="224"/>
      <c r="C11" s="224"/>
      <c r="D11" s="224"/>
      <c r="E11" s="224"/>
      <c r="F11" s="224"/>
    </row>
    <row r="12" spans="1:6" x14ac:dyDescent="0.2">
      <c r="A12" s="137">
        <v>1</v>
      </c>
      <c r="B12" s="140">
        <v>0</v>
      </c>
      <c r="C12" s="140">
        <v>0</v>
      </c>
      <c r="D12" s="139">
        <v>285</v>
      </c>
      <c r="E12" s="140">
        <v>0</v>
      </c>
      <c r="F12" s="139">
        <f>B12+C12+D12-E12</f>
        <v>285</v>
      </c>
    </row>
    <row r="13" spans="1:6" ht="15" customHeight="1" x14ac:dyDescent="0.2">
      <c r="A13" s="137">
        <v>2</v>
      </c>
      <c r="B13" s="140">
        <v>0</v>
      </c>
      <c r="C13" s="140">
        <v>0</v>
      </c>
      <c r="D13" s="140">
        <v>285</v>
      </c>
      <c r="E13" s="140">
        <v>0</v>
      </c>
      <c r="F13" s="139">
        <f t="shared" ref="F13:F14" si="1">B13+C13+D13-E13</f>
        <v>285</v>
      </c>
    </row>
    <row r="14" spans="1:6" x14ac:dyDescent="0.2">
      <c r="A14" s="137">
        <v>3</v>
      </c>
      <c r="B14" s="140">
        <v>0</v>
      </c>
      <c r="C14" s="140">
        <v>0</v>
      </c>
      <c r="D14" s="141">
        <v>285</v>
      </c>
      <c r="E14" s="140">
        <v>0</v>
      </c>
      <c r="F14" s="139">
        <f t="shared" si="1"/>
        <v>285</v>
      </c>
    </row>
    <row r="15" spans="1:6" x14ac:dyDescent="0.2">
      <c r="A15" s="113" t="s">
        <v>103</v>
      </c>
      <c r="B15" s="113">
        <v>0</v>
      </c>
      <c r="C15" s="113">
        <v>0</v>
      </c>
      <c r="D15" s="115">
        <f>AVERAGE(D12:D14)</f>
        <v>285</v>
      </c>
      <c r="E15" s="113">
        <v>0</v>
      </c>
      <c r="F15" s="115">
        <f>AVERAGE(F12:F14)</f>
        <v>285</v>
      </c>
    </row>
    <row r="16" spans="1:6" x14ac:dyDescent="0.2">
      <c r="A16" s="220" t="s">
        <v>200</v>
      </c>
      <c r="B16" s="220"/>
      <c r="C16" s="220"/>
      <c r="D16" s="220"/>
      <c r="E16" s="220"/>
      <c r="F16" s="116">
        <f>F10+F15</f>
        <v>459</v>
      </c>
    </row>
    <row r="17" spans="1:15" ht="33.75" customHeight="1" x14ac:dyDescent="0.2">
      <c r="A17" s="222" t="s">
        <v>275</v>
      </c>
      <c r="B17" s="222"/>
      <c r="C17" s="222"/>
      <c r="D17" s="222"/>
      <c r="E17" s="222"/>
      <c r="F17" s="222"/>
      <c r="I17" s="138"/>
      <c r="J17" s="138"/>
      <c r="K17" s="138"/>
      <c r="L17" s="138"/>
      <c r="M17" s="138"/>
      <c r="N17" s="138"/>
      <c r="O17" s="138"/>
    </row>
    <row r="18" spans="1:15" x14ac:dyDescent="0.2">
      <c r="A18" s="114"/>
      <c r="B18" s="114"/>
      <c r="C18" s="114"/>
      <c r="D18" s="114"/>
      <c r="E18" s="114"/>
      <c r="F18" s="114"/>
    </row>
    <row r="19" spans="1:15" ht="15.75" x14ac:dyDescent="0.2">
      <c r="A19" s="217" t="s">
        <v>288</v>
      </c>
      <c r="B19" s="217"/>
      <c r="C19" s="217"/>
      <c r="D19" s="217"/>
      <c r="E19" s="217"/>
      <c r="F19" s="217"/>
    </row>
    <row r="20" spans="1:15" x14ac:dyDescent="0.2">
      <c r="A20" s="221" t="s">
        <v>100</v>
      </c>
      <c r="B20" s="112" t="s">
        <v>85</v>
      </c>
      <c r="C20" s="112" t="s">
        <v>86</v>
      </c>
      <c r="D20" s="112" t="s">
        <v>87</v>
      </c>
      <c r="E20" s="112" t="s">
        <v>88</v>
      </c>
      <c r="F20" s="112" t="s">
        <v>89</v>
      </c>
    </row>
    <row r="21" spans="1:15" ht="89.25" x14ac:dyDescent="0.2">
      <c r="A21" s="221"/>
      <c r="B21" s="112" t="s">
        <v>101</v>
      </c>
      <c r="C21" s="112" t="s">
        <v>196</v>
      </c>
      <c r="D21" s="112" t="s">
        <v>197</v>
      </c>
      <c r="E21" s="112" t="s">
        <v>102</v>
      </c>
      <c r="F21" s="112" t="s">
        <v>201</v>
      </c>
    </row>
    <row r="22" spans="1:15" ht="18" customHeight="1" x14ac:dyDescent="0.2">
      <c r="A22" s="112">
        <v>1</v>
      </c>
      <c r="B22" s="113">
        <v>34</v>
      </c>
      <c r="C22" s="113">
        <v>0</v>
      </c>
      <c r="D22" s="113">
        <v>0</v>
      </c>
      <c r="E22" s="113">
        <v>0</v>
      </c>
      <c r="F22" s="113">
        <f>B22+C22-D22-E22</f>
        <v>34</v>
      </c>
    </row>
    <row r="23" spans="1:15" x14ac:dyDescent="0.2">
      <c r="A23" s="112">
        <v>2</v>
      </c>
      <c r="B23" s="113">
        <v>34</v>
      </c>
      <c r="C23" s="113">
        <v>0</v>
      </c>
      <c r="D23" s="113">
        <v>0</v>
      </c>
      <c r="E23" s="113">
        <v>0</v>
      </c>
      <c r="F23" s="113">
        <f t="shared" ref="F23:F24" si="2">B23+C23-D23-E23</f>
        <v>34</v>
      </c>
    </row>
    <row r="24" spans="1:15" x14ac:dyDescent="0.2">
      <c r="A24" s="112">
        <v>3</v>
      </c>
      <c r="B24" s="113">
        <v>34</v>
      </c>
      <c r="C24" s="113">
        <v>0</v>
      </c>
      <c r="D24" s="113">
        <v>0</v>
      </c>
      <c r="E24" s="113">
        <v>0</v>
      </c>
      <c r="F24" s="113">
        <f t="shared" si="2"/>
        <v>34</v>
      </c>
    </row>
    <row r="25" spans="1:15" x14ac:dyDescent="0.2">
      <c r="A25" s="113" t="s">
        <v>103</v>
      </c>
      <c r="B25" s="113">
        <v>34</v>
      </c>
      <c r="C25" s="113">
        <v>0</v>
      </c>
      <c r="D25" s="113">
        <v>0</v>
      </c>
      <c r="E25" s="113">
        <v>0</v>
      </c>
      <c r="F25" s="113">
        <f>AVERAGE(F22:F24)</f>
        <v>34</v>
      </c>
    </row>
    <row r="26" spans="1:15" ht="36.75" customHeight="1" x14ac:dyDescent="0.2">
      <c r="A26" s="219" t="s">
        <v>249</v>
      </c>
      <c r="B26" s="219"/>
      <c r="C26" s="219"/>
      <c r="D26" s="219"/>
      <c r="E26" s="219"/>
      <c r="F26" s="219"/>
      <c r="G26" s="114"/>
    </row>
    <row r="27" spans="1:15" ht="18" customHeight="1" x14ac:dyDescent="0.2">
      <c r="A27" s="114"/>
      <c r="B27" s="114"/>
      <c r="C27" s="114"/>
      <c r="D27" s="114"/>
      <c r="E27" s="114"/>
      <c r="F27" s="114"/>
    </row>
    <row r="29" spans="1:15" ht="15.75" x14ac:dyDescent="0.25">
      <c r="A29" s="125"/>
      <c r="B29"/>
      <c r="C29"/>
      <c r="D29"/>
      <c r="E29"/>
    </row>
    <row r="30" spans="1:15" ht="15.75" x14ac:dyDescent="0.2">
      <c r="A30" s="218"/>
      <c r="B30" s="218"/>
      <c r="C30" s="218"/>
      <c r="D30" s="218"/>
      <c r="E30" s="218"/>
    </row>
    <row r="31" spans="1:15" ht="15.75" x14ac:dyDescent="0.2">
      <c r="A31" s="217" t="s">
        <v>229</v>
      </c>
      <c r="B31" s="217"/>
      <c r="C31" s="217"/>
      <c r="D31" s="217"/>
      <c r="E31" s="217"/>
      <c r="F31" s="114"/>
    </row>
    <row r="32" spans="1:15" ht="12.75" customHeight="1" x14ac:dyDescent="0.2">
      <c r="A32" s="124" t="s">
        <v>85</v>
      </c>
      <c r="B32" s="124" t="s">
        <v>86</v>
      </c>
      <c r="C32" s="124" t="s">
        <v>87</v>
      </c>
      <c r="D32" s="124" t="s">
        <v>88</v>
      </c>
      <c r="E32" s="124" t="s">
        <v>89</v>
      </c>
      <c r="F32" s="122"/>
    </row>
    <row r="33" spans="1:6" ht="63.75" x14ac:dyDescent="0.2">
      <c r="A33" s="124" t="s">
        <v>98</v>
      </c>
      <c r="B33" s="124" t="s">
        <v>230</v>
      </c>
      <c r="C33" s="124" t="s">
        <v>53</v>
      </c>
      <c r="D33" s="124" t="s">
        <v>99</v>
      </c>
      <c r="E33" s="124" t="s">
        <v>248</v>
      </c>
      <c r="F33" s="122"/>
    </row>
    <row r="34" spans="1:6" x14ac:dyDescent="0.2">
      <c r="A34" s="130" t="s">
        <v>198</v>
      </c>
      <c r="B34" s="130"/>
      <c r="C34" s="130"/>
      <c r="D34" s="130"/>
      <c r="E34" s="130"/>
      <c r="F34" s="129"/>
    </row>
    <row r="35" spans="1:6" ht="25.5" x14ac:dyDescent="0.2">
      <c r="A35" s="131" t="s">
        <v>238</v>
      </c>
      <c r="B35" s="119">
        <v>0</v>
      </c>
      <c r="C35" s="119">
        <v>1</v>
      </c>
      <c r="D35" s="119" t="s">
        <v>239</v>
      </c>
      <c r="E35" s="119">
        <v>0</v>
      </c>
      <c r="F35" s="122"/>
    </row>
    <row r="36" spans="1:6" ht="25.5" x14ac:dyDescent="0.2">
      <c r="A36" s="131" t="s">
        <v>109</v>
      </c>
      <c r="B36" s="119">
        <v>0</v>
      </c>
      <c r="C36" s="119">
        <v>1</v>
      </c>
      <c r="D36" s="119" t="s">
        <v>239</v>
      </c>
      <c r="E36" s="119">
        <v>0</v>
      </c>
      <c r="F36" s="122"/>
    </row>
    <row r="37" spans="1:6" ht="25.5" x14ac:dyDescent="0.2">
      <c r="A37" s="131" t="s">
        <v>240</v>
      </c>
      <c r="B37" s="119">
        <v>0</v>
      </c>
      <c r="C37" s="119">
        <v>1</v>
      </c>
      <c r="D37" s="119" t="s">
        <v>239</v>
      </c>
      <c r="E37" s="119">
        <v>0</v>
      </c>
      <c r="F37" s="122"/>
    </row>
    <row r="38" spans="1:6" ht="25.5" x14ac:dyDescent="0.2">
      <c r="A38" s="131" t="s">
        <v>241</v>
      </c>
      <c r="B38" s="119">
        <v>0</v>
      </c>
      <c r="C38" s="119">
        <v>1</v>
      </c>
      <c r="D38" s="119" t="s">
        <v>239</v>
      </c>
      <c r="E38" s="119">
        <v>0</v>
      </c>
      <c r="F38" s="122"/>
    </row>
    <row r="39" spans="1:6" ht="15.75" x14ac:dyDescent="0.2">
      <c r="A39" s="131" t="s">
        <v>242</v>
      </c>
      <c r="B39" s="119">
        <v>0</v>
      </c>
      <c r="C39" s="119">
        <v>1</v>
      </c>
      <c r="D39" s="119" t="s">
        <v>239</v>
      </c>
      <c r="E39" s="119">
        <v>0</v>
      </c>
      <c r="F39" s="122"/>
    </row>
    <row r="40" spans="1:6" ht="15.75" x14ac:dyDescent="0.2">
      <c r="A40" s="131" t="s">
        <v>243</v>
      </c>
      <c r="B40" s="119">
        <v>0</v>
      </c>
      <c r="C40" s="119">
        <v>1</v>
      </c>
      <c r="D40" s="119" t="s">
        <v>239</v>
      </c>
      <c r="E40" s="119">
        <v>0</v>
      </c>
      <c r="F40" s="122"/>
    </row>
    <row r="41" spans="1:6" ht="25.5" x14ac:dyDescent="0.2">
      <c r="A41" s="131" t="s">
        <v>244</v>
      </c>
      <c r="B41" s="119">
        <v>0</v>
      </c>
      <c r="C41" s="119">
        <v>1</v>
      </c>
      <c r="D41" s="119" t="s">
        <v>239</v>
      </c>
      <c r="E41" s="119">
        <v>0</v>
      </c>
      <c r="F41" s="122"/>
    </row>
    <row r="42" spans="1:6" ht="25.5" x14ac:dyDescent="0.2">
      <c r="A42" s="131" t="s">
        <v>245</v>
      </c>
      <c r="B42" s="119">
        <v>0</v>
      </c>
      <c r="C42" s="119">
        <v>1</v>
      </c>
      <c r="D42" s="119" t="s">
        <v>239</v>
      </c>
      <c r="E42" s="119">
        <v>0</v>
      </c>
      <c r="F42" s="122"/>
    </row>
    <row r="43" spans="1:6" ht="15.75" x14ac:dyDescent="0.2">
      <c r="A43" s="131" t="s">
        <v>246</v>
      </c>
      <c r="B43" s="119">
        <v>0</v>
      </c>
      <c r="C43" s="119">
        <v>1</v>
      </c>
      <c r="D43" s="119" t="s">
        <v>239</v>
      </c>
      <c r="E43" s="119">
        <v>0</v>
      </c>
      <c r="F43" s="122"/>
    </row>
    <row r="44" spans="1:6" ht="15.75" x14ac:dyDescent="0.2">
      <c r="A44" s="131" t="s">
        <v>247</v>
      </c>
      <c r="B44" s="119">
        <v>0</v>
      </c>
      <c r="C44" s="119">
        <v>1</v>
      </c>
      <c r="D44" s="124">
        <v>174</v>
      </c>
      <c r="E44" s="124">
        <v>174</v>
      </c>
      <c r="F44" s="122"/>
    </row>
    <row r="45" spans="1:6" ht="25.5" x14ac:dyDescent="0.2">
      <c r="A45" s="130" t="s">
        <v>231</v>
      </c>
      <c r="B45" s="132"/>
      <c r="C45" s="132"/>
      <c r="D45" s="132"/>
      <c r="E45" s="132">
        <v>174</v>
      </c>
      <c r="F45" s="122"/>
    </row>
    <row r="46" spans="1:6" x14ac:dyDescent="0.2">
      <c r="A46" s="130" t="s">
        <v>199</v>
      </c>
      <c r="B46" s="130"/>
      <c r="C46" s="130"/>
      <c r="D46" s="130"/>
      <c r="E46" s="130"/>
      <c r="F46" s="129"/>
    </row>
    <row r="47" spans="1:6" ht="25.5" x14ac:dyDescent="0.2">
      <c r="A47" s="131" t="s">
        <v>238</v>
      </c>
      <c r="B47" s="119">
        <v>0</v>
      </c>
      <c r="C47" s="119">
        <v>1</v>
      </c>
      <c r="D47" s="119" t="s">
        <v>239</v>
      </c>
      <c r="E47" s="119">
        <v>0</v>
      </c>
      <c r="F47" s="122"/>
    </row>
    <row r="48" spans="1:6" ht="25.5" x14ac:dyDescent="0.2">
      <c r="A48" s="131" t="s">
        <v>109</v>
      </c>
      <c r="B48" s="119">
        <v>0</v>
      </c>
      <c r="C48" s="119">
        <v>1</v>
      </c>
      <c r="D48" s="119" t="s">
        <v>239</v>
      </c>
      <c r="E48" s="119">
        <v>0</v>
      </c>
      <c r="F48" s="122"/>
    </row>
    <row r="49" spans="1:6" ht="25.5" x14ac:dyDescent="0.2">
      <c r="A49" s="131" t="s">
        <v>240</v>
      </c>
      <c r="B49" s="119">
        <v>0</v>
      </c>
      <c r="C49" s="119">
        <v>1</v>
      </c>
      <c r="D49" s="119" t="s">
        <v>239</v>
      </c>
      <c r="E49" s="119">
        <v>0</v>
      </c>
      <c r="F49" s="122"/>
    </row>
    <row r="50" spans="1:6" ht="25.5" x14ac:dyDescent="0.2">
      <c r="A50" s="131" t="s">
        <v>241</v>
      </c>
      <c r="B50" s="119">
        <v>0</v>
      </c>
      <c r="C50" s="119">
        <v>1</v>
      </c>
      <c r="D50" s="119" t="s">
        <v>239</v>
      </c>
      <c r="E50" s="119">
        <v>0</v>
      </c>
      <c r="F50" s="122"/>
    </row>
    <row r="51" spans="1:6" ht="15.75" x14ac:dyDescent="0.2">
      <c r="A51" s="131" t="s">
        <v>242</v>
      </c>
      <c r="B51" s="119">
        <v>0</v>
      </c>
      <c r="C51" s="119">
        <v>1</v>
      </c>
      <c r="D51" s="119" t="s">
        <v>239</v>
      </c>
      <c r="E51" s="119">
        <v>0</v>
      </c>
      <c r="F51" s="122"/>
    </row>
    <row r="52" spans="1:6" ht="15.75" x14ac:dyDescent="0.2">
      <c r="A52" s="131" t="s">
        <v>243</v>
      </c>
      <c r="B52" s="119">
        <v>0</v>
      </c>
      <c r="C52" s="119">
        <v>1</v>
      </c>
      <c r="D52" s="119" t="s">
        <v>239</v>
      </c>
      <c r="E52" s="119">
        <v>0</v>
      </c>
      <c r="F52" s="122"/>
    </row>
    <row r="53" spans="1:6" ht="25.5" x14ac:dyDescent="0.2">
      <c r="A53" s="131" t="s">
        <v>244</v>
      </c>
      <c r="B53" s="119">
        <v>0</v>
      </c>
      <c r="C53" s="119">
        <v>1</v>
      </c>
      <c r="D53" s="119" t="s">
        <v>239</v>
      </c>
      <c r="E53" s="119">
        <v>0</v>
      </c>
      <c r="F53" s="122"/>
    </row>
    <row r="54" spans="1:6" ht="25.5" x14ac:dyDescent="0.2">
      <c r="A54" s="131" t="s">
        <v>245</v>
      </c>
      <c r="B54" s="119">
        <v>0</v>
      </c>
      <c r="C54" s="119">
        <v>1</v>
      </c>
      <c r="D54" s="119" t="s">
        <v>239</v>
      </c>
      <c r="E54" s="119">
        <v>0</v>
      </c>
      <c r="F54" s="122"/>
    </row>
    <row r="55" spans="1:6" ht="15.75" x14ac:dyDescent="0.2">
      <c r="A55" s="131" t="s">
        <v>246</v>
      </c>
      <c r="B55" s="119">
        <v>0</v>
      </c>
      <c r="C55" s="119">
        <v>1</v>
      </c>
      <c r="D55" s="119" t="s">
        <v>239</v>
      </c>
      <c r="E55" s="119">
        <v>0</v>
      </c>
      <c r="F55" s="122"/>
    </row>
    <row r="56" spans="1:6" ht="15.75" x14ac:dyDescent="0.2">
      <c r="A56" s="131" t="s">
        <v>247</v>
      </c>
      <c r="B56" s="119">
        <v>0</v>
      </c>
      <c r="C56" s="119">
        <v>1</v>
      </c>
      <c r="D56" s="124">
        <v>285</v>
      </c>
      <c r="E56" s="124">
        <v>285</v>
      </c>
      <c r="F56" s="122"/>
    </row>
    <row r="57" spans="1:6" ht="25.5" x14ac:dyDescent="0.2">
      <c r="A57" s="130" t="s">
        <v>232</v>
      </c>
      <c r="B57" s="132"/>
      <c r="C57" s="132"/>
      <c r="D57" s="132"/>
      <c r="E57" s="132">
        <v>285</v>
      </c>
      <c r="F57" s="122"/>
    </row>
    <row r="58" spans="1:6" ht="13.5" customHeight="1" x14ac:dyDescent="0.2">
      <c r="A58" s="130" t="s">
        <v>233</v>
      </c>
      <c r="B58" s="130"/>
      <c r="C58" s="130"/>
      <c r="D58" s="130"/>
      <c r="E58" s="130"/>
      <c r="F58" s="129"/>
    </row>
    <row r="59" spans="1:6" ht="25.5" x14ac:dyDescent="0.2">
      <c r="A59" s="131" t="s">
        <v>238</v>
      </c>
      <c r="B59" s="119">
        <v>0</v>
      </c>
      <c r="C59" s="119">
        <v>1</v>
      </c>
      <c r="D59" s="119" t="s">
        <v>239</v>
      </c>
      <c r="E59" s="119">
        <v>0</v>
      </c>
      <c r="F59" s="122"/>
    </row>
    <row r="60" spans="1:6" ht="25.5" x14ac:dyDescent="0.2">
      <c r="A60" s="131" t="s">
        <v>109</v>
      </c>
      <c r="B60" s="119">
        <v>0</v>
      </c>
      <c r="C60" s="119">
        <v>1</v>
      </c>
      <c r="D60" s="119" t="s">
        <v>239</v>
      </c>
      <c r="E60" s="119">
        <v>0</v>
      </c>
      <c r="F60" s="122"/>
    </row>
    <row r="61" spans="1:6" ht="25.5" x14ac:dyDescent="0.2">
      <c r="A61" s="131" t="s">
        <v>240</v>
      </c>
      <c r="B61" s="119">
        <v>0</v>
      </c>
      <c r="C61" s="119">
        <v>1</v>
      </c>
      <c r="D61" s="119" t="s">
        <v>239</v>
      </c>
      <c r="E61" s="119">
        <v>0</v>
      </c>
      <c r="F61" s="122"/>
    </row>
    <row r="62" spans="1:6" ht="25.5" x14ac:dyDescent="0.2">
      <c r="A62" s="131" t="s">
        <v>241</v>
      </c>
      <c r="B62" s="119">
        <v>0</v>
      </c>
      <c r="C62" s="119">
        <v>1</v>
      </c>
      <c r="D62" s="119" t="s">
        <v>239</v>
      </c>
      <c r="E62" s="119">
        <v>0</v>
      </c>
      <c r="F62" s="122"/>
    </row>
    <row r="63" spans="1:6" ht="15.75" x14ac:dyDescent="0.2">
      <c r="A63" s="131" t="s">
        <v>242</v>
      </c>
      <c r="B63" s="137">
        <v>9</v>
      </c>
      <c r="C63" s="137">
        <v>1</v>
      </c>
      <c r="D63" s="137" t="s">
        <v>239</v>
      </c>
      <c r="E63" s="137">
        <v>9</v>
      </c>
      <c r="F63" s="122"/>
    </row>
    <row r="64" spans="1:6" ht="15.75" x14ac:dyDescent="0.2">
      <c r="A64" s="131" t="s">
        <v>243</v>
      </c>
      <c r="B64" s="137">
        <v>0</v>
      </c>
      <c r="C64" s="137">
        <v>1</v>
      </c>
      <c r="D64" s="137" t="s">
        <v>239</v>
      </c>
      <c r="E64" s="142">
        <v>0</v>
      </c>
      <c r="F64" s="122"/>
    </row>
    <row r="65" spans="1:8" ht="25.5" x14ac:dyDescent="0.2">
      <c r="A65" s="131" t="s">
        <v>244</v>
      </c>
      <c r="B65" s="142">
        <v>0</v>
      </c>
      <c r="C65" s="142">
        <v>1</v>
      </c>
      <c r="D65" s="142" t="s">
        <v>239</v>
      </c>
      <c r="E65" s="142">
        <v>0</v>
      </c>
      <c r="F65" s="122"/>
    </row>
    <row r="66" spans="1:8" ht="25.5" x14ac:dyDescent="0.2">
      <c r="A66" s="131" t="s">
        <v>245</v>
      </c>
      <c r="B66" s="142">
        <v>0</v>
      </c>
      <c r="C66" s="142">
        <v>1</v>
      </c>
      <c r="D66" s="142" t="s">
        <v>239</v>
      </c>
      <c r="E66" s="142">
        <v>0</v>
      </c>
      <c r="F66" s="122"/>
    </row>
    <row r="67" spans="1:8" ht="15.75" x14ac:dyDescent="0.2">
      <c r="A67" s="131" t="s">
        <v>246</v>
      </c>
      <c r="B67" s="137">
        <v>0</v>
      </c>
      <c r="C67" s="137">
        <v>1</v>
      </c>
      <c r="D67" s="137" t="s">
        <v>239</v>
      </c>
      <c r="E67" s="137">
        <v>0</v>
      </c>
      <c r="F67" s="122"/>
    </row>
    <row r="68" spans="1:8" ht="15.75" x14ac:dyDescent="0.2">
      <c r="A68" s="131" t="s">
        <v>247</v>
      </c>
      <c r="B68" s="142">
        <v>308</v>
      </c>
      <c r="C68" s="142">
        <v>1</v>
      </c>
      <c r="D68" s="142" t="s">
        <v>239</v>
      </c>
      <c r="E68" s="142">
        <v>308</v>
      </c>
      <c r="F68" s="122"/>
    </row>
    <row r="69" spans="1:8" ht="36" x14ac:dyDescent="0.2">
      <c r="A69" s="126" t="s">
        <v>234</v>
      </c>
      <c r="B69" s="143"/>
      <c r="C69" s="143"/>
      <c r="D69" s="143"/>
      <c r="E69" s="143">
        <f>SUM(E63,E68)</f>
        <v>317</v>
      </c>
      <c r="F69" s="122"/>
    </row>
    <row r="70" spans="1:8" ht="15.75" x14ac:dyDescent="0.2">
      <c r="A70" s="126" t="s">
        <v>235</v>
      </c>
      <c r="B70" s="143"/>
      <c r="C70" s="143"/>
      <c r="D70" s="143"/>
      <c r="E70" s="143">
        <f>E69+E57+E45</f>
        <v>776</v>
      </c>
      <c r="F70" s="122"/>
      <c r="G70" s="73" t="s">
        <v>314</v>
      </c>
      <c r="H70" s="155">
        <f>('Table 1d-State and Local Agency'!G26+'Table 1c-Summary'!F5)/'Respondents and Responses'!E70</f>
        <v>8.4020618556701034</v>
      </c>
    </row>
    <row r="71" spans="1:8" x14ac:dyDescent="0.2">
      <c r="A71" s="127"/>
      <c r="B71" s="128"/>
      <c r="C71" s="128"/>
      <c r="D71" s="128"/>
      <c r="E71" s="128"/>
      <c r="F71" s="114"/>
    </row>
    <row r="72" spans="1:8" ht="78" customHeight="1" x14ac:dyDescent="0.2">
      <c r="A72" s="216" t="s">
        <v>276</v>
      </c>
      <c r="B72" s="216"/>
      <c r="C72" s="216"/>
      <c r="D72" s="216"/>
      <c r="E72" s="216"/>
      <c r="F72" s="114"/>
    </row>
    <row r="74" spans="1:8" ht="13.5" thickBot="1" x14ac:dyDescent="0.25">
      <c r="A74" s="215" t="s">
        <v>313</v>
      </c>
      <c r="B74" s="215"/>
      <c r="C74" s="215"/>
      <c r="D74" s="215"/>
      <c r="E74" s="215"/>
      <c r="F74" s="215"/>
      <c r="G74" s="215"/>
      <c r="H74" s="215"/>
    </row>
    <row r="75" spans="1:8" ht="26.25" thickBot="1" x14ac:dyDescent="0.25">
      <c r="A75" s="171" t="s">
        <v>309</v>
      </c>
      <c r="B75" s="172" t="s">
        <v>302</v>
      </c>
      <c r="C75" s="172" t="s">
        <v>53</v>
      </c>
      <c r="D75" s="172" t="s">
        <v>303</v>
      </c>
      <c r="E75" s="172" t="s">
        <v>304</v>
      </c>
      <c r="F75" s="172" t="s">
        <v>305</v>
      </c>
      <c r="G75" s="172" t="s">
        <v>306</v>
      </c>
      <c r="H75" s="173" t="s">
        <v>307</v>
      </c>
    </row>
    <row r="76" spans="1:8" ht="13.5" thickTop="1" x14ac:dyDescent="0.2">
      <c r="A76" s="174" t="s">
        <v>310</v>
      </c>
      <c r="B76" s="175">
        <f>'Table 1a-Private'!H7</f>
        <v>174</v>
      </c>
      <c r="C76" s="176">
        <f>E45</f>
        <v>174</v>
      </c>
      <c r="D76" s="175">
        <f>'Table 1a-Private'!I26</f>
        <v>1000.5</v>
      </c>
      <c r="E76" s="175">
        <f>'Table 1a-Private'!I38</f>
        <v>0</v>
      </c>
      <c r="F76" s="177">
        <f>D76+E76</f>
        <v>1000.5</v>
      </c>
      <c r="G76" s="178">
        <f>F76/C76</f>
        <v>5.75</v>
      </c>
      <c r="H76" s="179">
        <f>F76/B76</f>
        <v>5.75</v>
      </c>
    </row>
    <row r="77" spans="1:8" x14ac:dyDescent="0.2">
      <c r="A77" s="180" t="s">
        <v>311</v>
      </c>
      <c r="B77" s="181">
        <f>'Table 1b-Public'!H7</f>
        <v>285</v>
      </c>
      <c r="C77" s="176">
        <f>E57</f>
        <v>285</v>
      </c>
      <c r="D77" s="181">
        <f>'Table 1b-Public'!I26</f>
        <v>1638.75</v>
      </c>
      <c r="E77" s="181">
        <f>'Table 1b-Public'!I38</f>
        <v>0</v>
      </c>
      <c r="F77" s="181">
        <f>D77+E77</f>
        <v>1638.75</v>
      </c>
      <c r="G77" s="188">
        <f>F77/C77</f>
        <v>5.75</v>
      </c>
      <c r="H77" s="179">
        <f>F77/B77</f>
        <v>5.75</v>
      </c>
    </row>
    <row r="78" spans="1:8" ht="15.75" customHeight="1" thickBot="1" x14ac:dyDescent="0.25">
      <c r="A78" s="182" t="s">
        <v>312</v>
      </c>
      <c r="B78" s="183">
        <f>'Table 1d-State and Local Agency'!F5</f>
        <v>34</v>
      </c>
      <c r="C78" s="183">
        <f>E69</f>
        <v>317</v>
      </c>
      <c r="D78" s="213">
        <f>'Table 1d-State and Local Agency'!G26</f>
        <v>3880</v>
      </c>
      <c r="E78" s="214"/>
      <c r="F78" s="183">
        <f>D78+E78</f>
        <v>3880</v>
      </c>
      <c r="G78" s="183">
        <f>F78/C78</f>
        <v>12.239747634069401</v>
      </c>
      <c r="H78" s="184">
        <f>F78/B78</f>
        <v>114.11764705882354</v>
      </c>
    </row>
    <row r="79" spans="1:8" ht="13.5" thickTop="1" x14ac:dyDescent="0.2">
      <c r="A79" s="174" t="s">
        <v>256</v>
      </c>
      <c r="B79" s="185" t="s">
        <v>308</v>
      </c>
      <c r="C79" s="185">
        <f>SUM(C76:C78)</f>
        <v>776</v>
      </c>
      <c r="D79" s="185">
        <f>SUM(D76:D78)</f>
        <v>6519.25</v>
      </c>
      <c r="E79" s="185">
        <f t="shared" ref="E79:F79" si="3">SUM(E76:E78)</f>
        <v>0</v>
      </c>
      <c r="F79" s="185">
        <f t="shared" si="3"/>
        <v>6519.25</v>
      </c>
      <c r="G79" s="186">
        <f>F79/C79</f>
        <v>8.4010953608247423</v>
      </c>
      <c r="H79" s="187" t="s">
        <v>308</v>
      </c>
    </row>
  </sheetData>
  <mergeCells count="14">
    <mergeCell ref="D78:E78"/>
    <mergeCell ref="A74:H74"/>
    <mergeCell ref="A72:E72"/>
    <mergeCell ref="A3:F3"/>
    <mergeCell ref="A30:E30"/>
    <mergeCell ref="A31:E31"/>
    <mergeCell ref="A26:F26"/>
    <mergeCell ref="A16:E16"/>
    <mergeCell ref="A20:A21"/>
    <mergeCell ref="A4:A5"/>
    <mergeCell ref="A17:F17"/>
    <mergeCell ref="A19:F19"/>
    <mergeCell ref="A6:F6"/>
    <mergeCell ref="A11:F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workbookViewId="0">
      <selection activeCell="F7" sqref="F7"/>
    </sheetView>
  </sheetViews>
  <sheetFormatPr defaultRowHeight="15" x14ac:dyDescent="0.25"/>
  <cols>
    <col min="1" max="1" width="17.42578125" customWidth="1"/>
    <col min="2" max="2" width="12.5703125" customWidth="1"/>
    <col min="3" max="3" width="15" customWidth="1"/>
    <col min="4" max="4" width="11.5703125" customWidth="1"/>
    <col min="5" max="5" width="14.140625" customWidth="1"/>
    <col min="6" max="6" width="11" customWidth="1"/>
    <col min="7" max="7" width="11.85546875" customWidth="1"/>
  </cols>
  <sheetData>
    <row r="1" spans="1:9" ht="15.75" x14ac:dyDescent="0.25">
      <c r="A1" s="120"/>
    </row>
    <row r="2" spans="1:9" ht="15.75" x14ac:dyDescent="0.25">
      <c r="A2" s="225"/>
      <c r="B2" s="225"/>
      <c r="C2" s="225"/>
      <c r="D2" s="225"/>
      <c r="E2" s="225"/>
      <c r="F2" s="225"/>
      <c r="G2" s="225"/>
      <c r="H2" s="225"/>
      <c r="I2" s="225"/>
    </row>
    <row r="3" spans="1:9" ht="15.75" customHeight="1" x14ac:dyDescent="0.25">
      <c r="A3" s="229" t="s">
        <v>213</v>
      </c>
      <c r="B3" s="229"/>
      <c r="C3" s="229"/>
      <c r="D3" s="229"/>
      <c r="E3" s="229"/>
      <c r="F3" s="229"/>
      <c r="G3" s="229"/>
      <c r="H3" s="229"/>
      <c r="I3" s="121"/>
    </row>
    <row r="4" spans="1:9" ht="15" customHeight="1" x14ac:dyDescent="0.25">
      <c r="A4" s="90" t="s">
        <v>85</v>
      </c>
      <c r="B4" s="90" t="s">
        <v>217</v>
      </c>
      <c r="C4" s="90" t="s">
        <v>219</v>
      </c>
      <c r="D4" s="90" t="s">
        <v>87</v>
      </c>
      <c r="E4" s="90" t="s">
        <v>88</v>
      </c>
      <c r="F4" s="90" t="s">
        <v>89</v>
      </c>
      <c r="G4" s="90" t="s">
        <v>90</v>
      </c>
      <c r="H4" s="90" t="s">
        <v>92</v>
      </c>
      <c r="I4" s="122"/>
    </row>
    <row r="5" spans="1:9" ht="51" x14ac:dyDescent="0.25">
      <c r="A5" s="91" t="s">
        <v>214</v>
      </c>
      <c r="B5" s="91" t="s">
        <v>218</v>
      </c>
      <c r="C5" s="90" t="s">
        <v>220</v>
      </c>
      <c r="D5" s="91" t="s">
        <v>215</v>
      </c>
      <c r="E5" s="91" t="s">
        <v>221</v>
      </c>
      <c r="F5" s="91" t="s">
        <v>91</v>
      </c>
      <c r="G5" s="91" t="s">
        <v>222</v>
      </c>
      <c r="H5" s="90" t="s">
        <v>216</v>
      </c>
      <c r="I5" s="122"/>
    </row>
    <row r="6" spans="1:9" ht="15" customHeight="1" x14ac:dyDescent="0.25">
      <c r="A6" s="123"/>
      <c r="B6" s="123"/>
      <c r="C6" s="123"/>
      <c r="D6" s="123"/>
      <c r="E6" s="123"/>
      <c r="F6" s="123"/>
      <c r="G6" s="123"/>
      <c r="H6" s="90"/>
      <c r="I6" s="122"/>
    </row>
    <row r="7" spans="1:9" ht="51" x14ac:dyDescent="0.25">
      <c r="A7" s="91" t="s">
        <v>223</v>
      </c>
      <c r="B7" s="118">
        <v>10067</v>
      </c>
      <c r="C7" s="118">
        <v>1105</v>
      </c>
      <c r="D7" s="112">
        <v>0</v>
      </c>
      <c r="E7" s="118">
        <v>0</v>
      </c>
      <c r="F7" s="118">
        <v>0</v>
      </c>
      <c r="G7" s="112">
        <v>0</v>
      </c>
      <c r="H7" s="118">
        <v>0</v>
      </c>
      <c r="I7" s="122"/>
    </row>
    <row r="8" spans="1:9" ht="51" x14ac:dyDescent="0.25">
      <c r="A8" s="91" t="s">
        <v>224</v>
      </c>
      <c r="B8" s="118">
        <v>10067</v>
      </c>
      <c r="C8" s="118">
        <v>2455</v>
      </c>
      <c r="D8" s="112">
        <v>0</v>
      </c>
      <c r="E8" s="118">
        <v>0</v>
      </c>
      <c r="F8" s="118">
        <v>0</v>
      </c>
      <c r="G8" s="112">
        <v>0</v>
      </c>
      <c r="H8" s="118">
        <v>0</v>
      </c>
      <c r="I8" s="122"/>
    </row>
    <row r="9" spans="1:9" ht="25.5" x14ac:dyDescent="0.25">
      <c r="A9" s="91" t="s">
        <v>225</v>
      </c>
      <c r="B9" s="112">
        <v>0</v>
      </c>
      <c r="C9" s="112">
        <v>0</v>
      </c>
      <c r="D9" s="112">
        <v>0</v>
      </c>
      <c r="E9" s="118">
        <v>0</v>
      </c>
      <c r="F9" s="118">
        <v>2816</v>
      </c>
      <c r="G9" s="112">
        <v>0</v>
      </c>
      <c r="H9" s="118">
        <v>0</v>
      </c>
      <c r="I9" s="122"/>
    </row>
    <row r="10" spans="1:9" ht="25.5" x14ac:dyDescent="0.25">
      <c r="A10" s="91" t="s">
        <v>226</v>
      </c>
      <c r="B10" s="112">
        <v>0</v>
      </c>
      <c r="C10" s="112">
        <v>0</v>
      </c>
      <c r="D10" s="112">
        <v>0</v>
      </c>
      <c r="E10" s="118">
        <v>0</v>
      </c>
      <c r="F10" s="118">
        <v>204</v>
      </c>
      <c r="G10" s="112">
        <v>0</v>
      </c>
      <c r="H10" s="118">
        <v>0</v>
      </c>
      <c r="I10" s="122"/>
    </row>
    <row r="11" spans="1:9" ht="15.75" x14ac:dyDescent="0.25">
      <c r="A11" s="91" t="s">
        <v>227</v>
      </c>
      <c r="B11" s="118">
        <v>3000</v>
      </c>
      <c r="C11" s="118">
        <v>330</v>
      </c>
      <c r="D11" s="112">
        <v>0</v>
      </c>
      <c r="E11" s="118">
        <v>0</v>
      </c>
      <c r="F11" s="227">
        <v>1000</v>
      </c>
      <c r="G11" s="228">
        <v>0</v>
      </c>
      <c r="H11" s="227">
        <v>0</v>
      </c>
      <c r="I11" s="122"/>
    </row>
    <row r="12" spans="1:9" ht="15.75" x14ac:dyDescent="0.25">
      <c r="A12" s="91" t="s">
        <v>75</v>
      </c>
      <c r="B12" s="118">
        <v>500</v>
      </c>
      <c r="C12" s="118">
        <v>55</v>
      </c>
      <c r="D12" s="112">
        <v>0</v>
      </c>
      <c r="E12" s="118">
        <v>0</v>
      </c>
      <c r="F12" s="227"/>
      <c r="G12" s="228"/>
      <c r="H12" s="227"/>
      <c r="I12" s="122"/>
    </row>
    <row r="13" spans="1:9" ht="15.75" x14ac:dyDescent="0.25">
      <c r="A13" s="91" t="s">
        <v>76</v>
      </c>
      <c r="B13" s="118">
        <v>4500</v>
      </c>
      <c r="C13" s="118">
        <v>494</v>
      </c>
      <c r="D13" s="112">
        <v>0</v>
      </c>
      <c r="E13" s="118">
        <v>0</v>
      </c>
      <c r="F13" s="227"/>
      <c r="G13" s="228"/>
      <c r="H13" s="227"/>
      <c r="I13" s="122"/>
    </row>
    <row r="14" spans="1:9" ht="45" customHeight="1" x14ac:dyDescent="0.25">
      <c r="A14" s="226" t="s">
        <v>228</v>
      </c>
      <c r="B14" s="226"/>
      <c r="C14" s="226"/>
      <c r="D14" s="226"/>
      <c r="E14" s="226"/>
      <c r="F14" s="226"/>
      <c r="G14" s="226"/>
      <c r="H14" s="226"/>
    </row>
  </sheetData>
  <mergeCells count="6">
    <mergeCell ref="A2:I2"/>
    <mergeCell ref="A14:H14"/>
    <mergeCell ref="F11:F13"/>
    <mergeCell ref="G11:G13"/>
    <mergeCell ref="H11:H13"/>
    <mergeCell ref="A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C84B3-059D-4B80-B554-72DB9A462B6B}">
  <dimension ref="A1:J31"/>
  <sheetViews>
    <sheetView workbookViewId="0">
      <selection activeCell="C12" sqref="C12"/>
    </sheetView>
  </sheetViews>
  <sheetFormatPr defaultRowHeight="15" x14ac:dyDescent="0.25"/>
  <cols>
    <col min="1" max="1" width="29.5703125" customWidth="1"/>
    <col min="2" max="2" width="18.28515625" customWidth="1"/>
    <col min="3" max="3" width="25" style="1" customWidth="1"/>
    <col min="4" max="4" width="22.85546875" customWidth="1"/>
    <col min="5" max="5" width="32.5703125" customWidth="1"/>
  </cols>
  <sheetData>
    <row r="1" spans="1:10" x14ac:dyDescent="0.25">
      <c r="B1" s="3" t="s">
        <v>4</v>
      </c>
      <c r="C1" s="4" t="s">
        <v>5</v>
      </c>
      <c r="D1" s="3" t="s">
        <v>64</v>
      </c>
      <c r="E1" s="3" t="s">
        <v>7</v>
      </c>
      <c r="F1" s="14" t="s">
        <v>51</v>
      </c>
      <c r="G1" s="3" t="s">
        <v>6</v>
      </c>
      <c r="H1" s="3" t="s">
        <v>52</v>
      </c>
    </row>
    <row r="2" spans="1:10" ht="30" x14ac:dyDescent="0.25">
      <c r="A2" s="19" t="s">
        <v>8</v>
      </c>
      <c r="B2" s="6">
        <v>10067</v>
      </c>
      <c r="C2" s="7" t="s">
        <v>9</v>
      </c>
      <c r="D2" s="5">
        <f>B2*((0.07*(1+0.07)^15)/((1+0.07)^15-1))</f>
        <v>1105.3024868650327</v>
      </c>
      <c r="E2" s="13" t="s">
        <v>10</v>
      </c>
      <c r="F2" s="15">
        <f>(0.07*(1+0.07)^15)/((1+0.07)^15-1)</f>
        <v>0.10979462470100652</v>
      </c>
      <c r="G2">
        <f>F2*B2</f>
        <v>1105.3024868650327</v>
      </c>
    </row>
    <row r="3" spans="1:10" x14ac:dyDescent="0.25">
      <c r="A3" s="19" t="s">
        <v>11</v>
      </c>
      <c r="B3" s="25">
        <f>8*E26</f>
        <v>691.65600000000006</v>
      </c>
      <c r="C3" s="7" t="s">
        <v>12</v>
      </c>
      <c r="D3" s="5">
        <f>B3</f>
        <v>691.65600000000006</v>
      </c>
      <c r="E3" s="16" t="s">
        <v>13</v>
      </c>
    </row>
    <row r="4" spans="1:10" ht="30" x14ac:dyDescent="0.25">
      <c r="A4" s="26" t="s">
        <v>14</v>
      </c>
      <c r="B4" s="6">
        <f>12*E26+B2</f>
        <v>11104.484</v>
      </c>
      <c r="C4" s="7" t="s">
        <v>15</v>
      </c>
      <c r="D4" s="35">
        <f>B4*((0.07*(1+0.07)^5)/((1+0.07)^5-1))</f>
        <v>2708.280314173127</v>
      </c>
      <c r="E4" s="13" t="s">
        <v>16</v>
      </c>
      <c r="F4" s="15">
        <f>(0.07*(1+0.07)^5)/((1+0.07)^5-1)</f>
        <v>0.24389069444137401</v>
      </c>
      <c r="G4">
        <f>B2*F4</f>
        <v>2455.2476209413121</v>
      </c>
      <c r="H4">
        <f>F4*12</f>
        <v>2.9266883332964881</v>
      </c>
      <c r="J4" s="18"/>
    </row>
    <row r="5" spans="1:10" ht="45" x14ac:dyDescent="0.25">
      <c r="A5" s="7" t="s">
        <v>17</v>
      </c>
      <c r="B5" s="8">
        <v>1</v>
      </c>
      <c r="C5" s="9" t="s">
        <v>18</v>
      </c>
      <c r="D5" s="10"/>
      <c r="E5" s="10"/>
    </row>
    <row r="6" spans="1:10" ht="30" x14ac:dyDescent="0.25">
      <c r="A6" s="7" t="s">
        <v>19</v>
      </c>
      <c r="B6" s="8">
        <f>B5*0.254</f>
        <v>0.254</v>
      </c>
      <c r="C6" s="9" t="s">
        <v>20</v>
      </c>
      <c r="D6" s="10">
        <f>25/(30*3.28)</f>
        <v>0.25406504065040653</v>
      </c>
      <c r="E6" s="10"/>
    </row>
    <row r="7" spans="1:10" ht="30" x14ac:dyDescent="0.25">
      <c r="A7" s="7" t="s">
        <v>21</v>
      </c>
      <c r="B7" s="27">
        <f>E27</f>
        <v>49.853999999999999</v>
      </c>
      <c r="C7" s="2" t="s">
        <v>22</v>
      </c>
    </row>
    <row r="8" spans="1:10" x14ac:dyDescent="0.25">
      <c r="A8" s="7" t="s">
        <v>23</v>
      </c>
      <c r="B8" s="36">
        <v>175</v>
      </c>
      <c r="C8" s="17" t="s">
        <v>95</v>
      </c>
    </row>
    <row r="9" spans="1:10" x14ac:dyDescent="0.25">
      <c r="A9" s="7" t="s">
        <v>24</v>
      </c>
      <c r="B9" s="36">
        <v>600</v>
      </c>
      <c r="C9" s="17" t="s">
        <v>95</v>
      </c>
    </row>
    <row r="10" spans="1:10" x14ac:dyDescent="0.25">
      <c r="A10" s="7" t="s">
        <v>25</v>
      </c>
      <c r="B10" s="36">
        <v>1650</v>
      </c>
      <c r="C10" s="17" t="s">
        <v>95</v>
      </c>
    </row>
    <row r="11" spans="1:10" ht="30" x14ac:dyDescent="0.25">
      <c r="A11" s="11" t="s">
        <v>26</v>
      </c>
      <c r="B11">
        <v>50</v>
      </c>
      <c r="C11" s="2" t="s">
        <v>27</v>
      </c>
    </row>
    <row r="12" spans="1:10" ht="60" x14ac:dyDescent="0.25">
      <c r="A12" s="11" t="s">
        <v>28</v>
      </c>
      <c r="B12" s="8">
        <v>1</v>
      </c>
    </row>
    <row r="13" spans="1:10" ht="45" x14ac:dyDescent="0.25">
      <c r="A13" s="28" t="s">
        <v>80</v>
      </c>
      <c r="B13">
        <f>(2*85)*1.2</f>
        <v>204</v>
      </c>
      <c r="C13" s="1" t="s">
        <v>65</v>
      </c>
      <c r="D13" t="s">
        <v>66</v>
      </c>
      <c r="F13">
        <f>B13/4</f>
        <v>51</v>
      </c>
      <c r="G13" t="s">
        <v>83</v>
      </c>
    </row>
    <row r="14" spans="1:10" ht="45" x14ac:dyDescent="0.25">
      <c r="A14" s="29" t="s">
        <v>67</v>
      </c>
      <c r="B14" s="12">
        <f>175*1.2</f>
        <v>210</v>
      </c>
      <c r="C14" s="1" t="s">
        <v>68</v>
      </c>
      <c r="D14" t="s">
        <v>66</v>
      </c>
      <c r="F14">
        <f>B14/4</f>
        <v>52.5</v>
      </c>
      <c r="G14" t="s">
        <v>83</v>
      </c>
    </row>
    <row r="15" spans="1:10" ht="71.25" customHeight="1" x14ac:dyDescent="0.25">
      <c r="A15" s="29" t="s">
        <v>81</v>
      </c>
      <c r="B15">
        <f>(2*85)*1.2</f>
        <v>204</v>
      </c>
      <c r="C15" s="1" t="s">
        <v>82</v>
      </c>
      <c r="D15" t="s">
        <v>66</v>
      </c>
      <c r="F15">
        <f>B15/12</f>
        <v>17</v>
      </c>
      <c r="G15" t="s">
        <v>84</v>
      </c>
    </row>
    <row r="16" spans="1:10" x14ac:dyDescent="0.25">
      <c r="A16" s="29"/>
      <c r="B16" s="12"/>
      <c r="D16" s="3" t="s">
        <v>64</v>
      </c>
      <c r="E16" s="3" t="s">
        <v>7</v>
      </c>
    </row>
    <row r="17" spans="1:5" x14ac:dyDescent="0.25">
      <c r="A17" s="33" t="s">
        <v>74</v>
      </c>
      <c r="B17" s="16">
        <v>3000</v>
      </c>
      <c r="C17" s="7"/>
      <c r="D17" s="5">
        <f>B17*((0.07*(1+0.07)^15)/((1+0.07)^15-1))</f>
        <v>329.38387410301959</v>
      </c>
      <c r="E17" s="32" t="s">
        <v>10</v>
      </c>
    </row>
    <row r="18" spans="1:5" x14ac:dyDescent="0.25">
      <c r="A18" s="91" t="s">
        <v>75</v>
      </c>
      <c r="B18" s="34">
        <v>500</v>
      </c>
      <c r="C18" s="7"/>
      <c r="D18" s="5">
        <f t="shared" ref="D18:D19" si="0">B18*((0.07*(1+0.07)^15)/((1+0.07)^15-1))</f>
        <v>54.897312350503263</v>
      </c>
    </row>
    <row r="19" spans="1:5" x14ac:dyDescent="0.25">
      <c r="A19" s="91" t="s">
        <v>76</v>
      </c>
      <c r="B19" s="34">
        <v>4500</v>
      </c>
      <c r="C19" s="7"/>
      <c r="D19" s="5">
        <f t="shared" si="0"/>
        <v>494.07581115452933</v>
      </c>
    </row>
    <row r="20" spans="1:5" x14ac:dyDescent="0.25">
      <c r="A20" s="91" t="s">
        <v>77</v>
      </c>
      <c r="B20" s="34"/>
      <c r="C20" s="7"/>
      <c r="D20" s="5">
        <v>1000</v>
      </c>
    </row>
    <row r="21" spans="1:5" x14ac:dyDescent="0.25">
      <c r="A21" s="29"/>
      <c r="B21" s="12"/>
    </row>
    <row r="22" spans="1:5" x14ac:dyDescent="0.25">
      <c r="A22" s="29"/>
      <c r="B22" s="30" t="s">
        <v>69</v>
      </c>
      <c r="C22" s="30" t="s">
        <v>70</v>
      </c>
    </row>
    <row r="23" spans="1:5" ht="45" x14ac:dyDescent="0.25">
      <c r="A23" s="31" t="s">
        <v>71</v>
      </c>
      <c r="B23" s="5">
        <f>(3*B8)+B13+B14</f>
        <v>939</v>
      </c>
      <c r="C23" s="5">
        <f>(3*B9)+B13+B14</f>
        <v>2214</v>
      </c>
    </row>
    <row r="25" spans="1:5" x14ac:dyDescent="0.25">
      <c r="A25" s="20" t="s">
        <v>30</v>
      </c>
      <c r="B25" s="20" t="s">
        <v>1</v>
      </c>
      <c r="C25" s="21" t="s">
        <v>58</v>
      </c>
      <c r="D25" s="22" t="s">
        <v>59</v>
      </c>
      <c r="E25" s="22" t="s">
        <v>60</v>
      </c>
    </row>
    <row r="26" spans="1:5" x14ac:dyDescent="0.25">
      <c r="A26" s="23" t="s">
        <v>29</v>
      </c>
      <c r="B26" s="24" t="s">
        <v>2</v>
      </c>
      <c r="C26" s="37">
        <v>41.17</v>
      </c>
      <c r="D26" s="38" t="s">
        <v>61</v>
      </c>
      <c r="E26" s="25">
        <f>C26+1.1*C26</f>
        <v>86.457000000000008</v>
      </c>
    </row>
    <row r="27" spans="1:5" ht="30" x14ac:dyDescent="0.25">
      <c r="A27" s="23" t="s">
        <v>31</v>
      </c>
      <c r="B27" s="24" t="s">
        <v>3</v>
      </c>
      <c r="C27" s="37">
        <v>23.74</v>
      </c>
      <c r="D27" s="38" t="s">
        <v>62</v>
      </c>
      <c r="E27" s="25">
        <f>C27+1.1*C27</f>
        <v>49.853999999999999</v>
      </c>
    </row>
    <row r="29" spans="1:5" x14ac:dyDescent="0.25">
      <c r="A29" s="2" t="s">
        <v>63</v>
      </c>
      <c r="C29"/>
    </row>
    <row r="31" spans="1:5" x14ac:dyDescent="0.25">
      <c r="A31" s="36" t="s">
        <v>94</v>
      </c>
    </row>
  </sheetData>
  <hyperlinks>
    <hyperlink ref="C11" r:id="rId1" xr:uid="{BD7C4DBA-6779-434C-B713-DE917E40A52F}"/>
    <hyperlink ref="C7" r:id="rId2" xr:uid="{97068AC3-5302-4513-B24B-7E98CBDF762C}"/>
    <hyperlink ref="A29" r:id="rId3" location="17-0000 (May 2013)" xr:uid="{E6F239BC-CCCF-4CD3-A438-498E715873D0}"/>
  </hyperlinks>
  <pageMargins left="0.7" right="0.7" top="0.75" bottom="0.75" header="0.3" footer="0.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Table 1a-Private</vt:lpstr>
      <vt:lpstr>Table 1b-Public</vt:lpstr>
      <vt:lpstr>Table 1c-Summary</vt:lpstr>
      <vt:lpstr>Table 1d-State and Local Agency</vt:lpstr>
      <vt:lpstr>Table 2-EPA</vt:lpstr>
      <vt:lpstr>Respondents and Responses</vt:lpstr>
      <vt:lpstr>Capital - O&amp;M</vt:lpstr>
      <vt:lpstr>Other Cost Basis</vt:lpstr>
      <vt:lpstr>'Capital - O&amp;M'!_Hlk526947918</vt:lpstr>
      <vt:lpstr>'Table 1a-Private'!Print_Area</vt:lpstr>
      <vt:lpstr>'Table 1b-Public'!Print_Area</vt:lpstr>
      <vt:lpstr>'Table 2-EPA'!Print_Area</vt:lpstr>
      <vt:lpstr>'Table 1a-Private'!Print_Titles</vt:lpstr>
      <vt:lpstr>'Table 1b-Public'!Print_Titles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ASingleton</dc:creator>
  <cp:lastModifiedBy>wwrigley</cp:lastModifiedBy>
  <cp:lastPrinted>2015-05-27T12:47:04Z</cp:lastPrinted>
  <dcterms:created xsi:type="dcterms:W3CDTF">2014-03-24T13:25:26Z</dcterms:created>
  <dcterms:modified xsi:type="dcterms:W3CDTF">2019-07-11T15:25:37Z</dcterms:modified>
</cp:coreProperties>
</file>