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0CE2F173-A8D1-44E4-AC47-11655B9B0D46}" xr6:coauthVersionLast="36" xr6:coauthVersionMax="36" xr10:uidLastSave="{00000000-0000-0000-0000-000000000000}"/>
  <bookViews>
    <workbookView xWindow="0" yWindow="0" windowWidth="19200" windowHeight="11385" xr2:uid="{00000000-000D-0000-FFFF-FFFF00000000}"/>
  </bookViews>
  <sheets>
    <sheet name="Table 1" sheetId="2" r:id="rId1"/>
    <sheet name="Table 2" sheetId="3" r:id="rId2"/>
    <sheet name="#Sources" sheetId="1" r:id="rId3"/>
    <sheet name="# Responses" sheetId="5" r:id="rId4"/>
    <sheet name="Capital and O&amp;M Costs"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73" i="2" l="1"/>
  <c r="J24" i="1" l="1"/>
  <c r="I20" i="1"/>
  <c r="I18" i="1"/>
  <c r="K24" i="1"/>
  <c r="H10" i="1"/>
  <c r="E8" i="1" l="1"/>
  <c r="H20" i="1" l="1"/>
  <c r="D20" i="1"/>
  <c r="C20" i="1"/>
  <c r="B20" i="1"/>
  <c r="E51" i="2" s="1"/>
  <c r="H15" i="1"/>
  <c r="D15" i="1"/>
  <c r="C15" i="1"/>
  <c r="B15" i="1"/>
  <c r="E10" i="1"/>
  <c r="D10" i="1"/>
  <c r="C10" i="1"/>
  <c r="B10" i="1"/>
  <c r="F9" i="1"/>
  <c r="F12" i="1" s="1"/>
  <c r="I8" i="1"/>
  <c r="I10" i="1" s="1"/>
  <c r="F8" i="1"/>
  <c r="G8" i="1" s="1"/>
  <c r="G10" i="1" s="1"/>
  <c r="E9" i="1"/>
  <c r="E12" i="1" s="1"/>
  <c r="E13" i="1" s="1"/>
  <c r="I7" i="1"/>
  <c r="G7" i="1"/>
  <c r="F10" i="1" l="1"/>
  <c r="C5" i="4"/>
  <c r="C6" i="4"/>
  <c r="D6" i="4" s="1"/>
  <c r="F13" i="1"/>
  <c r="F14" i="1" s="1"/>
  <c r="G12" i="1"/>
  <c r="I9" i="1"/>
  <c r="G9" i="1"/>
  <c r="I12" i="1" l="1"/>
  <c r="F15" i="1"/>
  <c r="G13" i="1"/>
  <c r="G15" i="1" s="1"/>
  <c r="G14" i="1" l="1"/>
  <c r="F17" i="1"/>
  <c r="E14" i="1"/>
  <c r="E17" i="1" s="1"/>
  <c r="E15" i="1"/>
  <c r="I13" i="1"/>
  <c r="I15" i="1" s="1"/>
  <c r="I17" i="1" l="1"/>
  <c r="I14" i="1"/>
  <c r="F18" i="1"/>
  <c r="G17" i="1"/>
  <c r="F20" i="1" l="1"/>
  <c r="G18" i="1"/>
  <c r="G20" i="1" s="1"/>
  <c r="F19" i="1"/>
  <c r="G19" i="1" s="1"/>
  <c r="E18" i="1"/>
  <c r="E27" i="2" l="1"/>
  <c r="E28" i="2"/>
  <c r="E19" i="1"/>
  <c r="I19" i="1" s="1"/>
  <c r="E20" i="1"/>
  <c r="F6" i="4" l="1"/>
  <c r="G6" i="4" s="1"/>
  <c r="F5" i="4"/>
  <c r="G5" i="4" s="1"/>
  <c r="E52" i="2"/>
  <c r="E10" i="2"/>
  <c r="E23" i="2"/>
  <c r="D5" i="4" l="1"/>
  <c r="D8" i="4" s="1"/>
  <c r="C15" i="5"/>
  <c r="C16" i="5"/>
  <c r="C17" i="5"/>
  <c r="C18" i="5"/>
  <c r="C19" i="5"/>
  <c r="C20" i="5"/>
  <c r="C21" i="5"/>
  <c r="C14" i="5"/>
  <c r="C7" i="5"/>
  <c r="C8" i="5"/>
  <c r="C9" i="5"/>
  <c r="C10" i="5"/>
  <c r="C11" i="5"/>
  <c r="C12" i="5"/>
  <c r="C6" i="5"/>
  <c r="B20" i="5"/>
  <c r="E20" i="5" l="1"/>
  <c r="E10" i="3"/>
  <c r="E7" i="3"/>
  <c r="E41" i="2"/>
  <c r="E35" i="2"/>
  <c r="E16" i="2" l="1"/>
  <c r="B9" i="5" s="1"/>
  <c r="E9" i="5" s="1"/>
  <c r="E17" i="2"/>
  <c r="B10" i="5" s="1"/>
  <c r="E10" i="5" s="1"/>
  <c r="E64" i="2"/>
  <c r="E36" i="2"/>
  <c r="E9" i="3"/>
  <c r="E13" i="2"/>
  <c r="B6" i="5" s="1"/>
  <c r="E6" i="5" s="1"/>
  <c r="E8" i="3"/>
  <c r="E14" i="2"/>
  <c r="B7" i="5" s="1"/>
  <c r="E7" i="5" s="1"/>
  <c r="E38" i="2"/>
  <c r="E15" i="2"/>
  <c r="B8" i="5" s="1"/>
  <c r="E8" i="5" s="1"/>
  <c r="E9" i="2"/>
  <c r="E26" i="2"/>
  <c r="E24" i="2"/>
  <c r="B17" i="5" s="1"/>
  <c r="E17" i="5" s="1"/>
  <c r="E25" i="2"/>
  <c r="B18" i="5" s="1"/>
  <c r="E18" i="5" s="1"/>
  <c r="E14" i="3"/>
  <c r="E21" i="2"/>
  <c r="B14" i="5" s="1"/>
  <c r="E14" i="5" s="1"/>
  <c r="E22" i="2"/>
  <c r="B15" i="5" s="1"/>
  <c r="E15" i="5" s="1"/>
  <c r="E65" i="2"/>
  <c r="E15" i="3"/>
  <c r="E30" i="2"/>
  <c r="D10" i="2"/>
  <c r="B19" i="5" l="1"/>
  <c r="E19" i="5" s="1"/>
  <c r="E40" i="2"/>
  <c r="E45" i="2"/>
  <c r="E54" i="2" s="1"/>
  <c r="B16" i="5"/>
  <c r="E16" i="5" s="1"/>
  <c r="F18" i="3"/>
  <c r="F14" i="3"/>
  <c r="H14" i="3" s="1"/>
  <c r="D15" i="3"/>
  <c r="D16" i="3"/>
  <c r="F16" i="3" s="1"/>
  <c r="D17" i="3"/>
  <c r="F17" i="3" s="1"/>
  <c r="D18" i="3"/>
  <c r="D19" i="3"/>
  <c r="D20" i="3"/>
  <c r="D14" i="3"/>
  <c r="D8" i="3"/>
  <c r="D9" i="3"/>
  <c r="D10" i="3"/>
  <c r="D11" i="3"/>
  <c r="D12" i="3"/>
  <c r="D7" i="3"/>
  <c r="D65" i="2"/>
  <c r="D66" i="2"/>
  <c r="D67" i="2"/>
  <c r="D68" i="2"/>
  <c r="D64" i="2"/>
  <c r="D62" i="2"/>
  <c r="D61" i="2"/>
  <c r="D58" i="2"/>
  <c r="D59" i="2"/>
  <c r="D57" i="2"/>
  <c r="D54" i="2"/>
  <c r="D52" i="2"/>
  <c r="D51" i="2"/>
  <c r="D46" i="2"/>
  <c r="D47" i="2"/>
  <c r="D48" i="2"/>
  <c r="D45" i="2"/>
  <c r="D41" i="2"/>
  <c r="D40" i="2"/>
  <c r="D38" i="2"/>
  <c r="D36" i="2"/>
  <c r="D35" i="2"/>
  <c r="D22" i="2"/>
  <c r="F22" i="2" s="1"/>
  <c r="D23" i="2"/>
  <c r="F23" i="2" s="1"/>
  <c r="D24" i="2"/>
  <c r="F24" i="2" s="1"/>
  <c r="H24" i="2" s="1"/>
  <c r="D25" i="2"/>
  <c r="F25" i="2" s="1"/>
  <c r="D26" i="2"/>
  <c r="D27" i="2"/>
  <c r="D28" i="2"/>
  <c r="D21" i="2"/>
  <c r="D14" i="2"/>
  <c r="D15" i="2"/>
  <c r="D16" i="2"/>
  <c r="D17" i="2"/>
  <c r="D18" i="2"/>
  <c r="D19" i="2"/>
  <c r="D13" i="2"/>
  <c r="D30" i="2"/>
  <c r="D9" i="2"/>
  <c r="F9" i="2" s="1"/>
  <c r="F54" i="2" l="1"/>
  <c r="G54" i="2" s="1"/>
  <c r="F45" i="2"/>
  <c r="G45" i="2" s="1"/>
  <c r="E48" i="2"/>
  <c r="E47" i="2"/>
  <c r="H23" i="2"/>
  <c r="F65" i="2"/>
  <c r="H65" i="2" s="1"/>
  <c r="F41" i="2"/>
  <c r="H41" i="2" s="1"/>
  <c r="F15" i="3"/>
  <c r="G25" i="2"/>
  <c r="H25" i="2"/>
  <c r="H17" i="3"/>
  <c r="G17" i="3"/>
  <c r="I17" i="3"/>
  <c r="H16" i="3"/>
  <c r="I16" i="3" s="1"/>
  <c r="G16" i="3"/>
  <c r="F9" i="3"/>
  <c r="H9" i="2"/>
  <c r="G9" i="2"/>
  <c r="G18" i="3"/>
  <c r="F8" i="3"/>
  <c r="F30" i="2"/>
  <c r="F21" i="2"/>
  <c r="G21" i="2" s="1"/>
  <c r="F64" i="2"/>
  <c r="G64" i="2" s="1"/>
  <c r="F51" i="2"/>
  <c r="G51" i="2" s="1"/>
  <c r="F36" i="2"/>
  <c r="G36" i="2" s="1"/>
  <c r="F15" i="2"/>
  <c r="H15" i="2" s="1"/>
  <c r="F7" i="3"/>
  <c r="G7" i="3" s="1"/>
  <c r="F13" i="2"/>
  <c r="G13" i="2" s="1"/>
  <c r="F16" i="2"/>
  <c r="G16" i="2" s="1"/>
  <c r="F14" i="2"/>
  <c r="H14" i="2" s="1"/>
  <c r="F10" i="3"/>
  <c r="F17" i="2"/>
  <c r="G17" i="2" s="1"/>
  <c r="H18" i="3"/>
  <c r="I18" i="3" s="1"/>
  <c r="H22" i="2"/>
  <c r="G14" i="3"/>
  <c r="I14" i="3" s="1"/>
  <c r="G24" i="2"/>
  <c r="I24" i="2" s="1"/>
  <c r="G23" i="2"/>
  <c r="G22" i="2"/>
  <c r="H54" i="2" l="1"/>
  <c r="H45" i="2"/>
  <c r="I54" i="2"/>
  <c r="E62" i="2"/>
  <c r="E46" i="2"/>
  <c r="I9" i="2"/>
  <c r="I25" i="2"/>
  <c r="I23" i="2"/>
  <c r="G65" i="2"/>
  <c r="I65" i="2" s="1"/>
  <c r="G41" i="2"/>
  <c r="I41" i="2" s="1"/>
  <c r="H51" i="2"/>
  <c r="I51" i="2" s="1"/>
  <c r="F38" i="2"/>
  <c r="G38" i="2" s="1"/>
  <c r="I45" i="2"/>
  <c r="H21" i="2"/>
  <c r="I21" i="2" s="1"/>
  <c r="H16" i="2"/>
  <c r="I16" i="2" s="1"/>
  <c r="H36" i="2"/>
  <c r="I36" i="2" s="1"/>
  <c r="I22" i="2"/>
  <c r="H17" i="2"/>
  <c r="I17" i="2" s="1"/>
  <c r="G10" i="3"/>
  <c r="H10" i="3"/>
  <c r="H8" i="3"/>
  <c r="G8" i="3"/>
  <c r="H30" i="2"/>
  <c r="H15" i="3"/>
  <c r="G15" i="3"/>
  <c r="G30" i="2"/>
  <c r="H13" i="2"/>
  <c r="I13" i="2" s="1"/>
  <c r="H7" i="3"/>
  <c r="I7" i="3" s="1"/>
  <c r="G14" i="2"/>
  <c r="I14" i="2" s="1"/>
  <c r="H64" i="2"/>
  <c r="I64" i="2" s="1"/>
  <c r="H9" i="3"/>
  <c r="G9" i="3"/>
  <c r="G15" i="2"/>
  <c r="I15" i="2" s="1"/>
  <c r="F35" i="2"/>
  <c r="F26" i="2"/>
  <c r="E67" i="2" l="1"/>
  <c r="F40" i="2"/>
  <c r="I9" i="3"/>
  <c r="I8" i="3"/>
  <c r="H38" i="2"/>
  <c r="I38" i="2" s="1"/>
  <c r="I30" i="2"/>
  <c r="I10" i="3"/>
  <c r="H35" i="2"/>
  <c r="G35" i="2"/>
  <c r="I15" i="3"/>
  <c r="H26" i="2"/>
  <c r="G26" i="2"/>
  <c r="E20" i="3" l="1"/>
  <c r="F20" i="3" s="1"/>
  <c r="G20" i="3" s="1"/>
  <c r="B21" i="5"/>
  <c r="E21" i="5" s="1"/>
  <c r="F67" i="2"/>
  <c r="F27" i="2"/>
  <c r="H27" i="2" s="1"/>
  <c r="F48" i="2"/>
  <c r="G48" i="2" s="1"/>
  <c r="F46" i="2"/>
  <c r="F28" i="2"/>
  <c r="G28" i="2" s="1"/>
  <c r="E19" i="3"/>
  <c r="F19" i="3" s="1"/>
  <c r="G19" i="3" s="1"/>
  <c r="I35" i="2"/>
  <c r="I26" i="2"/>
  <c r="G40" i="2"/>
  <c r="H40" i="2"/>
  <c r="H20" i="3" l="1"/>
  <c r="I20" i="3" s="1"/>
  <c r="E68" i="2"/>
  <c r="F68" i="2" s="1"/>
  <c r="G68" i="2" s="1"/>
  <c r="F47" i="2"/>
  <c r="H47" i="2" s="1"/>
  <c r="E66" i="2"/>
  <c r="F66" i="2" s="1"/>
  <c r="G66" i="2" s="1"/>
  <c r="H28" i="2"/>
  <c r="I28" i="2" s="1"/>
  <c r="G67" i="2"/>
  <c r="H67" i="2"/>
  <c r="H19" i="3"/>
  <c r="I19" i="3" s="1"/>
  <c r="E61" i="2"/>
  <c r="F61" i="2" s="1"/>
  <c r="G61" i="2" s="1"/>
  <c r="F62" i="2"/>
  <c r="H62" i="2" s="1"/>
  <c r="G27" i="2"/>
  <c r="I27" i="2" s="1"/>
  <c r="H48" i="2"/>
  <c r="I48" i="2" s="1"/>
  <c r="G46" i="2"/>
  <c r="H46" i="2"/>
  <c r="I40" i="2"/>
  <c r="H68" i="2" l="1"/>
  <c r="G62" i="2"/>
  <c r="I62" i="2" s="1"/>
  <c r="G47" i="2"/>
  <c r="I47" i="2" s="1"/>
  <c r="H66" i="2"/>
  <c r="I67" i="2"/>
  <c r="H61" i="2"/>
  <c r="I61" i="2" s="1"/>
  <c r="E59" i="2"/>
  <c r="F59" i="2" s="1"/>
  <c r="E58" i="2"/>
  <c r="F58" i="2" s="1"/>
  <c r="E57" i="2"/>
  <c r="F57" i="2" s="1"/>
  <c r="E12" i="3"/>
  <c r="F12" i="3" s="1"/>
  <c r="F52" i="2"/>
  <c r="E19" i="2"/>
  <c r="E11" i="3"/>
  <c r="F11" i="3" s="1"/>
  <c r="E18" i="2"/>
  <c r="F10" i="2"/>
  <c r="I46" i="2"/>
  <c r="I68" i="2"/>
  <c r="I66" i="2" l="1"/>
  <c r="F18" i="2"/>
  <c r="G18" i="2" s="1"/>
  <c r="B11" i="5"/>
  <c r="E11" i="5" s="1"/>
  <c r="F19" i="2"/>
  <c r="H19" i="2" s="1"/>
  <c r="B12" i="5"/>
  <c r="E12" i="5" s="1"/>
  <c r="G11" i="3"/>
  <c r="H11" i="3"/>
  <c r="G12" i="3"/>
  <c r="H12" i="3"/>
  <c r="G57" i="2"/>
  <c r="H57" i="2"/>
  <c r="H52" i="2"/>
  <c r="G52" i="2"/>
  <c r="H58" i="2"/>
  <c r="G58" i="2"/>
  <c r="H10" i="2"/>
  <c r="G10" i="2"/>
  <c r="H59" i="2"/>
  <c r="G59" i="2"/>
  <c r="E22" i="5" l="1"/>
  <c r="K70" i="2" s="1"/>
  <c r="H18" i="2"/>
  <c r="F69" i="2"/>
  <c r="I18" i="2"/>
  <c r="I12" i="3"/>
  <c r="G19" i="2"/>
  <c r="F32" i="2" s="1"/>
  <c r="F70" i="2" s="1"/>
  <c r="I58" i="2"/>
  <c r="I11" i="3"/>
  <c r="I21" i="3" s="1"/>
  <c r="I52" i="2"/>
  <c r="I57" i="2"/>
  <c r="I10" i="2"/>
  <c r="F21" i="3"/>
  <c r="I59" i="2"/>
  <c r="I19" i="2" l="1"/>
  <c r="I32" i="2" s="1"/>
  <c r="I69" i="2"/>
  <c r="F7" i="4"/>
  <c r="G7" i="4" s="1"/>
  <c r="G8" i="4" s="1"/>
  <c r="I8" i="4" l="1"/>
  <c r="I71" i="2" s="1"/>
  <c r="I70" i="2"/>
  <c r="I72" i="2" l="1"/>
</calcChain>
</file>

<file path=xl/sharedStrings.xml><?xml version="1.0" encoding="utf-8"?>
<sst xmlns="http://schemas.openxmlformats.org/spreadsheetml/2006/main" count="268" uniqueCount="220">
  <si>
    <t>Number of Respondents</t>
  </si>
  <si>
    <t>Year</t>
  </si>
  <si>
    <t>(A)</t>
  </si>
  <si>
    <t>(B)</t>
  </si>
  <si>
    <t>(C)</t>
  </si>
  <si>
    <t>(D)</t>
  </si>
  <si>
    <t>(E)</t>
  </si>
  <si>
    <t>Major</t>
  </si>
  <si>
    <t>Area</t>
  </si>
  <si>
    <t>Average</t>
  </si>
  <si>
    <t>Burden item</t>
  </si>
  <si>
    <t>(F)</t>
  </si>
  <si>
    <t>(G)</t>
  </si>
  <si>
    <t>(H)</t>
  </si>
  <si>
    <t>Technical Person hours per occurrence</t>
  </si>
  <si>
    <t>No. of occurrences per respondent per year</t>
  </si>
  <si>
    <t>(C=AxB)</t>
  </si>
  <si>
    <t>Technical person- hours per year</t>
  </si>
  <si>
    <t>(E=CxD)</t>
  </si>
  <si>
    <t>(Ex0.05)</t>
  </si>
  <si>
    <t>(Ex0.1)</t>
  </si>
  <si>
    <t>1.  Applications</t>
  </si>
  <si>
    <t>N/A</t>
  </si>
  <si>
    <t>2.  Surveys and studies</t>
  </si>
  <si>
    <t>3.  Reporting requirements</t>
  </si>
  <si>
    <t>Subtotal  for Reporting  Requirements</t>
  </si>
  <si>
    <t xml:space="preserve">Subtotal  for Recordkeeping Requirements  </t>
  </si>
  <si>
    <r>
      <t xml:space="preserve">Total Cost Per Year </t>
    </r>
    <r>
      <rPr>
        <b/>
        <vertAlign val="superscript"/>
        <sz val="10"/>
        <color rgb="FF000000"/>
        <rFont val="Times New Roman"/>
        <family val="1"/>
      </rPr>
      <t>b</t>
    </r>
  </si>
  <si>
    <t>Technical Person hours per respondent per year (C=AxB)</t>
  </si>
  <si>
    <t>Technical person- hours per year (E=CxD)</t>
  </si>
  <si>
    <t>Management person hours per year (Ex0.05)</t>
  </si>
  <si>
    <t>Clerical person hours per year (Ex0.1)</t>
  </si>
  <si>
    <t>Activity</t>
  </si>
  <si>
    <t>EPA person- hours per occurrence</t>
  </si>
  <si>
    <t>No. of occurrences per plant per year</t>
  </si>
  <si>
    <t>EPA person- hours per plant per year</t>
  </si>
  <si>
    <r>
      <t xml:space="preserve">Plants per year  </t>
    </r>
    <r>
      <rPr>
        <b/>
        <vertAlign val="superscript"/>
        <sz val="12"/>
        <color rgb="FF000000"/>
        <rFont val="Times New Roman"/>
        <family val="1"/>
      </rPr>
      <t>a</t>
    </r>
  </si>
  <si>
    <t>Management person-hours per year</t>
  </si>
  <si>
    <t>Clerical person-hours per year</t>
  </si>
  <si>
    <r>
      <t xml:space="preserve">Cost, $ </t>
    </r>
    <r>
      <rPr>
        <b/>
        <vertAlign val="superscript"/>
        <sz val="12"/>
        <color rgb="FF000000"/>
        <rFont val="Times New Roman"/>
        <family val="1"/>
      </rPr>
      <t>b</t>
    </r>
  </si>
  <si>
    <t>Major source</t>
  </si>
  <si>
    <r>
      <t xml:space="preserve">    Initial notification </t>
    </r>
    <r>
      <rPr>
        <vertAlign val="superscript"/>
        <sz val="10"/>
        <color rgb="FF000000"/>
        <rFont val="Times New Roman"/>
        <family val="1"/>
      </rPr>
      <t>c</t>
    </r>
  </si>
  <si>
    <r>
      <t xml:space="preserve">    Preconstruction review application </t>
    </r>
    <r>
      <rPr>
        <vertAlign val="superscript"/>
        <sz val="10"/>
        <color rgb="FF000000"/>
        <rFont val="Times New Roman"/>
        <family val="1"/>
      </rPr>
      <t>c</t>
    </r>
  </si>
  <si>
    <r>
      <t xml:space="preserve">    Performance test notification </t>
    </r>
    <r>
      <rPr>
        <vertAlign val="superscript"/>
        <sz val="10"/>
        <color rgb="FF000000"/>
        <rFont val="Times New Roman"/>
        <family val="1"/>
      </rPr>
      <t>c</t>
    </r>
  </si>
  <si>
    <r>
      <t xml:space="preserve">    Compliance status notification </t>
    </r>
    <r>
      <rPr>
        <vertAlign val="superscript"/>
        <sz val="10"/>
        <color rgb="FF000000"/>
        <rFont val="Times New Roman"/>
        <family val="1"/>
      </rPr>
      <t>c</t>
    </r>
  </si>
  <si>
    <r>
      <t xml:space="preserve">    Semiannual periodic reports </t>
    </r>
    <r>
      <rPr>
        <vertAlign val="superscript"/>
        <sz val="10"/>
        <color rgb="FF000000"/>
        <rFont val="Times New Roman"/>
        <family val="1"/>
      </rPr>
      <t>e</t>
    </r>
  </si>
  <si>
    <t>Area sources</t>
  </si>
  <si>
    <t xml:space="preserve">   Notification of intent to construct</t>
  </si>
  <si>
    <t xml:space="preserve">   Notification of actual startup date</t>
  </si>
  <si>
    <r>
      <t xml:space="preserve">   Notification of intent to conduct performance test </t>
    </r>
    <r>
      <rPr>
        <vertAlign val="superscript"/>
        <sz val="10"/>
        <color rgb="FF000000"/>
        <rFont val="Times New Roman"/>
        <family val="1"/>
      </rPr>
      <t>f</t>
    </r>
  </si>
  <si>
    <t xml:space="preserve">   Notification of date of CMS performance evaluation </t>
  </si>
  <si>
    <t xml:space="preserve">   Notification of compliance status </t>
  </si>
  <si>
    <t>ICR 1788.11</t>
  </si>
  <si>
    <t>ICR 1788.10</t>
  </si>
  <si>
    <t>2% of existing area sources</t>
  </si>
  <si>
    <t>0.4% of existing area sources</t>
  </si>
  <si>
    <t>2% of existing area sources and 3 new area sources</t>
  </si>
  <si>
    <r>
      <t xml:space="preserve">   Periodic reports - first and subsequent </t>
    </r>
    <r>
      <rPr>
        <vertAlign val="superscript"/>
        <sz val="10"/>
        <color rgb="FF000000"/>
        <rFont val="Times New Roman"/>
        <family val="1"/>
      </rPr>
      <t>g</t>
    </r>
  </si>
  <si>
    <t>hr/response</t>
  </si>
  <si>
    <t># response</t>
  </si>
  <si>
    <t>New sources</t>
  </si>
  <si>
    <t>Existing sources (major source only)</t>
  </si>
  <si>
    <r>
      <t xml:space="preserve">Respondents per year  </t>
    </r>
    <r>
      <rPr>
        <b/>
        <vertAlign val="superscript"/>
        <sz val="10"/>
        <color rgb="FF000000"/>
        <rFont val="Times New Roman"/>
        <family val="1"/>
      </rPr>
      <t>a</t>
    </r>
  </si>
  <si>
    <t xml:space="preserve">Table 1: Annual Respondent Burden and Cost – NESHAP for Oil and Natural Gas Production (40 CFR Part 63, Subpart HH) (Renewal) </t>
  </si>
  <si>
    <t xml:space="preserve">Table 2: Average Annual EPA Burden and Cost – NESHAP for Oil and Natural Gas Production (40 CFR Part 63, Subpart HH) (Renewal) </t>
  </si>
  <si>
    <t>ICR 1788.12</t>
  </si>
  <si>
    <t>Assumptions:</t>
  </si>
  <si>
    <r>
      <t>d</t>
    </r>
    <r>
      <rPr>
        <sz val="10"/>
        <color theme="1"/>
        <rFont val="Times New Roman"/>
        <family val="1"/>
      </rPr>
      <t xml:space="preserve">  Not applicable.  </t>
    </r>
  </si>
  <si>
    <r>
      <t xml:space="preserve">a. Familiarize with rule requirement </t>
    </r>
    <r>
      <rPr>
        <vertAlign val="superscript"/>
        <sz val="10"/>
        <color rgb="FF000000"/>
        <rFont val="Times New Roman"/>
        <family val="1"/>
      </rPr>
      <t>c</t>
    </r>
  </si>
  <si>
    <t>b. Required activities</t>
  </si>
  <si>
    <t>c. Create information</t>
  </si>
  <si>
    <r>
      <t>d. Gather existing information</t>
    </r>
    <r>
      <rPr>
        <vertAlign val="superscript"/>
        <sz val="10"/>
        <color rgb="FF000000"/>
        <rFont val="Times New Roman"/>
        <family val="1"/>
      </rPr>
      <t xml:space="preserve"> c</t>
    </r>
  </si>
  <si>
    <r>
      <t xml:space="preserve">e. Affirmative defense </t>
    </r>
    <r>
      <rPr>
        <vertAlign val="superscript"/>
        <sz val="10"/>
        <color rgb="FF000000"/>
        <rFont val="Times New Roman"/>
        <family val="1"/>
      </rPr>
      <t>d</t>
    </r>
  </si>
  <si>
    <t>Major sources</t>
  </si>
  <si>
    <r>
      <t xml:space="preserve">i. Notification of construction/reconstruction </t>
    </r>
    <r>
      <rPr>
        <vertAlign val="superscript"/>
        <sz val="10"/>
        <color rgb="FF000000"/>
        <rFont val="Times New Roman"/>
        <family val="1"/>
      </rPr>
      <t>c</t>
    </r>
  </si>
  <si>
    <r>
      <t xml:space="preserve">ii. Notification of actual startup </t>
    </r>
    <r>
      <rPr>
        <vertAlign val="superscript"/>
        <sz val="10"/>
        <color rgb="FF000000"/>
        <rFont val="Times New Roman"/>
        <family val="1"/>
      </rPr>
      <t>c</t>
    </r>
  </si>
  <si>
    <r>
      <t xml:space="preserve">iii. Notification of date of CMS performance evaluation </t>
    </r>
    <r>
      <rPr>
        <vertAlign val="superscript"/>
        <sz val="10"/>
        <color rgb="FF000000"/>
        <rFont val="Times New Roman"/>
        <family val="1"/>
      </rPr>
      <t>c</t>
    </r>
  </si>
  <si>
    <r>
      <t xml:space="preserve">Major source </t>
    </r>
    <r>
      <rPr>
        <vertAlign val="superscript"/>
        <sz val="10"/>
        <color rgb="FF000000"/>
        <rFont val="Times New Roman"/>
        <family val="1"/>
      </rPr>
      <t>i</t>
    </r>
  </si>
  <si>
    <r>
      <t xml:space="preserve">Area source </t>
    </r>
    <r>
      <rPr>
        <vertAlign val="superscript"/>
        <sz val="10"/>
        <color rgb="FF000000"/>
        <rFont val="Times New Roman"/>
        <family val="1"/>
      </rPr>
      <t>i</t>
    </r>
  </si>
  <si>
    <t xml:space="preserve">Major source </t>
  </si>
  <si>
    <t>Area source</t>
  </si>
  <si>
    <t xml:space="preserve"> Major source</t>
  </si>
  <si>
    <t xml:space="preserve"> Area source</t>
  </si>
  <si>
    <t xml:space="preserve">  Major source</t>
  </si>
  <si>
    <t xml:space="preserve">   Major source</t>
  </si>
  <si>
    <t>a. Familiarize with rule requirement</t>
  </si>
  <si>
    <t xml:space="preserve">b. Plan activities </t>
  </si>
  <si>
    <t>c. Implement activities</t>
  </si>
  <si>
    <t xml:space="preserve">d. Develop record system </t>
  </si>
  <si>
    <t>e. Time to enter information</t>
  </si>
  <si>
    <t xml:space="preserve">f. Time to train personnel </t>
  </si>
  <si>
    <r>
      <t xml:space="preserve">iv. Notification of date of performance test </t>
    </r>
    <r>
      <rPr>
        <vertAlign val="superscript"/>
        <sz val="10"/>
        <color rgb="FF000000"/>
        <rFont val="Times New Roman"/>
        <family val="1"/>
      </rPr>
      <t>c</t>
    </r>
  </si>
  <si>
    <r>
      <t xml:space="preserve">v. Notification of compliance status report </t>
    </r>
    <r>
      <rPr>
        <vertAlign val="superscript"/>
        <sz val="10"/>
        <color rgb="FF000000"/>
        <rFont val="Times New Roman"/>
        <family val="1"/>
      </rPr>
      <t>c</t>
    </r>
  </si>
  <si>
    <r>
      <t xml:space="preserve">vii. Semiannual periodic report </t>
    </r>
    <r>
      <rPr>
        <vertAlign val="superscript"/>
        <sz val="10"/>
        <color rgb="FF000000"/>
        <rFont val="Times New Roman"/>
        <family val="1"/>
      </rPr>
      <t>e</t>
    </r>
  </si>
  <si>
    <r>
      <t xml:space="preserve">i. Notification of intent to construct </t>
    </r>
    <r>
      <rPr>
        <vertAlign val="superscript"/>
        <sz val="10"/>
        <color rgb="FF000000"/>
        <rFont val="Times New Roman"/>
        <family val="1"/>
      </rPr>
      <t>c</t>
    </r>
  </si>
  <si>
    <r>
      <t xml:space="preserve">ii. Notification of actual startup date </t>
    </r>
    <r>
      <rPr>
        <vertAlign val="superscript"/>
        <sz val="10"/>
        <color rgb="FF000000"/>
        <rFont val="Times New Roman"/>
        <family val="1"/>
      </rPr>
      <t>c</t>
    </r>
  </si>
  <si>
    <r>
      <t xml:space="preserve">iii. Notification of intent to conduct  performance test </t>
    </r>
    <r>
      <rPr>
        <vertAlign val="superscript"/>
        <sz val="10"/>
        <color rgb="FF000000"/>
        <rFont val="Times New Roman"/>
        <family val="1"/>
      </rPr>
      <t>c, f</t>
    </r>
  </si>
  <si>
    <r>
      <t xml:space="preserve">iv. Notification of date of CMS performance evaluation </t>
    </r>
    <r>
      <rPr>
        <vertAlign val="superscript"/>
        <sz val="10"/>
        <color rgb="FF000000"/>
        <rFont val="Times New Roman"/>
        <family val="1"/>
      </rPr>
      <t>c, f</t>
    </r>
  </si>
  <si>
    <r>
      <t xml:space="preserve">vi. First periodic report </t>
    </r>
    <r>
      <rPr>
        <vertAlign val="superscript"/>
        <sz val="10"/>
        <color rgb="FF000000"/>
        <rFont val="Times New Roman"/>
        <family val="1"/>
      </rPr>
      <t>g</t>
    </r>
  </si>
  <si>
    <r>
      <t xml:space="preserve">vii. Subsequent periodic reports </t>
    </r>
    <r>
      <rPr>
        <vertAlign val="superscript"/>
        <sz val="10"/>
        <color rgb="FF000000"/>
        <rFont val="Times New Roman"/>
        <family val="1"/>
      </rPr>
      <t>g</t>
    </r>
  </si>
  <si>
    <t>4.  Recordkeeping requirements</t>
  </si>
  <si>
    <r>
      <t xml:space="preserve">i. Sources required to operate add-on controls </t>
    </r>
    <r>
      <rPr>
        <vertAlign val="superscript"/>
        <sz val="10"/>
        <color rgb="FF000000"/>
        <rFont val="Times New Roman"/>
        <family val="1"/>
      </rPr>
      <t>j</t>
    </r>
  </si>
  <si>
    <r>
      <t xml:space="preserve">ii. Sources required to implement MP </t>
    </r>
    <r>
      <rPr>
        <vertAlign val="superscript"/>
        <sz val="10"/>
        <color rgb="FF000000"/>
        <rFont val="Times New Roman"/>
        <family val="1"/>
      </rPr>
      <t>k</t>
    </r>
  </si>
  <si>
    <r>
      <t xml:space="preserve">i. Performance test </t>
    </r>
    <r>
      <rPr>
        <vertAlign val="superscript"/>
        <sz val="10"/>
        <color rgb="FF000000"/>
        <rFont val="Times New Roman"/>
        <family val="1"/>
      </rPr>
      <t>l</t>
    </r>
  </si>
  <si>
    <r>
      <t xml:space="preserve">ii. Design analysis </t>
    </r>
    <r>
      <rPr>
        <vertAlign val="superscript"/>
        <sz val="10"/>
        <color rgb="FF000000"/>
        <rFont val="Times New Roman"/>
        <family val="1"/>
      </rPr>
      <t>l</t>
    </r>
  </si>
  <si>
    <r>
      <t xml:space="preserve">iii. Control equipment leak monitoring </t>
    </r>
    <r>
      <rPr>
        <vertAlign val="superscript"/>
        <sz val="10"/>
        <color rgb="FF000000"/>
        <rFont val="Times New Roman"/>
        <family val="1"/>
      </rPr>
      <t>j</t>
    </r>
  </si>
  <si>
    <r>
      <t xml:space="preserve">iv. Operate and maintain CMS </t>
    </r>
    <r>
      <rPr>
        <vertAlign val="superscript"/>
        <sz val="10"/>
        <color rgb="FF000000"/>
        <rFont val="Times New Roman"/>
        <family val="1"/>
      </rPr>
      <t>j, m</t>
    </r>
  </si>
  <si>
    <r>
      <t xml:space="preserve">i. Control equipment </t>
    </r>
    <r>
      <rPr>
        <vertAlign val="superscript"/>
        <sz val="10"/>
        <color rgb="FF000000"/>
        <rFont val="Times New Roman"/>
        <family val="1"/>
      </rPr>
      <t>c</t>
    </r>
  </si>
  <si>
    <r>
      <t xml:space="preserve">ii. CMS measurements </t>
    </r>
    <r>
      <rPr>
        <vertAlign val="superscript"/>
        <sz val="10"/>
        <color rgb="FF000000"/>
        <rFont val="Times New Roman"/>
        <family val="1"/>
      </rPr>
      <t>j</t>
    </r>
  </si>
  <si>
    <r>
      <t>c</t>
    </r>
    <r>
      <rPr>
        <sz val="10"/>
        <color theme="1"/>
        <rFont val="Times New Roman"/>
        <family val="1"/>
      </rPr>
      <t xml:space="preserve">  We have assumed that this is a one-time only activity for each facility.</t>
    </r>
  </si>
  <si>
    <r>
      <t>e</t>
    </r>
    <r>
      <rPr>
        <sz val="10"/>
        <color theme="1"/>
        <rFont val="Times New Roman"/>
        <family val="1"/>
      </rPr>
      <t xml:space="preserve">  We have assumed that each respondent will take two hours two times per year to complete the semiannual periodic reports.</t>
    </r>
  </si>
  <si>
    <r>
      <t>f</t>
    </r>
    <r>
      <rPr>
        <sz val="10"/>
        <color theme="1"/>
        <rFont val="Times New Roman"/>
        <family val="1"/>
      </rPr>
      <t xml:space="preserve">  We have assumed that each of the respondents will take two hours once per year to complete requirements.</t>
    </r>
  </si>
  <si>
    <r>
      <t>i</t>
    </r>
    <r>
      <rPr>
        <sz val="10"/>
        <color theme="1"/>
        <rFont val="Times New Roman"/>
        <family val="1"/>
      </rPr>
      <t xml:space="preserve"> Totals have been rounded to 3 significant figures. Figures may not add exactly due to rounding.</t>
    </r>
  </si>
  <si>
    <t>Labor Rates</t>
  </si>
  <si>
    <t>Manager</t>
  </si>
  <si>
    <t>Technical</t>
  </si>
  <si>
    <t>Clerical</t>
  </si>
  <si>
    <r>
      <t xml:space="preserve">TOTAL (rounded) </t>
    </r>
    <r>
      <rPr>
        <b/>
        <vertAlign val="superscript"/>
        <sz val="10"/>
        <color rgb="FF000000"/>
        <rFont val="Times New Roman"/>
        <family val="1"/>
      </rPr>
      <t xml:space="preserve">i </t>
    </r>
  </si>
  <si>
    <r>
      <t xml:space="preserve">v. Notification of compliance status </t>
    </r>
    <r>
      <rPr>
        <vertAlign val="superscript"/>
        <sz val="10"/>
        <color rgb="FF000000"/>
        <rFont val="Times New Roman"/>
        <family val="1"/>
      </rPr>
      <t>f</t>
    </r>
  </si>
  <si>
    <r>
      <t xml:space="preserve">l  </t>
    </r>
    <r>
      <rPr>
        <sz val="10"/>
        <color rgb="FF000000"/>
        <rFont val="Times New Roman"/>
        <family val="1"/>
      </rPr>
      <t xml:space="preserve">Performance of control devices can be evaluated with performance tests or design analysis. The estimated hours per activity and number of sources are based on estimates from EPA ICR Number 1788.09 and 2440.02. </t>
    </r>
  </si>
  <si>
    <r>
      <t>n</t>
    </r>
    <r>
      <rPr>
        <sz val="10"/>
        <color theme="1"/>
        <rFont val="Times New Roman"/>
        <family val="1"/>
      </rPr>
      <t xml:space="preserve">  This applies to the existing major sources.</t>
    </r>
  </si>
  <si>
    <r>
      <t>k</t>
    </r>
    <r>
      <rPr>
        <sz val="10"/>
        <color theme="1"/>
        <rFont val="Times New Roman"/>
        <family val="1"/>
      </rPr>
      <t xml:space="preserve">  This applies to new area sources that only keep records.</t>
    </r>
  </si>
  <si>
    <r>
      <t>f</t>
    </r>
    <r>
      <rPr>
        <sz val="10"/>
        <color theme="1"/>
        <rFont val="Times New Roman"/>
        <family val="1"/>
      </rPr>
      <t xml:space="preserve">  We assume that 11% of new area sources are located within an urbanized area (UA)/urban cluster (UC) plus offset boundary and have facilities subject to control, monitoring, and recordkeeping requirements.</t>
    </r>
  </si>
  <si>
    <r>
      <t>g</t>
    </r>
    <r>
      <rPr>
        <sz val="10"/>
        <color theme="1"/>
        <rFont val="Times New Roman"/>
        <family val="1"/>
      </rPr>
      <t xml:space="preserve">  We assume that 2% of existing area sources and 3 new area sources will complete this activity. </t>
    </r>
  </si>
  <si>
    <r>
      <t>i</t>
    </r>
    <r>
      <rPr>
        <sz val="10"/>
        <color theme="1"/>
        <rFont val="Times New Roman"/>
        <family val="1"/>
      </rPr>
      <t xml:space="preserve">  We assume that it will take each of the new sources (28 major and 141 area) four hours to read instructions.</t>
    </r>
  </si>
  <si>
    <r>
      <t>m</t>
    </r>
    <r>
      <rPr>
        <sz val="10"/>
        <color theme="1"/>
        <rFont val="Times New Roman"/>
        <family val="1"/>
      </rPr>
      <t xml:space="preserve">  We assume that it will take each respondent two hours twelve times per year to implement this activity.</t>
    </r>
  </si>
  <si>
    <r>
      <t>h</t>
    </r>
    <r>
      <rPr>
        <sz val="10"/>
        <color theme="1"/>
        <rFont val="Times New Roman"/>
        <family val="1"/>
      </rPr>
      <t xml:space="preserve">  We have assumed that it will take two hours once per year to review reports.</t>
    </r>
  </si>
  <si>
    <t xml:space="preserve">Area - 
Only Keep Records </t>
  </si>
  <si>
    <t>Area + Major</t>
  </si>
  <si>
    <r>
      <t xml:space="preserve">1   </t>
    </r>
    <r>
      <rPr>
        <sz val="10"/>
        <color theme="1"/>
        <rFont val="Times New Roman"/>
        <family val="1"/>
      </rPr>
      <t>New respondents include sources with constructed or reconstructed affected facilities.</t>
    </r>
  </si>
  <si>
    <r>
      <t>4   </t>
    </r>
    <r>
      <rPr>
        <sz val="10"/>
        <color theme="1"/>
        <rFont val="Times New Roman"/>
        <family val="1"/>
      </rPr>
      <t xml:space="preserve">We assume that 98 percent of area sources will only be required to maintain records. </t>
    </r>
  </si>
  <si>
    <r>
      <t>3   </t>
    </r>
    <r>
      <rPr>
        <sz val="10"/>
        <color theme="1"/>
        <rFont val="Times New Roman"/>
        <family val="1"/>
      </rPr>
      <t>All major sources and 2 percent of area sources will maintain records and submit reports.</t>
    </r>
  </si>
  <si>
    <t>Capital/Startup vs. Operation and Maintenance (O&amp;M) Costs</t>
  </si>
  <si>
    <t>Continuous Monitoring Device</t>
  </si>
  <si>
    <t>Capital/Startup Cost for One Respondent</t>
  </si>
  <si>
    <t>Number of New Respondents</t>
  </si>
  <si>
    <t>Total Capital/Startup Cost,  (B X C)</t>
  </si>
  <si>
    <t>Annual O&amp;M Costs for One Respondent</t>
  </si>
  <si>
    <t>Number of Respondents  with O&amp;M</t>
  </si>
  <si>
    <r>
      <t xml:space="preserve">THC analyzer (major source) </t>
    </r>
    <r>
      <rPr>
        <vertAlign val="superscript"/>
        <sz val="10"/>
        <color rgb="FF000000"/>
        <rFont val="Times New Roman"/>
        <family val="1"/>
      </rPr>
      <t>a</t>
    </r>
  </si>
  <si>
    <r>
      <t xml:space="preserve">Monitoring equipment (CMS) </t>
    </r>
    <r>
      <rPr>
        <vertAlign val="superscript"/>
        <sz val="10"/>
        <color rgb="FF000000"/>
        <rFont val="Times New Roman"/>
        <family val="1"/>
      </rPr>
      <t>b, c</t>
    </r>
  </si>
  <si>
    <r>
      <t xml:space="preserve">Postage cost </t>
    </r>
    <r>
      <rPr>
        <vertAlign val="superscript"/>
        <sz val="10"/>
        <color rgb="FF000000"/>
        <rFont val="Times New Roman"/>
        <family val="1"/>
      </rPr>
      <t>d</t>
    </r>
  </si>
  <si>
    <t>NA</t>
  </si>
  <si>
    <r>
      <t xml:space="preserve">Total </t>
    </r>
    <r>
      <rPr>
        <b/>
        <vertAlign val="superscript"/>
        <sz val="10"/>
        <color rgb="FF000000"/>
        <rFont val="Times New Roman"/>
        <family val="1"/>
      </rPr>
      <t>e</t>
    </r>
  </si>
  <si>
    <r>
      <t>a.</t>
    </r>
    <r>
      <rPr>
        <sz val="7"/>
        <color rgb="FF000000"/>
        <rFont val="Times New Roman"/>
        <family val="1"/>
      </rPr>
      <t xml:space="preserve">  </t>
    </r>
    <r>
      <rPr>
        <sz val="10"/>
        <color rgb="FF000000"/>
        <rFont val="Times New Roman"/>
        <family val="1"/>
      </rPr>
      <t xml:space="preserve">Cost information for THC analyzer is from the EPA Air Pollution Control Cost Manual, January 2002, “Table 4.12: Default Analyzer and Monitor Equipment Costs for CEMS ($).” EPA assumes all major sources utilize an organic monitoring device to measure the concentration level of organic compounds in the exhaust vent system. EPA estimates the cost for a TOC/HAP monitor based on the cost of a total hydrocarbon (THC) analyzer.  </t>
    </r>
  </si>
  <si>
    <r>
      <t>e.</t>
    </r>
    <r>
      <rPr>
        <sz val="7"/>
        <color rgb="FF000000"/>
        <rFont val="Times New Roman"/>
        <family val="1"/>
      </rPr>
      <t xml:space="preserve">  </t>
    </r>
    <r>
      <rPr>
        <sz val="10"/>
        <color theme="1"/>
        <rFont val="Times New Roman"/>
        <family val="1"/>
      </rPr>
      <t>Totals have been rounded to 3 significant figures. Figures may not add exactly due to rounding.</t>
    </r>
  </si>
  <si>
    <t>Total O&amp;M,
(E X F)</t>
  </si>
  <si>
    <t>Total Annual Responses</t>
  </si>
  <si>
    <t>Information Collection Activity</t>
  </si>
  <si>
    <t xml:space="preserve">Number of Respondents  </t>
  </si>
  <si>
    <t>Number of Responses</t>
  </si>
  <si>
    <t>Number of Existing Respondents That Keep Records But Do Not Submit Reports</t>
  </si>
  <si>
    <t>Total</t>
  </si>
  <si>
    <t>Total Annual  Responses 
E=(BxC)+D</t>
  </si>
  <si>
    <t>Notification of construction/reconstruction</t>
  </si>
  <si>
    <t>Notification of actual startup</t>
  </si>
  <si>
    <t>Notification of date of CMS performance evaluation</t>
  </si>
  <si>
    <t>Notification of date of performance test</t>
  </si>
  <si>
    <t>Notification of compliance status report</t>
  </si>
  <si>
    <t>Semiannual periodic report</t>
  </si>
  <si>
    <t>Notification of intent to construct</t>
  </si>
  <si>
    <t>Notification of actual startup date</t>
  </si>
  <si>
    <t>Notification of intent to conduct performance test</t>
  </si>
  <si>
    <t>Notification of compliance status</t>
  </si>
  <si>
    <t>First periodic report</t>
  </si>
  <si>
    <t>Subsequent periodic reports</t>
  </si>
  <si>
    <t xml:space="preserve">Total Capital and O&amp;M </t>
  </si>
  <si>
    <r>
      <t xml:space="preserve">Number of Existing Respondents </t>
    </r>
    <r>
      <rPr>
        <vertAlign val="superscript"/>
        <sz val="10"/>
        <color theme="1"/>
        <rFont val="Times New Roman"/>
        <family val="1"/>
      </rPr>
      <t>3</t>
    </r>
  </si>
  <si>
    <r>
      <t xml:space="preserve">Number of Existing Respondents that keep records but do not submit reports </t>
    </r>
    <r>
      <rPr>
        <vertAlign val="superscript"/>
        <sz val="10"/>
        <color theme="1"/>
        <rFont val="Times New Roman"/>
        <family val="1"/>
      </rPr>
      <t>3,</t>
    </r>
    <r>
      <rPr>
        <sz val="10"/>
        <color theme="1"/>
        <rFont val="Times New Roman"/>
        <family val="1"/>
      </rPr>
      <t xml:space="preserve"> </t>
    </r>
    <r>
      <rPr>
        <vertAlign val="superscript"/>
        <sz val="10"/>
        <color theme="1"/>
        <rFont val="Times New Roman"/>
        <family val="1"/>
      </rPr>
      <t>4</t>
    </r>
  </si>
  <si>
    <r>
      <t xml:space="preserve">Number of New Respondents </t>
    </r>
    <r>
      <rPr>
        <vertAlign val="superscript"/>
        <sz val="10"/>
        <color theme="1"/>
        <rFont val="Times New Roman"/>
        <family val="1"/>
      </rPr>
      <t>1, 2</t>
    </r>
  </si>
  <si>
    <r>
      <t>2   </t>
    </r>
    <r>
      <rPr>
        <sz val="10"/>
        <color theme="1"/>
        <rFont val="Times New Roman"/>
        <family val="1"/>
      </rPr>
      <t>We assume that there are 141 new area source respondents and 28 new major source respondents.</t>
    </r>
  </si>
  <si>
    <t xml:space="preserve">Major </t>
  </si>
  <si>
    <r>
      <t>j</t>
    </r>
    <r>
      <rPr>
        <sz val="10"/>
        <rFont val="Times New Roman"/>
        <family val="1"/>
      </rPr>
      <t xml:space="preserve">  We assume that 2% of the 3,914 existing area sources (78 sources) and 3 new area sources will complete this activity.</t>
    </r>
  </si>
  <si>
    <r>
      <t>c</t>
    </r>
    <r>
      <rPr>
        <sz val="10"/>
        <color theme="1"/>
        <rFont val="Times New Roman"/>
        <family val="1"/>
      </rPr>
      <t xml:space="preserve">  New respondents are comprised of: 28 new major source respondents that are required to file reports, 3 new area source respondents that are required to file reports, and 138 new area source respondents that only maintain records, for a total of 169 new respondents per year on average.  For existing respondents, we assume only major source respondents will need to re-familiarize with the regulatory requirement. Most area source respondents only have recordkeeping requirements.  </t>
    </r>
  </si>
  <si>
    <r>
      <t>w</t>
    </r>
    <r>
      <rPr>
        <sz val="10"/>
        <color theme="1"/>
        <rFont val="Times New Roman"/>
        <family val="1"/>
      </rPr>
      <t xml:space="preserve"> Totals have been rounded to 3 significant figures. Figures may not add exactly due to rounding.</t>
    </r>
  </si>
  <si>
    <r>
      <t xml:space="preserve">GRAND TOTAL (rounded) </t>
    </r>
    <r>
      <rPr>
        <b/>
        <vertAlign val="superscript"/>
        <sz val="10"/>
        <color rgb="FF000000"/>
        <rFont val="Times New Roman"/>
        <family val="1"/>
      </rPr>
      <t>w</t>
    </r>
  </si>
  <si>
    <r>
      <t xml:space="preserve">Total Capital and O&amp;M Cost (rounded) </t>
    </r>
    <r>
      <rPr>
        <b/>
        <vertAlign val="superscript"/>
        <sz val="10"/>
        <color rgb="FF000000"/>
        <rFont val="Times New Roman"/>
        <family val="1"/>
      </rPr>
      <t>w</t>
    </r>
  </si>
  <si>
    <r>
      <t xml:space="preserve">Total Labor Burden and Costs (rounded) </t>
    </r>
    <r>
      <rPr>
        <b/>
        <vertAlign val="superscript"/>
        <sz val="10"/>
        <color rgb="FF000000"/>
        <rFont val="Times New Roman"/>
        <family val="1"/>
      </rPr>
      <t>w</t>
    </r>
  </si>
  <si>
    <r>
      <t xml:space="preserve">i. Retrieve records/reports </t>
    </r>
    <r>
      <rPr>
        <vertAlign val="superscript"/>
        <sz val="10"/>
        <color rgb="FF000000"/>
        <rFont val="Times New Roman"/>
        <family val="1"/>
      </rPr>
      <t>j, v</t>
    </r>
  </si>
  <si>
    <r>
      <t>v</t>
    </r>
    <r>
      <rPr>
        <sz val="10"/>
        <color theme="1"/>
        <rFont val="Times New Roman"/>
        <family val="1"/>
      </rPr>
      <t xml:space="preserve">  We assume that each respondent will take twenty hours once per year to retrieve records/reports.</t>
    </r>
  </si>
  <si>
    <r>
      <t>u</t>
    </r>
    <r>
      <rPr>
        <sz val="10"/>
        <color theme="1"/>
        <rFont val="Times New Roman"/>
        <family val="1"/>
      </rPr>
      <t xml:space="preserve">  We assume that 98% of the 3,914 existing area source respondents are subject only to the recordkeeping requirements. These sources will take one hour each year to process records of emissions.</t>
    </r>
  </si>
  <si>
    <r>
      <t xml:space="preserve">h. Retain records of emission </t>
    </r>
    <r>
      <rPr>
        <vertAlign val="superscript"/>
        <sz val="10"/>
        <color rgb="FF000000"/>
        <rFont val="Times New Roman"/>
        <family val="1"/>
      </rPr>
      <t>u</t>
    </r>
  </si>
  <si>
    <r>
      <t xml:space="preserve">g. Maintain records (area  source) </t>
    </r>
    <r>
      <rPr>
        <vertAlign val="superscript"/>
        <sz val="10"/>
        <color rgb="FF000000"/>
        <rFont val="Times New Roman"/>
        <family val="1"/>
      </rPr>
      <t xml:space="preserve">j, t </t>
    </r>
  </si>
  <si>
    <r>
      <t>t</t>
    </r>
    <r>
      <rPr>
        <sz val="10"/>
        <color theme="1"/>
        <rFont val="Times New Roman"/>
        <family val="1"/>
      </rPr>
      <t xml:space="preserve">  We assume that it will take 20 hours for each respondent to maintain records.</t>
    </r>
  </si>
  <si>
    <r>
      <t>s</t>
    </r>
    <r>
      <rPr>
        <sz val="10"/>
        <color theme="1"/>
        <rFont val="Times New Roman"/>
        <family val="1"/>
      </rPr>
      <t xml:space="preserve">  We assume that new respondents subject to reporting requirements will take eight hours to train personnel in the recordkeeping system. </t>
    </r>
  </si>
  <si>
    <r>
      <t xml:space="preserve">Area source </t>
    </r>
    <r>
      <rPr>
        <vertAlign val="superscript"/>
        <sz val="10"/>
        <color rgb="FF000000"/>
        <rFont val="Times New Roman"/>
        <family val="1"/>
      </rPr>
      <t xml:space="preserve">c, s </t>
    </r>
  </si>
  <si>
    <r>
      <t xml:space="preserve">Major source </t>
    </r>
    <r>
      <rPr>
        <vertAlign val="superscript"/>
        <sz val="10"/>
        <color rgb="FF000000"/>
        <rFont val="Times New Roman"/>
        <family val="1"/>
      </rPr>
      <t>c, s</t>
    </r>
  </si>
  <si>
    <r>
      <t>r</t>
    </r>
    <r>
      <rPr>
        <sz val="10"/>
        <color theme="1"/>
        <rFont val="Times New Roman"/>
        <family val="1"/>
      </rPr>
      <t xml:space="preserve">  We assume that each respondent will be required to enter information two times per year.</t>
    </r>
  </si>
  <si>
    <r>
      <t xml:space="preserve">i.  Control equipment leak monitoring </t>
    </r>
    <r>
      <rPr>
        <vertAlign val="superscript"/>
        <sz val="10"/>
        <color rgb="FF000000"/>
        <rFont val="Times New Roman"/>
        <family val="1"/>
      </rPr>
      <t>j, r</t>
    </r>
  </si>
  <si>
    <r>
      <t xml:space="preserve">q  </t>
    </r>
    <r>
      <rPr>
        <sz val="10"/>
        <color theme="1"/>
        <rFont val="Times New Roman"/>
        <family val="1"/>
      </rPr>
      <t xml:space="preserve">We assume that each respondent will be required to enter information twelve times per year. </t>
    </r>
  </si>
  <si>
    <r>
      <t xml:space="preserve">p </t>
    </r>
    <r>
      <rPr>
        <sz val="10"/>
        <color theme="1"/>
        <rFont val="Times New Roman"/>
        <family val="1"/>
      </rPr>
      <t xml:space="preserve"> We assume that all of the major sources will each take one hour to enter information.</t>
    </r>
  </si>
  <si>
    <r>
      <t xml:space="preserve">ii. Control device CMS </t>
    </r>
    <r>
      <rPr>
        <vertAlign val="superscript"/>
        <sz val="10"/>
        <color rgb="FF000000"/>
        <rFont val="Times New Roman"/>
        <family val="1"/>
      </rPr>
      <t>n, p, q</t>
    </r>
  </si>
  <si>
    <r>
      <t>iii. Equipment inspection and monitoring</t>
    </r>
    <r>
      <rPr>
        <vertAlign val="superscript"/>
        <sz val="10"/>
        <color rgb="FF000000"/>
        <rFont val="Times New Roman"/>
        <family val="1"/>
      </rPr>
      <t xml:space="preserve">   n, p, q</t>
    </r>
  </si>
  <si>
    <r>
      <t xml:space="preserve">i. Control equipment monitoring  </t>
    </r>
    <r>
      <rPr>
        <vertAlign val="superscript"/>
        <sz val="10"/>
        <color rgb="FF000000"/>
        <rFont val="Times New Roman"/>
        <family val="1"/>
      </rPr>
      <t>n, p</t>
    </r>
  </si>
  <si>
    <r>
      <t>b.</t>
    </r>
    <r>
      <rPr>
        <sz val="7"/>
        <rFont val="Times New Roman"/>
        <family val="1"/>
      </rPr>
      <t xml:space="preserve"> </t>
    </r>
    <r>
      <rPr>
        <sz val="10"/>
        <rFont val="Times New Roman"/>
        <family val="1"/>
      </rPr>
      <t xml:space="preserve">We assume that all new major sources (28) and 2 percent of new area sources (3) are required to purchase CMS per year. </t>
    </r>
  </si>
  <si>
    <r>
      <t xml:space="preserve">ii. Equipment inspection and monitoring </t>
    </r>
    <r>
      <rPr>
        <vertAlign val="superscript"/>
        <sz val="10"/>
        <color rgb="FF000000"/>
        <rFont val="Times New Roman"/>
        <family val="1"/>
      </rPr>
      <t>n</t>
    </r>
  </si>
  <si>
    <r>
      <t xml:space="preserve">If there are 28 new major source respondents and 141 new area source respondents each year, and if 10 of the new respondents come from existing sources (major), then the </t>
    </r>
    <r>
      <rPr>
        <u/>
        <sz val="11"/>
        <rFont val="Calibri"/>
        <family val="2"/>
        <scheme val="minor"/>
      </rPr>
      <t>increase</t>
    </r>
    <r>
      <rPr>
        <sz val="11"/>
        <rFont val="Calibri"/>
        <family val="2"/>
        <scheme val="minor"/>
      </rPr>
      <t xml:space="preserve"> in the total 'Number of Respondents' each year should be (28+3+138) - 10 = 159.</t>
    </r>
  </si>
  <si>
    <r>
      <rPr>
        <b/>
        <sz val="11"/>
        <rFont val="Calibri"/>
        <family val="2"/>
        <scheme val="minor"/>
      </rPr>
      <t>Correction to the 'Number of Existing Respondents That Are Also New Respondents'</t>
    </r>
    <r>
      <rPr>
        <sz val="11"/>
        <rFont val="Calibri"/>
        <family val="2"/>
        <scheme val="minor"/>
      </rPr>
      <t>: 
1. ICR 1788.10 combined burden associated with the original rule, ICR 1788.09, and burden for the amendment, ICR 2440.02. However, 1788.10, and subsequently 1788.11, did not subtract out the values in Column D, leading to a double counting of the number of new major sources in Column E. That is corrected here. 
2. The number of major sources subject to Subpart HH for 2018 in ECHO is 559, therefore, the total number of major sources from prior 1788.11 in year 3 is overestimated. To determine the growth rate for new major sources, we assumed 559 sources in 2018 - 470 sources in 2014 = (559-470)/5 years= ~18 new sources per year. Therefore, we have retained the total number of new major sources(Column A), however, the estimated value of the 'Number of Existing Respondents That Are Also New Respondents' due to new contruction/modification (Column D) has been revised from 25 to 10. This revision appears to more accurately reflect the growth rate of the industry for new (greenfield) major sources. This is QAed below (yellow highlight).</t>
    </r>
  </si>
  <si>
    <r>
      <rPr>
        <b/>
        <sz val="11"/>
        <rFont val="Calibri"/>
        <family val="2"/>
        <scheme val="minor"/>
      </rPr>
      <t xml:space="preserve">Note to EPA: </t>
    </r>
    <r>
      <rPr>
        <sz val="11"/>
        <rFont val="Calibri"/>
        <family val="2"/>
        <scheme val="minor"/>
      </rPr>
      <t>Data downloaded from ECHO in May 2019 (2018 data) indicates that there are 559 major sources subject to Subpart HH. Assuming that year 2 of ICR 1788.11 (issued in July 2016 with a renewal due in 2019) also represents 2018 data, then the number of major sources shown for year 2 of the current ICR (1788.11) should be close to 559. Total is 542+28-10=560.</t>
    </r>
  </si>
  <si>
    <r>
      <t>5   </t>
    </r>
    <r>
      <rPr>
        <sz val="10"/>
        <color theme="1"/>
        <rFont val="Times New Roman"/>
        <family val="1"/>
      </rPr>
      <t>We estimate 10 of the 28 new major source respondents are existing respondents that become new respondents due to construction or reconstruction, while 18 of the 28 new major source respondents are new facilities. Of the 10 existing respondents that become new major source respondents due to construction/reconstruction, we assume that all 10 of these existing respondents are already existing major sources.</t>
    </r>
  </si>
  <si>
    <r>
      <t xml:space="preserve">Number of Existing Respondents That Are Also New Respondents </t>
    </r>
    <r>
      <rPr>
        <vertAlign val="superscript"/>
        <sz val="10"/>
        <color theme="1"/>
        <rFont val="Times New Roman"/>
        <family val="1"/>
      </rPr>
      <t>5</t>
    </r>
    <r>
      <rPr>
        <sz val="10"/>
        <color theme="1"/>
        <rFont val="Times New Roman"/>
        <family val="1"/>
      </rPr>
      <t xml:space="preserve"> </t>
    </r>
  </si>
  <si>
    <t>Number of Respondents (E=A+B-D)</t>
  </si>
  <si>
    <r>
      <t>c.</t>
    </r>
    <r>
      <rPr>
        <sz val="7"/>
        <color rgb="FF000000"/>
        <rFont val="Times New Roman"/>
        <family val="1"/>
      </rPr>
      <t xml:space="preserve">  </t>
    </r>
    <r>
      <rPr>
        <sz val="10"/>
        <color theme="1"/>
        <rFont val="Times New Roman"/>
        <family val="1"/>
      </rPr>
      <t xml:space="preserve">We assume the average number of existing major sources (596), 2% of existing area sources (78), and 3 new area sources have O&amp;M costs associated with CMS.  </t>
    </r>
  </si>
  <si>
    <r>
      <t>d.</t>
    </r>
    <r>
      <rPr>
        <sz val="7"/>
        <color rgb="FF000000"/>
        <rFont val="Times New Roman"/>
        <family val="1"/>
      </rPr>
      <t xml:space="preserve"> </t>
    </r>
    <r>
      <rPr>
        <sz val="10"/>
        <color theme="1"/>
        <rFont val="Times New Roman"/>
        <family val="1"/>
      </rPr>
      <t>We estimate an average of 2,819 responses (reports).</t>
    </r>
    <r>
      <rPr>
        <sz val="12"/>
        <color rgb="FF000000"/>
        <rFont val="Times New Roman"/>
        <family val="1"/>
      </rPr>
      <t xml:space="preserve"> </t>
    </r>
  </si>
  <si>
    <t>Existing</t>
  </si>
  <si>
    <t>New</t>
  </si>
  <si>
    <r>
      <t>a</t>
    </r>
    <r>
      <rPr>
        <sz val="10"/>
        <color theme="1"/>
        <rFont val="Times New Roman"/>
        <family val="1"/>
      </rPr>
      <t xml:space="preserve">  We assume that on average there are 4,669 existing sources (596 existing major sources and 3,914 existing area sources) during the three-year period of this ICR. We assume that an additional 169 new respondents (28 new major source respondents and 141 new area source respondents) per year will become subject to new requirements under the rule over the three years of this ICR due to new construction. We assume that all 141 of the new area source respondents are newly constructed area sources, while 18 of the 28 new major source respondents are newly constructed (greenfield) major sources. The remaining 10 new major source respondents are existing major sources that perform construction or reconstruction and are required to file reports as though they were new major source respondents.</t>
    </r>
  </si>
  <si>
    <r>
      <t>a</t>
    </r>
    <r>
      <rPr>
        <sz val="10"/>
        <color theme="1"/>
        <rFont val="Times New Roman"/>
        <family val="1"/>
      </rPr>
      <t xml:space="preserve">  We assume that on average there are 4,6698 existing sources (596 existing major sources and 3,914 existing area sources) during the three-year period of this ICR. We assume that an additional 169 new respondents (28 new major source respondents and 141 new area source respondents) per year will become subject to new requirements under the rule over the three years of this ICR due to new construction. We assume that all 141 of the new area source respondents are newly constructed area sources, while 18 of the 28 new major source respondents are newly constructed (greenfield) major sources. The remaining 10 new major source respondents are existing major sources that perform construction or reconstruction and are required to file reports as though they were new major source respondents.</t>
    </r>
  </si>
  <si>
    <r>
      <t>b</t>
    </r>
    <r>
      <rPr>
        <sz val="10"/>
        <color theme="1"/>
        <rFont val="Times New Roman"/>
        <family val="1"/>
      </rPr>
      <t xml:space="preserve">  This ICR uses the following labor rates for privately-owned sources: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</si>
  <si>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t>b</t>
    </r>
    <r>
      <rPr>
        <sz val="10"/>
        <color theme="1"/>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</si>
  <si>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t xml:space="preserve">vi. Affirmative Defense and malfunction reports </t>
    </r>
    <r>
      <rPr>
        <vertAlign val="superscript"/>
        <sz val="10"/>
        <color rgb="FF000000"/>
        <rFont val="Times New Roman"/>
        <family val="1"/>
      </rPr>
      <t>e</t>
    </r>
  </si>
  <si>
    <r>
      <t xml:space="preserve">viii. Affirmative Defense and malfunction reports </t>
    </r>
    <r>
      <rPr>
        <vertAlign val="superscript"/>
        <sz val="10"/>
        <color rgb="FF000000"/>
        <rFont val="Times New Roman"/>
        <family val="1"/>
      </rPr>
      <t>h</t>
    </r>
  </si>
  <si>
    <r>
      <t>e</t>
    </r>
    <r>
      <rPr>
        <sz val="10"/>
        <color theme="1"/>
        <rFont val="Times New Roman"/>
        <family val="1"/>
      </rPr>
      <t xml:space="preserve">  We assume that affirmative defense and malfunction reports may be included as part of the semiannual periodic reports. In addition, we estimate two hours are required to complete each report. All existing major sources are subject to malfunction and semiannual reports. </t>
    </r>
  </si>
  <si>
    <r>
      <t xml:space="preserve">o </t>
    </r>
    <r>
      <rPr>
        <sz val="10"/>
        <color theme="1"/>
        <rFont val="Times New Roman"/>
        <family val="1"/>
      </rPr>
      <t xml:space="preserve"> The 11% of new area sources doing a performance test on control equipment need to develop a record system. The estimated hours per activity and number of sources are based on estimates from EPA ICR Number 1788.09 and 2440.02. </t>
    </r>
  </si>
  <si>
    <r>
      <t xml:space="preserve">   Affirmative Defense and malfunction reports </t>
    </r>
    <r>
      <rPr>
        <vertAlign val="superscript"/>
        <sz val="10"/>
        <color rgb="FF000000"/>
        <rFont val="Times New Roman"/>
        <family val="1"/>
      </rPr>
      <t xml:space="preserve"> h</t>
    </r>
  </si>
  <si>
    <r>
      <t>d</t>
    </r>
    <r>
      <rPr>
        <sz val="10"/>
        <color theme="1"/>
        <rFont val="Times New Roman"/>
        <family val="1"/>
      </rPr>
      <t xml:space="preserve">  We have assumed that affirmative defense and malfunction reports may be included as part of the semiannual periodic reports.</t>
    </r>
  </si>
  <si>
    <r>
      <t xml:space="preserve">Control equipment </t>
    </r>
    <r>
      <rPr>
        <vertAlign val="superscript"/>
        <sz val="10"/>
        <color rgb="FF000000"/>
        <rFont val="Times New Roman"/>
        <family val="1"/>
      </rPr>
      <t>o</t>
    </r>
  </si>
  <si>
    <r>
      <rPr>
        <sz val="10"/>
        <rFont val="Times New Roman"/>
        <family val="1"/>
      </rPr>
      <t xml:space="preserve">Affirmative defense and </t>
    </r>
    <r>
      <rPr>
        <sz val="10"/>
        <color rgb="FF000000"/>
        <rFont val="Times New Roman"/>
        <family val="1"/>
      </rPr>
      <t>malfunction reports</t>
    </r>
  </si>
  <si>
    <r>
      <t xml:space="preserve">    Affirmative Defense and malfunction reports </t>
    </r>
    <r>
      <rPr>
        <sz val="10"/>
        <rFont val="Times New Roman"/>
        <family val="1"/>
      </rPr>
      <t xml:space="preserve"> </t>
    </r>
    <r>
      <rPr>
        <vertAlign val="superscript"/>
        <sz val="10"/>
        <color rgb="FF000000"/>
        <rFont val="Times New Roman"/>
        <family val="1"/>
      </rPr>
      <t>d</t>
    </r>
  </si>
  <si>
    <r>
      <t>h</t>
    </r>
    <r>
      <rPr>
        <sz val="10"/>
        <rFont val="Times New Roman"/>
        <family val="1"/>
      </rPr>
      <t xml:space="preserve"> We assume that affirmative defense and malfunction reports may be included as part of the semiannual periodic reports. We assume that 2% of existing area sources and 3 new area sources will complete this activity. In addition, we estimate two hours are required to complete each report.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</si>
</sst>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
    <numFmt numFmtId="165" formatCode="&quot;$&quot;#,##0.00"/>
    <numFmt numFmtId="166" formatCode="0.0"/>
  </numFmts>
  <fonts count="28" x14ac:knownFonts="1">
    <font>
      <sz val="11"/>
      <color theme="1"/>
      <name val="Calibri"/>
      <family val="2"/>
      <scheme val="minor"/>
    </font>
    <font>
      <sz val="10"/>
      <color theme="1"/>
      <name val="Times New Roman"/>
      <family val="1"/>
    </font>
    <font>
      <b/>
      <sz val="12"/>
      <color rgb="FF000000"/>
      <name val="Times New Roman"/>
      <family val="1"/>
    </font>
    <font>
      <vertAlign val="superscript"/>
      <sz val="10"/>
      <color theme="1"/>
      <name val="Times New Roman"/>
      <family val="1"/>
    </font>
    <font>
      <b/>
      <sz val="10"/>
      <color rgb="FF000000"/>
      <name val="Times New Roman"/>
      <family val="1"/>
    </font>
    <font>
      <b/>
      <vertAlign val="superscript"/>
      <sz val="12"/>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sz val="10"/>
      <color theme="1"/>
      <name val="Times New Roman"/>
      <family val="1"/>
    </font>
    <font>
      <sz val="11"/>
      <color theme="1"/>
      <name val="Times New Roman"/>
      <family val="1"/>
    </font>
    <font>
      <b/>
      <sz val="12"/>
      <color theme="1"/>
      <name val="Times New Roman"/>
      <family val="1"/>
    </font>
    <font>
      <sz val="11"/>
      <color rgb="FF000000"/>
      <name val="Times New Roman"/>
      <family val="1"/>
    </font>
    <font>
      <vertAlign val="superscript"/>
      <sz val="12"/>
      <color theme="1"/>
      <name val="Times New Roman"/>
      <family val="1"/>
    </font>
    <font>
      <sz val="10"/>
      <name val="Times New Roman"/>
      <family val="1"/>
    </font>
    <font>
      <i/>
      <sz val="10"/>
      <color rgb="FF000000"/>
      <name val="Times New Roman"/>
      <family val="1"/>
    </font>
    <font>
      <b/>
      <sz val="11"/>
      <color theme="1"/>
      <name val="Calibri"/>
      <family val="2"/>
      <scheme val="minor"/>
    </font>
    <font>
      <sz val="12"/>
      <color rgb="FF000000"/>
      <name val="Times New Roman"/>
      <family val="1"/>
    </font>
    <font>
      <sz val="7"/>
      <color rgb="FF000000"/>
      <name val="Times New Roman"/>
      <family val="1"/>
    </font>
    <font>
      <sz val="9"/>
      <color rgb="FF000000"/>
      <name val="Times New Roman"/>
      <family val="1"/>
    </font>
    <font>
      <b/>
      <sz val="9"/>
      <color theme="1"/>
      <name val="Times New Roman"/>
      <family val="1"/>
    </font>
    <font>
      <sz val="11"/>
      <color rgb="FFFF0000"/>
      <name val="Calibri"/>
      <family val="2"/>
      <scheme val="minor"/>
    </font>
    <font>
      <sz val="10"/>
      <color rgb="FFFF0000"/>
      <name val="Times New Roman"/>
      <family val="1"/>
    </font>
    <font>
      <sz val="11"/>
      <name val="Calibri"/>
      <family val="2"/>
      <scheme val="minor"/>
    </font>
    <font>
      <b/>
      <sz val="11"/>
      <name val="Calibri"/>
      <family val="2"/>
      <scheme val="minor"/>
    </font>
    <font>
      <u/>
      <sz val="11"/>
      <name val="Calibri"/>
      <family val="2"/>
      <scheme val="minor"/>
    </font>
    <font>
      <vertAlign val="superscript"/>
      <sz val="10"/>
      <name val="Times New Roman"/>
      <family val="1"/>
    </font>
    <font>
      <sz val="7"/>
      <name val="Times New Roman"/>
      <family val="1"/>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3">
    <xf numFmtId="0" fontId="0" fillId="0" borderId="0" xfId="0"/>
    <xf numFmtId="0" fontId="4" fillId="0" borderId="1" xfId="0" applyFont="1" applyBorder="1" applyAlignment="1">
      <alignment vertical="center" wrapText="1"/>
    </xf>
    <xf numFmtId="0" fontId="7" fillId="0" borderId="1"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1" xfId="0" applyFont="1" applyBorder="1" applyAlignment="1">
      <alignment horizontal="right" vertical="center" wrapText="1"/>
    </xf>
    <xf numFmtId="8" fontId="7" fillId="0" borderId="1" xfId="0" applyNumberFormat="1" applyFont="1" applyBorder="1" applyAlignment="1">
      <alignment horizontal="right" vertical="center" wrapText="1"/>
    </xf>
    <xf numFmtId="3" fontId="7" fillId="0" borderId="1" xfId="0" applyNumberFormat="1" applyFont="1" applyBorder="1" applyAlignment="1">
      <alignment horizontal="center" vertical="center" wrapText="1"/>
    </xf>
    <xf numFmtId="0" fontId="4" fillId="0" borderId="1" xfId="0" applyFont="1" applyBorder="1" applyAlignment="1">
      <alignment horizontal="left" vertical="center" wrapText="1" indent="1"/>
    </xf>
    <xf numFmtId="8" fontId="4" fillId="0" borderId="1" xfId="0" applyNumberFormat="1" applyFont="1" applyBorder="1" applyAlignment="1">
      <alignment horizontal="right" vertical="center" wrapText="1"/>
    </xf>
    <xf numFmtId="0" fontId="7" fillId="0" borderId="1" xfId="0" applyFont="1" applyBorder="1" applyAlignment="1">
      <alignment horizontal="left" vertical="center" wrapText="1" indent="3"/>
    </xf>
    <xf numFmtId="0" fontId="7" fillId="0" borderId="1" xfId="0" applyFont="1" applyBorder="1" applyAlignment="1">
      <alignment vertical="center" wrapText="1"/>
    </xf>
    <xf numFmtId="6" fontId="4" fillId="0" borderId="1" xfId="0" applyNumberFormat="1" applyFont="1" applyBorder="1" applyAlignment="1">
      <alignment horizontal="right" vertical="center" wrapText="1"/>
    </xf>
    <xf numFmtId="0" fontId="7" fillId="0" borderId="1" xfId="0" applyFont="1" applyFill="1" applyBorder="1" applyAlignment="1">
      <alignment horizontal="left" vertical="center" wrapText="1" indent="1"/>
    </xf>
    <xf numFmtId="0" fontId="7" fillId="0" borderId="1" xfId="0" applyFont="1" applyBorder="1" applyAlignment="1">
      <alignment horizontal="right" vertical="center" wrapText="1" indent="1"/>
    </xf>
    <xf numFmtId="8" fontId="7" fillId="0" borderId="1" xfId="0" applyNumberFormat="1" applyFont="1" applyBorder="1" applyAlignment="1">
      <alignment horizontal="right" vertical="center" wrapText="1" indent="1"/>
    </xf>
    <xf numFmtId="6" fontId="4" fillId="0" borderId="1" xfId="0" applyNumberFormat="1" applyFont="1" applyBorder="1" applyAlignment="1">
      <alignment vertical="center" wrapText="1"/>
    </xf>
    <xf numFmtId="0" fontId="9" fillId="0" borderId="0" xfId="0" applyFont="1" applyAlignment="1">
      <alignment horizontal="left"/>
    </xf>
    <xf numFmtId="0" fontId="7" fillId="0" borderId="1" xfId="0" applyFont="1" applyFill="1" applyBorder="1" applyAlignment="1">
      <alignment horizontal="center" vertical="center" wrapText="1"/>
    </xf>
    <xf numFmtId="8" fontId="7" fillId="0" borderId="1" xfId="0" applyNumberFormat="1" applyFont="1" applyFill="1" applyBorder="1" applyAlignment="1">
      <alignment horizontal="righ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1" fillId="0" borderId="0" xfId="0" applyFont="1" applyAlignment="1">
      <alignment vertical="center"/>
    </xf>
    <xf numFmtId="0" fontId="10" fillId="0" borderId="0" xfId="0" applyFont="1"/>
    <xf numFmtId="0" fontId="1" fillId="0" borderId="0" xfId="0" applyFont="1"/>
    <xf numFmtId="0" fontId="1" fillId="0" borderId="1" xfId="0" applyFont="1" applyBorder="1"/>
    <xf numFmtId="6" fontId="9" fillId="0" borderId="1" xfId="0" applyNumberFormat="1" applyFont="1" applyBorder="1"/>
    <xf numFmtId="0" fontId="12" fillId="0" borderId="1" xfId="0" applyFont="1" applyBorder="1" applyAlignment="1">
      <alignment horizontal="left" vertical="center" wrapText="1" indent="1"/>
    </xf>
    <xf numFmtId="0" fontId="11" fillId="0" borderId="0" xfId="0" applyFont="1"/>
    <xf numFmtId="164" fontId="9" fillId="0" borderId="1" xfId="0" applyNumberFormat="1" applyFont="1" applyBorder="1"/>
    <xf numFmtId="0" fontId="14" fillId="0" borderId="1" xfId="0" applyFont="1" applyBorder="1" applyAlignment="1">
      <alignment horizontal="center" vertical="center" wrapText="1"/>
    </xf>
    <xf numFmtId="3" fontId="14" fillId="0" borderId="1" xfId="0" applyNumberFormat="1" applyFont="1" applyBorder="1" applyAlignment="1">
      <alignment horizontal="center" vertical="center" wrapText="1"/>
    </xf>
    <xf numFmtId="0" fontId="14" fillId="0" borderId="1" xfId="0" applyFont="1" applyBorder="1" applyAlignment="1">
      <alignment vertical="center" wrapText="1"/>
    </xf>
    <xf numFmtId="3"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9" fillId="0" borderId="0" xfId="0" applyFont="1" applyAlignment="1">
      <alignment vertical="center"/>
    </xf>
    <xf numFmtId="0" fontId="3" fillId="0" borderId="0" xfId="0" applyFont="1" applyAlignment="1">
      <alignment vertical="center"/>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indent="2"/>
    </xf>
    <xf numFmtId="0" fontId="7" fillId="0" borderId="1" xfId="0" applyFont="1" applyBorder="1" applyAlignment="1">
      <alignment horizontal="left" vertical="center" wrapText="1" indent="2"/>
    </xf>
    <xf numFmtId="0" fontId="15" fillId="0" borderId="1" xfId="0" applyFont="1" applyBorder="1" applyAlignment="1">
      <alignment horizontal="left" vertical="center" wrapText="1" indent="2"/>
    </xf>
    <xf numFmtId="0" fontId="14" fillId="0" borderId="1" xfId="0" applyFont="1" applyFill="1" applyBorder="1" applyAlignment="1" applyProtection="1">
      <alignment vertical="center"/>
    </xf>
    <xf numFmtId="165" fontId="1" fillId="0" borderId="1" xfId="0" applyNumberFormat="1" applyFont="1" applyBorder="1"/>
    <xf numFmtId="3" fontId="0" fillId="0" borderId="0" xfId="0" applyNumberFormat="1"/>
    <xf numFmtId="3" fontId="1" fillId="0" borderId="0" xfId="0" applyNumberFormat="1" applyFont="1"/>
    <xf numFmtId="1" fontId="7" fillId="0" borderId="1" xfId="0" applyNumberFormat="1" applyFont="1" applyBorder="1" applyAlignment="1">
      <alignment horizontal="center" vertical="center" wrapText="1"/>
    </xf>
    <xf numFmtId="6" fontId="7" fillId="0" borderId="1" xfId="0" applyNumberFormat="1" applyFont="1" applyBorder="1" applyAlignment="1">
      <alignment horizontal="center" vertical="center" wrapText="1"/>
    </xf>
    <xf numFmtId="8" fontId="7" fillId="0" borderId="1" xfId="0" applyNumberFormat="1" applyFont="1" applyBorder="1" applyAlignment="1">
      <alignment horizontal="center" vertical="center" wrapText="1"/>
    </xf>
    <xf numFmtId="6" fontId="4" fillId="0" borderId="1" xfId="0" applyNumberFormat="1" applyFont="1" applyBorder="1" applyAlignment="1">
      <alignment horizontal="center" vertical="center" wrapText="1"/>
    </xf>
    <xf numFmtId="0" fontId="17" fillId="0" borderId="0" xfId="0" applyFont="1" applyAlignment="1">
      <alignment vertical="center"/>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9" fillId="0" borderId="1" xfId="0" applyFont="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7" fillId="0" borderId="0" xfId="0" applyFont="1" applyAlignment="1">
      <alignment horizontal="left" vertical="center"/>
    </xf>
    <xf numFmtId="6" fontId="16" fillId="0" borderId="0" xfId="0" applyNumberFormat="1" applyFont="1"/>
    <xf numFmtId="0" fontId="16" fillId="0" borderId="0" xfId="0" applyFont="1"/>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22" fillId="0" borderId="0" xfId="0" applyFont="1"/>
    <xf numFmtId="0" fontId="21" fillId="0" borderId="0" xfId="0" applyFont="1"/>
    <xf numFmtId="0" fontId="0" fillId="0" borderId="0" xfId="0" applyBorder="1"/>
    <xf numFmtId="0" fontId="1"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3" fontId="14" fillId="3"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 fillId="0" borderId="0" xfId="0" applyFont="1" applyFill="1"/>
    <xf numFmtId="0" fontId="1" fillId="0" borderId="13" xfId="0" applyFont="1" applyBorder="1" applyAlignment="1">
      <alignment horizontal="center" vertical="center" wrapText="1"/>
    </xf>
    <xf numFmtId="0" fontId="1" fillId="0" borderId="13" xfId="0" applyFont="1" applyFill="1" applyBorder="1" applyAlignment="1">
      <alignment horizontal="center" vertical="center" wrapText="1"/>
    </xf>
    <xf numFmtId="0" fontId="14" fillId="0" borderId="14" xfId="0" applyFont="1" applyBorder="1" applyAlignment="1">
      <alignment horizontal="center" vertical="center" wrapText="1"/>
    </xf>
    <xf numFmtId="3" fontId="14" fillId="0" borderId="14" xfId="0" applyNumberFormat="1" applyFont="1" applyBorder="1" applyAlignment="1">
      <alignment horizontal="center" vertical="center" wrapText="1"/>
    </xf>
    <xf numFmtId="0" fontId="14" fillId="4" borderId="14" xfId="0" applyFont="1" applyFill="1" applyBorder="1" applyAlignment="1">
      <alignment horizontal="center" vertical="center" wrapText="1"/>
    </xf>
    <xf numFmtId="3" fontId="1" fillId="0" borderId="14" xfId="0" applyNumberFormat="1" applyFont="1" applyBorder="1" applyAlignment="1">
      <alignment horizontal="center" vertical="center" wrapText="1"/>
    </xf>
    <xf numFmtId="0" fontId="9" fillId="0" borderId="3" xfId="0" applyFont="1" applyBorder="1" applyAlignment="1">
      <alignment horizontal="left"/>
    </xf>
    <xf numFmtId="0" fontId="1" fillId="0" borderId="3" xfId="0"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166" fontId="7" fillId="0" borderId="1" xfId="0" applyNumberFormat="1" applyFont="1" applyBorder="1" applyAlignment="1">
      <alignment horizontal="center" vertical="center" wrapText="1"/>
    </xf>
    <xf numFmtId="0" fontId="14" fillId="0" borderId="0" xfId="0" applyFont="1" applyAlignment="1">
      <alignment horizontal="left" vertical="center"/>
    </xf>
    <xf numFmtId="166" fontId="1" fillId="0" borderId="0" xfId="0" applyNumberFormat="1" applyFont="1"/>
    <xf numFmtId="0" fontId="1" fillId="0" borderId="1" xfId="0" applyFont="1" applyBorder="1" applyAlignment="1">
      <alignment horizontal="center" vertical="center" wrapText="1"/>
    </xf>
    <xf numFmtId="0" fontId="22" fillId="0" borderId="0" xfId="0" applyFont="1" applyAlignment="1">
      <alignment horizontal="left" vertical="top" wrapText="1"/>
    </xf>
    <xf numFmtId="0" fontId="14" fillId="0" borderId="1" xfId="0" applyFont="1" applyBorder="1" applyAlignment="1">
      <alignment horizontal="center"/>
    </xf>
    <xf numFmtId="0" fontId="3" fillId="0" borderId="0" xfId="0" applyFont="1" applyAlignment="1">
      <alignment horizontal="left" vertical="top" wrapText="1"/>
    </xf>
    <xf numFmtId="3" fontId="4" fillId="0" borderId="1" xfId="0" applyNumberFormat="1" applyFont="1" applyBorder="1" applyAlignment="1">
      <alignment horizontal="center" vertical="center" wrapText="1"/>
    </xf>
    <xf numFmtId="0" fontId="26" fillId="0" borderId="0" xfId="0" applyFont="1" applyAlignment="1">
      <alignment horizontal="left" vertical="top" wrapText="1"/>
    </xf>
    <xf numFmtId="0" fontId="8"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Fill="1" applyAlignment="1">
      <alignment horizontal="left" vertical="top"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left" vertical="top" wrapText="1"/>
    </xf>
    <xf numFmtId="0" fontId="3" fillId="0" borderId="8" xfId="0" applyFont="1" applyBorder="1" applyAlignment="1">
      <alignment horizontal="left" vertical="top"/>
    </xf>
    <xf numFmtId="0" fontId="3" fillId="0" borderId="0" xfId="0" applyFont="1" applyAlignment="1">
      <alignment horizontal="left" vertical="top"/>
    </xf>
    <xf numFmtId="0" fontId="23" fillId="3" borderId="7" xfId="0" applyFont="1" applyFill="1" applyBorder="1" applyAlignment="1">
      <alignment horizontal="left" vertical="top" wrapText="1"/>
    </xf>
    <xf numFmtId="0" fontId="23" fillId="3" borderId="8" xfId="0" applyFont="1" applyFill="1" applyBorder="1" applyAlignment="1">
      <alignment horizontal="left" vertical="top" wrapText="1"/>
    </xf>
    <xf numFmtId="0" fontId="23" fillId="3" borderId="9" xfId="0" applyFont="1" applyFill="1" applyBorder="1" applyAlignment="1">
      <alignment horizontal="left" vertical="top" wrapText="1"/>
    </xf>
    <xf numFmtId="0" fontId="23" fillId="3" borderId="6" xfId="0" applyFont="1" applyFill="1" applyBorder="1" applyAlignment="1">
      <alignment horizontal="left" vertical="top" wrapText="1"/>
    </xf>
    <xf numFmtId="0" fontId="23" fillId="3" borderId="0" xfId="0" applyFont="1" applyFill="1" applyBorder="1" applyAlignment="1">
      <alignment horizontal="left" vertical="top" wrapText="1"/>
    </xf>
    <xf numFmtId="0" fontId="23" fillId="3" borderId="12" xfId="0" applyFont="1" applyFill="1" applyBorder="1" applyAlignment="1">
      <alignment horizontal="left" vertical="top" wrapText="1"/>
    </xf>
    <xf numFmtId="0" fontId="23" fillId="3" borderId="10" xfId="0" applyFont="1" applyFill="1" applyBorder="1" applyAlignment="1">
      <alignment horizontal="left" vertical="top" wrapText="1"/>
    </xf>
    <xf numFmtId="0" fontId="23" fillId="3" borderId="5" xfId="0" applyFont="1" applyFill="1" applyBorder="1" applyAlignment="1">
      <alignment horizontal="left" vertical="top" wrapText="1"/>
    </xf>
    <xf numFmtId="0" fontId="23" fillId="3" borderId="11" xfId="0" applyFont="1" applyFill="1" applyBorder="1" applyAlignment="1">
      <alignment horizontal="left" vertical="top" wrapText="1"/>
    </xf>
    <xf numFmtId="0" fontId="23" fillId="2" borderId="7" xfId="0" applyFont="1" applyFill="1" applyBorder="1" applyAlignment="1">
      <alignment horizontal="left" vertical="top" wrapText="1"/>
    </xf>
    <xf numFmtId="0" fontId="23" fillId="2" borderId="8" xfId="0" applyFont="1" applyFill="1" applyBorder="1" applyAlignment="1">
      <alignment horizontal="left" vertical="top" wrapText="1"/>
    </xf>
    <xf numFmtId="0" fontId="23" fillId="2" borderId="9"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0" xfId="0" applyFont="1" applyFill="1" applyBorder="1" applyAlignment="1">
      <alignment horizontal="left" vertical="top" wrapText="1"/>
    </xf>
    <xf numFmtId="0" fontId="23" fillId="2" borderId="12" xfId="0" applyFont="1" applyFill="1" applyBorder="1" applyAlignment="1">
      <alignment horizontal="left" vertical="top" wrapText="1"/>
    </xf>
    <xf numFmtId="0" fontId="23" fillId="2" borderId="10" xfId="0" applyFont="1" applyFill="1" applyBorder="1" applyAlignment="1">
      <alignment horizontal="left" vertical="top" wrapText="1"/>
    </xf>
    <xf numFmtId="0" fontId="23" fillId="2" borderId="5" xfId="0" applyFont="1" applyFill="1" applyBorder="1" applyAlignment="1">
      <alignment horizontal="left" vertical="top" wrapText="1"/>
    </xf>
    <xf numFmtId="0" fontId="23" fillId="2" borderId="11" xfId="0" applyFont="1" applyFill="1" applyBorder="1" applyAlignment="1">
      <alignment horizontal="left" vertical="top" wrapText="1"/>
    </xf>
    <xf numFmtId="0" fontId="1" fillId="0" borderId="1" xfId="0" applyFont="1" applyBorder="1" applyAlignment="1">
      <alignment horizontal="center" vertical="center" wrapText="1"/>
    </xf>
    <xf numFmtId="0" fontId="23" fillId="4" borderId="8" xfId="0" applyFont="1" applyFill="1" applyBorder="1" applyAlignment="1">
      <alignment horizontal="left" vertical="top" wrapText="1"/>
    </xf>
    <xf numFmtId="0" fontId="23" fillId="4" borderId="0" xfId="0" applyFont="1" applyFill="1" applyBorder="1" applyAlignment="1">
      <alignment horizontal="left" vertical="top" wrapText="1"/>
    </xf>
    <xf numFmtId="0" fontId="2" fillId="0" borderId="1" xfId="0" applyFont="1" applyBorder="1" applyAlignment="1">
      <alignment horizontal="center" vertical="center" wrapText="1"/>
    </xf>
    <xf numFmtId="0" fontId="7" fillId="0" borderId="8" xfId="0" applyFont="1" applyBorder="1" applyAlignment="1">
      <alignment horizontal="left" vertical="top" wrapText="1"/>
    </xf>
    <xf numFmtId="0" fontId="7"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97"/>
  <sheetViews>
    <sheetView tabSelected="1" zoomScale="98" zoomScaleNormal="98" workbookViewId="0">
      <selection activeCell="A83" sqref="A83:I83"/>
    </sheetView>
  </sheetViews>
  <sheetFormatPr defaultColWidth="9.140625" defaultRowHeight="12.75" x14ac:dyDescent="0.2"/>
  <cols>
    <col min="1" max="1" width="38.7109375" style="25" customWidth="1"/>
    <col min="2" max="2" width="10.85546875" style="25" customWidth="1"/>
    <col min="3" max="3" width="11.7109375" style="25" customWidth="1"/>
    <col min="4" max="8" width="12.7109375" style="25" customWidth="1"/>
    <col min="9" max="9" width="14" style="25" customWidth="1"/>
    <col min="10" max="16384" width="9.140625" style="25"/>
  </cols>
  <sheetData>
    <row r="1" spans="1:12" ht="15.75" x14ac:dyDescent="0.25">
      <c r="A1" s="29" t="s">
        <v>63</v>
      </c>
    </row>
    <row r="3" spans="1:12" x14ac:dyDescent="0.2">
      <c r="A3" s="26"/>
      <c r="B3" s="22" t="s">
        <v>2</v>
      </c>
      <c r="C3" s="22" t="s">
        <v>3</v>
      </c>
      <c r="D3" s="22" t="s">
        <v>4</v>
      </c>
      <c r="E3" s="22" t="s">
        <v>5</v>
      </c>
      <c r="F3" s="22" t="s">
        <v>6</v>
      </c>
      <c r="G3" s="22" t="s">
        <v>11</v>
      </c>
      <c r="H3" s="22" t="s">
        <v>12</v>
      </c>
      <c r="I3" s="22" t="s">
        <v>13</v>
      </c>
    </row>
    <row r="4" spans="1:12" ht="78" customHeight="1" x14ac:dyDescent="0.2">
      <c r="A4" s="22" t="s">
        <v>10</v>
      </c>
      <c r="B4" s="22" t="s">
        <v>14</v>
      </c>
      <c r="C4" s="22" t="s">
        <v>15</v>
      </c>
      <c r="D4" s="22" t="s">
        <v>28</v>
      </c>
      <c r="E4" s="22" t="s">
        <v>62</v>
      </c>
      <c r="F4" s="22" t="s">
        <v>29</v>
      </c>
      <c r="G4" s="22" t="s">
        <v>30</v>
      </c>
      <c r="H4" s="22" t="s">
        <v>31</v>
      </c>
      <c r="I4" s="22" t="s">
        <v>27</v>
      </c>
    </row>
    <row r="5" spans="1:12" ht="13.5" customHeight="1" x14ac:dyDescent="0.2">
      <c r="A5" s="39" t="s">
        <v>21</v>
      </c>
      <c r="B5" s="3" t="s">
        <v>22</v>
      </c>
      <c r="C5" s="3"/>
      <c r="D5" s="3"/>
      <c r="E5" s="3"/>
      <c r="F5" s="3"/>
      <c r="G5" s="3"/>
      <c r="H5" s="3"/>
      <c r="I5" s="4"/>
      <c r="K5" s="86" t="s">
        <v>113</v>
      </c>
      <c r="L5" s="86"/>
    </row>
    <row r="6" spans="1:12" ht="13.5" customHeight="1" x14ac:dyDescent="0.2">
      <c r="A6" s="39" t="s">
        <v>23</v>
      </c>
      <c r="B6" s="3" t="s">
        <v>22</v>
      </c>
      <c r="C6" s="3"/>
      <c r="D6" s="3"/>
      <c r="E6" s="3"/>
      <c r="F6" s="3"/>
      <c r="G6" s="3"/>
      <c r="H6" s="3"/>
      <c r="I6" s="4"/>
      <c r="K6" s="43" t="s">
        <v>114</v>
      </c>
      <c r="L6" s="44">
        <v>141.06</v>
      </c>
    </row>
    <row r="7" spans="1:12" ht="13.5" customHeight="1" x14ac:dyDescent="0.2">
      <c r="A7" s="39" t="s">
        <v>24</v>
      </c>
      <c r="B7" s="3"/>
      <c r="C7" s="3"/>
      <c r="D7" s="3"/>
      <c r="E7" s="3"/>
      <c r="F7" s="3"/>
      <c r="G7" s="3"/>
      <c r="H7" s="3"/>
      <c r="I7" s="4"/>
      <c r="K7" s="43" t="s">
        <v>115</v>
      </c>
      <c r="L7" s="44">
        <v>120.27</v>
      </c>
    </row>
    <row r="8" spans="1:12" ht="15.75" x14ac:dyDescent="0.2">
      <c r="A8" s="2" t="s">
        <v>68</v>
      </c>
      <c r="B8" s="3"/>
      <c r="C8" s="3"/>
      <c r="D8" s="3"/>
      <c r="E8" s="3"/>
      <c r="F8" s="3"/>
      <c r="G8" s="3"/>
      <c r="H8" s="3"/>
      <c r="I8" s="4"/>
      <c r="K8" s="43" t="s">
        <v>116</v>
      </c>
      <c r="L8" s="44">
        <v>58.67</v>
      </c>
    </row>
    <row r="9" spans="1:12" ht="13.5" customHeight="1" x14ac:dyDescent="0.2">
      <c r="A9" s="40" t="s">
        <v>60</v>
      </c>
      <c r="B9" s="3">
        <v>4</v>
      </c>
      <c r="C9" s="3">
        <v>1</v>
      </c>
      <c r="D9" s="3">
        <f>B9*C9</f>
        <v>4</v>
      </c>
      <c r="E9" s="17">
        <f>SUM('#Sources'!B20:D20)</f>
        <v>169</v>
      </c>
      <c r="F9" s="3">
        <f>D9*E9</f>
        <v>676</v>
      </c>
      <c r="G9" s="3">
        <f>F9*0.05</f>
        <v>33.800000000000004</v>
      </c>
      <c r="H9" s="3">
        <f>F9*0.1</f>
        <v>67.600000000000009</v>
      </c>
      <c r="I9" s="5">
        <f>F9*$L$7+G9*$L$6+H9*$L$8</f>
        <v>90036.44</v>
      </c>
    </row>
    <row r="10" spans="1:12" ht="13.5" customHeight="1" x14ac:dyDescent="0.2">
      <c r="A10" s="40" t="s">
        <v>61</v>
      </c>
      <c r="B10" s="3">
        <v>1</v>
      </c>
      <c r="C10" s="3">
        <v>1</v>
      </c>
      <c r="D10" s="3">
        <f>B10*C10</f>
        <v>1</v>
      </c>
      <c r="E10" s="17">
        <f>'#Sources'!E20</f>
        <v>596</v>
      </c>
      <c r="F10" s="3">
        <f>D10*E10</f>
        <v>596</v>
      </c>
      <c r="G10" s="3">
        <f>F10*0.05</f>
        <v>29.8</v>
      </c>
      <c r="H10" s="3">
        <f>F10*0.1</f>
        <v>59.6</v>
      </c>
      <c r="I10" s="5">
        <f>F10*$L$7+G10*$L$6+H10*$L$8</f>
        <v>79381.240000000005</v>
      </c>
    </row>
    <row r="11" spans="1:12" ht="13.5" customHeight="1" x14ac:dyDescent="0.2">
      <c r="A11" s="2" t="s">
        <v>69</v>
      </c>
      <c r="B11" s="3" t="s">
        <v>22</v>
      </c>
      <c r="C11" s="3"/>
      <c r="D11" s="3"/>
      <c r="E11" s="3"/>
      <c r="F11" s="3"/>
      <c r="G11" s="3"/>
      <c r="H11" s="3"/>
      <c r="I11" s="4"/>
    </row>
    <row r="12" spans="1:12" ht="13.5" customHeight="1" x14ac:dyDescent="0.2">
      <c r="A12" s="42" t="s">
        <v>73</v>
      </c>
      <c r="B12" s="3"/>
      <c r="C12" s="3"/>
      <c r="D12" s="3"/>
      <c r="E12" s="3"/>
      <c r="F12" s="3"/>
      <c r="G12" s="3"/>
      <c r="H12" s="3"/>
      <c r="I12" s="4"/>
    </row>
    <row r="13" spans="1:12" ht="30.75" customHeight="1" x14ac:dyDescent="0.2">
      <c r="A13" s="9" t="s">
        <v>74</v>
      </c>
      <c r="B13" s="3">
        <v>2</v>
      </c>
      <c r="C13" s="3">
        <v>1</v>
      </c>
      <c r="D13" s="3">
        <f>B13*C13</f>
        <v>2</v>
      </c>
      <c r="E13" s="3">
        <f>'#Sources'!$B$20</f>
        <v>28</v>
      </c>
      <c r="F13" s="3">
        <f t="shared" ref="F13:F19" si="0">D13*E13</f>
        <v>56</v>
      </c>
      <c r="G13" s="3">
        <f t="shared" ref="G13:G19" si="1">F13*0.05</f>
        <v>2.8000000000000003</v>
      </c>
      <c r="H13" s="3">
        <f t="shared" ref="H13:H19" si="2">F13*0.1</f>
        <v>5.6000000000000005</v>
      </c>
      <c r="I13" s="5">
        <f t="shared" ref="I13:I19" si="3">F13*$L$7+G13*$L$6+H13*$L$8</f>
        <v>7458.6399999999994</v>
      </c>
    </row>
    <row r="14" spans="1:12" ht="17.25" customHeight="1" x14ac:dyDescent="0.2">
      <c r="A14" s="9" t="s">
        <v>75</v>
      </c>
      <c r="B14" s="3">
        <v>2</v>
      </c>
      <c r="C14" s="3">
        <v>1</v>
      </c>
      <c r="D14" s="3">
        <f t="shared" ref="D14:D28" si="4">B14*C14</f>
        <v>2</v>
      </c>
      <c r="E14" s="3">
        <f>'#Sources'!$B$20</f>
        <v>28</v>
      </c>
      <c r="F14" s="3">
        <f t="shared" si="0"/>
        <v>56</v>
      </c>
      <c r="G14" s="3">
        <f t="shared" si="1"/>
        <v>2.8000000000000003</v>
      </c>
      <c r="H14" s="3">
        <f t="shared" si="2"/>
        <v>5.6000000000000005</v>
      </c>
      <c r="I14" s="5">
        <f t="shared" si="3"/>
        <v>7458.6399999999994</v>
      </c>
    </row>
    <row r="15" spans="1:12" ht="26.25" customHeight="1" x14ac:dyDescent="0.2">
      <c r="A15" s="9" t="s">
        <v>76</v>
      </c>
      <c r="B15" s="3">
        <v>2</v>
      </c>
      <c r="C15" s="3">
        <v>1</v>
      </c>
      <c r="D15" s="3">
        <f t="shared" si="4"/>
        <v>2</v>
      </c>
      <c r="E15" s="3">
        <f>'#Sources'!$B$20</f>
        <v>28</v>
      </c>
      <c r="F15" s="3">
        <f t="shared" si="0"/>
        <v>56</v>
      </c>
      <c r="G15" s="3">
        <f t="shared" si="1"/>
        <v>2.8000000000000003</v>
      </c>
      <c r="H15" s="3">
        <f t="shared" si="2"/>
        <v>5.6000000000000005</v>
      </c>
      <c r="I15" s="5">
        <f t="shared" si="3"/>
        <v>7458.6399999999994</v>
      </c>
    </row>
    <row r="16" spans="1:12" ht="13.5" customHeight="1" x14ac:dyDescent="0.2">
      <c r="A16" s="9" t="s">
        <v>91</v>
      </c>
      <c r="B16" s="3">
        <v>2</v>
      </c>
      <c r="C16" s="3">
        <v>1</v>
      </c>
      <c r="D16" s="3">
        <f t="shared" si="4"/>
        <v>2</v>
      </c>
      <c r="E16" s="3">
        <f>'#Sources'!$B$20</f>
        <v>28</v>
      </c>
      <c r="F16" s="3">
        <f t="shared" si="0"/>
        <v>56</v>
      </c>
      <c r="G16" s="3">
        <f t="shared" si="1"/>
        <v>2.8000000000000003</v>
      </c>
      <c r="H16" s="3">
        <f t="shared" si="2"/>
        <v>5.6000000000000005</v>
      </c>
      <c r="I16" s="5">
        <f t="shared" si="3"/>
        <v>7458.6399999999994</v>
      </c>
    </row>
    <row r="17" spans="1:11" ht="13.5" customHeight="1" x14ac:dyDescent="0.2">
      <c r="A17" s="9" t="s">
        <v>92</v>
      </c>
      <c r="B17" s="3">
        <v>4</v>
      </c>
      <c r="C17" s="3">
        <v>1</v>
      </c>
      <c r="D17" s="3">
        <f t="shared" si="4"/>
        <v>4</v>
      </c>
      <c r="E17" s="3">
        <f>'#Sources'!$B$20</f>
        <v>28</v>
      </c>
      <c r="F17" s="3">
        <f t="shared" si="0"/>
        <v>112</v>
      </c>
      <c r="G17" s="3">
        <f t="shared" si="1"/>
        <v>5.6000000000000005</v>
      </c>
      <c r="H17" s="3">
        <f t="shared" si="2"/>
        <v>11.200000000000001</v>
      </c>
      <c r="I17" s="5">
        <f t="shared" si="3"/>
        <v>14917.279999999999</v>
      </c>
    </row>
    <row r="18" spans="1:11" ht="27.75" customHeight="1" x14ac:dyDescent="0.2">
      <c r="A18" s="9" t="s">
        <v>210</v>
      </c>
      <c r="B18" s="3">
        <v>2</v>
      </c>
      <c r="C18" s="3">
        <v>2</v>
      </c>
      <c r="D18" s="3">
        <f t="shared" si="4"/>
        <v>4</v>
      </c>
      <c r="E18" s="3">
        <f>'#Sources'!$E$20</f>
        <v>596</v>
      </c>
      <c r="F18" s="6">
        <f t="shared" si="0"/>
        <v>2384</v>
      </c>
      <c r="G18" s="47">
        <f t="shared" si="1"/>
        <v>119.2</v>
      </c>
      <c r="H18" s="47">
        <f t="shared" si="2"/>
        <v>238.4</v>
      </c>
      <c r="I18" s="5">
        <f t="shared" si="3"/>
        <v>317524.96000000002</v>
      </c>
    </row>
    <row r="19" spans="1:11" ht="13.5" customHeight="1" x14ac:dyDescent="0.2">
      <c r="A19" s="9" t="s">
        <v>93</v>
      </c>
      <c r="B19" s="3">
        <v>2</v>
      </c>
      <c r="C19" s="3">
        <v>2</v>
      </c>
      <c r="D19" s="3">
        <f t="shared" si="4"/>
        <v>4</v>
      </c>
      <c r="E19" s="3">
        <f>'#Sources'!$E$20</f>
        <v>596</v>
      </c>
      <c r="F19" s="6">
        <f t="shared" si="0"/>
        <v>2384</v>
      </c>
      <c r="G19" s="47">
        <f t="shared" si="1"/>
        <v>119.2</v>
      </c>
      <c r="H19" s="47">
        <f t="shared" si="2"/>
        <v>238.4</v>
      </c>
      <c r="I19" s="5">
        <f t="shared" si="3"/>
        <v>317524.96000000002</v>
      </c>
    </row>
    <row r="20" spans="1:11" ht="13.5" customHeight="1" x14ac:dyDescent="0.2">
      <c r="A20" s="42" t="s">
        <v>46</v>
      </c>
      <c r="B20" s="3"/>
      <c r="C20" s="3"/>
      <c r="D20" s="3"/>
      <c r="E20" s="3"/>
      <c r="F20" s="3"/>
      <c r="G20" s="3"/>
      <c r="H20" s="3"/>
      <c r="I20" s="4"/>
    </row>
    <row r="21" spans="1:11" ht="13.5" customHeight="1" x14ac:dyDescent="0.2">
      <c r="A21" s="9" t="s">
        <v>94</v>
      </c>
      <c r="B21" s="3">
        <v>2</v>
      </c>
      <c r="C21" s="3">
        <v>1</v>
      </c>
      <c r="D21" s="3">
        <f t="shared" si="4"/>
        <v>2</v>
      </c>
      <c r="E21" s="3">
        <f>'#Sources'!$C$20</f>
        <v>3</v>
      </c>
      <c r="F21" s="3">
        <f t="shared" ref="F21:F28" si="5">D21*E21</f>
        <v>6</v>
      </c>
      <c r="G21" s="3">
        <f t="shared" ref="G21:G28" si="6">F21*0.05</f>
        <v>0.30000000000000004</v>
      </c>
      <c r="H21" s="3">
        <f t="shared" ref="H21:H28" si="7">F21*0.1</f>
        <v>0.60000000000000009</v>
      </c>
      <c r="I21" s="5">
        <f t="shared" ref="I21:I28" si="8">F21*$L$7+G21*$L$6+H21*$L$8</f>
        <v>799.14</v>
      </c>
    </row>
    <row r="22" spans="1:11" ht="13.5" customHeight="1" x14ac:dyDescent="0.2">
      <c r="A22" s="9" t="s">
        <v>95</v>
      </c>
      <c r="B22" s="3">
        <v>1</v>
      </c>
      <c r="C22" s="3">
        <v>1</v>
      </c>
      <c r="D22" s="3">
        <f t="shared" si="4"/>
        <v>1</v>
      </c>
      <c r="E22" s="3">
        <f>'#Sources'!$C$20</f>
        <v>3</v>
      </c>
      <c r="F22" s="3">
        <f t="shared" si="5"/>
        <v>3</v>
      </c>
      <c r="G22" s="3">
        <f t="shared" si="6"/>
        <v>0.15000000000000002</v>
      </c>
      <c r="H22" s="3">
        <f t="shared" si="7"/>
        <v>0.30000000000000004</v>
      </c>
      <c r="I22" s="5">
        <f t="shared" si="8"/>
        <v>399.57</v>
      </c>
    </row>
    <row r="23" spans="1:11" ht="27" customHeight="1" x14ac:dyDescent="0.2">
      <c r="A23" s="9" t="s">
        <v>96</v>
      </c>
      <c r="B23" s="3">
        <v>2</v>
      </c>
      <c r="C23" s="3">
        <v>1</v>
      </c>
      <c r="D23" s="3">
        <f t="shared" si="4"/>
        <v>2</v>
      </c>
      <c r="E23" s="19">
        <f>ROUND(0.11*SUM('#Sources'!C$20:D$20),0)</f>
        <v>16</v>
      </c>
      <c r="F23" s="3">
        <f t="shared" si="5"/>
        <v>32</v>
      </c>
      <c r="G23" s="3">
        <f t="shared" si="6"/>
        <v>1.6</v>
      </c>
      <c r="H23" s="3">
        <f t="shared" si="7"/>
        <v>3.2</v>
      </c>
      <c r="I23" s="5">
        <f t="shared" si="8"/>
        <v>4262.08</v>
      </c>
    </row>
    <row r="24" spans="1:11" ht="26.25" customHeight="1" x14ac:dyDescent="0.2">
      <c r="A24" s="9" t="s">
        <v>97</v>
      </c>
      <c r="B24" s="3">
        <v>2</v>
      </c>
      <c r="C24" s="3">
        <v>1</v>
      </c>
      <c r="D24" s="3">
        <f t="shared" si="4"/>
        <v>2</v>
      </c>
      <c r="E24" s="19">
        <f>ROUND(0.11*SUM('#Sources'!C$20:D$20),0)</f>
        <v>16</v>
      </c>
      <c r="F24" s="3">
        <f t="shared" si="5"/>
        <v>32</v>
      </c>
      <c r="G24" s="3">
        <f t="shared" si="6"/>
        <v>1.6</v>
      </c>
      <c r="H24" s="3">
        <f t="shared" si="7"/>
        <v>3.2</v>
      </c>
      <c r="I24" s="5">
        <f t="shared" si="8"/>
        <v>4262.08</v>
      </c>
    </row>
    <row r="25" spans="1:11" ht="13.5" customHeight="1" x14ac:dyDescent="0.2">
      <c r="A25" s="9" t="s">
        <v>118</v>
      </c>
      <c r="B25" s="3">
        <v>10</v>
      </c>
      <c r="C25" s="3">
        <v>1</v>
      </c>
      <c r="D25" s="3">
        <f t="shared" si="4"/>
        <v>10</v>
      </c>
      <c r="E25" s="19">
        <f>ROUND(0.11*SUM('#Sources'!C$20:D$20),0)</f>
        <v>16</v>
      </c>
      <c r="F25" s="3">
        <f t="shared" si="5"/>
        <v>160</v>
      </c>
      <c r="G25" s="3">
        <f t="shared" si="6"/>
        <v>8</v>
      </c>
      <c r="H25" s="3">
        <f t="shared" si="7"/>
        <v>16</v>
      </c>
      <c r="I25" s="5">
        <f t="shared" si="8"/>
        <v>21310.400000000001</v>
      </c>
    </row>
    <row r="26" spans="1:11" ht="13.5" customHeight="1" x14ac:dyDescent="0.2">
      <c r="A26" s="9" t="s">
        <v>98</v>
      </c>
      <c r="B26" s="3">
        <v>4</v>
      </c>
      <c r="C26" s="3">
        <v>1</v>
      </c>
      <c r="D26" s="3">
        <f t="shared" si="4"/>
        <v>4</v>
      </c>
      <c r="E26" s="3">
        <f>'#Sources'!C20</f>
        <v>3</v>
      </c>
      <c r="F26" s="3">
        <f t="shared" si="5"/>
        <v>12</v>
      </c>
      <c r="G26" s="3">
        <f t="shared" si="6"/>
        <v>0.60000000000000009</v>
      </c>
      <c r="H26" s="3">
        <f t="shared" si="7"/>
        <v>1.2000000000000002</v>
      </c>
      <c r="I26" s="5">
        <f t="shared" si="8"/>
        <v>1598.28</v>
      </c>
    </row>
    <row r="27" spans="1:11" ht="13.5" customHeight="1" x14ac:dyDescent="0.2">
      <c r="A27" s="9" t="s">
        <v>99</v>
      </c>
      <c r="B27" s="3">
        <v>2</v>
      </c>
      <c r="C27" s="3">
        <v>1</v>
      </c>
      <c r="D27" s="3">
        <f t="shared" si="4"/>
        <v>2</v>
      </c>
      <c r="E27" s="80">
        <f>0.02*'#Sources'!F20</f>
        <v>78.28</v>
      </c>
      <c r="F27" s="47">
        <f t="shared" si="5"/>
        <v>156.56</v>
      </c>
      <c r="G27" s="47">
        <f t="shared" si="6"/>
        <v>7.8280000000000003</v>
      </c>
      <c r="H27" s="47">
        <f t="shared" si="7"/>
        <v>15.656000000000001</v>
      </c>
      <c r="I27" s="5">
        <f t="shared" si="8"/>
        <v>20852.226400000003</v>
      </c>
      <c r="K27" s="25" t="s">
        <v>54</v>
      </c>
    </row>
    <row r="28" spans="1:11" ht="27" customHeight="1" x14ac:dyDescent="0.2">
      <c r="A28" s="9" t="s">
        <v>211</v>
      </c>
      <c r="B28" s="3">
        <v>2</v>
      </c>
      <c r="C28" s="3">
        <v>10</v>
      </c>
      <c r="D28" s="3">
        <f t="shared" si="4"/>
        <v>20</v>
      </c>
      <c r="E28" s="17">
        <f>ROUND(0.004*'#Sources'!$F$20, 0)</f>
        <v>16</v>
      </c>
      <c r="F28" s="3">
        <f t="shared" si="5"/>
        <v>320</v>
      </c>
      <c r="G28" s="3">
        <f t="shared" si="6"/>
        <v>16</v>
      </c>
      <c r="H28" s="3">
        <f t="shared" si="7"/>
        <v>32</v>
      </c>
      <c r="I28" s="5">
        <f t="shared" si="8"/>
        <v>42620.800000000003</v>
      </c>
      <c r="K28" s="25" t="s">
        <v>55</v>
      </c>
    </row>
    <row r="29" spans="1:11" ht="13.5" customHeight="1" x14ac:dyDescent="0.2">
      <c r="A29" s="2" t="s">
        <v>70</v>
      </c>
      <c r="B29" s="3" t="s">
        <v>22</v>
      </c>
      <c r="C29" s="3"/>
      <c r="D29" s="3"/>
      <c r="E29" s="3"/>
      <c r="F29" s="3"/>
      <c r="G29" s="3"/>
      <c r="H29" s="3"/>
      <c r="I29" s="4"/>
    </row>
    <row r="30" spans="1:11" ht="13.5" customHeight="1" x14ac:dyDescent="0.2">
      <c r="A30" s="2" t="s">
        <v>71</v>
      </c>
      <c r="B30" s="3">
        <v>8</v>
      </c>
      <c r="C30" s="3">
        <v>1</v>
      </c>
      <c r="D30" s="3">
        <f>B30*C30</f>
        <v>8</v>
      </c>
      <c r="E30" s="3">
        <f>SUM('#Sources'!B20:D20)</f>
        <v>169</v>
      </c>
      <c r="F30" s="3">
        <f>D30*E30</f>
        <v>1352</v>
      </c>
      <c r="G30" s="3">
        <f>F30*0.05</f>
        <v>67.600000000000009</v>
      </c>
      <c r="H30" s="47">
        <f>F30*0.1</f>
        <v>135.20000000000002</v>
      </c>
      <c r="I30" s="5">
        <f>F30*$L$7+G30*$L$6+H30*$L$8</f>
        <v>180072.88</v>
      </c>
    </row>
    <row r="31" spans="1:11" ht="13.5" customHeight="1" x14ac:dyDescent="0.2">
      <c r="A31" s="12" t="s">
        <v>72</v>
      </c>
      <c r="B31" s="3" t="s">
        <v>22</v>
      </c>
      <c r="C31" s="17"/>
      <c r="D31" s="17"/>
      <c r="E31" s="17"/>
      <c r="F31" s="17"/>
      <c r="G31" s="17"/>
      <c r="H31" s="17"/>
      <c r="I31" s="18"/>
    </row>
    <row r="32" spans="1:11" ht="13.5" customHeight="1" x14ac:dyDescent="0.2">
      <c r="A32" s="38" t="s">
        <v>25</v>
      </c>
      <c r="B32" s="22"/>
      <c r="C32" s="22"/>
      <c r="D32" s="22"/>
      <c r="E32" s="22"/>
      <c r="F32" s="88">
        <f>SUM(F9:H31)</f>
        <v>9716.9940000000006</v>
      </c>
      <c r="G32" s="88"/>
      <c r="H32" s="88"/>
      <c r="I32" s="11">
        <f>SUM(I9:I30)</f>
        <v>1125396.8964000002</v>
      </c>
    </row>
    <row r="33" spans="1:11" x14ac:dyDescent="0.2">
      <c r="A33" s="39" t="s">
        <v>100</v>
      </c>
      <c r="B33" s="3"/>
      <c r="C33" s="3"/>
      <c r="D33" s="3"/>
      <c r="E33" s="3"/>
      <c r="F33" s="3"/>
      <c r="G33" s="3"/>
      <c r="H33" s="3"/>
      <c r="I33" s="4"/>
    </row>
    <row r="34" spans="1:11" x14ac:dyDescent="0.2">
      <c r="A34" s="2" t="s">
        <v>85</v>
      </c>
      <c r="B34" s="3"/>
      <c r="C34" s="3"/>
      <c r="D34" s="3"/>
      <c r="E34" s="3"/>
      <c r="F34" s="3"/>
      <c r="G34" s="3"/>
      <c r="H34" s="3"/>
      <c r="I34" s="4"/>
    </row>
    <row r="35" spans="1:11" ht="15.75" x14ac:dyDescent="0.2">
      <c r="A35" s="41" t="s">
        <v>77</v>
      </c>
      <c r="B35" s="3">
        <v>4</v>
      </c>
      <c r="C35" s="3">
        <v>1</v>
      </c>
      <c r="D35" s="3">
        <f t="shared" ref="D35:D36" si="9">B35*C35</f>
        <v>4</v>
      </c>
      <c r="E35" s="3">
        <f>'#Sources'!$B$20</f>
        <v>28</v>
      </c>
      <c r="F35" s="3">
        <f>D35*E35</f>
        <v>112</v>
      </c>
      <c r="G35" s="3">
        <f>F35*0.05</f>
        <v>5.6000000000000005</v>
      </c>
      <c r="H35" s="3">
        <f>F35*0.1</f>
        <v>11.200000000000001</v>
      </c>
      <c r="I35" s="5">
        <f>F35*$L$7+G35*$L$6+H35*$L$8</f>
        <v>14917.279999999999</v>
      </c>
    </row>
    <row r="36" spans="1:11" ht="15.75" x14ac:dyDescent="0.2">
      <c r="A36" s="41" t="s">
        <v>78</v>
      </c>
      <c r="B36" s="3">
        <v>4</v>
      </c>
      <c r="C36" s="3">
        <v>1</v>
      </c>
      <c r="D36" s="3">
        <f t="shared" si="9"/>
        <v>4</v>
      </c>
      <c r="E36" s="3">
        <f>SUM('#Sources'!C20:D20)</f>
        <v>141</v>
      </c>
      <c r="F36" s="3">
        <f>D36*E36</f>
        <v>564</v>
      </c>
      <c r="G36" s="3">
        <f>F36*0.05</f>
        <v>28.200000000000003</v>
      </c>
      <c r="H36" s="3">
        <f>F36*0.1</f>
        <v>56.400000000000006</v>
      </c>
      <c r="I36" s="5">
        <f>F36*$L$7+G36*$L$6+H36*$L$8</f>
        <v>75119.16</v>
      </c>
    </row>
    <row r="37" spans="1:11" x14ac:dyDescent="0.2">
      <c r="A37" s="2" t="s">
        <v>86</v>
      </c>
      <c r="B37" s="3"/>
      <c r="C37" s="3"/>
      <c r="D37" s="3"/>
      <c r="E37" s="3"/>
      <c r="F37" s="3"/>
      <c r="G37" s="3"/>
      <c r="H37" s="3"/>
      <c r="I37" s="4"/>
    </row>
    <row r="38" spans="1:11" x14ac:dyDescent="0.2">
      <c r="A38" s="41" t="s">
        <v>79</v>
      </c>
      <c r="B38" s="3">
        <v>16</v>
      </c>
      <c r="C38" s="3">
        <v>1</v>
      </c>
      <c r="D38" s="3">
        <f t="shared" ref="D38" si="10">B38*C38</f>
        <v>16</v>
      </c>
      <c r="E38" s="3">
        <f>'#Sources'!B20</f>
        <v>28</v>
      </c>
      <c r="F38" s="3">
        <f>D38*E38</f>
        <v>448</v>
      </c>
      <c r="G38" s="3">
        <f>F38*0.05</f>
        <v>22.400000000000002</v>
      </c>
      <c r="H38" s="3">
        <f>F38*0.1</f>
        <v>44.800000000000004</v>
      </c>
      <c r="I38" s="5">
        <f>F38*$L$7+G38*$L$6+H38*$L$8</f>
        <v>59669.119999999995</v>
      </c>
    </row>
    <row r="39" spans="1:11" x14ac:dyDescent="0.2">
      <c r="A39" s="41" t="s">
        <v>80</v>
      </c>
      <c r="B39" s="3"/>
      <c r="C39" s="3"/>
      <c r="D39" s="3"/>
      <c r="E39" s="3"/>
      <c r="F39" s="3"/>
      <c r="G39" s="3"/>
      <c r="H39" s="3"/>
      <c r="I39" s="4"/>
    </row>
    <row r="40" spans="1:11" ht="30" customHeight="1" x14ac:dyDescent="0.2">
      <c r="A40" s="9" t="s">
        <v>101</v>
      </c>
      <c r="B40" s="3">
        <v>16</v>
      </c>
      <c r="C40" s="3">
        <v>1</v>
      </c>
      <c r="D40" s="3">
        <f t="shared" ref="D40:D41" si="11">B40*C40</f>
        <v>16</v>
      </c>
      <c r="E40" s="80">
        <f>SUM(E26:E27)</f>
        <v>81.28</v>
      </c>
      <c r="F40" s="47">
        <f>D40*E40</f>
        <v>1300.48</v>
      </c>
      <c r="G40" s="47">
        <f>F40*0.05</f>
        <v>65.024000000000001</v>
      </c>
      <c r="H40" s="47">
        <f>F40*0.1</f>
        <v>130.048</v>
      </c>
      <c r="I40" s="5">
        <f>F40*$L$7+G40*$L$6+H40*$L$8</f>
        <v>173210.93119999999</v>
      </c>
      <c r="K40" s="25" t="s">
        <v>56</v>
      </c>
    </row>
    <row r="41" spans="1:11" ht="15.75" x14ac:dyDescent="0.2">
      <c r="A41" s="9" t="s">
        <v>102</v>
      </c>
      <c r="B41" s="3">
        <v>4</v>
      </c>
      <c r="C41" s="3">
        <v>1</v>
      </c>
      <c r="D41" s="3">
        <f t="shared" si="11"/>
        <v>4</v>
      </c>
      <c r="E41" s="3">
        <f>'#Sources'!$D$20</f>
        <v>138</v>
      </c>
      <c r="F41" s="3">
        <f>D41*E41</f>
        <v>552</v>
      </c>
      <c r="G41" s="3">
        <f>F41*0.05</f>
        <v>27.6</v>
      </c>
      <c r="H41" s="3">
        <f>F41*0.1</f>
        <v>55.2</v>
      </c>
      <c r="I41" s="5">
        <f>F41*$L$7+G41*$L$6+H41*$L$8</f>
        <v>73520.87999999999</v>
      </c>
    </row>
    <row r="42" spans="1:11" x14ac:dyDescent="0.2">
      <c r="A42" s="2" t="s">
        <v>87</v>
      </c>
      <c r="B42" s="3"/>
      <c r="C42" s="3"/>
      <c r="D42" s="3"/>
      <c r="E42" s="3"/>
      <c r="F42" s="3"/>
      <c r="G42" s="3"/>
      <c r="H42" s="3"/>
      <c r="I42" s="4"/>
    </row>
    <row r="43" spans="1:11" x14ac:dyDescent="0.2">
      <c r="A43" s="41" t="s">
        <v>81</v>
      </c>
      <c r="B43" s="3" t="s">
        <v>22</v>
      </c>
      <c r="C43" s="3"/>
      <c r="D43" s="3"/>
      <c r="E43" s="3"/>
      <c r="F43" s="3"/>
      <c r="G43" s="3"/>
      <c r="H43" s="3"/>
      <c r="I43" s="4"/>
    </row>
    <row r="44" spans="1:11" x14ac:dyDescent="0.2">
      <c r="A44" s="41" t="s">
        <v>82</v>
      </c>
      <c r="B44" s="3"/>
      <c r="C44" s="3"/>
      <c r="D44" s="3"/>
      <c r="E44" s="3"/>
      <c r="F44" s="3"/>
      <c r="G44" s="3"/>
      <c r="H44" s="3"/>
      <c r="I44" s="4"/>
    </row>
    <row r="45" spans="1:11" ht="15.75" x14ac:dyDescent="0.2">
      <c r="A45" s="9" t="s">
        <v>103</v>
      </c>
      <c r="B45" s="3">
        <v>35</v>
      </c>
      <c r="C45" s="3">
        <v>1</v>
      </c>
      <c r="D45" s="3">
        <f t="shared" ref="D45:D48" si="12">B45*C45</f>
        <v>35</v>
      </c>
      <c r="E45" s="17">
        <f>E23</f>
        <v>16</v>
      </c>
      <c r="F45" s="3">
        <f>D45*E45</f>
        <v>560</v>
      </c>
      <c r="G45" s="3">
        <f>F45*0.05</f>
        <v>28</v>
      </c>
      <c r="H45" s="3">
        <f>F45*0.1</f>
        <v>56</v>
      </c>
      <c r="I45" s="5">
        <f>F45*$L$7+G45*$L$6+H45*$L$8</f>
        <v>74586.400000000009</v>
      </c>
    </row>
    <row r="46" spans="1:11" ht="15.75" x14ac:dyDescent="0.2">
      <c r="A46" s="9" t="s">
        <v>104</v>
      </c>
      <c r="B46" s="3">
        <v>12</v>
      </c>
      <c r="C46" s="3">
        <v>1</v>
      </c>
      <c r="D46" s="3">
        <f t="shared" si="12"/>
        <v>12</v>
      </c>
      <c r="E46" s="80">
        <f>E47-E45</f>
        <v>65.28</v>
      </c>
      <c r="F46" s="47">
        <f>D46*E46</f>
        <v>783.36</v>
      </c>
      <c r="G46" s="47">
        <f>F46*0.05</f>
        <v>39.168000000000006</v>
      </c>
      <c r="H46" s="47">
        <f>F46*0.1</f>
        <v>78.336000000000013</v>
      </c>
      <c r="I46" s="5">
        <f>F46*$L$7+G46*$L$6+H46*$L$8</f>
        <v>104335.7184</v>
      </c>
    </row>
    <row r="47" spans="1:11" ht="15.75" x14ac:dyDescent="0.2">
      <c r="A47" s="9" t="s">
        <v>105</v>
      </c>
      <c r="B47" s="3">
        <v>3</v>
      </c>
      <c r="C47" s="3">
        <v>2</v>
      </c>
      <c r="D47" s="3">
        <f t="shared" si="12"/>
        <v>6</v>
      </c>
      <c r="E47" s="80">
        <f>E40</f>
        <v>81.28</v>
      </c>
      <c r="F47" s="47">
        <f>D47*E47</f>
        <v>487.68</v>
      </c>
      <c r="G47" s="47">
        <f>F47*0.05</f>
        <v>24.384</v>
      </c>
      <c r="H47" s="47">
        <f>F47*0.1</f>
        <v>48.768000000000001</v>
      </c>
      <c r="I47" s="5">
        <f>F47*$L$7+G47*$L$6+H47*$L$8</f>
        <v>64954.099200000004</v>
      </c>
    </row>
    <row r="48" spans="1:11" ht="15.75" x14ac:dyDescent="0.2">
      <c r="A48" s="9" t="s">
        <v>106</v>
      </c>
      <c r="B48" s="3">
        <v>2</v>
      </c>
      <c r="C48" s="3">
        <v>12</v>
      </c>
      <c r="D48" s="3">
        <f t="shared" si="12"/>
        <v>24</v>
      </c>
      <c r="E48" s="80">
        <f>E40</f>
        <v>81.28</v>
      </c>
      <c r="F48" s="47">
        <f>D48*E48</f>
        <v>1950.72</v>
      </c>
      <c r="G48" s="47">
        <f>F48*0.05</f>
        <v>97.536000000000001</v>
      </c>
      <c r="H48" s="47">
        <f>F48*0.1</f>
        <v>195.072</v>
      </c>
      <c r="I48" s="5">
        <f>F48*$L$7+G48*$L$6+H48*$L$8</f>
        <v>259816.39680000002</v>
      </c>
    </row>
    <row r="49" spans="1:9" x14ac:dyDescent="0.2">
      <c r="A49" s="2" t="s">
        <v>88</v>
      </c>
      <c r="B49" s="3"/>
      <c r="C49" s="3"/>
      <c r="D49" s="3"/>
      <c r="E49" s="3"/>
      <c r="F49" s="3"/>
      <c r="G49" s="3"/>
      <c r="H49" s="3"/>
      <c r="I49" s="4"/>
    </row>
    <row r="50" spans="1:9" x14ac:dyDescent="0.2">
      <c r="A50" s="41" t="s">
        <v>83</v>
      </c>
      <c r="B50" s="3"/>
      <c r="C50" s="3"/>
      <c r="D50" s="3"/>
      <c r="E50" s="3"/>
      <c r="F50" s="3"/>
      <c r="G50" s="3"/>
      <c r="H50" s="3"/>
      <c r="I50" s="4"/>
    </row>
    <row r="51" spans="1:9" ht="15.75" x14ac:dyDescent="0.2">
      <c r="A51" s="9" t="s">
        <v>107</v>
      </c>
      <c r="B51" s="3">
        <v>8</v>
      </c>
      <c r="C51" s="3">
        <v>1</v>
      </c>
      <c r="D51" s="3">
        <f t="shared" ref="D51:D52" si="13">B51*C51</f>
        <v>8</v>
      </c>
      <c r="E51" s="3">
        <f>'#Sources'!B20</f>
        <v>28</v>
      </c>
      <c r="F51" s="3">
        <f>D51*E51</f>
        <v>224</v>
      </c>
      <c r="G51" s="3">
        <f>F51*0.05</f>
        <v>11.200000000000001</v>
      </c>
      <c r="H51" s="3">
        <f>F51*0.1</f>
        <v>22.400000000000002</v>
      </c>
      <c r="I51" s="5">
        <f>F51*$L$7+G51*$L$6+H51*$L$8</f>
        <v>29834.559999999998</v>
      </c>
    </row>
    <row r="52" spans="1:9" ht="15.75" x14ac:dyDescent="0.2">
      <c r="A52" s="9" t="s">
        <v>195</v>
      </c>
      <c r="B52" s="3">
        <v>13</v>
      </c>
      <c r="C52" s="3">
        <v>1</v>
      </c>
      <c r="D52" s="3">
        <f t="shared" si="13"/>
        <v>13</v>
      </c>
      <c r="E52" s="3">
        <f>'#Sources'!$E$20</f>
        <v>596</v>
      </c>
      <c r="F52" s="3">
        <f>D52*E52</f>
        <v>7748</v>
      </c>
      <c r="G52" s="47">
        <f>F52*0.05</f>
        <v>387.40000000000003</v>
      </c>
      <c r="H52" s="47">
        <f>F52*0.1</f>
        <v>774.80000000000007</v>
      </c>
      <c r="I52" s="5">
        <f>F52*$L$7+G52*$L$6+H52*$L$8</f>
        <v>1031956.1199999999</v>
      </c>
    </row>
    <row r="53" spans="1:9" x14ac:dyDescent="0.2">
      <c r="A53" s="41" t="s">
        <v>82</v>
      </c>
      <c r="B53" s="3"/>
      <c r="C53" s="3"/>
      <c r="D53" s="3"/>
      <c r="E53" s="3"/>
      <c r="F53" s="3"/>
      <c r="G53" s="3"/>
      <c r="H53" s="3"/>
      <c r="I53" s="4"/>
    </row>
    <row r="54" spans="1:9" ht="15.75" x14ac:dyDescent="0.2">
      <c r="A54" s="9" t="s">
        <v>216</v>
      </c>
      <c r="B54" s="3">
        <v>8</v>
      </c>
      <c r="C54" s="3">
        <v>1</v>
      </c>
      <c r="D54" s="3">
        <f t="shared" ref="D54" si="14">B54*C54</f>
        <v>8</v>
      </c>
      <c r="E54" s="17">
        <f>E45</f>
        <v>16</v>
      </c>
      <c r="F54" s="3">
        <f>D54*E54</f>
        <v>128</v>
      </c>
      <c r="G54" s="3">
        <f>F54*0.05</f>
        <v>6.4</v>
      </c>
      <c r="H54" s="3">
        <f>F54*0.1</f>
        <v>12.8</v>
      </c>
      <c r="I54" s="5">
        <f>F54*$L$7+G54*$L$6+H54*$L$8</f>
        <v>17048.32</v>
      </c>
    </row>
    <row r="55" spans="1:9" x14ac:dyDescent="0.2">
      <c r="A55" s="2" t="s">
        <v>89</v>
      </c>
      <c r="B55" s="3"/>
      <c r="C55" s="3"/>
      <c r="D55" s="3"/>
      <c r="E55" s="3"/>
      <c r="F55" s="3"/>
      <c r="G55" s="3"/>
      <c r="H55" s="3"/>
      <c r="I55" s="4"/>
    </row>
    <row r="56" spans="1:9" x14ac:dyDescent="0.2">
      <c r="A56" s="2" t="s">
        <v>84</v>
      </c>
      <c r="B56" s="3"/>
      <c r="C56" s="3"/>
      <c r="D56" s="3"/>
      <c r="E56" s="3"/>
      <c r="F56" s="3"/>
      <c r="G56" s="3"/>
      <c r="H56" s="3"/>
      <c r="I56" s="4"/>
    </row>
    <row r="57" spans="1:9" ht="15.75" x14ac:dyDescent="0.2">
      <c r="A57" s="9" t="s">
        <v>193</v>
      </c>
      <c r="B57" s="3">
        <v>1</v>
      </c>
      <c r="C57" s="3">
        <v>2</v>
      </c>
      <c r="D57" s="3">
        <f t="shared" ref="D57:D68" si="15">B57*C57</f>
        <v>2</v>
      </c>
      <c r="E57" s="3">
        <f>'#Sources'!E20</f>
        <v>596</v>
      </c>
      <c r="F57" s="3">
        <f>D57*E57</f>
        <v>1192</v>
      </c>
      <c r="G57" s="3">
        <f>F57*0.05</f>
        <v>59.6</v>
      </c>
      <c r="H57" s="47">
        <f>F57*0.1</f>
        <v>119.2</v>
      </c>
      <c r="I57" s="5">
        <f>F57*$L$7+G57*$L$6+H57*$L$8</f>
        <v>158762.48000000001</v>
      </c>
    </row>
    <row r="58" spans="1:9" ht="15.75" x14ac:dyDescent="0.2">
      <c r="A58" s="9" t="s">
        <v>191</v>
      </c>
      <c r="B58" s="3">
        <v>1</v>
      </c>
      <c r="C58" s="3">
        <v>12</v>
      </c>
      <c r="D58" s="3">
        <f t="shared" si="15"/>
        <v>12</v>
      </c>
      <c r="E58" s="3">
        <f>'#Sources'!E20</f>
        <v>596</v>
      </c>
      <c r="F58" s="3">
        <f>D58*E58</f>
        <v>7152</v>
      </c>
      <c r="G58" s="47">
        <f>F58*0.05</f>
        <v>357.6</v>
      </c>
      <c r="H58" s="47">
        <f>F58*0.1</f>
        <v>715.2</v>
      </c>
      <c r="I58" s="5">
        <f>F58*$L$7+G58*$L$6+H58*$L$8</f>
        <v>952574.87999999989</v>
      </c>
    </row>
    <row r="59" spans="1:9" ht="29.25" customHeight="1" x14ac:dyDescent="0.2">
      <c r="A59" s="9" t="s">
        <v>192</v>
      </c>
      <c r="B59" s="3">
        <v>1</v>
      </c>
      <c r="C59" s="3">
        <v>12</v>
      </c>
      <c r="D59" s="3">
        <f t="shared" si="15"/>
        <v>12</v>
      </c>
      <c r="E59" s="3">
        <f>'#Sources'!E20</f>
        <v>596</v>
      </c>
      <c r="F59" s="3">
        <f>D59*E59</f>
        <v>7152</v>
      </c>
      <c r="G59" s="47">
        <f>F59*0.05</f>
        <v>357.6</v>
      </c>
      <c r="H59" s="47">
        <f>F59*0.1</f>
        <v>715.2</v>
      </c>
      <c r="I59" s="5">
        <f>F59*$L$7+G59*$L$6+H59*$L$8</f>
        <v>952574.87999999989</v>
      </c>
    </row>
    <row r="60" spans="1:9" x14ac:dyDescent="0.2">
      <c r="A60" s="41" t="s">
        <v>80</v>
      </c>
      <c r="B60" s="3"/>
      <c r="C60" s="3"/>
      <c r="D60" s="3"/>
      <c r="E60" s="3"/>
      <c r="F60" s="3"/>
      <c r="G60" s="3"/>
      <c r="H60" s="3"/>
      <c r="I60" s="4"/>
    </row>
    <row r="61" spans="1:9" ht="15.75" x14ac:dyDescent="0.2">
      <c r="A61" s="9" t="s">
        <v>188</v>
      </c>
      <c r="B61" s="3">
        <v>1</v>
      </c>
      <c r="C61" s="3">
        <v>2</v>
      </c>
      <c r="D61" s="3">
        <f t="shared" si="15"/>
        <v>2</v>
      </c>
      <c r="E61" s="80">
        <f>$E$47</f>
        <v>81.28</v>
      </c>
      <c r="F61" s="47">
        <f>D61*E61</f>
        <v>162.56</v>
      </c>
      <c r="G61" s="47">
        <f>F61*0.05</f>
        <v>8.1280000000000001</v>
      </c>
      <c r="H61" s="47">
        <f>F61*0.1</f>
        <v>16.256</v>
      </c>
      <c r="I61" s="5">
        <f>F61*$L$7+G61*$L$6+H61*$L$8</f>
        <v>21651.366399999999</v>
      </c>
    </row>
    <row r="62" spans="1:9" ht="15.75" x14ac:dyDescent="0.2">
      <c r="A62" s="9" t="s">
        <v>108</v>
      </c>
      <c r="B62" s="3">
        <v>1</v>
      </c>
      <c r="C62" s="3">
        <v>12</v>
      </c>
      <c r="D62" s="3">
        <f t="shared" si="15"/>
        <v>12</v>
      </c>
      <c r="E62" s="80">
        <f>$E$47</f>
        <v>81.28</v>
      </c>
      <c r="F62" s="47">
        <f>D62*E62</f>
        <v>975.36</v>
      </c>
      <c r="G62" s="47">
        <f>F62*0.05</f>
        <v>48.768000000000001</v>
      </c>
      <c r="H62" s="47">
        <f>F62*0.1</f>
        <v>97.536000000000001</v>
      </c>
      <c r="I62" s="5">
        <f>F62*$L$7+G62*$L$6+H62*$L$8</f>
        <v>129908.19840000001</v>
      </c>
    </row>
    <row r="63" spans="1:9" x14ac:dyDescent="0.2">
      <c r="A63" s="2" t="s">
        <v>90</v>
      </c>
      <c r="B63" s="3"/>
      <c r="C63" s="2"/>
      <c r="D63" s="3"/>
      <c r="E63" s="3"/>
      <c r="F63" s="3"/>
      <c r="G63" s="3"/>
      <c r="H63" s="3"/>
      <c r="I63" s="4"/>
    </row>
    <row r="64" spans="1:9" ht="15.75" x14ac:dyDescent="0.2">
      <c r="A64" s="41" t="s">
        <v>186</v>
      </c>
      <c r="B64" s="3">
        <v>8</v>
      </c>
      <c r="C64" s="3">
        <v>1</v>
      </c>
      <c r="D64" s="3">
        <f t="shared" si="15"/>
        <v>8</v>
      </c>
      <c r="E64" s="3">
        <f>'#Sources'!B20</f>
        <v>28</v>
      </c>
      <c r="F64" s="3">
        <f>D64*E64</f>
        <v>224</v>
      </c>
      <c r="G64" s="3">
        <f>F64*0.05</f>
        <v>11.200000000000001</v>
      </c>
      <c r="H64" s="3">
        <f>F64*0.1</f>
        <v>22.400000000000002</v>
      </c>
      <c r="I64" s="5">
        <f>F64*$L$7+G64*$L$6+H64*$L$8</f>
        <v>29834.559999999998</v>
      </c>
    </row>
    <row r="65" spans="1:11" ht="15.75" x14ac:dyDescent="0.2">
      <c r="A65" s="41" t="s">
        <v>185</v>
      </c>
      <c r="B65" s="3">
        <v>8</v>
      </c>
      <c r="C65" s="3">
        <v>1</v>
      </c>
      <c r="D65" s="3">
        <f t="shared" si="15"/>
        <v>8</v>
      </c>
      <c r="E65" s="3">
        <f>'#Sources'!C20</f>
        <v>3</v>
      </c>
      <c r="F65" s="3">
        <f>D65*E65</f>
        <v>24</v>
      </c>
      <c r="G65" s="3">
        <f>F65*0.05</f>
        <v>1.2000000000000002</v>
      </c>
      <c r="H65" s="3">
        <f>F65*0.1</f>
        <v>2.4000000000000004</v>
      </c>
      <c r="I65" s="5">
        <f>F65*$L$7+G65*$L$6+H65*$L$8</f>
        <v>3196.56</v>
      </c>
      <c r="K65" s="46"/>
    </row>
    <row r="66" spans="1:11" ht="15.75" x14ac:dyDescent="0.2">
      <c r="A66" s="2" t="s">
        <v>182</v>
      </c>
      <c r="B66" s="3">
        <v>20</v>
      </c>
      <c r="C66" s="3">
        <v>1</v>
      </c>
      <c r="D66" s="3">
        <f t="shared" si="15"/>
        <v>20</v>
      </c>
      <c r="E66" s="80">
        <f>$E$47</f>
        <v>81.28</v>
      </c>
      <c r="F66" s="47">
        <f>D66*E66</f>
        <v>1625.6</v>
      </c>
      <c r="G66" s="47">
        <f>F66*0.05</f>
        <v>81.28</v>
      </c>
      <c r="H66" s="47">
        <f>F66*0.1</f>
        <v>162.56</v>
      </c>
      <c r="I66" s="5">
        <f>F66*$L$7+G66*$L$6+H66*$L$8</f>
        <v>216513.66399999999</v>
      </c>
    </row>
    <row r="67" spans="1:11" ht="15.75" x14ac:dyDescent="0.2">
      <c r="A67" s="2" t="s">
        <v>181</v>
      </c>
      <c r="B67" s="3">
        <v>1</v>
      </c>
      <c r="C67" s="3">
        <v>1</v>
      </c>
      <c r="D67" s="3">
        <f t="shared" si="15"/>
        <v>1</v>
      </c>
      <c r="E67" s="6">
        <f>'#Sources'!G20</f>
        <v>3835.72</v>
      </c>
      <c r="F67" s="47">
        <f>D67*E67</f>
        <v>3835.72</v>
      </c>
      <c r="G67" s="47">
        <f>F67*0.05</f>
        <v>191.786</v>
      </c>
      <c r="H67" s="47">
        <f>F67*0.1</f>
        <v>383.572</v>
      </c>
      <c r="I67" s="5">
        <f>F67*$L$7+G67*$L$6+H67*$L$8</f>
        <v>510879.54679999995</v>
      </c>
      <c r="J67" s="64"/>
    </row>
    <row r="68" spans="1:11" ht="15.75" x14ac:dyDescent="0.2">
      <c r="A68" s="2" t="s">
        <v>178</v>
      </c>
      <c r="B68" s="3">
        <v>20</v>
      </c>
      <c r="C68" s="3">
        <v>1</v>
      </c>
      <c r="D68" s="3">
        <f t="shared" si="15"/>
        <v>20</v>
      </c>
      <c r="E68" s="80">
        <f>$E$47</f>
        <v>81.28</v>
      </c>
      <c r="F68" s="47">
        <f>D68*E68</f>
        <v>1625.6</v>
      </c>
      <c r="G68" s="47">
        <f>F68*0.05</f>
        <v>81.28</v>
      </c>
      <c r="H68" s="47">
        <f>F68*0.1</f>
        <v>162.56</v>
      </c>
      <c r="I68" s="5">
        <f>F68*$L$7+G68*$L$6+H68*$L$8</f>
        <v>216513.66399999999</v>
      </c>
    </row>
    <row r="69" spans="1:11" x14ac:dyDescent="0.2">
      <c r="A69" s="38" t="s">
        <v>26</v>
      </c>
      <c r="B69" s="22"/>
      <c r="C69" s="22"/>
      <c r="D69" s="22"/>
      <c r="E69" s="22"/>
      <c r="F69" s="88">
        <f>SUM(F35:H68)</f>
        <v>44651.141999999978</v>
      </c>
      <c r="G69" s="88"/>
      <c r="H69" s="88"/>
      <c r="I69" s="8">
        <f>SUM(I35:I68)</f>
        <v>5171378.7851999989</v>
      </c>
      <c r="K69" s="25" t="s">
        <v>59</v>
      </c>
    </row>
    <row r="70" spans="1:11" ht="15.75" x14ac:dyDescent="0.2">
      <c r="A70" s="1" t="s">
        <v>177</v>
      </c>
      <c r="B70" s="10"/>
      <c r="C70" s="10"/>
      <c r="D70" s="10"/>
      <c r="E70" s="10"/>
      <c r="F70" s="88">
        <f>ROUND(F32+F69, -2)</f>
        <v>54400</v>
      </c>
      <c r="G70" s="88"/>
      <c r="H70" s="88"/>
      <c r="I70" s="11">
        <f>ROUND(I69+I32, -4)</f>
        <v>6300000</v>
      </c>
      <c r="K70" s="46">
        <f>'# Responses'!E22</f>
        <v>2819.28</v>
      </c>
    </row>
    <row r="71" spans="1:11" ht="15.75" x14ac:dyDescent="0.2">
      <c r="A71" s="20" t="s">
        <v>176</v>
      </c>
      <c r="B71" s="26"/>
      <c r="C71" s="26"/>
      <c r="D71" s="26"/>
      <c r="E71" s="26"/>
      <c r="F71" s="26"/>
      <c r="G71" s="26"/>
      <c r="H71" s="26"/>
      <c r="I71" s="30">
        <f>ROUND('Capital and O&amp;M Costs'!I8, -4)</f>
        <v>1040000</v>
      </c>
    </row>
    <row r="72" spans="1:11" ht="15.75" x14ac:dyDescent="0.2">
      <c r="A72" s="20" t="s">
        <v>175</v>
      </c>
      <c r="B72" s="26"/>
      <c r="C72" s="26"/>
      <c r="D72" s="26"/>
      <c r="E72" s="26"/>
      <c r="F72" s="26"/>
      <c r="G72" s="26"/>
      <c r="H72" s="26"/>
      <c r="I72" s="27">
        <f>I70+I71</f>
        <v>7340000</v>
      </c>
      <c r="K72" s="25" t="s">
        <v>58</v>
      </c>
    </row>
    <row r="73" spans="1:11" x14ac:dyDescent="0.2">
      <c r="K73" s="83">
        <f>F70/K70</f>
        <v>19.29570670525808</v>
      </c>
    </row>
    <row r="74" spans="1:11" x14ac:dyDescent="0.2">
      <c r="A74" s="36" t="s">
        <v>66</v>
      </c>
    </row>
    <row r="75" spans="1:11" ht="71.45" customHeight="1" x14ac:dyDescent="0.2">
      <c r="A75" s="87" t="s">
        <v>206</v>
      </c>
      <c r="B75" s="87"/>
      <c r="C75" s="87"/>
      <c r="D75" s="87"/>
      <c r="E75" s="87"/>
      <c r="F75" s="87"/>
      <c r="G75" s="87"/>
      <c r="H75" s="87"/>
      <c r="I75" s="87"/>
    </row>
    <row r="76" spans="1:11" ht="49.5" customHeight="1" x14ac:dyDescent="0.2">
      <c r="A76" s="87" t="s">
        <v>208</v>
      </c>
      <c r="B76" s="87"/>
      <c r="C76" s="87"/>
      <c r="D76" s="87"/>
      <c r="E76" s="87"/>
      <c r="F76" s="87"/>
      <c r="G76" s="87"/>
      <c r="H76" s="87"/>
      <c r="I76" s="87"/>
    </row>
    <row r="77" spans="1:11" ht="49.5" customHeight="1" x14ac:dyDescent="0.2">
      <c r="A77" s="87" t="s">
        <v>173</v>
      </c>
      <c r="B77" s="87"/>
      <c r="C77" s="87"/>
      <c r="D77" s="87"/>
      <c r="E77" s="87"/>
      <c r="F77" s="87"/>
      <c r="G77" s="87"/>
      <c r="H77" s="87"/>
      <c r="I77" s="87"/>
    </row>
    <row r="78" spans="1:11" ht="15.75" x14ac:dyDescent="0.2">
      <c r="A78" s="37" t="s">
        <v>67</v>
      </c>
    </row>
    <row r="79" spans="1:11" ht="38.25" customHeight="1" x14ac:dyDescent="0.2">
      <c r="A79" s="87" t="s">
        <v>212</v>
      </c>
      <c r="B79" s="87"/>
      <c r="C79" s="87"/>
      <c r="D79" s="87"/>
      <c r="E79" s="87"/>
      <c r="F79" s="87"/>
      <c r="G79" s="87"/>
      <c r="H79" s="87"/>
      <c r="I79" s="87"/>
    </row>
    <row r="80" spans="1:11" ht="30.75" customHeight="1" x14ac:dyDescent="0.2">
      <c r="A80" s="87" t="s">
        <v>122</v>
      </c>
      <c r="B80" s="87"/>
      <c r="C80" s="87"/>
      <c r="D80" s="87"/>
      <c r="E80" s="87"/>
      <c r="F80" s="87"/>
      <c r="G80" s="87"/>
      <c r="H80" s="87"/>
      <c r="I80" s="87"/>
    </row>
    <row r="81" spans="1:21" ht="15.75" x14ac:dyDescent="0.2">
      <c r="A81" s="87" t="s">
        <v>123</v>
      </c>
      <c r="B81" s="87"/>
      <c r="C81" s="87"/>
      <c r="D81" s="87"/>
      <c r="E81" s="87"/>
      <c r="F81" s="87"/>
      <c r="G81" s="87"/>
      <c r="H81" s="87"/>
      <c r="I81" s="87"/>
    </row>
    <row r="82" spans="1:21" ht="30" customHeight="1" x14ac:dyDescent="0.2">
      <c r="A82" s="89" t="s">
        <v>219</v>
      </c>
      <c r="B82" s="89"/>
      <c r="C82" s="89"/>
      <c r="D82" s="89"/>
      <c r="E82" s="89"/>
      <c r="F82" s="89"/>
      <c r="G82" s="89"/>
      <c r="H82" s="89"/>
      <c r="I82" s="89"/>
      <c r="J82" s="64"/>
    </row>
    <row r="83" spans="1:21" ht="15.75" x14ac:dyDescent="0.2">
      <c r="A83" s="87" t="s">
        <v>124</v>
      </c>
      <c r="B83" s="87"/>
      <c r="C83" s="87"/>
      <c r="D83" s="87"/>
      <c r="E83" s="87"/>
      <c r="F83" s="87"/>
      <c r="G83" s="87"/>
      <c r="H83" s="87"/>
      <c r="I83" s="87"/>
    </row>
    <row r="84" spans="1:21" ht="15.75" x14ac:dyDescent="0.2">
      <c r="A84" s="89" t="s">
        <v>172</v>
      </c>
      <c r="B84" s="89"/>
      <c r="C84" s="89"/>
      <c r="D84" s="89"/>
      <c r="E84" s="89"/>
      <c r="F84" s="89"/>
      <c r="G84" s="89"/>
      <c r="H84" s="89"/>
      <c r="I84" s="89"/>
    </row>
    <row r="85" spans="1:21" ht="15.75" x14ac:dyDescent="0.2">
      <c r="A85" s="87" t="s">
        <v>121</v>
      </c>
      <c r="B85" s="87"/>
      <c r="C85" s="87"/>
      <c r="D85" s="87"/>
      <c r="E85" s="87"/>
      <c r="F85" s="87"/>
      <c r="G85" s="87"/>
      <c r="H85" s="87"/>
      <c r="I85" s="87"/>
    </row>
    <row r="86" spans="1:21" ht="33" customHeight="1" x14ac:dyDescent="0.2">
      <c r="A86" s="90" t="s">
        <v>119</v>
      </c>
      <c r="B86" s="90"/>
      <c r="C86" s="90"/>
      <c r="D86" s="90"/>
      <c r="E86" s="90"/>
      <c r="F86" s="90"/>
      <c r="G86" s="90"/>
      <c r="H86" s="90"/>
      <c r="I86" s="90"/>
      <c r="J86" s="85"/>
      <c r="K86" s="85"/>
      <c r="L86" s="85"/>
      <c r="M86" s="85"/>
      <c r="N86" s="85"/>
      <c r="O86" s="85"/>
      <c r="P86" s="85"/>
      <c r="Q86" s="85"/>
      <c r="R86" s="85"/>
      <c r="S86" s="85"/>
      <c r="T86" s="85"/>
      <c r="U86" s="85"/>
    </row>
    <row r="87" spans="1:21" ht="15.75" x14ac:dyDescent="0.2">
      <c r="A87" s="87" t="s">
        <v>125</v>
      </c>
      <c r="B87" s="87"/>
      <c r="C87" s="87"/>
      <c r="D87" s="87"/>
      <c r="E87" s="87"/>
      <c r="F87" s="87"/>
      <c r="G87" s="87"/>
      <c r="H87" s="87"/>
      <c r="I87" s="87"/>
    </row>
    <row r="88" spans="1:21" ht="15.75" x14ac:dyDescent="0.2">
      <c r="A88" s="87" t="s">
        <v>120</v>
      </c>
      <c r="B88" s="87"/>
      <c r="C88" s="87"/>
      <c r="D88" s="87"/>
      <c r="E88" s="87"/>
      <c r="F88" s="87"/>
      <c r="G88" s="87"/>
      <c r="H88" s="87"/>
      <c r="I88" s="87"/>
    </row>
    <row r="89" spans="1:21" ht="35.25" customHeight="1" x14ac:dyDescent="0.2">
      <c r="A89" s="87" t="s">
        <v>213</v>
      </c>
      <c r="B89" s="87"/>
      <c r="C89" s="87"/>
      <c r="D89" s="87"/>
      <c r="E89" s="87"/>
      <c r="F89" s="87"/>
      <c r="G89" s="87"/>
      <c r="H89" s="87"/>
      <c r="I89" s="87"/>
    </row>
    <row r="90" spans="1:21" ht="15.75" x14ac:dyDescent="0.2">
      <c r="A90" s="87" t="s">
        <v>190</v>
      </c>
      <c r="B90" s="87"/>
      <c r="C90" s="87"/>
      <c r="D90" s="87"/>
      <c r="E90" s="87"/>
      <c r="F90" s="87"/>
      <c r="G90" s="87"/>
      <c r="H90" s="87"/>
      <c r="I90" s="87"/>
    </row>
    <row r="91" spans="1:21" ht="15.75" x14ac:dyDescent="0.2">
      <c r="A91" s="87" t="s">
        <v>189</v>
      </c>
      <c r="B91" s="87"/>
      <c r="C91" s="87"/>
      <c r="D91" s="87"/>
      <c r="E91" s="87"/>
      <c r="F91" s="87"/>
      <c r="G91" s="87"/>
      <c r="H91" s="87"/>
      <c r="I91" s="87"/>
    </row>
    <row r="92" spans="1:21" ht="15.75" x14ac:dyDescent="0.2">
      <c r="A92" s="87" t="s">
        <v>187</v>
      </c>
      <c r="B92" s="87"/>
      <c r="C92" s="87"/>
      <c r="D92" s="87"/>
      <c r="E92" s="87"/>
      <c r="F92" s="87"/>
      <c r="G92" s="87"/>
      <c r="H92" s="87"/>
      <c r="I92" s="87"/>
    </row>
    <row r="93" spans="1:21" ht="15.75" x14ac:dyDescent="0.2">
      <c r="A93" s="87" t="s">
        <v>184</v>
      </c>
      <c r="B93" s="87"/>
      <c r="C93" s="87"/>
      <c r="D93" s="87"/>
      <c r="E93" s="87"/>
      <c r="F93" s="87"/>
      <c r="G93" s="87"/>
      <c r="H93" s="87"/>
      <c r="I93" s="87"/>
    </row>
    <row r="94" spans="1:21" ht="15.75" x14ac:dyDescent="0.2">
      <c r="A94" s="87" t="s">
        <v>183</v>
      </c>
      <c r="B94" s="87"/>
      <c r="C94" s="87"/>
      <c r="D94" s="87"/>
      <c r="E94" s="87"/>
      <c r="F94" s="87"/>
      <c r="G94" s="87"/>
      <c r="H94" s="87"/>
      <c r="I94" s="87"/>
    </row>
    <row r="95" spans="1:21" ht="31.5" customHeight="1" x14ac:dyDescent="0.2">
      <c r="A95" s="87" t="s">
        <v>180</v>
      </c>
      <c r="B95" s="87"/>
      <c r="C95" s="87"/>
      <c r="D95" s="87"/>
      <c r="E95" s="87"/>
      <c r="F95" s="87"/>
      <c r="G95" s="87"/>
      <c r="H95" s="87"/>
      <c r="I95" s="87"/>
    </row>
    <row r="96" spans="1:21" ht="15.75" x14ac:dyDescent="0.2">
      <c r="A96" s="87" t="s">
        <v>179</v>
      </c>
      <c r="B96" s="87"/>
      <c r="C96" s="87"/>
      <c r="D96" s="87"/>
      <c r="E96" s="87"/>
      <c r="F96" s="87"/>
      <c r="G96" s="87"/>
      <c r="H96" s="87"/>
      <c r="I96" s="87"/>
    </row>
    <row r="97" spans="1:9" ht="15.75" x14ac:dyDescent="0.2">
      <c r="A97" s="87" t="s">
        <v>174</v>
      </c>
      <c r="B97" s="87"/>
      <c r="C97" s="87"/>
      <c r="D97" s="87"/>
      <c r="E97" s="87"/>
      <c r="F97" s="87"/>
      <c r="G97" s="87"/>
      <c r="H97" s="87"/>
      <c r="I97" s="87"/>
    </row>
  </sheetData>
  <mergeCells count="27">
    <mergeCell ref="A93:I93"/>
    <mergeCell ref="A94:I94"/>
    <mergeCell ref="A95:I95"/>
    <mergeCell ref="A96:I96"/>
    <mergeCell ref="A97:I97"/>
    <mergeCell ref="A87:I87"/>
    <mergeCell ref="A88:I88"/>
    <mergeCell ref="A90:I90"/>
    <mergeCell ref="A91:I91"/>
    <mergeCell ref="A92:I92"/>
    <mergeCell ref="A89:I89"/>
    <mergeCell ref="J86:U86"/>
    <mergeCell ref="K5:L5"/>
    <mergeCell ref="A75:I75"/>
    <mergeCell ref="F69:H69"/>
    <mergeCell ref="F70:H70"/>
    <mergeCell ref="F32:H32"/>
    <mergeCell ref="A77:I77"/>
    <mergeCell ref="A79:I79"/>
    <mergeCell ref="A76:I76"/>
    <mergeCell ref="A80:I80"/>
    <mergeCell ref="A81:I81"/>
    <mergeCell ref="A82:I82"/>
    <mergeCell ref="A83:I83"/>
    <mergeCell ref="A84:I84"/>
    <mergeCell ref="A85:I85"/>
    <mergeCell ref="A86:I8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topLeftCell="A17" workbookViewId="0">
      <selection activeCell="A15" sqref="A15"/>
    </sheetView>
  </sheetViews>
  <sheetFormatPr defaultColWidth="9.140625" defaultRowHeight="15" x14ac:dyDescent="0.25"/>
  <cols>
    <col min="1" max="1" width="36" style="24" customWidth="1"/>
    <col min="2" max="3" width="11.7109375" style="24" customWidth="1"/>
    <col min="4" max="4" width="11.42578125" style="24" customWidth="1"/>
    <col min="5" max="5" width="9.140625" style="24"/>
    <col min="6" max="8" width="11.7109375" style="24" customWidth="1"/>
    <col min="9" max="9" width="14.28515625" style="24" customWidth="1"/>
    <col min="10" max="16384" width="9.140625" style="24"/>
  </cols>
  <sheetData>
    <row r="1" spans="1:12" ht="15.75" x14ac:dyDescent="0.25">
      <c r="A1" s="23" t="s">
        <v>64</v>
      </c>
    </row>
    <row r="3" spans="1:12" x14ac:dyDescent="0.25">
      <c r="A3" s="96" t="s">
        <v>32</v>
      </c>
      <c r="B3" s="22" t="s">
        <v>2</v>
      </c>
      <c r="C3" s="22" t="s">
        <v>3</v>
      </c>
      <c r="D3" s="22" t="s">
        <v>4</v>
      </c>
      <c r="E3" s="22" t="s">
        <v>5</v>
      </c>
      <c r="F3" s="22" t="s">
        <v>6</v>
      </c>
      <c r="G3" s="22" t="s">
        <v>11</v>
      </c>
      <c r="H3" s="22" t="s">
        <v>12</v>
      </c>
      <c r="I3" s="22" t="s">
        <v>13</v>
      </c>
    </row>
    <row r="4" spans="1:12" ht="51" x14ac:dyDescent="0.25">
      <c r="A4" s="96"/>
      <c r="B4" s="22" t="s">
        <v>33</v>
      </c>
      <c r="C4" s="22" t="s">
        <v>34</v>
      </c>
      <c r="D4" s="22" t="s">
        <v>35</v>
      </c>
      <c r="E4" s="22" t="s">
        <v>36</v>
      </c>
      <c r="F4" s="22" t="s">
        <v>17</v>
      </c>
      <c r="G4" s="22" t="s">
        <v>37</v>
      </c>
      <c r="H4" s="22" t="s">
        <v>38</v>
      </c>
      <c r="I4" s="22" t="s">
        <v>39</v>
      </c>
    </row>
    <row r="5" spans="1:12" x14ac:dyDescent="0.25">
      <c r="A5" s="96"/>
      <c r="B5" s="28"/>
      <c r="C5" s="28"/>
      <c r="D5" s="22" t="s">
        <v>16</v>
      </c>
      <c r="E5" s="28"/>
      <c r="F5" s="22" t="s">
        <v>18</v>
      </c>
      <c r="G5" s="22" t="s">
        <v>19</v>
      </c>
      <c r="H5" s="22" t="s">
        <v>20</v>
      </c>
      <c r="I5" s="28"/>
      <c r="K5" s="86" t="s">
        <v>113</v>
      </c>
      <c r="L5" s="86"/>
    </row>
    <row r="6" spans="1:12" x14ac:dyDescent="0.25">
      <c r="A6" s="7" t="s">
        <v>40</v>
      </c>
      <c r="B6" s="3"/>
      <c r="C6" s="3"/>
      <c r="D6" s="3"/>
      <c r="E6" s="3"/>
      <c r="F6" s="3"/>
      <c r="G6" s="3"/>
      <c r="H6" s="3"/>
      <c r="I6" s="13"/>
      <c r="K6" s="43" t="s">
        <v>114</v>
      </c>
      <c r="L6" s="44">
        <v>66.62</v>
      </c>
    </row>
    <row r="7" spans="1:12" ht="15.75" x14ac:dyDescent="0.25">
      <c r="A7" s="2" t="s">
        <v>41</v>
      </c>
      <c r="B7" s="3">
        <v>2</v>
      </c>
      <c r="C7" s="3">
        <v>1</v>
      </c>
      <c r="D7" s="3">
        <f>B7*C7</f>
        <v>2</v>
      </c>
      <c r="E7" s="3">
        <f>'#Sources'!$B$20</f>
        <v>28</v>
      </c>
      <c r="F7" s="3">
        <f>D7*E7</f>
        <v>56</v>
      </c>
      <c r="G7" s="3">
        <f>F7*0.05</f>
        <v>2.8000000000000003</v>
      </c>
      <c r="H7" s="3">
        <f>F7*0.1</f>
        <v>5.6000000000000005</v>
      </c>
      <c r="I7" s="14">
        <f t="shared" ref="I7:I12" si="0">F7*$L$7+G7*$L$6+H7*$L$8</f>
        <v>3104.9760000000001</v>
      </c>
      <c r="K7" s="43" t="s">
        <v>115</v>
      </c>
      <c r="L7" s="44">
        <v>49.44</v>
      </c>
    </row>
    <row r="8" spans="1:12" ht="15.75" x14ac:dyDescent="0.25">
      <c r="A8" s="2" t="s">
        <v>42</v>
      </c>
      <c r="B8" s="3">
        <v>4</v>
      </c>
      <c r="C8" s="3">
        <v>1</v>
      </c>
      <c r="D8" s="3">
        <f t="shared" ref="D8:D20" si="1">B8*C8</f>
        <v>4</v>
      </c>
      <c r="E8" s="3">
        <f>'#Sources'!$B$20</f>
        <v>28</v>
      </c>
      <c r="F8" s="3">
        <f t="shared" ref="F8:F12" si="2">D8*E8</f>
        <v>112</v>
      </c>
      <c r="G8" s="3">
        <f t="shared" ref="G8:G20" si="3">F8*0.05</f>
        <v>5.6000000000000005</v>
      </c>
      <c r="H8" s="3">
        <f t="shared" ref="H8:H12" si="4">F8*0.1</f>
        <v>11.200000000000001</v>
      </c>
      <c r="I8" s="14">
        <f t="shared" si="0"/>
        <v>6209.9520000000002</v>
      </c>
      <c r="K8" s="43" t="s">
        <v>116</v>
      </c>
      <c r="L8" s="44">
        <v>26.75</v>
      </c>
    </row>
    <row r="9" spans="1:12" ht="15.75" x14ac:dyDescent="0.25">
      <c r="A9" s="2" t="s">
        <v>43</v>
      </c>
      <c r="B9" s="3">
        <v>2</v>
      </c>
      <c r="C9" s="3">
        <v>1</v>
      </c>
      <c r="D9" s="3">
        <f t="shared" si="1"/>
        <v>2</v>
      </c>
      <c r="E9" s="3">
        <f>'#Sources'!$B$20</f>
        <v>28</v>
      </c>
      <c r="F9" s="3">
        <f t="shared" si="2"/>
        <v>56</v>
      </c>
      <c r="G9" s="3">
        <f t="shared" si="3"/>
        <v>2.8000000000000003</v>
      </c>
      <c r="H9" s="3">
        <f t="shared" si="4"/>
        <v>5.6000000000000005</v>
      </c>
      <c r="I9" s="14">
        <f t="shared" si="0"/>
        <v>3104.9760000000001</v>
      </c>
    </row>
    <row r="10" spans="1:12" ht="15.75" x14ac:dyDescent="0.25">
      <c r="A10" s="2" t="s">
        <v>44</v>
      </c>
      <c r="B10" s="3">
        <v>4</v>
      </c>
      <c r="C10" s="3">
        <v>1</v>
      </c>
      <c r="D10" s="3">
        <f t="shared" si="1"/>
        <v>4</v>
      </c>
      <c r="E10" s="3">
        <f>'#Sources'!$B$20</f>
        <v>28</v>
      </c>
      <c r="F10" s="3">
        <f t="shared" si="2"/>
        <v>112</v>
      </c>
      <c r="G10" s="3">
        <f t="shared" si="3"/>
        <v>5.6000000000000005</v>
      </c>
      <c r="H10" s="3">
        <f t="shared" si="4"/>
        <v>11.200000000000001</v>
      </c>
      <c r="I10" s="14">
        <f t="shared" si="0"/>
        <v>6209.9520000000002</v>
      </c>
    </row>
    <row r="11" spans="1:12" ht="28.5" x14ac:dyDescent="0.25">
      <c r="A11" s="2" t="s">
        <v>218</v>
      </c>
      <c r="B11" s="3">
        <v>2</v>
      </c>
      <c r="C11" s="3">
        <v>2</v>
      </c>
      <c r="D11" s="3">
        <f t="shared" si="1"/>
        <v>4</v>
      </c>
      <c r="E11" s="3">
        <f>'#Sources'!$E$20</f>
        <v>596</v>
      </c>
      <c r="F11" s="6">
        <f t="shared" si="2"/>
        <v>2384</v>
      </c>
      <c r="G11" s="3">
        <f t="shared" si="3"/>
        <v>119.2</v>
      </c>
      <c r="H11" s="3">
        <f t="shared" si="4"/>
        <v>238.4</v>
      </c>
      <c r="I11" s="14">
        <f t="shared" si="0"/>
        <v>132183.264</v>
      </c>
    </row>
    <row r="12" spans="1:12" ht="15.75" x14ac:dyDescent="0.25">
      <c r="A12" s="2" t="s">
        <v>45</v>
      </c>
      <c r="B12" s="3">
        <v>2</v>
      </c>
      <c r="C12" s="3">
        <v>2</v>
      </c>
      <c r="D12" s="3">
        <f t="shared" si="1"/>
        <v>4</v>
      </c>
      <c r="E12" s="3">
        <f>'#Sources'!$E$20</f>
        <v>596</v>
      </c>
      <c r="F12" s="6">
        <f t="shared" si="2"/>
        <v>2384</v>
      </c>
      <c r="G12" s="3">
        <f t="shared" si="3"/>
        <v>119.2</v>
      </c>
      <c r="H12" s="3">
        <f t="shared" si="4"/>
        <v>238.4</v>
      </c>
      <c r="I12" s="14">
        <f t="shared" si="0"/>
        <v>132183.264</v>
      </c>
    </row>
    <row r="13" spans="1:12" x14ac:dyDescent="0.25">
      <c r="A13" s="7" t="s">
        <v>46</v>
      </c>
      <c r="B13" s="3"/>
      <c r="C13" s="3"/>
      <c r="D13" s="3"/>
      <c r="E13" s="3"/>
      <c r="F13" s="3"/>
      <c r="G13" s="3"/>
      <c r="H13" s="3"/>
      <c r="I13" s="13"/>
    </row>
    <row r="14" spans="1:12" x14ac:dyDescent="0.25">
      <c r="A14" s="2" t="s">
        <v>47</v>
      </c>
      <c r="B14" s="3">
        <v>2</v>
      </c>
      <c r="C14" s="3">
        <v>1</v>
      </c>
      <c r="D14" s="3">
        <f t="shared" si="1"/>
        <v>2</v>
      </c>
      <c r="E14" s="3">
        <f>'#Sources'!$C$20</f>
        <v>3</v>
      </c>
      <c r="F14" s="3">
        <f t="shared" ref="F14:F20" si="5">D14*E14</f>
        <v>6</v>
      </c>
      <c r="G14" s="3">
        <f t="shared" si="3"/>
        <v>0.30000000000000004</v>
      </c>
      <c r="H14" s="3">
        <f t="shared" ref="H14:H20" si="6">F14*0.1</f>
        <v>0.60000000000000009</v>
      </c>
      <c r="I14" s="14">
        <f t="shared" ref="I14:I20" si="7">F14*$L$7+G14*$L$6+H14*$L$8</f>
        <v>332.67599999999999</v>
      </c>
    </row>
    <row r="15" spans="1:12" x14ac:dyDescent="0.25">
      <c r="A15" s="2" t="s">
        <v>48</v>
      </c>
      <c r="B15" s="3">
        <v>2</v>
      </c>
      <c r="C15" s="3">
        <v>1</v>
      </c>
      <c r="D15" s="3">
        <f t="shared" si="1"/>
        <v>2</v>
      </c>
      <c r="E15" s="3">
        <f>'#Sources'!$C$20</f>
        <v>3</v>
      </c>
      <c r="F15" s="3">
        <f t="shared" si="5"/>
        <v>6</v>
      </c>
      <c r="G15" s="3">
        <f t="shared" si="3"/>
        <v>0.30000000000000004</v>
      </c>
      <c r="H15" s="3">
        <f t="shared" si="6"/>
        <v>0.60000000000000009</v>
      </c>
      <c r="I15" s="14">
        <f t="shared" si="7"/>
        <v>332.67599999999999</v>
      </c>
    </row>
    <row r="16" spans="1:12" ht="28.5" x14ac:dyDescent="0.25">
      <c r="A16" s="2" t="s">
        <v>49</v>
      </c>
      <c r="B16" s="3">
        <v>2</v>
      </c>
      <c r="C16" s="3">
        <v>1</v>
      </c>
      <c r="D16" s="3">
        <f t="shared" si="1"/>
        <v>2</v>
      </c>
      <c r="E16" s="17">
        <v>16</v>
      </c>
      <c r="F16" s="3">
        <f t="shared" si="5"/>
        <v>32</v>
      </c>
      <c r="G16" s="3">
        <f t="shared" si="3"/>
        <v>1.6</v>
      </c>
      <c r="H16" s="3">
        <f t="shared" si="6"/>
        <v>3.2</v>
      </c>
      <c r="I16" s="14">
        <f t="shared" si="7"/>
        <v>1774.2719999999999</v>
      </c>
    </row>
    <row r="17" spans="1:9" ht="25.5" x14ac:dyDescent="0.25">
      <c r="A17" s="2" t="s">
        <v>50</v>
      </c>
      <c r="B17" s="3">
        <v>2</v>
      </c>
      <c r="C17" s="3">
        <v>1</v>
      </c>
      <c r="D17" s="3">
        <f t="shared" si="1"/>
        <v>2</v>
      </c>
      <c r="E17" s="17">
        <v>16</v>
      </c>
      <c r="F17" s="3">
        <f t="shared" si="5"/>
        <v>32</v>
      </c>
      <c r="G17" s="3">
        <f t="shared" si="3"/>
        <v>1.6</v>
      </c>
      <c r="H17" s="3">
        <f t="shared" si="6"/>
        <v>3.2</v>
      </c>
      <c r="I17" s="14">
        <f t="shared" si="7"/>
        <v>1774.2719999999999</v>
      </c>
    </row>
    <row r="18" spans="1:9" x14ac:dyDescent="0.25">
      <c r="A18" s="2" t="s">
        <v>51</v>
      </c>
      <c r="B18" s="3">
        <v>4</v>
      </c>
      <c r="C18" s="3">
        <v>1</v>
      </c>
      <c r="D18" s="3">
        <f t="shared" si="1"/>
        <v>4</v>
      </c>
      <c r="E18" s="17">
        <v>16</v>
      </c>
      <c r="F18" s="3">
        <f t="shared" si="5"/>
        <v>64</v>
      </c>
      <c r="G18" s="3">
        <f t="shared" si="3"/>
        <v>3.2</v>
      </c>
      <c r="H18" s="3">
        <f t="shared" si="6"/>
        <v>6.4</v>
      </c>
      <c r="I18" s="14">
        <f t="shared" si="7"/>
        <v>3548.5439999999999</v>
      </c>
    </row>
    <row r="19" spans="1:9" ht="15.75" x14ac:dyDescent="0.25">
      <c r="A19" s="2" t="s">
        <v>57</v>
      </c>
      <c r="B19" s="3">
        <v>2</v>
      </c>
      <c r="C19" s="3">
        <v>1</v>
      </c>
      <c r="D19" s="3">
        <f t="shared" si="1"/>
        <v>2</v>
      </c>
      <c r="E19" s="80">
        <f>'Table 1'!E27+'Table 1'!E26</f>
        <v>81.28</v>
      </c>
      <c r="F19" s="47">
        <f t="shared" si="5"/>
        <v>162.56</v>
      </c>
      <c r="G19" s="81">
        <f t="shared" si="3"/>
        <v>8.1280000000000001</v>
      </c>
      <c r="H19" s="47">
        <f t="shared" si="6"/>
        <v>16.256</v>
      </c>
      <c r="I19" s="14">
        <f t="shared" si="7"/>
        <v>9013.3017600000003</v>
      </c>
    </row>
    <row r="20" spans="1:9" ht="28.5" x14ac:dyDescent="0.25">
      <c r="A20" s="2" t="s">
        <v>214</v>
      </c>
      <c r="B20" s="3">
        <v>2</v>
      </c>
      <c r="C20" s="3">
        <v>1</v>
      </c>
      <c r="D20" s="3">
        <f t="shared" si="1"/>
        <v>2</v>
      </c>
      <c r="E20" s="17">
        <f>'Table 1'!E28</f>
        <v>16</v>
      </c>
      <c r="F20" s="3">
        <f t="shared" si="5"/>
        <v>32</v>
      </c>
      <c r="G20" s="3">
        <f t="shared" si="3"/>
        <v>1.6</v>
      </c>
      <c r="H20" s="3">
        <f t="shared" si="6"/>
        <v>3.2</v>
      </c>
      <c r="I20" s="14">
        <f t="shared" si="7"/>
        <v>1774.2719999999999</v>
      </c>
    </row>
    <row r="21" spans="1:9" ht="15.75" x14ac:dyDescent="0.25">
      <c r="A21" s="1" t="s">
        <v>117</v>
      </c>
      <c r="B21" s="10"/>
      <c r="C21" s="10"/>
      <c r="D21" s="10"/>
      <c r="E21" s="10"/>
      <c r="F21" s="93">
        <f>ROUND(SUM(F7:H20), -1)</f>
        <v>6250</v>
      </c>
      <c r="G21" s="94"/>
      <c r="H21" s="95"/>
      <c r="I21" s="15">
        <f>ROUND(SUM(I7:I20), -3)</f>
        <v>302000</v>
      </c>
    </row>
    <row r="23" spans="1:9" x14ac:dyDescent="0.25">
      <c r="A23" s="36" t="s">
        <v>66</v>
      </c>
    </row>
    <row r="24" spans="1:9" ht="81.75" customHeight="1" x14ac:dyDescent="0.25">
      <c r="A24" s="91" t="s">
        <v>207</v>
      </c>
      <c r="B24" s="91"/>
      <c r="C24" s="91"/>
      <c r="D24" s="91"/>
      <c r="E24" s="91"/>
      <c r="F24" s="91"/>
      <c r="G24" s="91"/>
      <c r="H24" s="91"/>
      <c r="I24" s="91"/>
    </row>
    <row r="25" spans="1:9" ht="47.25" customHeight="1" x14ac:dyDescent="0.25">
      <c r="A25" s="91" t="s">
        <v>209</v>
      </c>
      <c r="B25" s="91"/>
      <c r="C25" s="91"/>
      <c r="D25" s="91"/>
      <c r="E25" s="91"/>
      <c r="F25" s="91"/>
      <c r="G25" s="91"/>
      <c r="H25" s="91"/>
      <c r="I25" s="91"/>
    </row>
    <row r="26" spans="1:9" ht="18.75" x14ac:dyDescent="0.25">
      <c r="A26" s="91" t="s">
        <v>109</v>
      </c>
      <c r="B26" s="91"/>
      <c r="C26" s="91"/>
      <c r="D26" s="91"/>
      <c r="E26" s="91"/>
      <c r="F26" s="91"/>
      <c r="G26" s="91"/>
      <c r="H26" s="91"/>
      <c r="I26" s="91"/>
    </row>
    <row r="27" spans="1:9" ht="18.75" x14ac:dyDescent="0.25">
      <c r="A27" s="92" t="s">
        <v>215</v>
      </c>
      <c r="B27" s="92"/>
      <c r="C27" s="92"/>
      <c r="D27" s="92"/>
      <c r="E27" s="92"/>
      <c r="F27" s="92"/>
      <c r="G27" s="92"/>
      <c r="H27" s="92"/>
      <c r="I27" s="92"/>
    </row>
    <row r="28" spans="1:9" ht="15.75" x14ac:dyDescent="0.25">
      <c r="A28" s="87" t="s">
        <v>110</v>
      </c>
      <c r="B28" s="87"/>
      <c r="C28" s="87"/>
      <c r="D28" s="87"/>
      <c r="E28" s="87"/>
      <c r="F28" s="87"/>
      <c r="G28" s="87"/>
      <c r="H28" s="87"/>
      <c r="I28" s="87"/>
    </row>
    <row r="29" spans="1:9" ht="15.75" x14ac:dyDescent="0.25">
      <c r="A29" s="87" t="s">
        <v>111</v>
      </c>
      <c r="B29" s="87"/>
      <c r="C29" s="87"/>
      <c r="D29" s="87"/>
      <c r="E29" s="87"/>
      <c r="F29" s="87"/>
      <c r="G29" s="87"/>
      <c r="H29" s="87"/>
      <c r="I29" s="87"/>
    </row>
    <row r="30" spans="1:9" ht="15.75" x14ac:dyDescent="0.25">
      <c r="A30" s="87" t="s">
        <v>123</v>
      </c>
      <c r="B30" s="87"/>
      <c r="C30" s="87"/>
      <c r="D30" s="87"/>
      <c r="E30" s="87"/>
      <c r="F30" s="87"/>
      <c r="G30" s="87"/>
      <c r="H30" s="87"/>
      <c r="I30" s="87"/>
    </row>
    <row r="31" spans="1:9" ht="15.75" x14ac:dyDescent="0.25">
      <c r="A31" s="87" t="s">
        <v>126</v>
      </c>
      <c r="B31" s="87"/>
      <c r="C31" s="87"/>
      <c r="D31" s="87"/>
      <c r="E31" s="87"/>
      <c r="F31" s="87"/>
      <c r="G31" s="87"/>
      <c r="H31" s="87"/>
      <c r="I31" s="87"/>
    </row>
    <row r="32" spans="1:9" ht="15.75" x14ac:dyDescent="0.25">
      <c r="A32" s="87" t="s">
        <v>112</v>
      </c>
      <c r="B32" s="87"/>
      <c r="C32" s="87"/>
      <c r="D32" s="87"/>
      <c r="E32" s="87"/>
      <c r="F32" s="87"/>
      <c r="G32" s="87"/>
      <c r="H32" s="87"/>
      <c r="I32" s="87"/>
    </row>
  </sheetData>
  <mergeCells count="12">
    <mergeCell ref="F21:H21"/>
    <mergeCell ref="A3:A5"/>
    <mergeCell ref="K5:L5"/>
    <mergeCell ref="A24:I24"/>
    <mergeCell ref="A25:I25"/>
    <mergeCell ref="A31:I31"/>
    <mergeCell ref="A32:I32"/>
    <mergeCell ref="A26:I26"/>
    <mergeCell ref="A27:I27"/>
    <mergeCell ref="A28:I28"/>
    <mergeCell ref="A29:I29"/>
    <mergeCell ref="A30:I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8"/>
  <sheetViews>
    <sheetView topLeftCell="A7" workbookViewId="0">
      <selection activeCell="E13" sqref="E13"/>
    </sheetView>
  </sheetViews>
  <sheetFormatPr defaultRowHeight="15" x14ac:dyDescent="0.25"/>
  <cols>
    <col min="4" max="4" width="12.5703125" customWidth="1"/>
    <col min="7" max="7" width="17.28515625" customWidth="1"/>
    <col min="8" max="8" width="15.7109375" customWidth="1"/>
    <col min="9" max="9" width="13.42578125" customWidth="1"/>
  </cols>
  <sheetData>
    <row r="1" spans="1:21" ht="15" customHeight="1" x14ac:dyDescent="0.25">
      <c r="A1" s="97" t="s">
        <v>0</v>
      </c>
      <c r="B1" s="98"/>
      <c r="C1" s="98"/>
      <c r="D1" s="98"/>
      <c r="E1" s="98"/>
      <c r="F1" s="98"/>
      <c r="G1" s="98"/>
      <c r="H1" s="98"/>
      <c r="I1" s="99"/>
      <c r="J1" s="66"/>
    </row>
    <row r="2" spans="1:21" ht="15" customHeight="1" x14ac:dyDescent="0.25">
      <c r="A2" s="100"/>
      <c r="B2" s="101"/>
      <c r="C2" s="101"/>
      <c r="D2" s="101"/>
      <c r="E2" s="101"/>
      <c r="F2" s="101"/>
      <c r="G2" s="101"/>
      <c r="H2" s="101"/>
      <c r="I2" s="102"/>
      <c r="J2" s="66"/>
    </row>
    <row r="3" spans="1:21" x14ac:dyDescent="0.25">
      <c r="A3" s="21"/>
      <c r="B3" s="103" t="s">
        <v>2</v>
      </c>
      <c r="C3" s="104"/>
      <c r="D3" s="105"/>
      <c r="E3" s="103" t="s">
        <v>3</v>
      </c>
      <c r="F3" s="105"/>
      <c r="G3" s="21" t="s">
        <v>4</v>
      </c>
      <c r="H3" s="21" t="s">
        <v>5</v>
      </c>
      <c r="I3" s="21" t="s">
        <v>6</v>
      </c>
    </row>
    <row r="4" spans="1:21" ht="54.6" customHeight="1" x14ac:dyDescent="0.25">
      <c r="A4" s="21" t="s">
        <v>1</v>
      </c>
      <c r="B4" s="127" t="s">
        <v>169</v>
      </c>
      <c r="C4" s="127"/>
      <c r="D4" s="127"/>
      <c r="E4" s="127" t="s">
        <v>167</v>
      </c>
      <c r="F4" s="127"/>
      <c r="G4" s="63" t="s">
        <v>168</v>
      </c>
      <c r="H4" s="67" t="s">
        <v>200</v>
      </c>
      <c r="I4" s="63" t="s">
        <v>201</v>
      </c>
      <c r="K4" s="128" t="s">
        <v>197</v>
      </c>
      <c r="L4" s="128"/>
      <c r="M4" s="128"/>
      <c r="N4" s="128"/>
      <c r="O4" s="128"/>
      <c r="P4" s="128"/>
      <c r="Q4" s="128"/>
      <c r="R4" s="128"/>
      <c r="S4" s="128"/>
      <c r="T4" s="128"/>
      <c r="U4" s="128"/>
    </row>
    <row r="5" spans="1:21" ht="38.25" x14ac:dyDescent="0.25">
      <c r="A5" s="72"/>
      <c r="B5" s="72" t="s">
        <v>7</v>
      </c>
      <c r="C5" s="72" t="s">
        <v>8</v>
      </c>
      <c r="D5" s="72" t="s">
        <v>127</v>
      </c>
      <c r="E5" s="72" t="s">
        <v>171</v>
      </c>
      <c r="F5" s="72" t="s">
        <v>8</v>
      </c>
      <c r="G5" s="72" t="s">
        <v>8</v>
      </c>
      <c r="H5" s="73" t="s">
        <v>7</v>
      </c>
      <c r="I5" s="72" t="s">
        <v>128</v>
      </c>
      <c r="K5" s="129"/>
      <c r="L5" s="129"/>
      <c r="M5" s="129"/>
      <c r="N5" s="129"/>
      <c r="O5" s="129"/>
      <c r="P5" s="129"/>
      <c r="Q5" s="129"/>
      <c r="R5" s="129"/>
      <c r="S5" s="129"/>
      <c r="T5" s="129"/>
      <c r="U5" s="129"/>
    </row>
    <row r="6" spans="1:21" x14ac:dyDescent="0.25">
      <c r="A6" s="78" t="s">
        <v>53</v>
      </c>
      <c r="B6" s="62"/>
      <c r="C6" s="62"/>
      <c r="D6" s="62"/>
      <c r="E6" s="62"/>
      <c r="F6" s="62"/>
      <c r="G6" s="62"/>
      <c r="H6" s="79"/>
      <c r="I6" s="62"/>
      <c r="K6" s="129"/>
      <c r="L6" s="129"/>
      <c r="M6" s="129"/>
      <c r="N6" s="129"/>
      <c r="O6" s="129"/>
      <c r="P6" s="129"/>
      <c r="Q6" s="129"/>
      <c r="R6" s="129"/>
      <c r="S6" s="129"/>
      <c r="T6" s="129"/>
      <c r="U6" s="129"/>
    </row>
    <row r="7" spans="1:21" x14ac:dyDescent="0.25">
      <c r="A7" s="74">
        <v>1</v>
      </c>
      <c r="B7" s="74">
        <v>28</v>
      </c>
      <c r="C7" s="74">
        <v>3</v>
      </c>
      <c r="D7" s="74">
        <v>138</v>
      </c>
      <c r="E7" s="74">
        <v>470</v>
      </c>
      <c r="F7" s="75">
        <v>2927</v>
      </c>
      <c r="G7" s="75">
        <f>F7*0.98</f>
        <v>2868.46</v>
      </c>
      <c r="H7" s="76">
        <v>10</v>
      </c>
      <c r="I7" s="77">
        <f>SUM(B7:F7)-H7</f>
        <v>3556</v>
      </c>
      <c r="K7" s="129"/>
      <c r="L7" s="129"/>
      <c r="M7" s="129"/>
      <c r="N7" s="129"/>
      <c r="O7" s="129"/>
      <c r="P7" s="129"/>
      <c r="Q7" s="129"/>
      <c r="R7" s="129"/>
      <c r="S7" s="129"/>
      <c r="T7" s="129"/>
      <c r="U7" s="129"/>
    </row>
    <row r="8" spans="1:21" x14ac:dyDescent="0.25">
      <c r="A8" s="31">
        <v>2</v>
      </c>
      <c r="B8" s="31">
        <v>28</v>
      </c>
      <c r="C8" s="31">
        <v>3</v>
      </c>
      <c r="D8" s="31">
        <v>138</v>
      </c>
      <c r="E8" s="31">
        <f>E7+B7-H7</f>
        <v>488</v>
      </c>
      <c r="F8" s="32">
        <f>F7+C7+D7</f>
        <v>3068</v>
      </c>
      <c r="G8" s="32">
        <f>F8*0.98</f>
        <v>3006.64</v>
      </c>
      <c r="H8" s="68">
        <v>10</v>
      </c>
      <c r="I8" s="34">
        <f>SUM(B8:F8)-H8</f>
        <v>3715</v>
      </c>
      <c r="J8" s="45"/>
      <c r="K8" s="129"/>
      <c r="L8" s="129"/>
      <c r="M8" s="129"/>
      <c r="N8" s="129"/>
      <c r="O8" s="129"/>
      <c r="P8" s="129"/>
      <c r="Q8" s="129"/>
      <c r="R8" s="129"/>
      <c r="S8" s="129"/>
      <c r="T8" s="129"/>
      <c r="U8" s="129"/>
    </row>
    <row r="9" spans="1:21" x14ac:dyDescent="0.25">
      <c r="A9" s="31">
        <v>3</v>
      </c>
      <c r="B9" s="31">
        <v>28</v>
      </c>
      <c r="C9" s="31">
        <v>3</v>
      </c>
      <c r="D9" s="31">
        <v>138</v>
      </c>
      <c r="E9" s="31">
        <f>E8+B8-H8</f>
        <v>506</v>
      </c>
      <c r="F9" s="32">
        <f>F8+C8+D8</f>
        <v>3209</v>
      </c>
      <c r="G9" s="32">
        <f>F9*0.98</f>
        <v>3144.82</v>
      </c>
      <c r="H9" s="68">
        <v>10</v>
      </c>
      <c r="I9" s="34">
        <f>SUM(B9:F9)-H9</f>
        <v>3874</v>
      </c>
      <c r="J9" s="45"/>
      <c r="K9" s="129"/>
      <c r="L9" s="129"/>
      <c r="M9" s="129"/>
      <c r="N9" s="129"/>
      <c r="O9" s="129"/>
      <c r="P9" s="129"/>
      <c r="Q9" s="129"/>
      <c r="R9" s="129"/>
      <c r="S9" s="129"/>
      <c r="T9" s="129"/>
      <c r="U9" s="129"/>
    </row>
    <row r="10" spans="1:21" x14ac:dyDescent="0.25">
      <c r="A10" s="33" t="s">
        <v>9</v>
      </c>
      <c r="B10" s="31">
        <f t="shared" ref="B10:I10" si="0">B8</f>
        <v>28</v>
      </c>
      <c r="C10" s="31">
        <f t="shared" si="0"/>
        <v>3</v>
      </c>
      <c r="D10" s="31">
        <f t="shared" si="0"/>
        <v>138</v>
      </c>
      <c r="E10" s="31">
        <f t="shared" si="0"/>
        <v>488</v>
      </c>
      <c r="F10" s="32">
        <f>F8</f>
        <v>3068</v>
      </c>
      <c r="G10" s="32">
        <f t="shared" si="0"/>
        <v>3006.64</v>
      </c>
      <c r="H10" s="68">
        <f t="shared" si="0"/>
        <v>10</v>
      </c>
      <c r="I10" s="32">
        <f t="shared" si="0"/>
        <v>3715</v>
      </c>
      <c r="J10" s="45"/>
      <c r="K10" s="129"/>
      <c r="L10" s="129"/>
      <c r="M10" s="129"/>
      <c r="N10" s="129"/>
      <c r="O10" s="129"/>
      <c r="P10" s="129"/>
      <c r="Q10" s="129"/>
      <c r="R10" s="129"/>
      <c r="S10" s="129"/>
      <c r="T10" s="129"/>
      <c r="U10" s="129"/>
    </row>
    <row r="11" spans="1:21" ht="15" customHeight="1" x14ac:dyDescent="0.25">
      <c r="A11" s="16" t="s">
        <v>52</v>
      </c>
      <c r="B11" s="25"/>
      <c r="C11" s="25"/>
      <c r="D11" s="25"/>
      <c r="E11" s="25"/>
      <c r="F11" s="25"/>
      <c r="G11" s="25"/>
      <c r="H11" s="71"/>
      <c r="I11" s="25"/>
    </row>
    <row r="12" spans="1:21" x14ac:dyDescent="0.25">
      <c r="A12" s="21">
        <v>1</v>
      </c>
      <c r="B12" s="63">
        <v>28</v>
      </c>
      <c r="C12" s="63">
        <v>3</v>
      </c>
      <c r="D12" s="63">
        <v>138</v>
      </c>
      <c r="E12" s="63">
        <f>E9+B9-H9</f>
        <v>524</v>
      </c>
      <c r="F12" s="34">
        <f>F9+C9+D9</f>
        <v>3350</v>
      </c>
      <c r="G12" s="32">
        <f t="shared" ref="G12:G14" si="1">F12*0.98</f>
        <v>3283</v>
      </c>
      <c r="H12" s="67">
        <v>10</v>
      </c>
      <c r="I12" s="69">
        <f>SUM(B12:F12)-H12</f>
        <v>4033</v>
      </c>
      <c r="K12" s="109" t="s">
        <v>196</v>
      </c>
      <c r="L12" s="110"/>
      <c r="M12" s="110"/>
      <c r="N12" s="110"/>
      <c r="O12" s="110"/>
      <c r="P12" s="110"/>
      <c r="Q12" s="110"/>
      <c r="R12" s="110"/>
      <c r="S12" s="110"/>
      <c r="T12" s="110"/>
      <c r="U12" s="111"/>
    </row>
    <row r="13" spans="1:21" ht="15" customHeight="1" x14ac:dyDescent="0.25">
      <c r="A13" s="21">
        <v>2</v>
      </c>
      <c r="B13" s="63">
        <v>28</v>
      </c>
      <c r="C13" s="63">
        <v>3</v>
      </c>
      <c r="D13" s="63">
        <v>138</v>
      </c>
      <c r="E13" s="70">
        <f>E12+B12-H12</f>
        <v>542</v>
      </c>
      <c r="F13" s="34">
        <f>F12+C12+D12</f>
        <v>3491</v>
      </c>
      <c r="G13" s="32">
        <f t="shared" si="1"/>
        <v>3421.18</v>
      </c>
      <c r="H13" s="67">
        <v>10</v>
      </c>
      <c r="I13" s="69">
        <f>SUM(B13:F13)-H13</f>
        <v>4192</v>
      </c>
      <c r="J13" s="45"/>
      <c r="K13" s="112"/>
      <c r="L13" s="113"/>
      <c r="M13" s="113"/>
      <c r="N13" s="113"/>
      <c r="O13" s="113"/>
      <c r="P13" s="113"/>
      <c r="Q13" s="113"/>
      <c r="R13" s="113"/>
      <c r="S13" s="113"/>
      <c r="T13" s="113"/>
      <c r="U13" s="114"/>
    </row>
    <row r="14" spans="1:21" x14ac:dyDescent="0.25">
      <c r="A14" s="84">
        <v>3</v>
      </c>
      <c r="B14" s="31">
        <v>28</v>
      </c>
      <c r="C14" s="31">
        <v>3</v>
      </c>
      <c r="D14" s="31">
        <v>138</v>
      </c>
      <c r="E14" s="31">
        <f>E13+B13-H13</f>
        <v>560</v>
      </c>
      <c r="F14" s="32">
        <f>F13+C13+D13</f>
        <v>3632</v>
      </c>
      <c r="G14" s="32">
        <f t="shared" si="1"/>
        <v>3559.36</v>
      </c>
      <c r="H14" s="68">
        <v>10</v>
      </c>
      <c r="I14" s="32">
        <f>SUM(B14:F14)-H14</f>
        <v>4351</v>
      </c>
      <c r="J14" s="45"/>
      <c r="K14" s="115"/>
      <c r="L14" s="116"/>
      <c r="M14" s="116"/>
      <c r="N14" s="116"/>
      <c r="O14" s="116"/>
      <c r="P14" s="116"/>
      <c r="Q14" s="116"/>
      <c r="R14" s="116"/>
      <c r="S14" s="116"/>
      <c r="T14" s="116"/>
      <c r="U14" s="117"/>
    </row>
    <row r="15" spans="1:21" x14ac:dyDescent="0.25">
      <c r="A15" s="35" t="s">
        <v>9</v>
      </c>
      <c r="B15" s="63">
        <f>B13</f>
        <v>28</v>
      </c>
      <c r="C15" s="63">
        <f t="shared" ref="C15:G15" si="2">C13</f>
        <v>3</v>
      </c>
      <c r="D15" s="63">
        <f t="shared" si="2"/>
        <v>138</v>
      </c>
      <c r="E15" s="63">
        <f t="shared" si="2"/>
        <v>542</v>
      </c>
      <c r="F15" s="34">
        <f t="shared" si="2"/>
        <v>3491</v>
      </c>
      <c r="G15" s="34">
        <f t="shared" si="2"/>
        <v>3421.18</v>
      </c>
      <c r="H15" s="67">
        <f>H13</f>
        <v>10</v>
      </c>
      <c r="I15" s="34">
        <f>I13</f>
        <v>4192</v>
      </c>
      <c r="K15" s="118" t="s">
        <v>198</v>
      </c>
      <c r="L15" s="119"/>
      <c r="M15" s="119"/>
      <c r="N15" s="119"/>
      <c r="O15" s="119"/>
      <c r="P15" s="119"/>
      <c r="Q15" s="119"/>
      <c r="R15" s="119"/>
      <c r="S15" s="119"/>
      <c r="T15" s="119"/>
      <c r="U15" s="120"/>
    </row>
    <row r="16" spans="1:21" x14ac:dyDescent="0.25">
      <c r="A16" s="16" t="s">
        <v>65</v>
      </c>
      <c r="B16" s="25"/>
      <c r="C16" s="25"/>
      <c r="D16" s="25"/>
      <c r="E16" s="25"/>
      <c r="F16" s="25"/>
      <c r="G16" s="25"/>
      <c r="H16" s="71"/>
      <c r="I16" s="25"/>
      <c r="K16" s="121"/>
      <c r="L16" s="122"/>
      <c r="M16" s="122"/>
      <c r="N16" s="122"/>
      <c r="O16" s="122"/>
      <c r="P16" s="122"/>
      <c r="Q16" s="122"/>
      <c r="R16" s="122"/>
      <c r="S16" s="122"/>
      <c r="T16" s="122"/>
      <c r="U16" s="123"/>
    </row>
    <row r="17" spans="1:21" x14ac:dyDescent="0.25">
      <c r="A17" s="21">
        <v>1</v>
      </c>
      <c r="B17" s="63">
        <v>28</v>
      </c>
      <c r="C17" s="63">
        <v>3</v>
      </c>
      <c r="D17" s="63">
        <v>138</v>
      </c>
      <c r="E17" s="63">
        <f>E14+B14-H14</f>
        <v>578</v>
      </c>
      <c r="F17" s="34">
        <f>F14+C14+D14</f>
        <v>3773</v>
      </c>
      <c r="G17" s="32">
        <f t="shared" ref="G17:G19" si="3">F17*0.98</f>
        <v>3697.54</v>
      </c>
      <c r="H17" s="67">
        <v>10</v>
      </c>
      <c r="I17" s="34">
        <f>SUM(B17:F17)-H17</f>
        <v>4510</v>
      </c>
      <c r="J17" s="45"/>
      <c r="K17" s="121"/>
      <c r="L17" s="122"/>
      <c r="M17" s="122"/>
      <c r="N17" s="122"/>
      <c r="O17" s="122"/>
      <c r="P17" s="122"/>
      <c r="Q17" s="122"/>
      <c r="R17" s="122"/>
      <c r="S17" s="122"/>
      <c r="T17" s="122"/>
      <c r="U17" s="123"/>
    </row>
    <row r="18" spans="1:21" ht="14.45" customHeight="1" x14ac:dyDescent="0.25">
      <c r="A18" s="21">
        <v>2</v>
      </c>
      <c r="B18" s="63">
        <v>28</v>
      </c>
      <c r="C18" s="63">
        <v>3</v>
      </c>
      <c r="D18" s="63">
        <v>138</v>
      </c>
      <c r="E18" s="63">
        <f>E17+B17-H17</f>
        <v>596</v>
      </c>
      <c r="F18" s="34">
        <f>F17+C17+D17</f>
        <v>3914</v>
      </c>
      <c r="G18" s="32">
        <f t="shared" si="3"/>
        <v>3835.72</v>
      </c>
      <c r="H18" s="67">
        <v>10</v>
      </c>
      <c r="I18" s="34">
        <f>SUM(B18:F18)-H18</f>
        <v>4669</v>
      </c>
      <c r="J18" s="45"/>
      <c r="K18" s="121"/>
      <c r="L18" s="122"/>
      <c r="M18" s="122"/>
      <c r="N18" s="122"/>
      <c r="O18" s="122"/>
      <c r="P18" s="122"/>
      <c r="Q18" s="122"/>
      <c r="R18" s="122"/>
      <c r="S18" s="122"/>
      <c r="T18" s="122"/>
      <c r="U18" s="123"/>
    </row>
    <row r="19" spans="1:21" x14ac:dyDescent="0.25">
      <c r="A19" s="21">
        <v>3</v>
      </c>
      <c r="B19" s="63">
        <v>28</v>
      </c>
      <c r="C19" s="63">
        <v>3</v>
      </c>
      <c r="D19" s="63">
        <v>138</v>
      </c>
      <c r="E19" s="63">
        <f>E18+B18-H18</f>
        <v>614</v>
      </c>
      <c r="F19" s="34">
        <f>F18+C18+D18</f>
        <v>4055</v>
      </c>
      <c r="G19" s="32">
        <f t="shared" si="3"/>
        <v>3973.9</v>
      </c>
      <c r="H19" s="67">
        <v>10</v>
      </c>
      <c r="I19" s="34">
        <f>SUM(B19:F19)-H19</f>
        <v>4828</v>
      </c>
      <c r="J19" s="45"/>
      <c r="K19" s="124"/>
      <c r="L19" s="125"/>
      <c r="M19" s="125"/>
      <c r="N19" s="125"/>
      <c r="O19" s="125"/>
      <c r="P19" s="125"/>
      <c r="Q19" s="125"/>
      <c r="R19" s="125"/>
      <c r="S19" s="125"/>
      <c r="T19" s="125"/>
      <c r="U19" s="126"/>
    </row>
    <row r="20" spans="1:21" x14ac:dyDescent="0.25">
      <c r="A20" s="35" t="s">
        <v>9</v>
      </c>
      <c r="B20" s="63">
        <f>B18</f>
        <v>28</v>
      </c>
      <c r="C20" s="63">
        <f t="shared" ref="C20:D20" si="4">C18</f>
        <v>3</v>
      </c>
      <c r="D20" s="63">
        <f t="shared" si="4"/>
        <v>138</v>
      </c>
      <c r="E20" s="63">
        <f>E18</f>
        <v>596</v>
      </c>
      <c r="F20" s="34">
        <f>F18</f>
        <v>3914</v>
      </c>
      <c r="G20" s="34">
        <f>G18</f>
        <v>3835.72</v>
      </c>
      <c r="H20" s="67">
        <f>H18</f>
        <v>10</v>
      </c>
      <c r="I20" s="34">
        <f>I18</f>
        <v>4669</v>
      </c>
      <c r="J20" s="45"/>
    </row>
    <row r="21" spans="1:21" ht="15.75" x14ac:dyDescent="0.25">
      <c r="A21" s="107" t="s">
        <v>129</v>
      </c>
      <c r="B21" s="107"/>
      <c r="C21" s="107"/>
      <c r="D21" s="107"/>
      <c r="E21" s="107"/>
      <c r="F21" s="107"/>
      <c r="G21" s="107"/>
      <c r="H21" s="107"/>
      <c r="I21" s="107"/>
    </row>
    <row r="22" spans="1:21" ht="15.75" x14ac:dyDescent="0.25">
      <c r="A22" s="108" t="s">
        <v>170</v>
      </c>
      <c r="B22" s="108"/>
      <c r="C22" s="108"/>
      <c r="D22" s="108"/>
      <c r="E22" s="108"/>
      <c r="F22" s="108"/>
      <c r="G22" s="108"/>
      <c r="H22" s="108"/>
      <c r="I22" s="108"/>
    </row>
    <row r="23" spans="1:21" ht="15.75" x14ac:dyDescent="0.25">
      <c r="A23" s="108" t="s">
        <v>131</v>
      </c>
      <c r="B23" s="108"/>
      <c r="C23" s="108"/>
      <c r="D23" s="108"/>
      <c r="E23" s="108"/>
      <c r="F23" s="108"/>
      <c r="G23" s="108"/>
      <c r="H23" s="108"/>
      <c r="I23" s="108"/>
      <c r="J23" t="s">
        <v>204</v>
      </c>
      <c r="K23" t="s">
        <v>205</v>
      </c>
    </row>
    <row r="24" spans="1:21" ht="15.75" x14ac:dyDescent="0.25">
      <c r="A24" s="108" t="s">
        <v>130</v>
      </c>
      <c r="B24" s="108"/>
      <c r="C24" s="108"/>
      <c r="D24" s="108"/>
      <c r="E24" s="108"/>
      <c r="F24" s="108"/>
      <c r="G24" s="108"/>
      <c r="H24" s="108"/>
      <c r="I24" s="108"/>
      <c r="J24">
        <f>SUM(E20:F20)</f>
        <v>4510</v>
      </c>
      <c r="K24">
        <f>SUM(B20:D20)</f>
        <v>169</v>
      </c>
    </row>
    <row r="25" spans="1:21" ht="42.95" customHeight="1" x14ac:dyDescent="0.25">
      <c r="A25" s="87" t="s">
        <v>199</v>
      </c>
      <c r="B25" s="87"/>
      <c r="C25" s="87"/>
      <c r="D25" s="87"/>
      <c r="E25" s="87"/>
      <c r="F25" s="87"/>
      <c r="G25" s="87"/>
      <c r="H25" s="87"/>
      <c r="I25" s="87"/>
    </row>
    <row r="26" spans="1:21" ht="57" customHeight="1" x14ac:dyDescent="0.25">
      <c r="A26" s="106"/>
      <c r="B26" s="106"/>
      <c r="C26" s="106"/>
      <c r="D26" s="106"/>
      <c r="E26" s="106"/>
      <c r="F26" s="106"/>
      <c r="G26" s="106"/>
      <c r="H26" s="106"/>
      <c r="I26" s="106"/>
    </row>
    <row r="27" spans="1:21" ht="33" customHeight="1" x14ac:dyDescent="0.25">
      <c r="A27" s="106"/>
      <c r="B27" s="106"/>
      <c r="C27" s="106"/>
      <c r="D27" s="106"/>
      <c r="E27" s="106"/>
      <c r="F27" s="106"/>
      <c r="G27" s="106"/>
      <c r="H27" s="106"/>
      <c r="I27" s="106"/>
    </row>
    <row r="28" spans="1:21" x14ac:dyDescent="0.25">
      <c r="G28" s="45"/>
      <c r="H28" s="45"/>
    </row>
  </sheetData>
  <mergeCells count="15">
    <mergeCell ref="K12:U14"/>
    <mergeCell ref="K15:U19"/>
    <mergeCell ref="E4:F4"/>
    <mergeCell ref="B4:D4"/>
    <mergeCell ref="K4:U10"/>
    <mergeCell ref="A1:I2"/>
    <mergeCell ref="B3:D3"/>
    <mergeCell ref="E3:F3"/>
    <mergeCell ref="A26:I26"/>
    <mergeCell ref="A27:I27"/>
    <mergeCell ref="A21:I21"/>
    <mergeCell ref="A22:I22"/>
    <mergeCell ref="A23:I23"/>
    <mergeCell ref="A24:I24"/>
    <mergeCell ref="A25:I2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68651-D2B0-4496-81F4-5A942D160474}">
  <dimension ref="A1:F24"/>
  <sheetViews>
    <sheetView workbookViewId="0">
      <selection activeCell="A13" sqref="A13"/>
    </sheetView>
  </sheetViews>
  <sheetFormatPr defaultRowHeight="15" x14ac:dyDescent="0.25"/>
  <cols>
    <col min="1" max="1" width="32.28515625" customWidth="1"/>
    <col min="2" max="2" width="15.28515625" customWidth="1"/>
    <col min="3" max="3" width="13.42578125" customWidth="1"/>
    <col min="4" max="5" width="18.5703125" customWidth="1"/>
  </cols>
  <sheetData>
    <row r="1" spans="1:6" ht="15.75" x14ac:dyDescent="0.25">
      <c r="A1" s="51"/>
    </row>
    <row r="2" spans="1:6" ht="15.75" x14ac:dyDescent="0.25">
      <c r="A2" s="130" t="s">
        <v>147</v>
      </c>
      <c r="B2" s="130"/>
      <c r="C2" s="130"/>
      <c r="D2" s="130"/>
      <c r="E2" s="130"/>
    </row>
    <row r="3" spans="1:6" x14ac:dyDescent="0.25">
      <c r="A3" s="53" t="s">
        <v>2</v>
      </c>
      <c r="B3" s="53" t="s">
        <v>3</v>
      </c>
      <c r="C3" s="53" t="s">
        <v>4</v>
      </c>
      <c r="D3" s="53" t="s">
        <v>5</v>
      </c>
      <c r="E3" s="53" t="s">
        <v>6</v>
      </c>
    </row>
    <row r="4" spans="1:6" ht="48" x14ac:dyDescent="0.25">
      <c r="A4" s="53" t="s">
        <v>148</v>
      </c>
      <c r="B4" s="53" t="s">
        <v>149</v>
      </c>
      <c r="C4" s="53" t="s">
        <v>150</v>
      </c>
      <c r="D4" s="53" t="s">
        <v>151</v>
      </c>
      <c r="E4" s="53" t="s">
        <v>153</v>
      </c>
    </row>
    <row r="5" spans="1:6" x14ac:dyDescent="0.25">
      <c r="A5" s="1" t="s">
        <v>73</v>
      </c>
      <c r="B5" s="52"/>
      <c r="C5" s="52"/>
      <c r="D5" s="52"/>
      <c r="E5" s="52"/>
    </row>
    <row r="6" spans="1:6" ht="25.5" x14ac:dyDescent="0.25">
      <c r="A6" s="2" t="s">
        <v>154</v>
      </c>
      <c r="B6" s="3">
        <f>'Table 1'!E13</f>
        <v>28</v>
      </c>
      <c r="C6" s="3">
        <f>'Table 1'!C13</f>
        <v>1</v>
      </c>
      <c r="D6" s="3">
        <v>0</v>
      </c>
      <c r="E6" s="3">
        <f>B6*C6+D6</f>
        <v>28</v>
      </c>
    </row>
    <row r="7" spans="1:6" x14ac:dyDescent="0.25">
      <c r="A7" s="2" t="s">
        <v>155</v>
      </c>
      <c r="B7" s="3">
        <f>'Table 1'!E14</f>
        <v>28</v>
      </c>
      <c r="C7" s="3">
        <f>'Table 1'!C14</f>
        <v>1</v>
      </c>
      <c r="D7" s="3">
        <v>0</v>
      </c>
      <c r="E7" s="3">
        <f t="shared" ref="E7:E19" si="0">B7*C7+D7</f>
        <v>28</v>
      </c>
    </row>
    <row r="8" spans="1:6" ht="25.5" x14ac:dyDescent="0.25">
      <c r="A8" s="2" t="s">
        <v>156</v>
      </c>
      <c r="B8" s="3">
        <f>'Table 1'!E15</f>
        <v>28</v>
      </c>
      <c r="C8" s="3">
        <f>'Table 1'!C15</f>
        <v>1</v>
      </c>
      <c r="D8" s="3">
        <v>0</v>
      </c>
      <c r="E8" s="3">
        <f t="shared" si="0"/>
        <v>28</v>
      </c>
    </row>
    <row r="9" spans="1:6" ht="25.5" x14ac:dyDescent="0.25">
      <c r="A9" s="2" t="s">
        <v>157</v>
      </c>
      <c r="B9" s="3">
        <f>'Table 1'!E16</f>
        <v>28</v>
      </c>
      <c r="C9" s="3">
        <f>'Table 1'!C16</f>
        <v>1</v>
      </c>
      <c r="D9" s="3">
        <v>0</v>
      </c>
      <c r="E9" s="3">
        <f t="shared" si="0"/>
        <v>28</v>
      </c>
    </row>
    <row r="10" spans="1:6" ht="25.5" x14ac:dyDescent="0.25">
      <c r="A10" s="2" t="s">
        <v>158</v>
      </c>
      <c r="B10" s="3">
        <f>'Table 1'!E17</f>
        <v>28</v>
      </c>
      <c r="C10" s="3">
        <f>'Table 1'!C17</f>
        <v>1</v>
      </c>
      <c r="D10" s="3">
        <v>0</v>
      </c>
      <c r="E10" s="3">
        <f t="shared" si="0"/>
        <v>28</v>
      </c>
    </row>
    <row r="11" spans="1:6" ht="25.5" x14ac:dyDescent="0.25">
      <c r="A11" s="2" t="s">
        <v>217</v>
      </c>
      <c r="B11" s="3">
        <f>'Table 1'!E18</f>
        <v>596</v>
      </c>
      <c r="C11" s="3">
        <f>'Table 1'!C18</f>
        <v>2</v>
      </c>
      <c r="D11" s="3">
        <v>0</v>
      </c>
      <c r="E11" s="6">
        <f>B11*C11+D11</f>
        <v>1192</v>
      </c>
      <c r="F11" s="65"/>
    </row>
    <row r="12" spans="1:6" x14ac:dyDescent="0.25">
      <c r="A12" s="2" t="s">
        <v>159</v>
      </c>
      <c r="B12" s="3">
        <f>'Table 1'!E19</f>
        <v>596</v>
      </c>
      <c r="C12" s="3">
        <f>'Table 1'!C19</f>
        <v>2</v>
      </c>
      <c r="D12" s="3">
        <v>0</v>
      </c>
      <c r="E12" s="6">
        <f t="shared" si="0"/>
        <v>1192</v>
      </c>
    </row>
    <row r="13" spans="1:6" x14ac:dyDescent="0.25">
      <c r="A13" s="1" t="s">
        <v>46</v>
      </c>
      <c r="B13" s="3"/>
      <c r="C13" s="3"/>
      <c r="D13" s="3"/>
      <c r="E13" s="3"/>
    </row>
    <row r="14" spans="1:6" x14ac:dyDescent="0.25">
      <c r="A14" s="2" t="s">
        <v>160</v>
      </c>
      <c r="B14" s="3">
        <f>'Table 1'!E21</f>
        <v>3</v>
      </c>
      <c r="C14" s="3">
        <f>'Table 1'!C21</f>
        <v>1</v>
      </c>
      <c r="D14" s="3">
        <v>0</v>
      </c>
      <c r="E14" s="3">
        <f t="shared" si="0"/>
        <v>3</v>
      </c>
    </row>
    <row r="15" spans="1:6" x14ac:dyDescent="0.25">
      <c r="A15" s="2" t="s">
        <v>161</v>
      </c>
      <c r="B15" s="3">
        <f>'Table 1'!E22</f>
        <v>3</v>
      </c>
      <c r="C15" s="3">
        <f>'Table 1'!C22</f>
        <v>1</v>
      </c>
      <c r="D15" s="3">
        <v>0</v>
      </c>
      <c r="E15" s="3">
        <f t="shared" si="0"/>
        <v>3</v>
      </c>
    </row>
    <row r="16" spans="1:6" ht="25.5" x14ac:dyDescent="0.25">
      <c r="A16" s="2" t="s">
        <v>162</v>
      </c>
      <c r="B16" s="3">
        <f>'Table 1'!E23</f>
        <v>16</v>
      </c>
      <c r="C16" s="3">
        <f>'Table 1'!C23</f>
        <v>1</v>
      </c>
      <c r="D16" s="3">
        <v>0</v>
      </c>
      <c r="E16" s="3">
        <f t="shared" si="0"/>
        <v>16</v>
      </c>
    </row>
    <row r="17" spans="1:5" ht="25.5" x14ac:dyDescent="0.25">
      <c r="A17" s="2" t="s">
        <v>156</v>
      </c>
      <c r="B17" s="3">
        <f>'Table 1'!E24</f>
        <v>16</v>
      </c>
      <c r="C17" s="3">
        <f>'Table 1'!C24</f>
        <v>1</v>
      </c>
      <c r="D17" s="3">
        <v>0</v>
      </c>
      <c r="E17" s="3">
        <f t="shared" si="0"/>
        <v>16</v>
      </c>
    </row>
    <row r="18" spans="1:5" x14ac:dyDescent="0.25">
      <c r="A18" s="2" t="s">
        <v>163</v>
      </c>
      <c r="B18" s="3">
        <f>'Table 1'!E25</f>
        <v>16</v>
      </c>
      <c r="C18" s="3">
        <f>'Table 1'!C25</f>
        <v>1</v>
      </c>
      <c r="D18" s="3">
        <v>0</v>
      </c>
      <c r="E18" s="3">
        <f t="shared" si="0"/>
        <v>16</v>
      </c>
    </row>
    <row r="19" spans="1:5" x14ac:dyDescent="0.25">
      <c r="A19" s="2" t="s">
        <v>164</v>
      </c>
      <c r="B19" s="3">
        <f>'Table 1'!E26</f>
        <v>3</v>
      </c>
      <c r="C19" s="3">
        <f>'Table 1'!C26</f>
        <v>1</v>
      </c>
      <c r="D19" s="3">
        <v>0</v>
      </c>
      <c r="E19" s="3">
        <f t="shared" si="0"/>
        <v>3</v>
      </c>
    </row>
    <row r="20" spans="1:5" x14ac:dyDescent="0.25">
      <c r="A20" s="2" t="s">
        <v>165</v>
      </c>
      <c r="B20" s="47">
        <f>'Table 1'!E27</f>
        <v>78.28</v>
      </c>
      <c r="C20" s="3">
        <f>'Table 1'!C27</f>
        <v>1</v>
      </c>
      <c r="D20" s="3">
        <v>0</v>
      </c>
      <c r="E20" s="47">
        <f>B20*C20+D20</f>
        <v>78.28</v>
      </c>
    </row>
    <row r="21" spans="1:5" ht="25.5" x14ac:dyDescent="0.25">
      <c r="A21" s="2" t="s">
        <v>217</v>
      </c>
      <c r="B21" s="3">
        <f>'Table 1'!E28</f>
        <v>16</v>
      </c>
      <c r="C21" s="3">
        <f>'Table 1'!C28</f>
        <v>10</v>
      </c>
      <c r="D21" s="3">
        <v>0</v>
      </c>
      <c r="E21" s="3">
        <f>B21*C21+D21</f>
        <v>160</v>
      </c>
    </row>
    <row r="22" spans="1:5" x14ac:dyDescent="0.25">
      <c r="A22" s="54"/>
      <c r="B22" s="55"/>
      <c r="C22" s="56"/>
      <c r="D22" s="57" t="s">
        <v>152</v>
      </c>
      <c r="E22" s="58">
        <f>SUM(E6:E21)</f>
        <v>2819.28</v>
      </c>
    </row>
    <row r="23" spans="1:5" ht="15.75" x14ac:dyDescent="0.25">
      <c r="A23" s="51"/>
    </row>
    <row r="24" spans="1:5" ht="15.75" x14ac:dyDescent="0.25">
      <c r="A24" s="51"/>
    </row>
  </sheetData>
  <mergeCells count="1">
    <mergeCell ref="A2: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B2743-72AC-4DB1-971B-9C7311BF4B87}">
  <dimension ref="A2:I13"/>
  <sheetViews>
    <sheetView workbookViewId="0">
      <selection activeCell="F5" sqref="F5"/>
    </sheetView>
  </sheetViews>
  <sheetFormatPr defaultRowHeight="15" x14ac:dyDescent="0.25"/>
  <cols>
    <col min="1" max="1" width="16.7109375" customWidth="1"/>
    <col min="2" max="7" width="15.5703125" customWidth="1"/>
    <col min="9" max="10" width="12.42578125" customWidth="1"/>
  </cols>
  <sheetData>
    <row r="2" spans="1:9" ht="15.75" x14ac:dyDescent="0.25">
      <c r="A2" s="130" t="s">
        <v>132</v>
      </c>
      <c r="B2" s="130"/>
      <c r="C2" s="130"/>
      <c r="D2" s="130"/>
      <c r="E2" s="130"/>
      <c r="F2" s="130"/>
      <c r="G2" s="130"/>
    </row>
    <row r="3" spans="1:9" x14ac:dyDescent="0.25">
      <c r="A3" s="3" t="s">
        <v>2</v>
      </c>
      <c r="B3" s="3" t="s">
        <v>3</v>
      </c>
      <c r="C3" s="3" t="s">
        <v>4</v>
      </c>
      <c r="D3" s="3" t="s">
        <v>5</v>
      </c>
      <c r="E3" s="3" t="s">
        <v>6</v>
      </c>
      <c r="F3" s="3" t="s">
        <v>11</v>
      </c>
      <c r="G3" s="3" t="s">
        <v>12</v>
      </c>
    </row>
    <row r="4" spans="1:9" ht="38.25" x14ac:dyDescent="0.25">
      <c r="A4" s="3" t="s">
        <v>133</v>
      </c>
      <c r="B4" s="3" t="s">
        <v>134</v>
      </c>
      <c r="C4" s="3" t="s">
        <v>135</v>
      </c>
      <c r="D4" s="3" t="s">
        <v>136</v>
      </c>
      <c r="E4" s="3" t="s">
        <v>137</v>
      </c>
      <c r="F4" s="3" t="s">
        <v>138</v>
      </c>
      <c r="G4" s="3" t="s">
        <v>146</v>
      </c>
    </row>
    <row r="5" spans="1:9" ht="28.5" x14ac:dyDescent="0.25">
      <c r="A5" s="10" t="s">
        <v>139</v>
      </c>
      <c r="B5" s="48">
        <v>10200</v>
      </c>
      <c r="C5" s="3">
        <f>'#Sources'!B20</f>
        <v>28</v>
      </c>
      <c r="D5" s="48">
        <f>B5*C5</f>
        <v>285600</v>
      </c>
      <c r="E5" s="48">
        <v>1020</v>
      </c>
      <c r="F5" s="3">
        <f>'#Sources'!E20</f>
        <v>596</v>
      </c>
      <c r="G5" s="48">
        <f>E5*F5</f>
        <v>607920</v>
      </c>
    </row>
    <row r="6" spans="1:9" ht="44.25" x14ac:dyDescent="0.25">
      <c r="A6" s="10" t="s">
        <v>140</v>
      </c>
      <c r="B6" s="48">
        <v>1015</v>
      </c>
      <c r="C6" s="3">
        <f>'#Sources'!B20+'#Sources'!C20</f>
        <v>31</v>
      </c>
      <c r="D6" s="48">
        <f>B6*C6</f>
        <v>31465</v>
      </c>
      <c r="E6" s="48">
        <v>134</v>
      </c>
      <c r="F6" s="47">
        <f>ROUND('#Sources'!E20+'#Sources'!F20*0.02+'#Sources'!C20,0)</f>
        <v>677</v>
      </c>
      <c r="G6" s="48">
        <f>E6*F6</f>
        <v>90718</v>
      </c>
    </row>
    <row r="7" spans="1:9" ht="15.75" x14ac:dyDescent="0.25">
      <c r="A7" s="10" t="s">
        <v>141</v>
      </c>
      <c r="B7" s="3" t="s">
        <v>142</v>
      </c>
      <c r="C7" s="3">
        <v>0</v>
      </c>
      <c r="D7" s="48">
        <v>0</v>
      </c>
      <c r="E7" s="49">
        <v>7.63</v>
      </c>
      <c r="F7" s="6">
        <f>'# Responses'!E22</f>
        <v>2819.28</v>
      </c>
      <c r="G7" s="48">
        <f>E7*F7</f>
        <v>21511.106400000001</v>
      </c>
      <c r="I7" s="61" t="s">
        <v>166</v>
      </c>
    </row>
    <row r="8" spans="1:9" ht="15.75" x14ac:dyDescent="0.25">
      <c r="A8" s="1" t="s">
        <v>143</v>
      </c>
      <c r="B8" s="1"/>
      <c r="C8" s="1"/>
      <c r="D8" s="50">
        <f>ROUND(SUM(D5:D7),-3)</f>
        <v>317000</v>
      </c>
      <c r="E8" s="1"/>
      <c r="F8" s="1"/>
      <c r="G8" s="50">
        <f>ROUND(SUM(G5:G7),-3)</f>
        <v>720000</v>
      </c>
      <c r="I8" s="60">
        <f>ROUND(D8+G8,-4)</f>
        <v>1040000</v>
      </c>
    </row>
    <row r="9" spans="1:9" ht="41.45" customHeight="1" x14ac:dyDescent="0.25">
      <c r="A9" s="131" t="s">
        <v>144</v>
      </c>
      <c r="B9" s="131"/>
      <c r="C9" s="131"/>
      <c r="D9" s="131"/>
      <c r="E9" s="131"/>
      <c r="F9" s="131"/>
      <c r="G9" s="131"/>
    </row>
    <row r="10" spans="1:9" x14ac:dyDescent="0.25">
      <c r="A10" s="82" t="s">
        <v>194</v>
      </c>
    </row>
    <row r="11" spans="1:9" ht="32.25" customHeight="1" x14ac:dyDescent="0.25">
      <c r="A11" s="132" t="s">
        <v>202</v>
      </c>
      <c r="B11" s="132"/>
      <c r="C11" s="132"/>
      <c r="D11" s="132"/>
      <c r="E11" s="132"/>
      <c r="F11" s="132"/>
      <c r="G11" s="132"/>
    </row>
    <row r="12" spans="1:9" ht="15.75" x14ac:dyDescent="0.25">
      <c r="A12" s="59" t="s">
        <v>203</v>
      </c>
    </row>
    <row r="13" spans="1:9" x14ac:dyDescent="0.25">
      <c r="A13" s="59" t="s">
        <v>145</v>
      </c>
    </row>
  </sheetData>
  <mergeCells count="3">
    <mergeCell ref="A2:G2"/>
    <mergeCell ref="A9:G9"/>
    <mergeCell ref="A11:G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1</vt:lpstr>
      <vt:lpstr>Table 2</vt:lpstr>
      <vt:lpstr>#Sources</vt:lpstr>
      <vt:lpstr># Responses</vt:lpstr>
      <vt:lpstr>Capital and O&amp;M Costs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AHou</dc:creator>
  <cp:lastModifiedBy>wwrigley</cp:lastModifiedBy>
  <dcterms:created xsi:type="dcterms:W3CDTF">2016-03-14T16:46:44Z</dcterms:created>
  <dcterms:modified xsi:type="dcterms:W3CDTF">2019-07-23T16:39:13Z</dcterms:modified>
</cp:coreProperties>
</file>