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hristina.Sandberg\Documents\School Nutrition and Meal Cost Study-II\Final\Appendices L-Q\"/>
    </mc:Choice>
  </mc:AlternateContent>
  <bookViews>
    <workbookView xWindow="0" yWindow="0" windowWidth="20490" windowHeight="7950"/>
  </bookViews>
  <sheets>
    <sheet name="Burden Table" sheetId="1" r:id="rId1"/>
  </sheets>
  <definedNames>
    <definedName name="_xlnm._FilterDatabase" localSheetId="0" hidden="1">'Burden Table'!$A$3:$P$115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86" i="1" l="1"/>
  <c r="F86" i="1"/>
  <c r="K75" i="1"/>
  <c r="K113" i="1" l="1"/>
  <c r="K107" i="1"/>
  <c r="F113" i="1" l="1"/>
  <c r="E113" i="1" s="1"/>
  <c r="Q89" i="1" l="1"/>
  <c r="Q91" i="1"/>
  <c r="Q92" i="1"/>
  <c r="Q93" i="1"/>
  <c r="Q94" i="1"/>
  <c r="Q95" i="1"/>
  <c r="Q96" i="1"/>
  <c r="Q97" i="1"/>
  <c r="Q98" i="1"/>
  <c r="Q84" i="1"/>
  <c r="Q85" i="1"/>
  <c r="Q78" i="1"/>
  <c r="Q58" i="1"/>
  <c r="Q60" i="1"/>
  <c r="Q63" i="1"/>
  <c r="Q65" i="1"/>
  <c r="Q56" i="1"/>
  <c r="M112" i="1"/>
  <c r="O112" i="1" s="1"/>
  <c r="H112" i="1"/>
  <c r="J112" i="1" s="1"/>
  <c r="E112" i="1"/>
  <c r="M111" i="1"/>
  <c r="O111" i="1" s="1"/>
  <c r="H111" i="1"/>
  <c r="J111" i="1" s="1"/>
  <c r="E111" i="1"/>
  <c r="N110" i="1"/>
  <c r="M110" i="1"/>
  <c r="H110" i="1"/>
  <c r="J110" i="1" s="1"/>
  <c r="E110" i="1"/>
  <c r="M109" i="1"/>
  <c r="O109" i="1" s="1"/>
  <c r="H109" i="1"/>
  <c r="J109" i="1" s="1"/>
  <c r="E109" i="1"/>
  <c r="M108" i="1"/>
  <c r="O108" i="1" s="1"/>
  <c r="H108" i="1"/>
  <c r="E108" i="1"/>
  <c r="K114" i="1"/>
  <c r="F107" i="1"/>
  <c r="F114" i="1" s="1"/>
  <c r="Q106" i="1"/>
  <c r="M106" i="1"/>
  <c r="O106" i="1" s="1"/>
  <c r="H106" i="1"/>
  <c r="J106" i="1" s="1"/>
  <c r="E106" i="1"/>
  <c r="Q105" i="1"/>
  <c r="M105" i="1"/>
  <c r="O105" i="1" s="1"/>
  <c r="H105" i="1"/>
  <c r="J105" i="1" s="1"/>
  <c r="E105" i="1"/>
  <c r="Q104" i="1"/>
  <c r="M104" i="1"/>
  <c r="O104" i="1" s="1"/>
  <c r="I104" i="1"/>
  <c r="H104" i="1"/>
  <c r="E104" i="1"/>
  <c r="Q103" i="1"/>
  <c r="M103" i="1"/>
  <c r="O103" i="1" s="1"/>
  <c r="H103" i="1"/>
  <c r="E103" i="1"/>
  <c r="Q102" i="1"/>
  <c r="M102" i="1"/>
  <c r="O102" i="1" s="1"/>
  <c r="H102" i="1"/>
  <c r="J102" i="1" s="1"/>
  <c r="E102" i="1"/>
  <c r="Q101" i="1"/>
  <c r="M101" i="1"/>
  <c r="O101" i="1" s="1"/>
  <c r="H101" i="1"/>
  <c r="J101" i="1" s="1"/>
  <c r="E101" i="1"/>
  <c r="Q100" i="1"/>
  <c r="M100" i="1"/>
  <c r="H100" i="1"/>
  <c r="J100" i="1" s="1"/>
  <c r="E100" i="1"/>
  <c r="K99" i="1"/>
  <c r="F99" i="1"/>
  <c r="M98" i="1"/>
  <c r="O98" i="1" s="1"/>
  <c r="H98" i="1"/>
  <c r="J98" i="1" s="1"/>
  <c r="M97" i="1"/>
  <c r="O97" i="1" s="1"/>
  <c r="H97" i="1"/>
  <c r="J97" i="1" s="1"/>
  <c r="M96" i="1"/>
  <c r="O96" i="1" s="1"/>
  <c r="H96" i="1"/>
  <c r="J96" i="1" s="1"/>
  <c r="J95" i="1"/>
  <c r="P95" i="1" s="1"/>
  <c r="J94" i="1"/>
  <c r="P94" i="1" s="1"/>
  <c r="N93" i="1"/>
  <c r="M93" i="1"/>
  <c r="H93" i="1"/>
  <c r="J93" i="1" s="1"/>
  <c r="H92" i="1"/>
  <c r="J92" i="1" s="1"/>
  <c r="P92" i="1" s="1"/>
  <c r="R92" i="1" s="1"/>
  <c r="M91" i="1"/>
  <c r="O91" i="1" s="1"/>
  <c r="H91" i="1"/>
  <c r="J91" i="1" s="1"/>
  <c r="Q90" i="1"/>
  <c r="M90" i="1"/>
  <c r="O90" i="1" s="1"/>
  <c r="H90" i="1"/>
  <c r="J90" i="1" s="1"/>
  <c r="M89" i="1"/>
  <c r="O89" i="1" s="1"/>
  <c r="J89" i="1"/>
  <c r="Q88" i="1"/>
  <c r="M88" i="1"/>
  <c r="H88" i="1"/>
  <c r="E86" i="1"/>
  <c r="M85" i="1"/>
  <c r="O85" i="1" s="1"/>
  <c r="H85" i="1"/>
  <c r="J85" i="1" s="1"/>
  <c r="M84" i="1"/>
  <c r="O84" i="1" s="1"/>
  <c r="H84" i="1"/>
  <c r="J84" i="1" s="1"/>
  <c r="Q83" i="1"/>
  <c r="K83" i="1"/>
  <c r="M83" i="1" s="1"/>
  <c r="F83" i="1"/>
  <c r="H83" i="1" s="1"/>
  <c r="J83" i="1" s="1"/>
  <c r="Q82" i="1"/>
  <c r="M82" i="1"/>
  <c r="O82" i="1" s="1"/>
  <c r="I82" i="1"/>
  <c r="H82" i="1"/>
  <c r="E82" i="1"/>
  <c r="Q81" i="1"/>
  <c r="M81" i="1"/>
  <c r="O81" i="1" s="1"/>
  <c r="H81" i="1"/>
  <c r="J81" i="1" s="1"/>
  <c r="E81" i="1"/>
  <c r="Q80" i="1"/>
  <c r="M80" i="1"/>
  <c r="O80" i="1" s="1"/>
  <c r="H80" i="1"/>
  <c r="J80" i="1" s="1"/>
  <c r="E80" i="1"/>
  <c r="Q79" i="1"/>
  <c r="M79" i="1"/>
  <c r="O79" i="1" s="1"/>
  <c r="H79" i="1"/>
  <c r="J79" i="1" s="1"/>
  <c r="M78" i="1"/>
  <c r="O78" i="1" s="1"/>
  <c r="H78" i="1"/>
  <c r="J78" i="1" s="1"/>
  <c r="Q77" i="1"/>
  <c r="M77" i="1"/>
  <c r="O77" i="1" s="1"/>
  <c r="I77" i="1"/>
  <c r="H77" i="1"/>
  <c r="E77" i="1"/>
  <c r="Q76" i="1"/>
  <c r="M76" i="1"/>
  <c r="O76" i="1" s="1"/>
  <c r="H76" i="1"/>
  <c r="E76" i="1"/>
  <c r="F75" i="1"/>
  <c r="E75" i="1" s="1"/>
  <c r="Q74" i="1"/>
  <c r="M74" i="1"/>
  <c r="O74" i="1" s="1"/>
  <c r="H74" i="1"/>
  <c r="J74" i="1" s="1"/>
  <c r="E74" i="1"/>
  <c r="Q73" i="1"/>
  <c r="M73" i="1"/>
  <c r="O73" i="1" s="1"/>
  <c r="H73" i="1"/>
  <c r="J73" i="1" s="1"/>
  <c r="E73" i="1"/>
  <c r="Q72" i="1"/>
  <c r="M72" i="1"/>
  <c r="O72" i="1" s="1"/>
  <c r="H72" i="1"/>
  <c r="J72" i="1" s="1"/>
  <c r="E72" i="1"/>
  <c r="Q71" i="1"/>
  <c r="M71" i="1"/>
  <c r="O71" i="1" s="1"/>
  <c r="H71" i="1"/>
  <c r="J71" i="1" s="1"/>
  <c r="E71" i="1"/>
  <c r="Q70" i="1"/>
  <c r="M70" i="1"/>
  <c r="O70" i="1" s="1"/>
  <c r="H70" i="1"/>
  <c r="J70" i="1" s="1"/>
  <c r="E70" i="1"/>
  <c r="Q69" i="1"/>
  <c r="M69" i="1"/>
  <c r="O69" i="1" s="1"/>
  <c r="H69" i="1"/>
  <c r="J69" i="1" s="1"/>
  <c r="E69" i="1"/>
  <c r="Q68" i="1"/>
  <c r="M68" i="1"/>
  <c r="O68" i="1" s="1"/>
  <c r="H68" i="1"/>
  <c r="J68" i="1" s="1"/>
  <c r="E68" i="1"/>
  <c r="Q67" i="1"/>
  <c r="M67" i="1"/>
  <c r="O67" i="1" s="1"/>
  <c r="H67" i="1"/>
  <c r="J67" i="1" s="1"/>
  <c r="E67" i="1"/>
  <c r="Q66" i="1"/>
  <c r="M66" i="1"/>
  <c r="O66" i="1" s="1"/>
  <c r="H66" i="1"/>
  <c r="J66" i="1" s="1"/>
  <c r="E66" i="1"/>
  <c r="M65" i="1"/>
  <c r="O65" i="1" s="1"/>
  <c r="H65" i="1"/>
  <c r="J65" i="1" s="1"/>
  <c r="Q64" i="1"/>
  <c r="M64" i="1"/>
  <c r="O64" i="1" s="1"/>
  <c r="H64" i="1"/>
  <c r="J64" i="1" s="1"/>
  <c r="E64" i="1"/>
  <c r="M63" i="1"/>
  <c r="O63" i="1" s="1"/>
  <c r="H63" i="1"/>
  <c r="J63" i="1" s="1"/>
  <c r="Q62" i="1"/>
  <c r="N62" i="1"/>
  <c r="M62" i="1"/>
  <c r="H62" i="1"/>
  <c r="J62" i="1" s="1"/>
  <c r="E62" i="1"/>
  <c r="Q61" i="1"/>
  <c r="N61" i="1"/>
  <c r="M61" i="1"/>
  <c r="H61" i="1"/>
  <c r="J61" i="1" s="1"/>
  <c r="E61" i="1"/>
  <c r="M60" i="1"/>
  <c r="O60" i="1" s="1"/>
  <c r="H60" i="1"/>
  <c r="J60" i="1" s="1"/>
  <c r="Q59" i="1"/>
  <c r="M59" i="1"/>
  <c r="O59" i="1" s="1"/>
  <c r="H59" i="1"/>
  <c r="J59" i="1" s="1"/>
  <c r="E59" i="1"/>
  <c r="M58" i="1"/>
  <c r="O58" i="1" s="1"/>
  <c r="H58" i="1"/>
  <c r="J58" i="1" s="1"/>
  <c r="Q57" i="1"/>
  <c r="M57" i="1"/>
  <c r="O57" i="1" s="1"/>
  <c r="H57" i="1"/>
  <c r="J57" i="1" s="1"/>
  <c r="E57" i="1"/>
  <c r="M56" i="1"/>
  <c r="O56" i="1" s="1"/>
  <c r="H56" i="1"/>
  <c r="J56" i="1" s="1"/>
  <c r="Q55" i="1"/>
  <c r="M55" i="1"/>
  <c r="O55" i="1" s="1"/>
  <c r="H55" i="1"/>
  <c r="J55" i="1" s="1"/>
  <c r="E55" i="1"/>
  <c r="Q54" i="1"/>
  <c r="M54" i="1"/>
  <c r="H54" i="1"/>
  <c r="J54" i="1" s="1"/>
  <c r="F53" i="1"/>
  <c r="Q52" i="1"/>
  <c r="M52" i="1"/>
  <c r="O52" i="1" s="1"/>
  <c r="H52" i="1"/>
  <c r="J52" i="1" s="1"/>
  <c r="E52" i="1"/>
  <c r="Q51" i="1"/>
  <c r="M51" i="1"/>
  <c r="O51" i="1" s="1"/>
  <c r="H51" i="1"/>
  <c r="J51" i="1" s="1"/>
  <c r="Q50" i="1"/>
  <c r="H50" i="1"/>
  <c r="J50" i="1" s="1"/>
  <c r="P50" i="1" s="1"/>
  <c r="Q49" i="1"/>
  <c r="M49" i="1"/>
  <c r="O49" i="1" s="1"/>
  <c r="H49" i="1"/>
  <c r="J49" i="1" s="1"/>
  <c r="Q48" i="1"/>
  <c r="M48" i="1"/>
  <c r="O48" i="1" s="1"/>
  <c r="H48" i="1"/>
  <c r="J48" i="1" s="1"/>
  <c r="E48" i="1"/>
  <c r="Q47" i="1"/>
  <c r="M47" i="1"/>
  <c r="O47" i="1" s="1"/>
  <c r="H47" i="1"/>
  <c r="J47" i="1" s="1"/>
  <c r="Q46" i="1"/>
  <c r="M46" i="1"/>
  <c r="O46" i="1" s="1"/>
  <c r="H46" i="1"/>
  <c r="J46" i="1" s="1"/>
  <c r="Q45" i="1"/>
  <c r="M45" i="1"/>
  <c r="O45" i="1" s="1"/>
  <c r="H45" i="1"/>
  <c r="J45" i="1" s="1"/>
  <c r="E45" i="1"/>
  <c r="Q44" i="1"/>
  <c r="M44" i="1"/>
  <c r="O44" i="1" s="1"/>
  <c r="H44" i="1"/>
  <c r="J44" i="1" s="1"/>
  <c r="Q43" i="1"/>
  <c r="M43" i="1"/>
  <c r="O43" i="1" s="1"/>
  <c r="H43" i="1"/>
  <c r="J43" i="1" s="1"/>
  <c r="P43" i="1" s="1"/>
  <c r="R43" i="1" s="1"/>
  <c r="Q42" i="1"/>
  <c r="M42" i="1"/>
  <c r="O42" i="1" s="1"/>
  <c r="H42" i="1"/>
  <c r="J42" i="1" s="1"/>
  <c r="E42" i="1"/>
  <c r="Q41" i="1"/>
  <c r="M41" i="1"/>
  <c r="O41" i="1" s="1"/>
  <c r="H41" i="1"/>
  <c r="J41" i="1" s="1"/>
  <c r="Q40" i="1"/>
  <c r="M40" i="1"/>
  <c r="O40" i="1" s="1"/>
  <c r="H40" i="1"/>
  <c r="J40" i="1" s="1"/>
  <c r="Q39" i="1"/>
  <c r="M39" i="1"/>
  <c r="O39" i="1" s="1"/>
  <c r="H39" i="1"/>
  <c r="J39" i="1" s="1"/>
  <c r="E39" i="1"/>
  <c r="Q38" i="1"/>
  <c r="M38" i="1"/>
  <c r="H38" i="1"/>
  <c r="J38" i="1" s="1"/>
  <c r="P38" i="1" s="1"/>
  <c r="Q37" i="1"/>
  <c r="M37" i="1"/>
  <c r="O37" i="1" s="1"/>
  <c r="H37" i="1"/>
  <c r="J37" i="1" s="1"/>
  <c r="P37" i="1" s="1"/>
  <c r="R37" i="1" s="1"/>
  <c r="Q36" i="1"/>
  <c r="M36" i="1"/>
  <c r="O36" i="1" s="1"/>
  <c r="H36" i="1"/>
  <c r="J36" i="1" s="1"/>
  <c r="E36" i="1"/>
  <c r="Q35" i="1"/>
  <c r="N35" i="1"/>
  <c r="M35" i="1"/>
  <c r="I35" i="1"/>
  <c r="H35" i="1"/>
  <c r="Q34" i="1"/>
  <c r="N34" i="1"/>
  <c r="M34" i="1"/>
  <c r="O34" i="1" s="1"/>
  <c r="I34" i="1"/>
  <c r="H34" i="1"/>
  <c r="Q33" i="1"/>
  <c r="N33" i="1"/>
  <c r="K33" i="1"/>
  <c r="M33" i="1" s="1"/>
  <c r="I33" i="1"/>
  <c r="F33" i="1"/>
  <c r="H33" i="1" s="1"/>
  <c r="Q32" i="1"/>
  <c r="M32" i="1"/>
  <c r="O32" i="1" s="1"/>
  <c r="H32" i="1"/>
  <c r="J32" i="1" s="1"/>
  <c r="Q31" i="1"/>
  <c r="M31" i="1"/>
  <c r="O31" i="1" s="1"/>
  <c r="H31" i="1"/>
  <c r="J31" i="1" s="1"/>
  <c r="Q30" i="1"/>
  <c r="M30" i="1"/>
  <c r="O30" i="1" s="1"/>
  <c r="H30" i="1"/>
  <c r="J30" i="1" s="1"/>
  <c r="P30" i="1" s="1"/>
  <c r="E30" i="1"/>
  <c r="Q29" i="1"/>
  <c r="M29" i="1"/>
  <c r="O29" i="1" s="1"/>
  <c r="H29" i="1"/>
  <c r="J29" i="1" s="1"/>
  <c r="E29" i="1"/>
  <c r="Q28" i="1"/>
  <c r="M28" i="1"/>
  <c r="O28" i="1" s="1"/>
  <c r="I28" i="1"/>
  <c r="H28" i="1"/>
  <c r="E28" i="1"/>
  <c r="Q27" i="1"/>
  <c r="M27" i="1"/>
  <c r="O27" i="1" s="1"/>
  <c r="H27" i="1"/>
  <c r="J27" i="1" s="1"/>
  <c r="E27" i="1"/>
  <c r="Q26" i="1"/>
  <c r="M26" i="1"/>
  <c r="O26" i="1" s="1"/>
  <c r="H26" i="1"/>
  <c r="J26" i="1" s="1"/>
  <c r="E26" i="1"/>
  <c r="Q25" i="1"/>
  <c r="M25" i="1"/>
  <c r="O25" i="1" s="1"/>
  <c r="H25" i="1"/>
  <c r="J25" i="1" s="1"/>
  <c r="E25" i="1"/>
  <c r="Q24" i="1"/>
  <c r="M24" i="1"/>
  <c r="O24" i="1" s="1"/>
  <c r="H24" i="1"/>
  <c r="J24" i="1" s="1"/>
  <c r="E24" i="1"/>
  <c r="Q23" i="1"/>
  <c r="M23" i="1"/>
  <c r="O23" i="1" s="1"/>
  <c r="H23" i="1"/>
  <c r="J23" i="1" s="1"/>
  <c r="E23" i="1"/>
  <c r="Q22" i="1"/>
  <c r="O22" i="1"/>
  <c r="I22" i="1"/>
  <c r="H22" i="1"/>
  <c r="J22" i="1" s="1"/>
  <c r="Q21" i="1"/>
  <c r="M21" i="1"/>
  <c r="O21" i="1" s="1"/>
  <c r="I21" i="1"/>
  <c r="H21" i="1"/>
  <c r="J21" i="1" s="1"/>
  <c r="Q20" i="1"/>
  <c r="M20" i="1"/>
  <c r="O20" i="1" s="1"/>
  <c r="I20" i="1"/>
  <c r="H20" i="1"/>
  <c r="J20" i="1" s="1"/>
  <c r="E20" i="1"/>
  <c r="Q19" i="1"/>
  <c r="M19" i="1"/>
  <c r="O19" i="1" s="1"/>
  <c r="H19" i="1"/>
  <c r="J19" i="1" s="1"/>
  <c r="Q18" i="1"/>
  <c r="M18" i="1"/>
  <c r="O18" i="1" s="1"/>
  <c r="H18" i="1"/>
  <c r="J18" i="1" s="1"/>
  <c r="Q17" i="1"/>
  <c r="M17" i="1"/>
  <c r="O17" i="1" s="1"/>
  <c r="H17" i="1"/>
  <c r="J17" i="1" s="1"/>
  <c r="E17" i="1"/>
  <c r="Q16" i="1"/>
  <c r="M16" i="1"/>
  <c r="O16" i="1" s="1"/>
  <c r="H16" i="1"/>
  <c r="J16" i="1" s="1"/>
  <c r="Q15" i="1"/>
  <c r="M15" i="1"/>
  <c r="O15" i="1" s="1"/>
  <c r="H15" i="1"/>
  <c r="J15" i="1" s="1"/>
  <c r="Q14" i="1"/>
  <c r="H14" i="1"/>
  <c r="J14" i="1" s="1"/>
  <c r="P14" i="1" s="1"/>
  <c r="R14" i="1" s="1"/>
  <c r="Q13" i="1"/>
  <c r="M13" i="1"/>
  <c r="O13" i="1" s="1"/>
  <c r="H13" i="1"/>
  <c r="J13" i="1" s="1"/>
  <c r="Q12" i="1"/>
  <c r="M12" i="1"/>
  <c r="O12" i="1" s="1"/>
  <c r="H12" i="1"/>
  <c r="J12" i="1" s="1"/>
  <c r="E12" i="1"/>
  <c r="Q11" i="1"/>
  <c r="O11" i="1"/>
  <c r="H11" i="1"/>
  <c r="J11" i="1" s="1"/>
  <c r="Q10" i="1"/>
  <c r="M10" i="1"/>
  <c r="O10" i="1" s="1"/>
  <c r="H10" i="1"/>
  <c r="J10" i="1" s="1"/>
  <c r="P10" i="1" s="1"/>
  <c r="R10" i="1" s="1"/>
  <c r="Q9" i="1"/>
  <c r="M9" i="1"/>
  <c r="O9" i="1" s="1"/>
  <c r="H9" i="1"/>
  <c r="J9" i="1" s="1"/>
  <c r="E9" i="1"/>
  <c r="Q8" i="1"/>
  <c r="M8" i="1"/>
  <c r="O8" i="1" s="1"/>
  <c r="H8" i="1"/>
  <c r="J8" i="1" s="1"/>
  <c r="Q7" i="1"/>
  <c r="M7" i="1"/>
  <c r="O7" i="1" s="1"/>
  <c r="H7" i="1"/>
  <c r="J7" i="1" s="1"/>
  <c r="E7" i="1"/>
  <c r="Q6" i="1"/>
  <c r="M6" i="1"/>
  <c r="O6" i="1" s="1"/>
  <c r="J6" i="1"/>
  <c r="P6" i="1" s="1"/>
  <c r="Q5" i="1"/>
  <c r="K5" i="1"/>
  <c r="M5" i="1" s="1"/>
  <c r="O5" i="1" s="1"/>
  <c r="J5" i="1"/>
  <c r="Q4" i="1"/>
  <c r="K4" i="1"/>
  <c r="H4" i="1"/>
  <c r="J4" i="1" s="1"/>
  <c r="R38" i="1" l="1"/>
  <c r="J77" i="1"/>
  <c r="K53" i="1"/>
  <c r="K87" i="1" s="1"/>
  <c r="P78" i="1"/>
  <c r="P44" i="1"/>
  <c r="R44" i="1" s="1"/>
  <c r="R50" i="1"/>
  <c r="P84" i="1"/>
  <c r="R84" i="1" s="1"/>
  <c r="P25" i="1"/>
  <c r="R25" i="1" s="1"/>
  <c r="J33" i="1"/>
  <c r="O35" i="1"/>
  <c r="P42" i="1"/>
  <c r="R42" i="1" s="1"/>
  <c r="P49" i="1"/>
  <c r="R49" i="1" s="1"/>
  <c r="P64" i="1"/>
  <c r="R64" i="1" s="1"/>
  <c r="P97" i="1"/>
  <c r="R97" i="1" s="1"/>
  <c r="E99" i="1"/>
  <c r="P101" i="1"/>
  <c r="R101" i="1" s="1"/>
  <c r="P102" i="1"/>
  <c r="R102" i="1" s="1"/>
  <c r="P112" i="1"/>
  <c r="R111" i="1" s="1"/>
  <c r="P9" i="1"/>
  <c r="R9" i="1" s="1"/>
  <c r="P48" i="1"/>
  <c r="R48" i="1" s="1"/>
  <c r="P60" i="1"/>
  <c r="R60" i="1" s="1"/>
  <c r="E83" i="1"/>
  <c r="O93" i="1"/>
  <c r="P93" i="1" s="1"/>
  <c r="R93" i="1" s="1"/>
  <c r="P96" i="1"/>
  <c r="P98" i="1"/>
  <c r="M4" i="1"/>
  <c r="O4" i="1" s="1"/>
  <c r="P4" i="1" s="1"/>
  <c r="R4" i="1" s="1"/>
  <c r="E53" i="1"/>
  <c r="E87" i="1" s="1"/>
  <c r="H86" i="1"/>
  <c r="P13" i="1"/>
  <c r="R13" i="1" s="1"/>
  <c r="P18" i="1"/>
  <c r="R18" i="1" s="1"/>
  <c r="P36" i="1"/>
  <c r="R36" i="1" s="1"/>
  <c r="P51" i="1"/>
  <c r="P52" i="1"/>
  <c r="O61" i="1"/>
  <c r="P61" i="1" s="1"/>
  <c r="R61" i="1" s="1"/>
  <c r="P63" i="1"/>
  <c r="R63" i="1" s="1"/>
  <c r="R96" i="1"/>
  <c r="P39" i="1"/>
  <c r="R39" i="1" s="1"/>
  <c r="P45" i="1"/>
  <c r="R45" i="1" s="1"/>
  <c r="P11" i="1"/>
  <c r="R11" i="1" s="1"/>
  <c r="P12" i="1"/>
  <c r="R12" i="1" s="1"/>
  <c r="J28" i="1"/>
  <c r="P32" i="1"/>
  <c r="R32" i="1" s="1"/>
  <c r="M75" i="1"/>
  <c r="L75" i="1" s="1"/>
  <c r="P77" i="1"/>
  <c r="R77" i="1" s="1"/>
  <c r="H113" i="1"/>
  <c r="G113" i="1" s="1"/>
  <c r="P109" i="1"/>
  <c r="R108" i="1" s="1"/>
  <c r="J76" i="1"/>
  <c r="P76" i="1" s="1"/>
  <c r="R76" i="1" s="1"/>
  <c r="P16" i="1"/>
  <c r="R16" i="1" s="1"/>
  <c r="P7" i="1"/>
  <c r="R7" i="1" s="1"/>
  <c r="P17" i="1"/>
  <c r="R17" i="1" s="1"/>
  <c r="P23" i="1"/>
  <c r="R23" i="1" s="1"/>
  <c r="P24" i="1"/>
  <c r="R24" i="1" s="1"/>
  <c r="P27" i="1"/>
  <c r="R27" i="1" s="1"/>
  <c r="P47" i="1"/>
  <c r="R47" i="1" s="1"/>
  <c r="P58" i="1"/>
  <c r="R58" i="1" s="1"/>
  <c r="P85" i="1"/>
  <c r="R85" i="1" s="1"/>
  <c r="P90" i="1"/>
  <c r="R90" i="1" s="1"/>
  <c r="H99" i="1"/>
  <c r="G99" i="1" s="1"/>
  <c r="M107" i="1"/>
  <c r="L107" i="1" s="1"/>
  <c r="P111" i="1"/>
  <c r="R110" i="1" s="1"/>
  <c r="R6" i="1"/>
  <c r="P21" i="1"/>
  <c r="R21" i="1" s="1"/>
  <c r="R30" i="1"/>
  <c r="R51" i="1"/>
  <c r="R52" i="1"/>
  <c r="M99" i="1"/>
  <c r="L99" i="1" s="1"/>
  <c r="H107" i="1"/>
  <c r="G107" i="1" s="1"/>
  <c r="J108" i="1"/>
  <c r="P108" i="1" s="1"/>
  <c r="P15" i="1"/>
  <c r="R15" i="1" s="1"/>
  <c r="O33" i="1"/>
  <c r="J34" i="1"/>
  <c r="P34" i="1" s="1"/>
  <c r="R34" i="1" s="1"/>
  <c r="J35" i="1"/>
  <c r="P55" i="1"/>
  <c r="R55" i="1" s="1"/>
  <c r="P57" i="1"/>
  <c r="R57" i="1" s="1"/>
  <c r="P59" i="1"/>
  <c r="R59" i="1" s="1"/>
  <c r="O62" i="1"/>
  <c r="P62" i="1" s="1"/>
  <c r="R62" i="1" s="1"/>
  <c r="P66" i="1"/>
  <c r="R66" i="1" s="1"/>
  <c r="P68" i="1"/>
  <c r="R68" i="1" s="1"/>
  <c r="P70" i="1"/>
  <c r="R70" i="1" s="1"/>
  <c r="P72" i="1"/>
  <c r="R72" i="1" s="1"/>
  <c r="P74" i="1"/>
  <c r="R74" i="1" s="1"/>
  <c r="P81" i="1"/>
  <c r="R81" i="1" s="1"/>
  <c r="J82" i="1"/>
  <c r="P82" i="1" s="1"/>
  <c r="R82" i="1" s="1"/>
  <c r="R95" i="1"/>
  <c r="J104" i="1"/>
  <c r="P104" i="1" s="1"/>
  <c r="R104" i="1" s="1"/>
  <c r="P106" i="1"/>
  <c r="R106" i="1" s="1"/>
  <c r="O110" i="1"/>
  <c r="O113" i="1" s="1"/>
  <c r="J103" i="1"/>
  <c r="P103" i="1" s="1"/>
  <c r="R103" i="1" s="1"/>
  <c r="P89" i="1"/>
  <c r="R89" i="1" s="1"/>
  <c r="R94" i="1"/>
  <c r="R98" i="1"/>
  <c r="R78" i="1"/>
  <c r="H53" i="1"/>
  <c r="G53" i="1" s="1"/>
  <c r="F87" i="1"/>
  <c r="F115" i="1" s="1"/>
  <c r="P8" i="1"/>
  <c r="R8" i="1" s="1"/>
  <c r="P65" i="1"/>
  <c r="R65" i="1" s="1"/>
  <c r="P67" i="1"/>
  <c r="R67" i="1" s="1"/>
  <c r="P69" i="1"/>
  <c r="R69" i="1" s="1"/>
  <c r="P71" i="1"/>
  <c r="R71" i="1" s="1"/>
  <c r="P73" i="1"/>
  <c r="R73" i="1" s="1"/>
  <c r="P80" i="1"/>
  <c r="R80" i="1" s="1"/>
  <c r="P105" i="1"/>
  <c r="R105" i="1" s="1"/>
  <c r="P41" i="1"/>
  <c r="R41" i="1" s="1"/>
  <c r="M86" i="1"/>
  <c r="O83" i="1"/>
  <c r="P83" i="1" s="1"/>
  <c r="R83" i="1" s="1"/>
  <c r="P5" i="1"/>
  <c r="R5" i="1" s="1"/>
  <c r="P20" i="1"/>
  <c r="R20" i="1" s="1"/>
  <c r="P22" i="1"/>
  <c r="R22" i="1" s="1"/>
  <c r="P26" i="1"/>
  <c r="R26" i="1" s="1"/>
  <c r="P29" i="1"/>
  <c r="R29" i="1" s="1"/>
  <c r="P31" i="1"/>
  <c r="R31" i="1" s="1"/>
  <c r="P46" i="1"/>
  <c r="R46" i="1" s="1"/>
  <c r="J75" i="1"/>
  <c r="P56" i="1"/>
  <c r="R56" i="1" s="1"/>
  <c r="P79" i="1"/>
  <c r="R79" i="1" s="1"/>
  <c r="P91" i="1"/>
  <c r="R91" i="1" s="1"/>
  <c r="J113" i="1"/>
  <c r="O54" i="1"/>
  <c r="P19" i="1"/>
  <c r="R19" i="1" s="1"/>
  <c r="P40" i="1"/>
  <c r="R40" i="1" s="1"/>
  <c r="H75" i="1"/>
  <c r="G75" i="1" s="1"/>
  <c r="J88" i="1"/>
  <c r="E107" i="1"/>
  <c r="E114" i="1" s="1"/>
  <c r="E33" i="1"/>
  <c r="O88" i="1"/>
  <c r="O100" i="1"/>
  <c r="O107" i="1" s="1"/>
  <c r="M113" i="1"/>
  <c r="P35" i="1" l="1"/>
  <c r="R35" i="1" s="1"/>
  <c r="J53" i="1"/>
  <c r="I53" i="1" s="1"/>
  <c r="P28" i="1"/>
  <c r="R28" i="1" s="1"/>
  <c r="O99" i="1"/>
  <c r="N99" i="1" s="1"/>
  <c r="O53" i="1"/>
  <c r="M53" i="1"/>
  <c r="L53" i="1" s="1"/>
  <c r="I75" i="1"/>
  <c r="P110" i="1"/>
  <c r="R109" i="1" s="1"/>
  <c r="J86" i="1"/>
  <c r="H114" i="1"/>
  <c r="G114" i="1" s="1"/>
  <c r="O75" i="1"/>
  <c r="P75" i="1" s="1"/>
  <c r="P33" i="1"/>
  <c r="R33" i="1" s="1"/>
  <c r="R53" i="1" s="1"/>
  <c r="J107" i="1"/>
  <c r="I107" i="1" s="1"/>
  <c r="M114" i="1"/>
  <c r="L113" i="1"/>
  <c r="P54" i="1"/>
  <c r="R54" i="1" s="1"/>
  <c r="R75" i="1" s="1"/>
  <c r="L86" i="1"/>
  <c r="K115" i="1"/>
  <c r="E115" i="1"/>
  <c r="H87" i="1"/>
  <c r="G87" i="1" s="1"/>
  <c r="G86" i="1"/>
  <c r="R86" i="1"/>
  <c r="P88" i="1"/>
  <c r="J99" i="1"/>
  <c r="I99" i="1" s="1"/>
  <c r="N113" i="1"/>
  <c r="P113" i="1"/>
  <c r="R112" i="1" s="1"/>
  <c r="P100" i="1"/>
  <c r="R100" i="1" s="1"/>
  <c r="R107" i="1" s="1"/>
  <c r="R114" i="1" s="1"/>
  <c r="O86" i="1"/>
  <c r="O114" i="1"/>
  <c r="N107" i="1"/>
  <c r="I86" i="1"/>
  <c r="J87" i="1"/>
  <c r="I113" i="1"/>
  <c r="N75" i="1" l="1"/>
  <c r="M87" i="1"/>
  <c r="L87" i="1" s="1"/>
  <c r="N53" i="1"/>
  <c r="P53" i="1"/>
  <c r="P99" i="1"/>
  <c r="J114" i="1"/>
  <c r="I114" i="1" s="1"/>
  <c r="I87" i="1"/>
  <c r="P107" i="1"/>
  <c r="P114" i="1" s="1"/>
  <c r="M115" i="1"/>
  <c r="L115" i="1" s="1"/>
  <c r="L114" i="1"/>
  <c r="H115" i="1"/>
  <c r="G115" i="1" s="1"/>
  <c r="R87" i="1"/>
  <c r="O87" i="1"/>
  <c r="N87" i="1" s="1"/>
  <c r="P86" i="1"/>
  <c r="N86" i="1"/>
  <c r="N114" i="1"/>
  <c r="J115" i="1"/>
  <c r="R88" i="1"/>
  <c r="R99" i="1" s="1"/>
  <c r="R115" i="1" l="1"/>
  <c r="P87" i="1"/>
  <c r="P115" i="1"/>
  <c r="I115" i="1"/>
  <c r="O115" i="1"/>
  <c r="N115" i="1" s="1"/>
</calcChain>
</file>

<file path=xl/sharedStrings.xml><?xml version="1.0" encoding="utf-8"?>
<sst xmlns="http://schemas.openxmlformats.org/spreadsheetml/2006/main" count="470" uniqueCount="217">
  <si>
    <t>Non-Response</t>
  </si>
  <si>
    <t>Affected Public</t>
  </si>
  <si>
    <t>Data Collection Activity</t>
  </si>
  <si>
    <t>Respondents</t>
  </si>
  <si>
    <t>Estimated Number of Respondents</t>
  </si>
  <si>
    <t>Total Annual Responses</t>
  </si>
  <si>
    <t>Average Burden Hours per Response</t>
  </si>
  <si>
    <t>Total Annual Burden Estimate (hours)</t>
  </si>
  <si>
    <t>Grand Total Annual Burden Estimate (hours)</t>
  </si>
  <si>
    <t>Local and Tribal</t>
  </si>
  <si>
    <t>SFA Directors (Groups 2, 3)</t>
  </si>
  <si>
    <t>SFA Directors (Groups 1, 2, 3)</t>
  </si>
  <si>
    <t>School Nutrition Managers (Groups 2, 3)</t>
  </si>
  <si>
    <t>School Nutrition Managers (Group 3)</t>
  </si>
  <si>
    <t>School Nutrition Managers (Group 2)</t>
  </si>
  <si>
    <t>School Nutrition Managers  (Groups 2, 3)</t>
  </si>
  <si>
    <t>School Liaisons (Group 2)</t>
  </si>
  <si>
    <t>Principals (Groups 2, 3)</t>
  </si>
  <si>
    <t>Individual</t>
  </si>
  <si>
    <t>Subtotal State, Local, and Tribal Governments</t>
  </si>
  <si>
    <t>Subtotal Individuals</t>
  </si>
  <si>
    <t>Grand Total</t>
  </si>
  <si>
    <t>State</t>
  </si>
  <si>
    <t>Response</t>
  </si>
  <si>
    <t>Interviewer-Completed Observation (Cafeteria Observation Guide)</t>
  </si>
  <si>
    <t>Interviewer-Completed Observation (Point-of-Sale Form)</t>
  </si>
  <si>
    <t>Interviewer-Completed Observation (Plate Waste Observation Booklet)</t>
  </si>
  <si>
    <t>SFA Directors (Group 2)</t>
  </si>
  <si>
    <t>SFA Directors (Group 1)</t>
  </si>
  <si>
    <t>Private Sector For-Profit</t>
  </si>
  <si>
    <t>Parents/Guardians (Group 2)</t>
  </si>
  <si>
    <t>Students (Group 2)</t>
  </si>
  <si>
    <t>Interviewer-Completed Observation (Self-Serve/Made-to-Order Bar Form)</t>
  </si>
  <si>
    <t>Frequency of Response</t>
  </si>
  <si>
    <t>Menu Planners (Groups 2, 3)</t>
  </si>
  <si>
    <t xml:space="preserve">"State" includes both States and Territories. </t>
  </si>
  <si>
    <t>The estimated number of parents/guardians who are non-respondents to the study consent form assumes that 10 percent of Group 2 SFAs will require active consent and 28 percent of parents/guardians in those SFAs will not return a consent form.</t>
  </si>
  <si>
    <t>SFA Directors (Group 3)</t>
  </si>
  <si>
    <t>Principals (Group 3)</t>
  </si>
  <si>
    <t>Self-Administered Web Survey (School Planning Interview) (c)</t>
  </si>
  <si>
    <t>Self-Administered Web Survey (SFA Director Survey) (b)(c)</t>
  </si>
  <si>
    <t>Self-Administered Web Survey (Basic Menu Survey, A la Carte Foods Checklist, SNM Survey) (b)(c)</t>
  </si>
  <si>
    <t>Self-Administered Web Survey (Expanded Menu Survey, A la Carte Foods Checklist, SNM Survey) (b)(c)</t>
  </si>
  <si>
    <t>Self-Administered Web Survey (Expanded Menu Survey) (b)(c)</t>
  </si>
  <si>
    <t>Self-Administered Web Survey (Principal Survey) (b)(c)</t>
  </si>
  <si>
    <t>Self-Administered Web Survey or Telephone Interview (Parent Interview) (b)(c)</t>
  </si>
  <si>
    <t>Self-Administered Web Survey (School Planning Interview) (a)(b)(c)</t>
  </si>
  <si>
    <t>Study Assent Form (a)</t>
  </si>
  <si>
    <t>Telephone Interview (Principal Cost Interview) (b)(c)</t>
  </si>
  <si>
    <t>Appendix</t>
  </si>
  <si>
    <t>Total Annualized Cost of Respondent Burden</t>
  </si>
  <si>
    <t>Sample</t>
  </si>
  <si>
    <t>-</t>
  </si>
  <si>
    <t>Subtotal of Students</t>
  </si>
  <si>
    <t>Subtotal of Parents/Guardians</t>
  </si>
  <si>
    <t>State Child Nutrition Agency Directors (Groups 1, 2, 3)</t>
  </si>
  <si>
    <t>State Education Agency Finance Officers (Group 3)</t>
  </si>
  <si>
    <t>Superintendents (Groups 2, 3)</t>
  </si>
  <si>
    <t>LEA Business Managers (Group 3)</t>
  </si>
  <si>
    <t>SFA Directors</t>
  </si>
  <si>
    <t>School Nutrition Managers</t>
  </si>
  <si>
    <t>Principals</t>
  </si>
  <si>
    <t>Self-Administered Web Survey (Fruit and Vegetable Questions &amp; Meal Pattern Crediting Report) (a)(b)(c)</t>
  </si>
  <si>
    <t>Email (State CN Director Study Introduction and Data Request Email, Study Objectives, and SFA Director Sample Notification Email) (a)(b)(c)</t>
  </si>
  <si>
    <t>Telephone Call (Recruiting Call Script) (a)(c)</t>
  </si>
  <si>
    <t>Letter (SFA Recruitment Advance Letter, SNA Endorsement, Study Overview) (a)</t>
  </si>
  <si>
    <t>Email (SFA Director Survey Email Invitation)</t>
  </si>
  <si>
    <t>F1</t>
  </si>
  <si>
    <t>D1</t>
  </si>
  <si>
    <t>Email (School Roster Data Request)</t>
  </si>
  <si>
    <t>Email (Pre-Visit Reminder Email)</t>
  </si>
  <si>
    <t>G3, G6</t>
  </si>
  <si>
    <t>Email (Follow-up web survey and interview planning email)</t>
  </si>
  <si>
    <t>E3</t>
  </si>
  <si>
    <t>Letter (SNM Introduction Letter) (a)</t>
  </si>
  <si>
    <t>Telephone Interview (SNM Cost Interview)</t>
  </si>
  <si>
    <t>H2</t>
  </si>
  <si>
    <t>I6</t>
  </si>
  <si>
    <t>J1</t>
  </si>
  <si>
    <t>J2</t>
  </si>
  <si>
    <t>Letter and Email (Principal Intro Letter to Schools, Pre-Visit Reminder Email) (a)</t>
  </si>
  <si>
    <t>Letter (Principal Intro Letter to Schools) (a)</t>
  </si>
  <si>
    <t>Email (Principal Survey Email Invitation)</t>
  </si>
  <si>
    <t>F8</t>
  </si>
  <si>
    <t>Telephone Call (FSMC Recruiting Call Script) (c)</t>
  </si>
  <si>
    <t>Letter (Parent (Household) Advance and School Endorsement Letters and Brochure) (a)</t>
  </si>
  <si>
    <t>D2-D7</t>
  </si>
  <si>
    <t>D8-D11</t>
  </si>
  <si>
    <t>Email (Parent Interview Text/Email)</t>
  </si>
  <si>
    <t>I3, I4</t>
  </si>
  <si>
    <t>I5</t>
  </si>
  <si>
    <t>D12, D13</t>
  </si>
  <si>
    <t>Letter (Student Reminder Flyer, Day 1)</t>
  </si>
  <si>
    <t>Email (Dietary Recall Text/Email, Day 2)</t>
  </si>
  <si>
    <t>H1</t>
  </si>
  <si>
    <t>Telephone Survey and Email (SFA Director Planning Interview, SFA Post-Planning Email, Data Collection Activities and Respondents)</t>
  </si>
  <si>
    <t>C25</t>
  </si>
  <si>
    <t>G7</t>
  </si>
  <si>
    <t>C26</t>
  </si>
  <si>
    <t>I14, I15</t>
  </si>
  <si>
    <t>I8-I11</t>
  </si>
  <si>
    <t>Telephone Interview (AMPM, Day 1)</t>
  </si>
  <si>
    <t>I12, I13</t>
  </si>
  <si>
    <t>I1, I2, I5</t>
  </si>
  <si>
    <t>I10, I11</t>
  </si>
  <si>
    <t>In-person Interview (Student Interview, AMPM, Day 1) (b)(c)</t>
  </si>
  <si>
    <t>Self-Administered Form (Dietary Recall Text/Email, Food Diary, Day 1/Day 2)</t>
  </si>
  <si>
    <t>Subtotal of School Nutrition Managers and School Liaisons</t>
  </si>
  <si>
    <t>Subtotal of Principals</t>
  </si>
  <si>
    <t>Email (Next Steps for Principals Email)</t>
  </si>
  <si>
    <t>Principals (Group 2)</t>
  </si>
  <si>
    <t>F3</t>
  </si>
  <si>
    <t>F2, F8</t>
  </si>
  <si>
    <t>F7</t>
  </si>
  <si>
    <t>Email and Telephone Call (SFA Director Survey Follow-Up Email, SFA Director Survey Reminder Call Script)</t>
  </si>
  <si>
    <t>F4, F5</t>
  </si>
  <si>
    <t>F4, F9</t>
  </si>
  <si>
    <t>Email (Principal Reminder Email, Principal Survey Reminder Call Script)</t>
  </si>
  <si>
    <t>Subtotal of State CN Agency Directors, SFA Directors, Business Managers, Superintendents, and Menu Planners</t>
  </si>
  <si>
    <t>N/A</t>
  </si>
  <si>
    <t>CN = child nutrition; FSMC = food service management company; LEA = local educational agency; N/A = not applicable; SEA = State Education Agency; SFA = school food authority; SNM = school nutrition manager.</t>
  </si>
  <si>
    <t>Pretest (a)</t>
  </si>
  <si>
    <t>For data collection documents that are grouped together for individual data collection activities, the sum of the burden on the associated documents equals the cumulative burden shown in this table.</t>
  </si>
  <si>
    <t xml:space="preserve">Self-Administered Web Survey (Expanded Menu Survey) (a)(b)(c) </t>
  </si>
  <si>
    <t>The Milk Form (Appendix I7) will be completed by field interviewers and is not reported in the respondent burden table.</t>
  </si>
  <si>
    <t>A food service management company operates the school meals program in the majority of Guam’s schools. Data will be collected from one central and four regional FSMC managers to help estimate the cost of producing school meals excluding the FSMC operating profits</t>
  </si>
  <si>
    <t>Letter (SFA Director Survey Advance Letter) (a)</t>
  </si>
  <si>
    <t>Interviewer-Completed Observation (Vending Machine and Other Sources of Foods and Beverages Checklists)</t>
  </si>
  <si>
    <t>The Self-Serve/Made-to-Order Bar Form, Vending Machine and Other Sources of Foods and Beverages Checklists, Cafeteria Observation Guide, Point-of-Sale Form, and Plate Waste Observation Booklet are each completed on-site by contractor staff, but require SNM assistance.</t>
  </si>
  <si>
    <t xml:space="preserve">Telephone Interview (SFA On-Site Cost Interview, Food Cost Worksheet, provide records) (b)(c) </t>
  </si>
  <si>
    <t>In-person Interview (SFA On-Site Cost Interview, provide records) (a)(b)(c)</t>
  </si>
  <si>
    <t>Telephone Interview (SFA On-Site Cost Interview, provide records) (a)(b)(c)</t>
  </si>
  <si>
    <t>Subtotal Private Sector For-Profit Businesses</t>
  </si>
  <si>
    <t>State Education Agency Finance Officers (Full Outlying Areas)</t>
  </si>
  <si>
    <t>Superintendents (Full Outlying Areas)</t>
  </si>
  <si>
    <t>SFA Directors (Full Outlying Areas)</t>
  </si>
  <si>
    <t>SFA Directors (Limited Outlying Areas)</t>
  </si>
  <si>
    <t>LEA Business Managers (Full Outlying Areas)</t>
  </si>
  <si>
    <t>School Nutrition Managers (Full Outlying Areas)</t>
  </si>
  <si>
    <t>Principals (Full Outlying Areas)</t>
  </si>
  <si>
    <t>Food Service Management Company Manager (Full Outlying Areas)</t>
  </si>
  <si>
    <t>SFA Directors (Full  Outlying Areas)</t>
  </si>
  <si>
    <t>State Child Nutrition Agency Directors (Full Outlying Areas)</t>
  </si>
  <si>
    <t>State Child Nutrition Agency Directors (Limited Outlying Areas)</t>
  </si>
  <si>
    <t>G3, G6, G8</t>
  </si>
  <si>
    <t>G11</t>
  </si>
  <si>
    <t>G12</t>
  </si>
  <si>
    <t>G5, G10</t>
  </si>
  <si>
    <t>G4, G9</t>
  </si>
  <si>
    <t>C11</t>
  </si>
  <si>
    <t>Superintendents (Limited Outlying Areas)</t>
  </si>
  <si>
    <t xml:space="preserve">Telephone Call (Recruiting Call Script) </t>
  </si>
  <si>
    <t>Telephone Call (Recruiting Call Script)</t>
  </si>
  <si>
    <t>C12, C13, C14</t>
  </si>
  <si>
    <t>C12, C14, C24</t>
  </si>
  <si>
    <t>C19</t>
  </si>
  <si>
    <t>In-person Interview (SFA On-Site Cost Interview, SFA Director Cost Interview Reference Guide, Food Cost Worksheet, provide records)</t>
  </si>
  <si>
    <t>G3</t>
  </si>
  <si>
    <t>Self-Administered Web Survey (SFA Follow-Up Web Survey)</t>
  </si>
  <si>
    <t>C16</t>
  </si>
  <si>
    <t>C18</t>
  </si>
  <si>
    <t>In-person Interview (SNM Cost Interview, SNM Cost Interview Reference Guide)</t>
  </si>
  <si>
    <t>C27, G9</t>
  </si>
  <si>
    <t>Email (Pre-Target Week Reminder Email, SNM Cost Interview Reference Guide)</t>
  </si>
  <si>
    <t>G4</t>
  </si>
  <si>
    <t>Telephone Interview (SFA On-Site Cost Interview, Food Cost Worksheet, provide records)</t>
  </si>
  <si>
    <t>Email (Pre-Target Week Reminder Email, SFA Cost Interview Reference Guide)</t>
  </si>
  <si>
    <t>C27, G8</t>
  </si>
  <si>
    <t>C15, C19</t>
  </si>
  <si>
    <t>C17</t>
  </si>
  <si>
    <t>In-person Interview (Principal Cost Interview, Principal Cost Interview Reference Guide)</t>
  </si>
  <si>
    <t>C27, G10</t>
  </si>
  <si>
    <t>Email (Pre-Target Week Reminder Email, Principal Cost Interview Reference Guide)</t>
  </si>
  <si>
    <t>G5</t>
  </si>
  <si>
    <t>C5, C6, C7, C8</t>
  </si>
  <si>
    <t>C9</t>
  </si>
  <si>
    <t>C20, C21, C22</t>
  </si>
  <si>
    <t>C6, C7 or C8, C10</t>
  </si>
  <si>
    <t>Letter (FSMC Recruitment Letter, SNA Endorsement, Study Overviews) (a)</t>
  </si>
  <si>
    <t>LEA Business Managers (Limited Outlying Areas)</t>
  </si>
  <si>
    <t>Telephone Interview (SFA On-Site Cost Interview, provide records)</t>
  </si>
  <si>
    <t>C6</t>
  </si>
  <si>
    <t>C20, C23</t>
  </si>
  <si>
    <t>Letter (SNA Endorsement)</t>
  </si>
  <si>
    <t>G13, G14</t>
  </si>
  <si>
    <t>Telephone Interview (SFA Follow-Up Cost Interview, SFA Follow-Up Cost Interview Reference Guide, provide financial records)</t>
  </si>
  <si>
    <t>Food Service Management Company Regional Operations Manager (Full Outlying Areas)</t>
  </si>
  <si>
    <t>G1, G2, C8</t>
  </si>
  <si>
    <t>G1, G2, C20</t>
  </si>
  <si>
    <t>Email (State CN Director Study Introduction and Data Request Email, Study Overview, and SFA Director Sample Notification Email) (a)(b)(c)</t>
  </si>
  <si>
    <t xml:space="preserve">Email (State CN Director Study Introduction and Data Request Email, Study Overview, and SFA Director Sample Notification Email) </t>
  </si>
  <si>
    <t>Self-Administered Form (study letter, State Agency Indirect Cost Survey, Study Objectives) (a)(b)(c)</t>
  </si>
  <si>
    <t>Self-Administered Form (study letter, State Agency Indirect Cost Survey, Study Overview) (a)(b)(c)</t>
  </si>
  <si>
    <t>Letter (SFA Recruitment Advance Letter, Study Overview) (a)</t>
  </si>
  <si>
    <t xml:space="preserve">Letter (SFA Recruitment Advance Letter, Study Overview) </t>
  </si>
  <si>
    <t>The assumed response rate for SFAs in the full data collection in outlying areas is 100% for Hawaii, Guam, Puerto Rico and the U.S. Virgin Islands. (The assumed response rate for FSMC sample members in Guam is also 100%.) Given the greater number of SFAs in the Alaska sample, the response rate for those SFAs is assumed to align with the response rate for the contiguous United States. The assumed response rate for schools in the outlying areas is the same as for the contiguous United States.</t>
  </si>
  <si>
    <t>Food Service Management Company Manager (Groups 2, 3)</t>
  </si>
  <si>
    <t xml:space="preserve">Not all respondents will ultimately participate in the data collection. Activities marked with (b) identify those that contribute to the total number of unique respondents for data collection. The target number of unique respondents to provide data for the study is 7,899; 54 CN directors, 43 SEA finance officers, 539 SFA directors, 289 LEA business managers, 375 menu planners, 1,216 SNMs, 1,116 principals, 264 school liaisons, 5 FSMC managers 2,000 parents/guardians, and 2,000 students.  </t>
  </si>
  <si>
    <t>Notes: The estimated number of unique respondents (12,932) and non-respondents (74) who were contacted for the pretest or will be contacted for notification, recruiting, and data collection purposes is 13,004; 54 State Child Nutrition Agency (CN) directors, 52 State Education Agency (SEA) finance officers, 478 district superintendents, 620 school food authority (SFA) directors, 304 local educational agency (LEA) business managers, 390 menu planners, 1,544 school nutrition managers (SNMs), 1,270 principals, 264 school liaisons, 30 food service management company (FSMC) managers, 4,000 parents/guardians, and 4,000 students. Activities marked with (a) identify those that contribute to the cumulative number of unique members of the public that were contacted for the pretest (3 SFA directors, 3 SNMs, and 3 principals) or who will be initially contacted to participate in the study.</t>
  </si>
  <si>
    <t>For the full data collection in outlying areas, the State Agency Indirect Cost Survey will be fielded to the State Education Agency Finance Officer in Alaska, Puerto Rico, and the U.S. Virgin Islands. The hourly wage rate reflects the role of "Financial Analyst" in those locations only.</t>
  </si>
  <si>
    <t>"Total Annualized Cost of Respondent Burden" is equal to the "Grand Total Annual Burden Estimate (hours)" times a loaded average hourly wage rate.</t>
  </si>
  <si>
    <t>Loaded Hourly Wage Rate</t>
  </si>
  <si>
    <t>In-person Data Request (Reimbursable Meal Sale Data Request Form)</t>
  </si>
  <si>
    <t>Appendix P. Sample Sizes, Estimated Burden, and Estimated Cost of Respondent Burden for the School Nutrition and Meal Cost Study-II</t>
  </si>
  <si>
    <t>Self-Administered Hard-Copy Survey (Expanded Menu Survey)</t>
  </si>
  <si>
    <t>Telephone Interview (AMPM, Day 2)</t>
  </si>
  <si>
    <t>Average hourly wage used for Groups 1, 2, and 3 include SFA Director or LEA Business Manager - (Education Administrators, All Other) - $43.06, Menu Planner (Dietitians and Nutritionists) - $29.43, School Nutrition Managers (Food Service Managers)-$28.35, School Staff Liaisons (Education, Training, and Library Occupations, All Others) -$27.22, Superintendent (Education Administrators, Postsecondary) - $53.47, Principal (Education Administrators) - $46.65, Parent (All Occupations) - $24.98,  State Child Nutrition Director or Education Agency Financial Officer (Financial Analyst) - $48.55, and FSMC Manager (General and Operations Managers) - $59.56.  Students (elementary and secondary school students) were assumed to not have an hourly wage rate.  Average hourly wage rates are taken from: Bureau of Labor Statistics, Wages by Occupation, May 2018. To account for a fully-loaded wage rate, an additional 33 percent was added to the hourly wage.</t>
  </si>
  <si>
    <t>Consent Form (Parent Passive or Active Consent Response Form)</t>
  </si>
  <si>
    <t>Respondents who responded to an initial activity may not respond to a subsequent activity. Activities marked with (c) identify those that contribute to the number of non-respondents who did not respond to the primary data collection activity for the respondent group. They may have responded to a preceding activity, and they may become non-respondents for subsequent activities. The estimated number of non-respondents is 0 CN directors, 9 SEA finance officers, 35 district superintendents, 56 SFA directors, 15 LEA business managers, 15 menu planners, 102 SNMs, 111 principals, 0 school liaisons, 1 FSMC manager, 222 parents/guardians, and 857 students.</t>
  </si>
  <si>
    <t>Average hourly wage used for full data collection in outlying areas (Alaska, Hawaii, Guam, Puerto Rico and the U.S. Virgin Islands) include SFA Director, LEA Business Manager, Superintendent or State Child Nutrition Director- (Education Administrators, All Other)- $43.14, School Nutrition Managers (Food Service Managers)- $28.97,  State Education Agency Finance Officer (Financial Analyst)- $34.56, Principal (Education administrators, elementary and secondary)- $38.21,  and FSMC Manager (General and Operations Managers)- $40.53. The hourly wages calculated are the mean of the average hourly wage rate for each area, except for "Education Administrators, All Other" in Hawaii and the U.S. Virgin Islands, where the rate  was not available. Outlying area principal wages were calculated by dividing total annual salaries by 2,080 work hours per year (40-hour weeks for 52 weeks).  The hourly wage rate for respondents for the limited data collection in outlying areas is reported for Puerto Rico only, and includes SFA Director, LEA Business Manager, Superintendent or State Child Nutrition Director- (Education Administrators, All Other)- $47.18. Average hourly wage rates used for the outlying areas are reported in: Bureau of Labor Statistics, State Occupational Employment and Wage Estimates, May 2018 (https://www.bls.gov/oes/current/oessrcst.htm). To account for a fully-loaded wage rate, an additional 33 percent was added to the hourly wage.</t>
  </si>
  <si>
    <t xml:space="preserve">The estimated number of small entities includes SFAs with a population of less than 50,000. The respondents from these SFAs include superintendents, SFA directors, LEA business managers, and menu planners, and are denoted with underlining in Columns F and K. Of the 1,792 unique SFA-level respondents, 1,738 (97%) are expected to be from small entities. </t>
  </si>
  <si>
    <t>The estimated time to complete the parent interview is an average of the amount of time expected to complete by web or phone. We assume that 30% of the responses are completed by web (estimated burden of 0.3 hours) and 70% of the responses are completed by CATI (estimated burden of .47 hours).</t>
  </si>
  <si>
    <t>C2.2, C3, C4</t>
  </si>
  <si>
    <t xml:space="preserve">The estimated number of responses collected electronically via web, CAPI, CATI or submission of an electronic spreadsheet is 14,810. </t>
  </si>
  <si>
    <t>E2.2</t>
  </si>
  <si>
    <t>E1.1, F6</t>
  </si>
  <si>
    <t>E2.1 , F6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</si>
</sst>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quot;$&quot;#,##0.00_);[Red]\(&quot;$&quot;#,##0.00\)"/>
    <numFmt numFmtId="44" formatCode="_(&quot;$&quot;* #,##0.00_);_(&quot;$&quot;* \(#,##0.00\);_(&quot;$&quot;* &quot;-&quot;??_);_(@_)"/>
  </numFmts>
  <fonts count="13" x14ac:knownFonts="1">
    <font>
      <sz val="11"/>
      <color theme="1"/>
      <name val="Calibri"/>
      <family val="2"/>
      <scheme val="minor"/>
    </font>
    <font>
      <b/>
      <sz val="11"/>
      <color theme="1"/>
      <name val="Calibri"/>
      <family val="2"/>
      <scheme val="minor"/>
    </font>
    <font>
      <b/>
      <sz val="9"/>
      <color theme="1"/>
      <name val="Arial"/>
      <family val="2"/>
    </font>
    <font>
      <sz val="7"/>
      <color theme="1"/>
      <name val="Arial"/>
      <family val="2"/>
    </font>
    <font>
      <b/>
      <sz val="7"/>
      <color theme="1"/>
      <name val="Arial"/>
      <family val="2"/>
    </font>
    <font>
      <sz val="7"/>
      <name val="Arial"/>
      <family val="2"/>
    </font>
    <font>
      <sz val="11"/>
      <color theme="1"/>
      <name val="Calibri"/>
      <family val="2"/>
      <scheme val="minor"/>
    </font>
    <font>
      <sz val="7"/>
      <color rgb="FFFF0000"/>
      <name val="Arial"/>
      <family val="2"/>
    </font>
    <font>
      <b/>
      <sz val="9"/>
      <name val="Arial"/>
      <family val="2"/>
    </font>
    <font>
      <sz val="11"/>
      <name val="Calibri"/>
      <family val="2"/>
      <scheme val="minor"/>
    </font>
    <font>
      <b/>
      <sz val="7"/>
      <name val="Arial"/>
      <family val="2"/>
    </font>
    <font>
      <u/>
      <sz val="7"/>
      <color theme="1"/>
      <name val="Arial"/>
      <family val="2"/>
    </font>
    <font>
      <u/>
      <sz val="7"/>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rgb="FFFFFF00"/>
        <bgColor indexed="64"/>
      </patternFill>
    </fill>
    <fill>
      <patternFill patternType="solid">
        <fgColor rgb="FFFFC000"/>
        <bgColor indexed="64"/>
      </patternFill>
    </fill>
    <fill>
      <patternFill patternType="solid">
        <fgColor theme="7"/>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1" tint="0.499984740745262"/>
        <bgColor indexed="64"/>
      </patternFill>
    </fill>
    <fill>
      <patternFill patternType="solid">
        <fgColor theme="2" tint="-9.9978637043366805E-2"/>
        <bgColor indexed="64"/>
      </patternFill>
    </fill>
  </fills>
  <borders count="20">
    <border>
      <left/>
      <right/>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bottom style="double">
        <color auto="1"/>
      </bottom>
      <diagonal/>
    </border>
    <border>
      <left style="thin">
        <color indexed="64"/>
      </left>
      <right/>
      <top/>
      <bottom style="double">
        <color auto="1"/>
      </bottom>
      <diagonal/>
    </border>
    <border>
      <left/>
      <right style="thin">
        <color indexed="64"/>
      </right>
      <top/>
      <bottom style="double">
        <color auto="1"/>
      </bottom>
      <diagonal/>
    </border>
    <border>
      <left/>
      <right/>
      <top/>
      <bottom style="thin">
        <color indexed="64"/>
      </bottom>
      <diagonal/>
    </border>
    <border>
      <left style="thin">
        <color indexed="64"/>
      </left>
      <right/>
      <top/>
      <bottom style="thin">
        <color auto="1"/>
      </bottom>
      <diagonal/>
    </border>
    <border>
      <left/>
      <right/>
      <top style="thin">
        <color auto="1"/>
      </top>
      <bottom style="thin">
        <color auto="1"/>
      </bottom>
      <diagonal/>
    </border>
    <border>
      <left/>
      <right/>
      <top style="thin">
        <color auto="1"/>
      </top>
      <bottom/>
      <diagonal/>
    </border>
    <border>
      <left/>
      <right style="thin">
        <color indexed="64"/>
      </right>
      <top style="thin">
        <color indexed="64"/>
      </top>
      <bottom/>
      <diagonal/>
    </border>
    <border>
      <left style="thin">
        <color indexed="64"/>
      </left>
      <right/>
      <top style="thin">
        <color auto="1"/>
      </top>
      <bottom/>
      <diagonal/>
    </border>
    <border>
      <left/>
      <right style="thin">
        <color indexed="64"/>
      </right>
      <top style="thin">
        <color auto="1"/>
      </top>
      <bottom style="thin">
        <color auto="1"/>
      </bottom>
      <diagonal/>
    </border>
    <border>
      <left style="thin">
        <color indexed="64"/>
      </left>
      <right/>
      <top style="thin">
        <color auto="1"/>
      </top>
      <bottom style="thin">
        <color auto="1"/>
      </bottom>
      <diagonal/>
    </border>
    <border>
      <left/>
      <right/>
      <top/>
      <bottom style="medium">
        <color indexed="64"/>
      </bottom>
      <diagonal/>
    </border>
    <border>
      <left/>
      <right/>
      <top style="double">
        <color auto="1"/>
      </top>
      <bottom style="thin">
        <color indexed="64"/>
      </bottom>
      <diagonal/>
    </border>
    <border>
      <left/>
      <right style="thin">
        <color indexed="64"/>
      </right>
      <top/>
      <bottom/>
      <diagonal/>
    </border>
  </borders>
  <cellStyleXfs count="2">
    <xf numFmtId="0" fontId="0" fillId="0" borderId="0"/>
    <xf numFmtId="44" fontId="6" fillId="0" borderId="0" applyFont="0" applyFill="0" applyBorder="0" applyAlignment="0" applyProtection="0"/>
  </cellStyleXfs>
  <cellXfs count="146">
    <xf numFmtId="0" fontId="0" fillId="0" borderId="0" xfId="0"/>
    <xf numFmtId="0" fontId="2" fillId="0" borderId="0" xfId="0" applyFont="1" applyBorder="1" applyAlignment="1"/>
    <xf numFmtId="0" fontId="0" fillId="0" borderId="0" xfId="0" applyFill="1" applyBorder="1" applyAlignment="1">
      <alignment horizontal="center" wrapText="1"/>
    </xf>
    <xf numFmtId="0" fontId="0" fillId="0" borderId="0" xfId="0" applyBorder="1" applyAlignment="1"/>
    <xf numFmtId="0" fontId="3" fillId="0" borderId="0" xfId="0" applyFont="1" applyBorder="1" applyAlignment="1"/>
    <xf numFmtId="0" fontId="0" fillId="0" borderId="1" xfId="0" applyBorder="1" applyAlignment="1">
      <alignment wrapText="1"/>
    </xf>
    <xf numFmtId="0" fontId="0" fillId="0" borderId="1" xfId="0" applyBorder="1" applyAlignment="1"/>
    <xf numFmtId="0" fontId="3" fillId="0" borderId="5" xfId="0" applyFont="1" applyBorder="1" applyAlignment="1"/>
    <xf numFmtId="0" fontId="4" fillId="0" borderId="6" xfId="0" applyFont="1" applyBorder="1" applyAlignment="1">
      <alignment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3" fillId="0" borderId="9" xfId="0" applyFont="1" applyFill="1" applyBorder="1" applyAlignment="1">
      <alignment vertical="center" wrapText="1"/>
    </xf>
    <xf numFmtId="3" fontId="3" fillId="0" borderId="10" xfId="0" applyNumberFormat="1"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2" fontId="3" fillId="0" borderId="12" xfId="0" applyNumberFormat="1" applyFont="1" applyFill="1" applyBorder="1" applyAlignment="1">
      <alignment horizontal="center" vertical="center"/>
    </xf>
    <xf numFmtId="2" fontId="3" fillId="0" borderId="13" xfId="0" applyNumberFormat="1" applyFont="1" applyFill="1" applyBorder="1" applyAlignment="1">
      <alignment horizontal="center" vertical="center"/>
    </xf>
    <xf numFmtId="3" fontId="3" fillId="0" borderId="14" xfId="0" applyNumberFormat="1" applyFont="1" applyFill="1" applyBorder="1" applyAlignment="1">
      <alignment horizontal="center" vertical="center"/>
    </xf>
    <xf numFmtId="3" fontId="3" fillId="0" borderId="11" xfId="0" applyNumberFormat="1" applyFont="1" applyFill="1" applyBorder="1" applyAlignment="1">
      <alignment horizontal="center" vertical="center"/>
    </xf>
    <xf numFmtId="2" fontId="3" fillId="0" borderId="11" xfId="0" applyNumberFormat="1" applyFont="1" applyFill="1" applyBorder="1" applyAlignment="1">
      <alignment horizontal="center" vertical="center"/>
    </xf>
    <xf numFmtId="2" fontId="3" fillId="0" borderId="15" xfId="0" applyNumberFormat="1" applyFont="1" applyFill="1" applyBorder="1" applyAlignment="1">
      <alignment horizontal="center" vertical="center"/>
    </xf>
    <xf numFmtId="3" fontId="3" fillId="0" borderId="16" xfId="0" applyNumberFormat="1" applyFont="1" applyFill="1" applyBorder="1" applyAlignment="1">
      <alignment horizontal="center" vertical="center"/>
    </xf>
    <xf numFmtId="2" fontId="3" fillId="0" borderId="16" xfId="0" applyNumberFormat="1" applyFont="1" applyFill="1" applyBorder="1" applyAlignment="1">
      <alignment horizontal="center" vertical="center"/>
    </xf>
    <xf numFmtId="0" fontId="3" fillId="0" borderId="11" xfId="0" applyFont="1" applyFill="1" applyBorder="1" applyAlignment="1">
      <alignment vertical="center" wrapText="1"/>
    </xf>
    <xf numFmtId="0" fontId="5" fillId="0" borderId="11" xfId="0" applyFont="1" applyFill="1" applyBorder="1" applyAlignment="1">
      <alignment vertical="center" wrapText="1"/>
    </xf>
    <xf numFmtId="0" fontId="3" fillId="0" borderId="0" xfId="0" applyFont="1" applyFill="1" applyBorder="1" applyAlignment="1">
      <alignment vertical="center" wrapText="1"/>
    </xf>
    <xf numFmtId="3" fontId="4" fillId="2" borderId="11" xfId="0" applyNumberFormat="1" applyFont="1" applyFill="1" applyBorder="1" applyAlignment="1">
      <alignment horizontal="center" vertical="center"/>
    </xf>
    <xf numFmtId="2" fontId="4" fillId="2" borderId="16" xfId="0" applyNumberFormat="1" applyFont="1" applyFill="1" applyBorder="1" applyAlignment="1">
      <alignment horizontal="center" vertical="center"/>
    </xf>
    <xf numFmtId="0" fontId="1" fillId="0" borderId="0" xfId="0" applyFont="1"/>
    <xf numFmtId="0" fontId="0" fillId="0" borderId="0" xfId="0" applyFill="1"/>
    <xf numFmtId="3" fontId="4" fillId="2" borderId="16" xfId="0" applyNumberFormat="1" applyFont="1" applyFill="1" applyBorder="1" applyAlignment="1">
      <alignment horizontal="center" vertical="center"/>
    </xf>
    <xf numFmtId="2" fontId="3" fillId="0" borderId="10" xfId="0" applyNumberFormat="1" applyFont="1" applyFill="1" applyBorder="1" applyAlignment="1">
      <alignment horizontal="center" vertical="center"/>
    </xf>
    <xf numFmtId="4" fontId="4" fillId="2" borderId="11" xfId="0" applyNumberFormat="1" applyFont="1" applyFill="1" applyBorder="1" applyAlignment="1">
      <alignment horizontal="center" vertical="center"/>
    </xf>
    <xf numFmtId="4" fontId="4" fillId="2" borderId="15" xfId="0" applyNumberFormat="1" applyFont="1" applyFill="1" applyBorder="1" applyAlignment="1">
      <alignment horizontal="center" vertical="center"/>
    </xf>
    <xf numFmtId="2" fontId="4" fillId="2" borderId="11" xfId="0" applyNumberFormat="1" applyFont="1" applyFill="1" applyBorder="1" applyAlignment="1">
      <alignment horizontal="center" vertical="center"/>
    </xf>
    <xf numFmtId="3" fontId="4" fillId="3" borderId="9" xfId="0" applyNumberFormat="1" applyFont="1" applyFill="1" applyBorder="1" applyAlignment="1">
      <alignment horizontal="center"/>
    </xf>
    <xf numFmtId="2" fontId="4" fillId="3" borderId="9" xfId="0" applyNumberFormat="1" applyFont="1" applyFill="1" applyBorder="1" applyAlignment="1">
      <alignment horizontal="center"/>
    </xf>
    <xf numFmtId="4" fontId="4" fillId="3" borderId="15" xfId="0" applyNumberFormat="1" applyFont="1" applyFill="1" applyBorder="1" applyAlignment="1">
      <alignment horizontal="center"/>
    </xf>
    <xf numFmtId="4" fontId="4" fillId="3" borderId="9" xfId="0" applyNumberFormat="1" applyFont="1" applyFill="1" applyBorder="1" applyAlignment="1">
      <alignment horizontal="center"/>
    </xf>
    <xf numFmtId="0" fontId="5" fillId="4" borderId="11" xfId="0" applyFont="1" applyFill="1" applyBorder="1" applyAlignment="1">
      <alignment vertical="center" wrapText="1"/>
    </xf>
    <xf numFmtId="0" fontId="5" fillId="4" borderId="9" xfId="0" applyFont="1" applyFill="1" applyBorder="1" applyAlignment="1">
      <alignment vertical="center" wrapText="1"/>
    </xf>
    <xf numFmtId="3" fontId="3" fillId="6" borderId="10" xfId="0" applyNumberFormat="1" applyFont="1" applyFill="1" applyBorder="1" applyAlignment="1">
      <alignment horizontal="center" vertical="center"/>
    </xf>
    <xf numFmtId="3" fontId="3" fillId="6" borderId="16" xfId="0" applyNumberFormat="1" applyFont="1" applyFill="1" applyBorder="1" applyAlignment="1">
      <alignment horizontal="center" vertical="center"/>
    </xf>
    <xf numFmtId="3" fontId="3" fillId="7" borderId="14" xfId="0" applyNumberFormat="1" applyFont="1" applyFill="1" applyBorder="1" applyAlignment="1">
      <alignment horizontal="center" vertical="center"/>
    </xf>
    <xf numFmtId="3" fontId="3" fillId="7" borderId="16" xfId="0" applyNumberFormat="1" applyFont="1" applyFill="1" applyBorder="1" applyAlignment="1">
      <alignment horizontal="center" vertical="center"/>
    </xf>
    <xf numFmtId="0" fontId="3" fillId="0" borderId="17" xfId="0" applyFont="1" applyBorder="1" applyAlignment="1"/>
    <xf numFmtId="3" fontId="3" fillId="0" borderId="11" xfId="0" applyNumberFormat="1" applyFont="1" applyFill="1" applyBorder="1" applyAlignment="1">
      <alignment vertical="center" wrapText="1"/>
    </xf>
    <xf numFmtId="44" fontId="3" fillId="0" borderId="11" xfId="1" applyNumberFormat="1" applyFont="1" applyFill="1" applyBorder="1" applyAlignment="1">
      <alignment horizontal="center" vertical="center"/>
    </xf>
    <xf numFmtId="0" fontId="4" fillId="2" borderId="11" xfId="0" applyFont="1" applyFill="1" applyBorder="1" applyAlignment="1">
      <alignment vertical="center" wrapText="1"/>
    </xf>
    <xf numFmtId="4" fontId="4" fillId="2" borderId="16" xfId="0" applyNumberFormat="1" applyFont="1" applyFill="1" applyBorder="1" applyAlignment="1">
      <alignment horizontal="center" vertical="center"/>
    </xf>
    <xf numFmtId="44" fontId="3" fillId="2" borderId="11" xfId="1" quotePrefix="1" applyFont="1" applyFill="1" applyBorder="1" applyAlignment="1">
      <alignment horizontal="center" vertical="center"/>
    </xf>
    <xf numFmtId="44" fontId="4" fillId="2" borderId="11" xfId="1" applyFont="1" applyFill="1" applyBorder="1" applyAlignment="1">
      <alignment horizontal="center" vertical="center"/>
    </xf>
    <xf numFmtId="0" fontId="0" fillId="2" borderId="0" xfId="0" applyFill="1" applyBorder="1" applyAlignment="1"/>
    <xf numFmtId="44" fontId="3" fillId="0" borderId="11" xfId="1" applyFont="1" applyFill="1" applyBorder="1" applyAlignment="1">
      <alignment horizontal="center" vertical="center"/>
    </xf>
    <xf numFmtId="0" fontId="4" fillId="3" borderId="11" xfId="0" applyFont="1" applyFill="1" applyBorder="1"/>
    <xf numFmtId="3" fontId="4" fillId="2" borderId="15" xfId="0" applyNumberFormat="1" applyFont="1" applyFill="1" applyBorder="1" applyAlignment="1">
      <alignment horizontal="center" vertical="center"/>
    </xf>
    <xf numFmtId="44" fontId="4" fillId="2" borderId="15" xfId="1" applyFont="1" applyFill="1" applyBorder="1" applyAlignment="1">
      <alignment horizontal="center" vertical="center"/>
    </xf>
    <xf numFmtId="0" fontId="4" fillId="3" borderId="11" xfId="0" quotePrefix="1" applyFont="1" applyFill="1" applyBorder="1" applyAlignment="1">
      <alignment horizontal="center" vertical="center"/>
    </xf>
    <xf numFmtId="3" fontId="3" fillId="0" borderId="9" xfId="0" applyNumberFormat="1" applyFont="1" applyFill="1" applyBorder="1" applyAlignment="1">
      <alignment vertical="center" wrapText="1"/>
    </xf>
    <xf numFmtId="0" fontId="3" fillId="0" borderId="9" xfId="0" applyFont="1" applyFill="1" applyBorder="1" applyAlignment="1">
      <alignment horizontal="center" vertical="center"/>
    </xf>
    <xf numFmtId="2" fontId="3" fillId="0" borderId="9" xfId="0" applyNumberFormat="1" applyFont="1" applyFill="1" applyBorder="1" applyAlignment="1">
      <alignment horizontal="center" vertical="center"/>
    </xf>
    <xf numFmtId="2" fontId="3" fillId="0" borderId="19" xfId="0" applyNumberFormat="1" applyFont="1" applyFill="1" applyBorder="1" applyAlignment="1">
      <alignment horizontal="center" vertical="center"/>
    </xf>
    <xf numFmtId="3" fontId="3" fillId="0" borderId="9" xfId="0" applyNumberFormat="1" applyFont="1" applyFill="1" applyBorder="1" applyAlignment="1">
      <alignment horizontal="center" vertical="center"/>
    </xf>
    <xf numFmtId="3" fontId="5" fillId="6" borderId="10" xfId="0" applyNumberFormat="1" applyFont="1" applyFill="1" applyBorder="1" applyAlignment="1">
      <alignment horizontal="center" vertical="center"/>
    </xf>
    <xf numFmtId="3" fontId="5" fillId="0" borderId="10" xfId="0" applyNumberFormat="1" applyFont="1" applyFill="1" applyBorder="1" applyAlignment="1">
      <alignment horizontal="center" vertical="center"/>
    </xf>
    <xf numFmtId="3" fontId="5" fillId="0" borderId="16" xfId="0" applyNumberFormat="1" applyFont="1" applyFill="1" applyBorder="1" applyAlignment="1">
      <alignment horizontal="center" vertical="center"/>
    </xf>
    <xf numFmtId="3" fontId="5" fillId="6" borderId="16" xfId="0" applyNumberFormat="1" applyFont="1" applyFill="1" applyBorder="1" applyAlignment="1">
      <alignment horizontal="center" vertical="center"/>
    </xf>
    <xf numFmtId="3" fontId="5" fillId="7" borderId="14" xfId="0" applyNumberFormat="1" applyFont="1" applyFill="1" applyBorder="1" applyAlignment="1">
      <alignment horizontal="center" vertical="center"/>
    </xf>
    <xf numFmtId="3" fontId="5" fillId="0" borderId="14" xfId="0" applyNumberFormat="1" applyFont="1" applyFill="1" applyBorder="1" applyAlignment="1">
      <alignment horizontal="center" vertical="center"/>
    </xf>
    <xf numFmtId="3" fontId="5" fillId="7" borderId="16" xfId="0" applyNumberFormat="1" applyFont="1" applyFill="1" applyBorder="1" applyAlignment="1">
      <alignment horizontal="center" vertical="center"/>
    </xf>
    <xf numFmtId="0" fontId="8" fillId="0" borderId="0" xfId="0" applyFont="1" applyFill="1" applyBorder="1" applyAlignment="1"/>
    <xf numFmtId="0" fontId="5" fillId="0" borderId="11" xfId="0" applyFont="1" applyFill="1" applyBorder="1" applyAlignment="1">
      <alignment horizontal="center" vertical="center" wrapText="1"/>
    </xf>
    <xf numFmtId="0" fontId="5" fillId="0" borderId="9" xfId="0" applyFont="1" applyFill="1" applyBorder="1" applyAlignment="1">
      <alignment vertical="center" wrapText="1"/>
    </xf>
    <xf numFmtId="0" fontId="5" fillId="0" borderId="9"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1" xfId="0" applyFont="1" applyBorder="1" applyAlignment="1">
      <alignment vertical="center" wrapText="1"/>
    </xf>
    <xf numFmtId="0" fontId="9" fillId="2" borderId="0" xfId="0" applyFont="1" applyFill="1" applyBorder="1" applyAlignment="1"/>
    <xf numFmtId="0" fontId="10" fillId="2" borderId="11" xfId="0" applyFont="1" applyFill="1" applyBorder="1" applyAlignment="1">
      <alignment vertical="center" wrapText="1"/>
    </xf>
    <xf numFmtId="0" fontId="0" fillId="2" borderId="11" xfId="0" applyFill="1" applyBorder="1"/>
    <xf numFmtId="0" fontId="0" fillId="0" borderId="0" xfId="0" applyFill="1" applyBorder="1" applyAlignment="1"/>
    <xf numFmtId="3" fontId="4" fillId="2" borderId="11" xfId="0" applyNumberFormat="1" applyFont="1" applyFill="1" applyBorder="1" applyAlignment="1">
      <alignment horizontal="center" vertical="center" wrapText="1"/>
    </xf>
    <xf numFmtId="3" fontId="4" fillId="2" borderId="16" xfId="0" applyNumberFormat="1" applyFont="1" applyFill="1" applyBorder="1" applyAlignment="1">
      <alignment horizontal="center" vertical="center" wrapText="1"/>
    </xf>
    <xf numFmtId="44" fontId="4" fillId="2" borderId="11" xfId="1" applyFont="1" applyFill="1" applyBorder="1" applyAlignment="1">
      <alignment horizontal="center" vertical="center" wrapText="1"/>
    </xf>
    <xf numFmtId="44" fontId="4" fillId="2" borderId="11" xfId="1" applyNumberFormat="1" applyFont="1" applyFill="1" applyBorder="1" applyAlignment="1">
      <alignment horizontal="center" vertical="center"/>
    </xf>
    <xf numFmtId="44" fontId="4" fillId="3" borderId="9" xfId="1" applyFont="1" applyFill="1" applyBorder="1" applyAlignment="1">
      <alignment horizontal="center"/>
    </xf>
    <xf numFmtId="4" fontId="4" fillId="2" borderId="11" xfId="0" applyNumberFormat="1" applyFont="1" applyFill="1" applyBorder="1" applyAlignment="1">
      <alignment horizontal="center" vertical="center" wrapText="1"/>
    </xf>
    <xf numFmtId="4" fontId="4" fillId="2" borderId="16" xfId="0" applyNumberFormat="1" applyFont="1" applyFill="1" applyBorder="1" applyAlignment="1">
      <alignment horizontal="center" vertical="center" wrapText="1"/>
    </xf>
    <xf numFmtId="0" fontId="0" fillId="0" borderId="0" xfId="0" applyAlignment="1">
      <alignment vertical="center"/>
    </xf>
    <xf numFmtId="0" fontId="3" fillId="0" borderId="0" xfId="0" applyFont="1" applyBorder="1" applyAlignment="1">
      <alignment vertical="center"/>
    </xf>
    <xf numFmtId="0" fontId="5" fillId="0" borderId="0" xfId="0" applyFont="1" applyFill="1" applyBorder="1" applyAlignment="1">
      <alignment horizontal="left" vertical="center"/>
    </xf>
    <xf numFmtId="0" fontId="0" fillId="0" borderId="0" xfId="0" applyFill="1" applyAlignment="1">
      <alignment vertical="center"/>
    </xf>
    <xf numFmtId="0" fontId="0" fillId="0" borderId="0" xfId="0" applyBorder="1" applyAlignment="1">
      <alignment vertical="center"/>
    </xf>
    <xf numFmtId="2" fontId="5" fillId="0" borderId="11" xfId="0" applyNumberFormat="1" applyFont="1" applyFill="1" applyBorder="1" applyAlignment="1">
      <alignment horizontal="center" vertical="center"/>
    </xf>
    <xf numFmtId="3" fontId="5" fillId="0" borderId="9" xfId="0" applyNumberFormat="1" applyFont="1" applyFill="1" applyBorder="1" applyAlignment="1">
      <alignment vertical="center" wrapText="1"/>
    </xf>
    <xf numFmtId="1" fontId="3" fillId="0" borderId="11" xfId="0" applyNumberFormat="1" applyFont="1" applyFill="1" applyBorder="1" applyAlignment="1">
      <alignment horizontal="center" vertical="center"/>
    </xf>
    <xf numFmtId="8" fontId="10" fillId="2" borderId="11" xfId="1" applyNumberFormat="1" applyFont="1" applyFill="1" applyBorder="1" applyAlignment="1">
      <alignment horizontal="center" vertical="center"/>
    </xf>
    <xf numFmtId="8" fontId="3" fillId="0" borderId="11" xfId="1" applyNumberFormat="1" applyFont="1" applyFill="1" applyBorder="1" applyAlignment="1">
      <alignment horizontal="center" vertical="center"/>
    </xf>
    <xf numFmtId="8" fontId="3" fillId="0" borderId="9" xfId="1" applyNumberFormat="1" applyFont="1" applyFill="1" applyBorder="1" applyAlignment="1">
      <alignment horizontal="center" vertical="center"/>
    </xf>
    <xf numFmtId="8" fontId="5" fillId="0" borderId="11" xfId="1" applyNumberFormat="1" applyFont="1" applyFill="1" applyBorder="1" applyAlignment="1">
      <alignment horizontal="center" vertical="center"/>
    </xf>
    <xf numFmtId="8" fontId="3" fillId="0" borderId="18" xfId="1" applyNumberFormat="1" applyFont="1" applyFill="1" applyBorder="1" applyAlignment="1">
      <alignment horizontal="center" vertical="center"/>
    </xf>
    <xf numFmtId="0" fontId="7" fillId="0" borderId="0" xfId="0" applyFont="1" applyFill="1" applyBorder="1" applyAlignment="1">
      <alignment horizontal="left" vertical="center" wrapText="1"/>
    </xf>
    <xf numFmtId="0" fontId="3" fillId="0" borderId="0" xfId="0" applyFont="1" applyFill="1" applyBorder="1" applyAlignment="1">
      <alignment horizontal="left" vertical="center"/>
    </xf>
    <xf numFmtId="0" fontId="3" fillId="0" borderId="0" xfId="0" applyFont="1" applyFill="1" applyBorder="1" applyAlignment="1">
      <alignment horizontal="left" vertical="center" wrapText="1"/>
    </xf>
    <xf numFmtId="8" fontId="5" fillId="0" borderId="9" xfId="1" applyNumberFormat="1" applyFont="1" applyFill="1" applyBorder="1" applyAlignment="1">
      <alignment horizontal="center" vertical="center"/>
    </xf>
    <xf numFmtId="0" fontId="3" fillId="8" borderId="11" xfId="0" applyFont="1" applyFill="1" applyBorder="1" applyAlignment="1">
      <alignment horizontal="center" vertical="center"/>
    </xf>
    <xf numFmtId="0" fontId="3" fillId="8" borderId="9" xfId="0" applyFont="1" applyFill="1" applyBorder="1" applyAlignment="1">
      <alignment horizontal="center" vertical="center"/>
    </xf>
    <xf numFmtId="3" fontId="3" fillId="8" borderId="11" xfId="0" applyNumberFormat="1" applyFont="1" applyFill="1" applyBorder="1" applyAlignment="1">
      <alignment horizontal="center" vertical="center"/>
    </xf>
    <xf numFmtId="0" fontId="3" fillId="0" borderId="0" xfId="0" applyFont="1" applyFill="1" applyBorder="1" applyAlignment="1">
      <alignment horizontal="left" vertical="center" wrapText="1"/>
    </xf>
    <xf numFmtId="0" fontId="3" fillId="0" borderId="0" xfId="0" applyFont="1" applyFill="1" applyBorder="1" applyAlignment="1">
      <alignment vertical="center"/>
    </xf>
    <xf numFmtId="3" fontId="11" fillId="0" borderId="10" xfId="0" applyNumberFormat="1" applyFont="1" applyFill="1" applyBorder="1" applyAlignment="1">
      <alignment horizontal="center" vertical="center"/>
    </xf>
    <xf numFmtId="3" fontId="12" fillId="0" borderId="10" xfId="0" applyNumberFormat="1" applyFont="1" applyFill="1" applyBorder="1" applyAlignment="1">
      <alignment horizontal="center" vertical="center"/>
    </xf>
    <xf numFmtId="3" fontId="11" fillId="0" borderId="16" xfId="0" applyNumberFormat="1" applyFont="1" applyFill="1" applyBorder="1" applyAlignment="1">
      <alignment horizontal="center" vertical="center"/>
    </xf>
    <xf numFmtId="3" fontId="11" fillId="6" borderId="16" xfId="0" applyNumberFormat="1" applyFont="1" applyFill="1" applyBorder="1" applyAlignment="1">
      <alignment horizontal="center" vertical="center"/>
    </xf>
    <xf numFmtId="3" fontId="12" fillId="6" borderId="16" xfId="0" applyNumberFormat="1" applyFont="1" applyFill="1" applyBorder="1" applyAlignment="1">
      <alignment horizontal="center" vertical="center"/>
    </xf>
    <xf numFmtId="3" fontId="11" fillId="6" borderId="10" xfId="0" applyNumberFormat="1" applyFont="1" applyFill="1" applyBorder="1" applyAlignment="1">
      <alignment horizontal="center" vertical="center"/>
    </xf>
    <xf numFmtId="3" fontId="11" fillId="7" borderId="14" xfId="0" applyNumberFormat="1" applyFont="1" applyFill="1" applyBorder="1" applyAlignment="1">
      <alignment horizontal="center" vertical="center"/>
    </xf>
    <xf numFmtId="3" fontId="12" fillId="7" borderId="14" xfId="0" applyNumberFormat="1" applyFont="1" applyFill="1" applyBorder="1" applyAlignment="1">
      <alignment horizontal="center" vertical="center"/>
    </xf>
    <xf numFmtId="3" fontId="11" fillId="0" borderId="14" xfId="0" applyNumberFormat="1" applyFont="1" applyFill="1" applyBorder="1" applyAlignment="1">
      <alignment horizontal="center" vertical="center"/>
    </xf>
    <xf numFmtId="3" fontId="12" fillId="0" borderId="14" xfId="0" applyNumberFormat="1" applyFont="1" applyFill="1" applyBorder="1" applyAlignment="1">
      <alignment horizontal="center" vertical="center"/>
    </xf>
    <xf numFmtId="3" fontId="12" fillId="0" borderId="16" xfId="0" applyNumberFormat="1" applyFont="1" applyFill="1" applyBorder="1" applyAlignment="1">
      <alignment horizontal="center" vertical="center"/>
    </xf>
    <xf numFmtId="3" fontId="11" fillId="7" borderId="16" xfId="0" applyNumberFormat="1" applyFont="1" applyFill="1" applyBorder="1" applyAlignment="1">
      <alignment horizontal="center" vertical="center"/>
    </xf>
    <xf numFmtId="3" fontId="12" fillId="7" borderId="16" xfId="0" applyNumberFormat="1" applyFont="1" applyFill="1" applyBorder="1" applyAlignment="1">
      <alignment horizontal="center" vertical="center"/>
    </xf>
    <xf numFmtId="3" fontId="11" fillId="7" borderId="10" xfId="0" applyNumberFormat="1" applyFont="1" applyFill="1" applyBorder="1" applyAlignment="1">
      <alignment horizontal="center" vertical="center"/>
    </xf>
    <xf numFmtId="0" fontId="3" fillId="0" borderId="0" xfId="0" applyFont="1"/>
    <xf numFmtId="3" fontId="4" fillId="9" borderId="9" xfId="0" applyNumberFormat="1" applyFont="1" applyFill="1" applyBorder="1" applyAlignment="1">
      <alignment horizontal="center"/>
    </xf>
    <xf numFmtId="3" fontId="4" fillId="10" borderId="16" xfId="0" applyNumberFormat="1" applyFont="1" applyFill="1" applyBorder="1" applyAlignment="1">
      <alignment horizontal="center" vertical="center"/>
    </xf>
    <xf numFmtId="3" fontId="4" fillId="10" borderId="16" xfId="0" applyNumberFormat="1" applyFont="1" applyFill="1" applyBorder="1" applyAlignment="1">
      <alignment horizontal="center" vertical="center" wrapText="1"/>
    </xf>
    <xf numFmtId="3" fontId="4" fillId="10" borderId="11" xfId="0" applyNumberFormat="1" applyFont="1" applyFill="1" applyBorder="1" applyAlignment="1">
      <alignment horizontal="center" vertical="center"/>
    </xf>
    <xf numFmtId="3" fontId="4" fillId="10" borderId="15" xfId="0" applyNumberFormat="1" applyFont="1" applyFill="1" applyBorder="1" applyAlignment="1">
      <alignment horizontal="center" vertical="center" wrapText="1"/>
    </xf>
    <xf numFmtId="0" fontId="5" fillId="4" borderId="0" xfId="0" applyFont="1" applyFill="1" applyBorder="1" applyAlignment="1">
      <alignment horizontal="left" vertical="center" wrapText="1"/>
    </xf>
    <xf numFmtId="0" fontId="5" fillId="5" borderId="0" xfId="0" applyFont="1" applyFill="1" applyBorder="1" applyAlignment="1">
      <alignment horizontal="left" vertical="top" wrapText="1"/>
    </xf>
    <xf numFmtId="0" fontId="5" fillId="7" borderId="0" xfId="0" applyFont="1" applyFill="1" applyBorder="1" applyAlignment="1">
      <alignment horizontal="left" vertical="top" wrapText="1"/>
    </xf>
    <xf numFmtId="0" fontId="3" fillId="0" borderId="0" xfId="0" applyFont="1" applyFill="1" applyBorder="1" applyAlignment="1">
      <alignment horizontal="left" vertical="center" wrapText="1"/>
    </xf>
    <xf numFmtId="0" fontId="3" fillId="8" borderId="0" xfId="0" applyFont="1" applyFill="1" applyBorder="1" applyAlignment="1">
      <alignment horizontal="left" vertical="center" wrapText="1"/>
    </xf>
    <xf numFmtId="0" fontId="4" fillId="0" borderId="2" xfId="0" applyFont="1" applyFill="1" applyBorder="1" applyAlignment="1">
      <alignment horizontal="center"/>
    </xf>
    <xf numFmtId="0" fontId="4" fillId="0" borderId="3" xfId="0" applyFont="1" applyFill="1" applyBorder="1" applyAlignment="1">
      <alignment horizontal="center"/>
    </xf>
    <xf numFmtId="0" fontId="4" fillId="0" borderId="4" xfId="0" applyFont="1" applyFill="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10" fillId="2" borderId="11"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3" borderId="9" xfId="0" applyFont="1" applyFill="1" applyBorder="1" applyAlignment="1">
      <alignment horizontal="left" vertical="center" wrapText="1"/>
    </xf>
    <xf numFmtId="0" fontId="5" fillId="0" borderId="0" xfId="0" applyFont="1" applyFill="1" applyBorder="1" applyAlignment="1">
      <alignment horizontal="left" vertical="center" wrapText="1"/>
    </xf>
    <xf numFmtId="0" fontId="3" fillId="0" borderId="0" xfId="0" applyFont="1" applyFill="1" applyBorder="1" applyAlignment="1">
      <alignment horizontal="left"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35"/>
  <sheetViews>
    <sheetView tabSelected="1" zoomScale="120" zoomScaleNormal="120" zoomScaleSheetLayoutView="100" workbookViewId="0">
      <selection activeCell="A134" sqref="A134:P134"/>
    </sheetView>
  </sheetViews>
  <sheetFormatPr defaultRowHeight="15" x14ac:dyDescent="0.25"/>
  <cols>
    <col min="3" max="3" width="19.7109375" customWidth="1"/>
    <col min="4" max="4" width="15.42578125" customWidth="1"/>
    <col min="5" max="5" width="7.140625" customWidth="1"/>
    <col min="6" max="6" width="11.28515625" customWidth="1"/>
    <col min="7" max="10" width="9.140625" customWidth="1"/>
    <col min="11" max="11" width="10.7109375" customWidth="1"/>
    <col min="12" max="15" width="9.140625" customWidth="1"/>
    <col min="17" max="17" width="10.7109375" customWidth="1"/>
    <col min="18" max="18" width="11.42578125" bestFit="1" customWidth="1"/>
  </cols>
  <sheetData>
    <row r="1" spans="1:18" ht="15.75" thickBot="1" x14ac:dyDescent="0.3">
      <c r="A1" s="71" t="s">
        <v>203</v>
      </c>
      <c r="B1" s="1"/>
      <c r="C1" s="2"/>
      <c r="D1" s="3"/>
      <c r="E1" s="3"/>
      <c r="F1" s="3"/>
      <c r="G1" s="3"/>
      <c r="H1" s="3"/>
      <c r="I1" s="3"/>
      <c r="J1" s="3"/>
      <c r="K1" s="3"/>
      <c r="L1" s="4"/>
      <c r="M1" s="4"/>
      <c r="N1" s="4"/>
      <c r="O1" s="4"/>
      <c r="P1" s="4"/>
      <c r="Q1" s="46"/>
      <c r="R1" s="46"/>
    </row>
    <row r="2" spans="1:18" x14ac:dyDescent="0.25">
      <c r="A2" s="5"/>
      <c r="B2" s="5"/>
      <c r="C2" s="6"/>
      <c r="D2" s="6"/>
      <c r="E2" s="6"/>
      <c r="F2" s="135" t="s">
        <v>23</v>
      </c>
      <c r="G2" s="136"/>
      <c r="H2" s="136"/>
      <c r="I2" s="136"/>
      <c r="J2" s="137"/>
      <c r="K2" s="138" t="s">
        <v>0</v>
      </c>
      <c r="L2" s="139"/>
      <c r="M2" s="139"/>
      <c r="N2" s="139"/>
      <c r="O2" s="140"/>
      <c r="P2" s="7"/>
    </row>
    <row r="3" spans="1:18" ht="59.1" customHeight="1" thickBot="1" x14ac:dyDescent="0.3">
      <c r="A3" s="8" t="s">
        <v>1</v>
      </c>
      <c r="B3" s="8" t="s">
        <v>49</v>
      </c>
      <c r="C3" s="9" t="s">
        <v>2</v>
      </c>
      <c r="D3" s="9" t="s">
        <v>3</v>
      </c>
      <c r="E3" s="9" t="s">
        <v>51</v>
      </c>
      <c r="F3" s="10" t="s">
        <v>4</v>
      </c>
      <c r="G3" s="9" t="s">
        <v>33</v>
      </c>
      <c r="H3" s="9" t="s">
        <v>5</v>
      </c>
      <c r="I3" s="9" t="s">
        <v>6</v>
      </c>
      <c r="J3" s="11" t="s">
        <v>7</v>
      </c>
      <c r="K3" s="10" t="s">
        <v>4</v>
      </c>
      <c r="L3" s="9" t="s">
        <v>33</v>
      </c>
      <c r="M3" s="9" t="s">
        <v>5</v>
      </c>
      <c r="N3" s="9" t="s">
        <v>6</v>
      </c>
      <c r="O3" s="9" t="s">
        <v>7</v>
      </c>
      <c r="P3" s="10" t="s">
        <v>8</v>
      </c>
      <c r="Q3" s="9" t="s">
        <v>201</v>
      </c>
      <c r="R3" s="9" t="s">
        <v>50</v>
      </c>
    </row>
    <row r="4" spans="1:18" ht="45" customHeight="1" thickTop="1" x14ac:dyDescent="0.25">
      <c r="A4" s="73" t="s">
        <v>22</v>
      </c>
      <c r="B4" s="75" t="s">
        <v>212</v>
      </c>
      <c r="C4" s="41" t="s">
        <v>63</v>
      </c>
      <c r="D4" s="73" t="s">
        <v>55</v>
      </c>
      <c r="E4" s="12">
        <v>49</v>
      </c>
      <c r="F4" s="42">
        <v>49</v>
      </c>
      <c r="G4" s="14">
        <v>1</v>
      </c>
      <c r="H4" s="105">
        <f>F4*G4</f>
        <v>49</v>
      </c>
      <c r="I4" s="16">
        <v>0.4</v>
      </c>
      <c r="J4" s="17">
        <f t="shared" ref="J4:J67" si="0">H4*I4</f>
        <v>19.600000000000001</v>
      </c>
      <c r="K4" s="44">
        <f>0+0</f>
        <v>0</v>
      </c>
      <c r="L4" s="15">
        <v>0</v>
      </c>
      <c r="M4" s="19">
        <f t="shared" ref="M4:M10" si="1">K4*L4</f>
        <v>0</v>
      </c>
      <c r="N4" s="16">
        <v>0</v>
      </c>
      <c r="O4" s="17">
        <f t="shared" ref="O4:O67" si="2">M4*N4</f>
        <v>0</v>
      </c>
      <c r="P4" s="23">
        <f t="shared" ref="P4:P67" si="3">J4+O4</f>
        <v>19.600000000000001</v>
      </c>
      <c r="Q4" s="100">
        <f>48.55*1.33</f>
        <v>64.5715</v>
      </c>
      <c r="R4" s="48">
        <f>P4*Q4</f>
        <v>1265.6014</v>
      </c>
    </row>
    <row r="5" spans="1:18" ht="35.1" customHeight="1" x14ac:dyDescent="0.25">
      <c r="A5" s="73" t="s">
        <v>22</v>
      </c>
      <c r="B5" s="74" t="s">
        <v>176</v>
      </c>
      <c r="C5" s="41" t="s">
        <v>189</v>
      </c>
      <c r="D5" s="73" t="s">
        <v>142</v>
      </c>
      <c r="E5" s="12">
        <v>5</v>
      </c>
      <c r="F5" s="64">
        <v>5</v>
      </c>
      <c r="G5" s="14">
        <v>1</v>
      </c>
      <c r="H5" s="105">
        <v>5</v>
      </c>
      <c r="I5" s="16">
        <v>0.4</v>
      </c>
      <c r="J5" s="17">
        <f t="shared" si="0"/>
        <v>2</v>
      </c>
      <c r="K5" s="68">
        <f>0+0</f>
        <v>0</v>
      </c>
      <c r="L5" s="15">
        <v>0</v>
      </c>
      <c r="M5" s="19">
        <f t="shared" si="1"/>
        <v>0</v>
      </c>
      <c r="N5" s="16">
        <v>0</v>
      </c>
      <c r="O5" s="17">
        <f t="shared" si="2"/>
        <v>0</v>
      </c>
      <c r="P5" s="23">
        <f t="shared" si="3"/>
        <v>2</v>
      </c>
      <c r="Q5" s="98">
        <f>43.14*1.33</f>
        <v>57.376200000000004</v>
      </c>
      <c r="R5" s="48">
        <f t="shared" ref="R5:R52" si="4">P5*Q5</f>
        <v>114.75240000000001</v>
      </c>
    </row>
    <row r="6" spans="1:18" ht="47.25" customHeight="1" x14ac:dyDescent="0.25">
      <c r="A6" s="73" t="s">
        <v>22</v>
      </c>
      <c r="B6" s="74" t="s">
        <v>176</v>
      </c>
      <c r="C6" s="73" t="s">
        <v>190</v>
      </c>
      <c r="D6" s="73" t="s">
        <v>143</v>
      </c>
      <c r="E6" s="12">
        <v>1</v>
      </c>
      <c r="F6" s="65">
        <v>1</v>
      </c>
      <c r="G6" s="14">
        <v>1</v>
      </c>
      <c r="H6" s="105">
        <v>1</v>
      </c>
      <c r="I6" s="16">
        <v>0.4</v>
      </c>
      <c r="J6" s="17">
        <f t="shared" si="0"/>
        <v>0.4</v>
      </c>
      <c r="K6" s="69">
        <v>0</v>
      </c>
      <c r="L6" s="15">
        <v>0</v>
      </c>
      <c r="M6" s="19">
        <f t="shared" si="1"/>
        <v>0</v>
      </c>
      <c r="N6" s="16">
        <v>0</v>
      </c>
      <c r="O6" s="17">
        <f t="shared" si="2"/>
        <v>0</v>
      </c>
      <c r="P6" s="23">
        <f>J6+O6</f>
        <v>0.4</v>
      </c>
      <c r="Q6" s="98">
        <f>47.18*1.33</f>
        <v>62.749400000000001</v>
      </c>
      <c r="R6" s="48">
        <f t="shared" si="4"/>
        <v>25.099760000000003</v>
      </c>
    </row>
    <row r="7" spans="1:18" ht="45.75" customHeight="1" x14ac:dyDescent="0.25">
      <c r="A7" s="73" t="s">
        <v>22</v>
      </c>
      <c r="B7" s="74" t="s">
        <v>187</v>
      </c>
      <c r="C7" s="41" t="s">
        <v>191</v>
      </c>
      <c r="D7" s="73" t="s">
        <v>56</v>
      </c>
      <c r="E7" s="59">
        <f>F7+K7</f>
        <v>49</v>
      </c>
      <c r="F7" s="43">
        <v>40</v>
      </c>
      <c r="G7" s="14">
        <v>1</v>
      </c>
      <c r="H7" s="105">
        <f t="shared" ref="H7:H69" si="5">F7*G7</f>
        <v>40</v>
      </c>
      <c r="I7" s="20">
        <v>0.23</v>
      </c>
      <c r="J7" s="21">
        <f t="shared" si="0"/>
        <v>9.2000000000000011</v>
      </c>
      <c r="K7" s="45">
        <v>9</v>
      </c>
      <c r="L7" s="14">
        <v>1</v>
      </c>
      <c r="M7" s="19">
        <f t="shared" si="1"/>
        <v>9</v>
      </c>
      <c r="N7" s="20">
        <v>7.0000000000000007E-2</v>
      </c>
      <c r="O7" s="21">
        <f t="shared" si="2"/>
        <v>0.63000000000000012</v>
      </c>
      <c r="P7" s="32">
        <f t="shared" si="3"/>
        <v>9.8300000000000018</v>
      </c>
      <c r="Q7" s="98">
        <f>48.55*1.33</f>
        <v>64.5715</v>
      </c>
      <c r="R7" s="48">
        <f t="shared" si="4"/>
        <v>634.73784500000011</v>
      </c>
    </row>
    <row r="8" spans="1:18" ht="45.75" customHeight="1" x14ac:dyDescent="0.25">
      <c r="A8" s="73" t="s">
        <v>22</v>
      </c>
      <c r="B8" s="74" t="s">
        <v>188</v>
      </c>
      <c r="C8" s="41" t="s">
        <v>192</v>
      </c>
      <c r="D8" s="73" t="s">
        <v>133</v>
      </c>
      <c r="E8" s="12">
        <v>3</v>
      </c>
      <c r="F8" s="64">
        <v>3</v>
      </c>
      <c r="G8" s="14">
        <v>1</v>
      </c>
      <c r="H8" s="105">
        <f t="shared" si="5"/>
        <v>3</v>
      </c>
      <c r="I8" s="20">
        <v>0.23</v>
      </c>
      <c r="J8" s="21">
        <f t="shared" si="0"/>
        <v>0.69000000000000006</v>
      </c>
      <c r="K8" s="68">
        <v>0</v>
      </c>
      <c r="L8" s="14">
        <v>0</v>
      </c>
      <c r="M8" s="19">
        <f t="shared" si="1"/>
        <v>0</v>
      </c>
      <c r="N8" s="20">
        <v>7.0000000000000007E-2</v>
      </c>
      <c r="O8" s="21">
        <f t="shared" si="2"/>
        <v>0</v>
      </c>
      <c r="P8" s="32">
        <f t="shared" si="3"/>
        <v>0.69000000000000006</v>
      </c>
      <c r="Q8" s="98">
        <f>34.56*1.33</f>
        <v>45.964800000000004</v>
      </c>
      <c r="R8" s="48">
        <f t="shared" si="4"/>
        <v>31.715712000000007</v>
      </c>
    </row>
    <row r="9" spans="1:18" ht="26.25" customHeight="1" x14ac:dyDescent="0.25">
      <c r="A9" s="25" t="s">
        <v>9</v>
      </c>
      <c r="B9" s="72" t="s">
        <v>149</v>
      </c>
      <c r="C9" s="40" t="s">
        <v>64</v>
      </c>
      <c r="D9" s="25" t="s">
        <v>57</v>
      </c>
      <c r="E9" s="59">
        <f>F9+K9</f>
        <v>438</v>
      </c>
      <c r="F9" s="110">
        <v>403</v>
      </c>
      <c r="G9" s="14">
        <v>1</v>
      </c>
      <c r="H9" s="14">
        <f t="shared" si="5"/>
        <v>403</v>
      </c>
      <c r="I9" s="16">
        <v>0.5</v>
      </c>
      <c r="J9" s="17">
        <f t="shared" si="0"/>
        <v>201.5</v>
      </c>
      <c r="K9" s="116">
        <v>35</v>
      </c>
      <c r="L9" s="15">
        <v>1</v>
      </c>
      <c r="M9" s="19">
        <f t="shared" si="1"/>
        <v>35</v>
      </c>
      <c r="N9" s="16">
        <v>7.0000000000000007E-2</v>
      </c>
      <c r="O9" s="17">
        <f t="shared" si="2"/>
        <v>2.4500000000000002</v>
      </c>
      <c r="P9" s="23">
        <f t="shared" si="3"/>
        <v>203.95</v>
      </c>
      <c r="Q9" s="99">
        <f>53.47*1.33</f>
        <v>71.115099999999998</v>
      </c>
      <c r="R9" s="48">
        <f t="shared" si="4"/>
        <v>14503.924644999999</v>
      </c>
    </row>
    <row r="10" spans="1:18" ht="27.75" customHeight="1" x14ac:dyDescent="0.25">
      <c r="A10" s="25" t="s">
        <v>9</v>
      </c>
      <c r="B10" s="72" t="s">
        <v>149</v>
      </c>
      <c r="C10" s="40" t="s">
        <v>64</v>
      </c>
      <c r="D10" s="25" t="s">
        <v>134</v>
      </c>
      <c r="E10" s="12">
        <v>40</v>
      </c>
      <c r="F10" s="111">
        <v>40</v>
      </c>
      <c r="G10" s="14">
        <v>1</v>
      </c>
      <c r="H10" s="14">
        <f t="shared" si="5"/>
        <v>40</v>
      </c>
      <c r="I10" s="16">
        <v>0.5</v>
      </c>
      <c r="J10" s="17">
        <f t="shared" si="0"/>
        <v>20</v>
      </c>
      <c r="K10" s="117">
        <v>0</v>
      </c>
      <c r="L10" s="15">
        <v>0</v>
      </c>
      <c r="M10" s="19">
        <f t="shared" si="1"/>
        <v>0</v>
      </c>
      <c r="N10" s="16">
        <v>7.0000000000000007E-2</v>
      </c>
      <c r="O10" s="17">
        <f t="shared" si="2"/>
        <v>0</v>
      </c>
      <c r="P10" s="23">
        <f t="shared" si="3"/>
        <v>20</v>
      </c>
      <c r="Q10" s="104">
        <f>43.14*1.33</f>
        <v>57.376200000000004</v>
      </c>
      <c r="R10" s="48">
        <f t="shared" si="4"/>
        <v>1147.5240000000001</v>
      </c>
    </row>
    <row r="11" spans="1:18" ht="18" x14ac:dyDescent="0.25">
      <c r="A11" s="25" t="s">
        <v>9</v>
      </c>
      <c r="B11" s="72" t="s">
        <v>149</v>
      </c>
      <c r="C11" s="25" t="s">
        <v>151</v>
      </c>
      <c r="D11" s="25" t="s">
        <v>150</v>
      </c>
      <c r="E11" s="12">
        <v>7</v>
      </c>
      <c r="F11" s="65">
        <v>7</v>
      </c>
      <c r="G11" s="14">
        <v>1</v>
      </c>
      <c r="H11" s="14">
        <f t="shared" si="5"/>
        <v>7</v>
      </c>
      <c r="I11" s="16">
        <v>0.5</v>
      </c>
      <c r="J11" s="17">
        <f t="shared" si="0"/>
        <v>3.5</v>
      </c>
      <c r="K11" s="69">
        <v>0</v>
      </c>
      <c r="L11" s="15">
        <v>0</v>
      </c>
      <c r="M11" s="19">
        <v>0</v>
      </c>
      <c r="N11" s="16">
        <v>7.0000000000000007E-2</v>
      </c>
      <c r="O11" s="17">
        <f t="shared" si="2"/>
        <v>0</v>
      </c>
      <c r="P11" s="23">
        <f t="shared" si="3"/>
        <v>3.5</v>
      </c>
      <c r="Q11" s="104">
        <f>47.18*1.33</f>
        <v>62.749400000000001</v>
      </c>
      <c r="R11" s="48">
        <f t="shared" si="4"/>
        <v>219.62290000000002</v>
      </c>
    </row>
    <row r="12" spans="1:18" ht="36" x14ac:dyDescent="0.25">
      <c r="A12" s="25" t="s">
        <v>9</v>
      </c>
      <c r="B12" s="74" t="s">
        <v>177</v>
      </c>
      <c r="C12" s="40" t="s">
        <v>65</v>
      </c>
      <c r="D12" s="25" t="s">
        <v>10</v>
      </c>
      <c r="E12" s="59">
        <f>F12+K12</f>
        <v>438</v>
      </c>
      <c r="F12" s="110">
        <v>438</v>
      </c>
      <c r="G12" s="14">
        <v>1</v>
      </c>
      <c r="H12" s="14">
        <f t="shared" si="5"/>
        <v>438</v>
      </c>
      <c r="I12" s="16">
        <v>0.1</v>
      </c>
      <c r="J12" s="17">
        <f t="shared" si="0"/>
        <v>43.800000000000004</v>
      </c>
      <c r="K12" s="118">
        <v>0</v>
      </c>
      <c r="L12" s="15">
        <v>0</v>
      </c>
      <c r="M12" s="19">
        <f t="shared" ref="M12:M91" si="6">K12*L12</f>
        <v>0</v>
      </c>
      <c r="N12" s="16">
        <v>0</v>
      </c>
      <c r="O12" s="17">
        <f t="shared" si="2"/>
        <v>0</v>
      </c>
      <c r="P12" s="23">
        <f t="shared" si="3"/>
        <v>43.800000000000004</v>
      </c>
      <c r="Q12" s="98">
        <f>43.06*1.33</f>
        <v>57.269800000000004</v>
      </c>
      <c r="R12" s="48">
        <f t="shared" si="4"/>
        <v>2508.4172400000002</v>
      </c>
    </row>
    <row r="13" spans="1:18" ht="27" x14ac:dyDescent="0.25">
      <c r="A13" s="25" t="s">
        <v>9</v>
      </c>
      <c r="B13" s="72" t="s">
        <v>182</v>
      </c>
      <c r="C13" s="40" t="s">
        <v>193</v>
      </c>
      <c r="D13" s="25" t="s">
        <v>135</v>
      </c>
      <c r="E13" s="12">
        <v>40</v>
      </c>
      <c r="F13" s="111">
        <v>40</v>
      </c>
      <c r="G13" s="14">
        <v>1</v>
      </c>
      <c r="H13" s="14">
        <f t="shared" si="5"/>
        <v>40</v>
      </c>
      <c r="I13" s="16">
        <v>7.0000000000000007E-2</v>
      </c>
      <c r="J13" s="17">
        <f t="shared" si="0"/>
        <v>2.8000000000000003</v>
      </c>
      <c r="K13" s="119">
        <v>0</v>
      </c>
      <c r="L13" s="15">
        <v>0</v>
      </c>
      <c r="M13" s="19">
        <f t="shared" si="6"/>
        <v>0</v>
      </c>
      <c r="N13" s="16">
        <v>0</v>
      </c>
      <c r="O13" s="17">
        <f t="shared" si="2"/>
        <v>0</v>
      </c>
      <c r="P13" s="23">
        <f t="shared" si="3"/>
        <v>2.8000000000000003</v>
      </c>
      <c r="Q13" s="98">
        <f>43.14*1.33</f>
        <v>57.376200000000004</v>
      </c>
      <c r="R13" s="48">
        <f t="shared" si="4"/>
        <v>160.65336000000002</v>
      </c>
    </row>
    <row r="14" spans="1:18" ht="18" x14ac:dyDescent="0.25">
      <c r="A14" s="25" t="s">
        <v>9</v>
      </c>
      <c r="B14" s="72" t="s">
        <v>181</v>
      </c>
      <c r="C14" s="25" t="s">
        <v>183</v>
      </c>
      <c r="D14" s="25" t="s">
        <v>135</v>
      </c>
      <c r="E14" s="12">
        <v>30</v>
      </c>
      <c r="F14" s="65">
        <v>30</v>
      </c>
      <c r="G14" s="14">
        <v>1</v>
      </c>
      <c r="H14" s="14">
        <f t="shared" si="5"/>
        <v>30</v>
      </c>
      <c r="I14" s="16">
        <v>0.03</v>
      </c>
      <c r="J14" s="17">
        <f t="shared" si="0"/>
        <v>0.89999999999999991</v>
      </c>
      <c r="K14" s="69">
        <v>0</v>
      </c>
      <c r="L14" s="15">
        <v>0</v>
      </c>
      <c r="M14" s="19">
        <v>0</v>
      </c>
      <c r="N14" s="16">
        <v>0</v>
      </c>
      <c r="O14" s="17">
        <v>0</v>
      </c>
      <c r="P14" s="23">
        <f t="shared" si="3"/>
        <v>0.89999999999999991</v>
      </c>
      <c r="Q14" s="98">
        <f>43.14*1.33</f>
        <v>57.376200000000004</v>
      </c>
      <c r="R14" s="48">
        <f t="shared" si="4"/>
        <v>51.638579999999997</v>
      </c>
    </row>
    <row r="15" spans="1:18" ht="27" x14ac:dyDescent="0.25">
      <c r="A15" s="25" t="s">
        <v>9</v>
      </c>
      <c r="B15" s="72" t="s">
        <v>182</v>
      </c>
      <c r="C15" s="25" t="s">
        <v>194</v>
      </c>
      <c r="D15" s="25" t="s">
        <v>136</v>
      </c>
      <c r="E15" s="73">
        <v>7</v>
      </c>
      <c r="F15" s="65">
        <v>7</v>
      </c>
      <c r="G15" s="14">
        <v>1</v>
      </c>
      <c r="H15" s="14">
        <f t="shared" si="5"/>
        <v>7</v>
      </c>
      <c r="I15" s="16">
        <v>7.0000000000000007E-2</v>
      </c>
      <c r="J15" s="17">
        <f t="shared" si="0"/>
        <v>0.49000000000000005</v>
      </c>
      <c r="K15" s="69">
        <v>0</v>
      </c>
      <c r="L15" s="15">
        <v>0</v>
      </c>
      <c r="M15" s="19">
        <f t="shared" si="6"/>
        <v>0</v>
      </c>
      <c r="N15" s="16">
        <v>0</v>
      </c>
      <c r="O15" s="17">
        <f t="shared" si="2"/>
        <v>0</v>
      </c>
      <c r="P15" s="23">
        <f t="shared" si="3"/>
        <v>0.49000000000000005</v>
      </c>
      <c r="Q15" s="98">
        <f>47.18*1.33</f>
        <v>62.749400000000001</v>
      </c>
      <c r="R15" s="48">
        <f t="shared" si="4"/>
        <v>30.747206000000002</v>
      </c>
    </row>
    <row r="16" spans="1:18" ht="18" x14ac:dyDescent="0.25">
      <c r="A16" s="25" t="s">
        <v>9</v>
      </c>
      <c r="B16" s="72" t="s">
        <v>119</v>
      </c>
      <c r="C16" s="40" t="s">
        <v>121</v>
      </c>
      <c r="D16" s="25" t="s">
        <v>59</v>
      </c>
      <c r="E16" s="12">
        <v>3</v>
      </c>
      <c r="F16" s="110">
        <v>3</v>
      </c>
      <c r="G16" s="14">
        <v>1</v>
      </c>
      <c r="H16" s="14">
        <f t="shared" si="5"/>
        <v>3</v>
      </c>
      <c r="I16" s="16">
        <v>9.17</v>
      </c>
      <c r="J16" s="17">
        <f t="shared" si="0"/>
        <v>27.509999999999998</v>
      </c>
      <c r="K16" s="118">
        <v>0</v>
      </c>
      <c r="L16" s="15">
        <v>0</v>
      </c>
      <c r="M16" s="19">
        <f t="shared" si="6"/>
        <v>0</v>
      </c>
      <c r="N16" s="16">
        <v>7.0000000000000007E-2</v>
      </c>
      <c r="O16" s="17">
        <f t="shared" si="2"/>
        <v>0</v>
      </c>
      <c r="P16" s="23">
        <f t="shared" si="3"/>
        <v>27.509999999999998</v>
      </c>
      <c r="Q16" s="98">
        <f>43.06*1.33</f>
        <v>57.269800000000004</v>
      </c>
      <c r="R16" s="48">
        <f t="shared" si="4"/>
        <v>1575.4921979999999</v>
      </c>
    </row>
    <row r="17" spans="1:18" ht="18" x14ac:dyDescent="0.25">
      <c r="A17" s="25" t="s">
        <v>9</v>
      </c>
      <c r="B17" s="72" t="s">
        <v>149</v>
      </c>
      <c r="C17" s="25" t="s">
        <v>152</v>
      </c>
      <c r="D17" s="25" t="s">
        <v>10</v>
      </c>
      <c r="E17" s="59">
        <f>F17+K17</f>
        <v>438</v>
      </c>
      <c r="F17" s="13">
        <v>403</v>
      </c>
      <c r="G17" s="14">
        <v>1</v>
      </c>
      <c r="H17" s="14">
        <f t="shared" si="5"/>
        <v>403</v>
      </c>
      <c r="I17" s="16">
        <v>0.5</v>
      </c>
      <c r="J17" s="17">
        <f t="shared" si="0"/>
        <v>201.5</v>
      </c>
      <c r="K17" s="18">
        <v>35</v>
      </c>
      <c r="L17" s="15">
        <v>1</v>
      </c>
      <c r="M17" s="19">
        <f t="shared" si="6"/>
        <v>35</v>
      </c>
      <c r="N17" s="16">
        <v>7.0000000000000007E-2</v>
      </c>
      <c r="O17" s="17">
        <f t="shared" si="2"/>
        <v>2.4500000000000002</v>
      </c>
      <c r="P17" s="23">
        <f t="shared" si="3"/>
        <v>203.95</v>
      </c>
      <c r="Q17" s="98">
        <f>43.06*1.33</f>
        <v>57.269800000000004</v>
      </c>
      <c r="R17" s="48">
        <f t="shared" si="4"/>
        <v>11680.17571</v>
      </c>
    </row>
    <row r="18" spans="1:18" ht="18" x14ac:dyDescent="0.25">
      <c r="A18" s="25" t="s">
        <v>9</v>
      </c>
      <c r="B18" s="72" t="s">
        <v>149</v>
      </c>
      <c r="C18" s="25" t="s">
        <v>152</v>
      </c>
      <c r="D18" s="25" t="s">
        <v>135</v>
      </c>
      <c r="E18" s="59">
        <v>40</v>
      </c>
      <c r="F18" s="65">
        <v>40</v>
      </c>
      <c r="G18" s="14">
        <v>1</v>
      </c>
      <c r="H18" s="14">
        <f t="shared" si="5"/>
        <v>40</v>
      </c>
      <c r="I18" s="16">
        <v>0.5</v>
      </c>
      <c r="J18" s="17">
        <f t="shared" si="0"/>
        <v>20</v>
      </c>
      <c r="K18" s="69">
        <v>0</v>
      </c>
      <c r="L18" s="15">
        <v>0</v>
      </c>
      <c r="M18" s="19">
        <f t="shared" si="6"/>
        <v>0</v>
      </c>
      <c r="N18" s="16">
        <v>7.0000000000000007E-2</v>
      </c>
      <c r="O18" s="17">
        <f t="shared" si="2"/>
        <v>0</v>
      </c>
      <c r="P18" s="23">
        <f t="shared" si="3"/>
        <v>20</v>
      </c>
      <c r="Q18" s="98">
        <f>43.14*1.33</f>
        <v>57.376200000000004</v>
      </c>
      <c r="R18" s="48">
        <f t="shared" si="4"/>
        <v>1147.5240000000001</v>
      </c>
    </row>
    <row r="19" spans="1:18" ht="18" x14ac:dyDescent="0.25">
      <c r="A19" s="25" t="s">
        <v>9</v>
      </c>
      <c r="B19" s="72" t="s">
        <v>149</v>
      </c>
      <c r="C19" s="25" t="s">
        <v>152</v>
      </c>
      <c r="D19" s="25" t="s">
        <v>136</v>
      </c>
      <c r="E19" s="94">
        <v>7</v>
      </c>
      <c r="F19" s="65">
        <v>7</v>
      </c>
      <c r="G19" s="14">
        <v>1</v>
      </c>
      <c r="H19" s="14">
        <f t="shared" si="5"/>
        <v>7</v>
      </c>
      <c r="I19" s="16">
        <v>0.5</v>
      </c>
      <c r="J19" s="17">
        <f t="shared" si="0"/>
        <v>3.5</v>
      </c>
      <c r="K19" s="69">
        <v>0</v>
      </c>
      <c r="L19" s="15">
        <v>0</v>
      </c>
      <c r="M19" s="19">
        <f t="shared" si="6"/>
        <v>0</v>
      </c>
      <c r="N19" s="16">
        <v>7.0000000000000007E-2</v>
      </c>
      <c r="O19" s="17">
        <f t="shared" si="2"/>
        <v>0</v>
      </c>
      <c r="P19" s="23">
        <f t="shared" si="3"/>
        <v>3.5</v>
      </c>
      <c r="Q19" s="98">
        <f>47.18*1.33</f>
        <v>62.749400000000001</v>
      </c>
      <c r="R19" s="48">
        <f t="shared" si="4"/>
        <v>219.62290000000002</v>
      </c>
    </row>
    <row r="20" spans="1:18" ht="36.6" customHeight="1" x14ac:dyDescent="0.25">
      <c r="A20" s="25" t="s">
        <v>9</v>
      </c>
      <c r="B20" s="72" t="s">
        <v>153</v>
      </c>
      <c r="C20" s="25" t="s">
        <v>95</v>
      </c>
      <c r="D20" s="25" t="s">
        <v>10</v>
      </c>
      <c r="E20" s="59">
        <f>F20+K20</f>
        <v>403</v>
      </c>
      <c r="F20" s="22">
        <v>403</v>
      </c>
      <c r="G20" s="14">
        <v>1</v>
      </c>
      <c r="H20" s="14">
        <f t="shared" si="5"/>
        <v>403</v>
      </c>
      <c r="I20" s="20">
        <f>0.33+0.25</f>
        <v>0.58000000000000007</v>
      </c>
      <c r="J20" s="17">
        <f t="shared" si="0"/>
        <v>233.74000000000004</v>
      </c>
      <c r="K20" s="22">
        <v>0</v>
      </c>
      <c r="L20" s="14">
        <v>0</v>
      </c>
      <c r="M20" s="19">
        <f t="shared" si="6"/>
        <v>0</v>
      </c>
      <c r="N20" s="20">
        <v>0</v>
      </c>
      <c r="O20" s="17">
        <f t="shared" si="2"/>
        <v>0</v>
      </c>
      <c r="P20" s="23">
        <f t="shared" si="3"/>
        <v>233.74000000000004</v>
      </c>
      <c r="Q20" s="98">
        <f>43.06*1.33</f>
        <v>57.269800000000004</v>
      </c>
      <c r="R20" s="48">
        <f t="shared" si="4"/>
        <v>13386.243052000003</v>
      </c>
    </row>
    <row r="21" spans="1:18" ht="35.450000000000003" customHeight="1" x14ac:dyDescent="0.25">
      <c r="A21" s="25" t="s">
        <v>9</v>
      </c>
      <c r="B21" s="72" t="s">
        <v>154</v>
      </c>
      <c r="C21" s="25" t="s">
        <v>95</v>
      </c>
      <c r="D21" s="25" t="s">
        <v>135</v>
      </c>
      <c r="E21" s="12">
        <v>40</v>
      </c>
      <c r="F21" s="66">
        <v>40</v>
      </c>
      <c r="G21" s="14">
        <v>1</v>
      </c>
      <c r="H21" s="14">
        <f t="shared" si="5"/>
        <v>40</v>
      </c>
      <c r="I21" s="93">
        <f>0.9+0.25</f>
        <v>1.1499999999999999</v>
      </c>
      <c r="J21" s="17">
        <f t="shared" si="0"/>
        <v>46</v>
      </c>
      <c r="K21" s="66">
        <v>0</v>
      </c>
      <c r="L21" s="14">
        <v>0</v>
      </c>
      <c r="M21" s="19">
        <f t="shared" si="6"/>
        <v>0</v>
      </c>
      <c r="N21" s="20">
        <v>0</v>
      </c>
      <c r="O21" s="17">
        <f t="shared" si="2"/>
        <v>0</v>
      </c>
      <c r="P21" s="23">
        <f t="shared" si="3"/>
        <v>46</v>
      </c>
      <c r="Q21" s="98">
        <f>43.14*1.33</f>
        <v>57.376200000000004</v>
      </c>
      <c r="R21" s="48">
        <f t="shared" si="4"/>
        <v>2639.3052000000002</v>
      </c>
    </row>
    <row r="22" spans="1:18" ht="35.450000000000003" customHeight="1" x14ac:dyDescent="0.25">
      <c r="A22" s="25" t="s">
        <v>9</v>
      </c>
      <c r="B22" s="72" t="s">
        <v>154</v>
      </c>
      <c r="C22" s="25" t="s">
        <v>95</v>
      </c>
      <c r="D22" s="25" t="s">
        <v>136</v>
      </c>
      <c r="E22" s="12">
        <v>7</v>
      </c>
      <c r="F22" s="66">
        <v>7</v>
      </c>
      <c r="G22" s="14">
        <v>1</v>
      </c>
      <c r="H22" s="14">
        <f t="shared" si="5"/>
        <v>7</v>
      </c>
      <c r="I22" s="93">
        <f>0.166+0.25</f>
        <v>0.41600000000000004</v>
      </c>
      <c r="J22" s="17">
        <f t="shared" si="0"/>
        <v>2.9120000000000004</v>
      </c>
      <c r="K22" s="66">
        <v>0</v>
      </c>
      <c r="L22" s="14">
        <v>0</v>
      </c>
      <c r="M22" s="19">
        <v>0</v>
      </c>
      <c r="N22" s="20">
        <v>0</v>
      </c>
      <c r="O22" s="17">
        <f t="shared" si="2"/>
        <v>0</v>
      </c>
      <c r="P22" s="23">
        <f t="shared" si="3"/>
        <v>2.9120000000000004</v>
      </c>
      <c r="Q22" s="98">
        <f>47.18*1.33</f>
        <v>62.749400000000001</v>
      </c>
      <c r="R22" s="48">
        <f t="shared" si="4"/>
        <v>182.72625280000003</v>
      </c>
    </row>
    <row r="23" spans="1:18" ht="18" x14ac:dyDescent="0.25">
      <c r="A23" s="25" t="s">
        <v>9</v>
      </c>
      <c r="B23" s="72" t="s">
        <v>67</v>
      </c>
      <c r="C23" s="40" t="s">
        <v>126</v>
      </c>
      <c r="D23" s="25" t="s">
        <v>28</v>
      </c>
      <c r="E23" s="59">
        <f>F23+K23</f>
        <v>139</v>
      </c>
      <c r="F23" s="112">
        <v>139</v>
      </c>
      <c r="G23" s="14">
        <v>1</v>
      </c>
      <c r="H23" s="14">
        <f t="shared" si="5"/>
        <v>139</v>
      </c>
      <c r="I23" s="14">
        <v>0.05</v>
      </c>
      <c r="J23" s="17">
        <f t="shared" si="0"/>
        <v>6.95</v>
      </c>
      <c r="K23" s="120">
        <v>0</v>
      </c>
      <c r="L23" s="14">
        <v>0</v>
      </c>
      <c r="M23" s="19">
        <f t="shared" si="6"/>
        <v>0</v>
      </c>
      <c r="N23" s="20">
        <v>0</v>
      </c>
      <c r="O23" s="17">
        <f t="shared" si="2"/>
        <v>0</v>
      </c>
      <c r="P23" s="23">
        <f t="shared" si="3"/>
        <v>6.95</v>
      </c>
      <c r="Q23" s="98">
        <f t="shared" ref="Q23:Q30" si="7">43.06*1.33</f>
        <v>57.269800000000004</v>
      </c>
      <c r="R23" s="48">
        <f t="shared" si="4"/>
        <v>398.02511000000004</v>
      </c>
    </row>
    <row r="24" spans="1:18" ht="18" x14ac:dyDescent="0.25">
      <c r="A24" s="25" t="s">
        <v>9</v>
      </c>
      <c r="B24" s="72" t="s">
        <v>112</v>
      </c>
      <c r="C24" s="25" t="s">
        <v>66</v>
      </c>
      <c r="D24" s="25" t="s">
        <v>11</v>
      </c>
      <c r="E24" s="59">
        <f>F24+K24</f>
        <v>555</v>
      </c>
      <c r="F24" s="22">
        <v>555</v>
      </c>
      <c r="G24" s="14">
        <v>1</v>
      </c>
      <c r="H24" s="14">
        <f t="shared" si="5"/>
        <v>555</v>
      </c>
      <c r="I24" s="14">
        <v>0.02</v>
      </c>
      <c r="J24" s="17">
        <f t="shared" si="0"/>
        <v>11.1</v>
      </c>
      <c r="K24" s="22">
        <v>0</v>
      </c>
      <c r="L24" s="14">
        <v>0</v>
      </c>
      <c r="M24" s="19">
        <f t="shared" si="6"/>
        <v>0</v>
      </c>
      <c r="N24" s="20">
        <v>0</v>
      </c>
      <c r="O24" s="17">
        <f t="shared" si="2"/>
        <v>0</v>
      </c>
      <c r="P24" s="23">
        <f t="shared" si="3"/>
        <v>11.1</v>
      </c>
      <c r="Q24" s="98">
        <f t="shared" si="7"/>
        <v>57.269800000000004</v>
      </c>
      <c r="R24" s="48">
        <f t="shared" si="4"/>
        <v>635.69478000000004</v>
      </c>
    </row>
    <row r="25" spans="1:18" ht="18" x14ac:dyDescent="0.25">
      <c r="A25" s="25" t="s">
        <v>9</v>
      </c>
      <c r="B25" s="72" t="s">
        <v>111</v>
      </c>
      <c r="C25" s="25" t="s">
        <v>40</v>
      </c>
      <c r="D25" s="25" t="s">
        <v>28</v>
      </c>
      <c r="E25" s="59">
        <f>F25+K25</f>
        <v>139</v>
      </c>
      <c r="F25" s="43">
        <v>125</v>
      </c>
      <c r="G25" s="14">
        <v>1</v>
      </c>
      <c r="H25" s="105">
        <f t="shared" si="5"/>
        <v>125</v>
      </c>
      <c r="I25" s="20">
        <v>0.67</v>
      </c>
      <c r="J25" s="17">
        <f t="shared" si="0"/>
        <v>83.75</v>
      </c>
      <c r="K25" s="45">
        <v>14</v>
      </c>
      <c r="L25" s="14">
        <v>1</v>
      </c>
      <c r="M25" s="19">
        <f t="shared" si="6"/>
        <v>14</v>
      </c>
      <c r="N25" s="20">
        <v>6.6666666666666666E-2</v>
      </c>
      <c r="O25" s="17">
        <f t="shared" si="2"/>
        <v>0.93333333333333335</v>
      </c>
      <c r="P25" s="23">
        <f t="shared" si="3"/>
        <v>84.683333333333337</v>
      </c>
      <c r="Q25" s="98">
        <f t="shared" si="7"/>
        <v>57.269800000000004</v>
      </c>
      <c r="R25" s="48">
        <f t="shared" si="4"/>
        <v>4849.7975633333335</v>
      </c>
    </row>
    <row r="26" spans="1:18" ht="18" x14ac:dyDescent="0.25">
      <c r="A26" s="25" t="s">
        <v>9</v>
      </c>
      <c r="B26" s="72" t="s">
        <v>111</v>
      </c>
      <c r="C26" s="25" t="s">
        <v>40</v>
      </c>
      <c r="D26" s="25" t="s">
        <v>27</v>
      </c>
      <c r="E26" s="59">
        <f>F26+K26</f>
        <v>139</v>
      </c>
      <c r="F26" s="43">
        <v>125</v>
      </c>
      <c r="G26" s="14">
        <v>1</v>
      </c>
      <c r="H26" s="105">
        <f t="shared" si="5"/>
        <v>125</v>
      </c>
      <c r="I26" s="20">
        <v>0.67</v>
      </c>
      <c r="J26" s="17">
        <f t="shared" si="0"/>
        <v>83.75</v>
      </c>
      <c r="K26" s="45">
        <v>14</v>
      </c>
      <c r="L26" s="14">
        <v>1</v>
      </c>
      <c r="M26" s="19">
        <f t="shared" si="6"/>
        <v>14</v>
      </c>
      <c r="N26" s="20">
        <v>6.6666666666666666E-2</v>
      </c>
      <c r="O26" s="17">
        <f t="shared" si="2"/>
        <v>0.93333333333333335</v>
      </c>
      <c r="P26" s="23">
        <f t="shared" si="3"/>
        <v>84.683333333333337</v>
      </c>
      <c r="Q26" s="98">
        <f t="shared" si="7"/>
        <v>57.269800000000004</v>
      </c>
      <c r="R26" s="48">
        <f t="shared" si="4"/>
        <v>4849.7975633333335</v>
      </c>
    </row>
    <row r="27" spans="1:18" ht="18" x14ac:dyDescent="0.25">
      <c r="A27" s="25" t="s">
        <v>9</v>
      </c>
      <c r="B27" s="72" t="s">
        <v>111</v>
      </c>
      <c r="C27" s="25" t="s">
        <v>40</v>
      </c>
      <c r="D27" s="25" t="s">
        <v>37</v>
      </c>
      <c r="E27" s="47">
        <f t="shared" ref="E27:E48" si="8">F27+K27</f>
        <v>277</v>
      </c>
      <c r="F27" s="43">
        <v>250</v>
      </c>
      <c r="G27" s="14">
        <v>1</v>
      </c>
      <c r="H27" s="105">
        <f t="shared" si="5"/>
        <v>250</v>
      </c>
      <c r="I27" s="20">
        <v>0.67</v>
      </c>
      <c r="J27" s="17">
        <f t="shared" si="0"/>
        <v>167.5</v>
      </c>
      <c r="K27" s="45">
        <v>27</v>
      </c>
      <c r="L27" s="14">
        <v>1</v>
      </c>
      <c r="M27" s="19">
        <f t="shared" si="6"/>
        <v>27</v>
      </c>
      <c r="N27" s="20">
        <v>6.6666666666666666E-2</v>
      </c>
      <c r="O27" s="17">
        <f t="shared" si="2"/>
        <v>1.8</v>
      </c>
      <c r="P27" s="23">
        <f t="shared" si="3"/>
        <v>169.3</v>
      </c>
      <c r="Q27" s="98">
        <f t="shared" si="7"/>
        <v>57.269800000000004</v>
      </c>
      <c r="R27" s="48">
        <f t="shared" si="4"/>
        <v>9695.777140000002</v>
      </c>
    </row>
    <row r="28" spans="1:18" ht="40.5" customHeight="1" x14ac:dyDescent="0.25">
      <c r="A28" s="25" t="s">
        <v>9</v>
      </c>
      <c r="B28" s="72" t="s">
        <v>115</v>
      </c>
      <c r="C28" s="25" t="s">
        <v>114</v>
      </c>
      <c r="D28" s="25" t="s">
        <v>11</v>
      </c>
      <c r="E28" s="47">
        <f t="shared" si="8"/>
        <v>278</v>
      </c>
      <c r="F28" s="22">
        <v>278</v>
      </c>
      <c r="G28" s="14">
        <v>1</v>
      </c>
      <c r="H28" s="14">
        <f t="shared" si="5"/>
        <v>278</v>
      </c>
      <c r="I28" s="20">
        <f>0.07+0.08</f>
        <v>0.15000000000000002</v>
      </c>
      <c r="J28" s="17">
        <f t="shared" si="0"/>
        <v>41.7</v>
      </c>
      <c r="K28" s="22">
        <v>0</v>
      </c>
      <c r="L28" s="14">
        <v>0</v>
      </c>
      <c r="M28" s="19">
        <f t="shared" si="6"/>
        <v>0</v>
      </c>
      <c r="N28" s="20">
        <v>0</v>
      </c>
      <c r="O28" s="17">
        <f t="shared" si="2"/>
        <v>0</v>
      </c>
      <c r="P28" s="23">
        <f t="shared" si="3"/>
        <v>41.7</v>
      </c>
      <c r="Q28" s="98">
        <f t="shared" si="7"/>
        <v>57.269800000000004</v>
      </c>
      <c r="R28" s="48">
        <f t="shared" si="4"/>
        <v>2388.1506600000002</v>
      </c>
    </row>
    <row r="29" spans="1:18" ht="18" x14ac:dyDescent="0.25">
      <c r="A29" s="25" t="s">
        <v>9</v>
      </c>
      <c r="B29" s="72" t="s">
        <v>68</v>
      </c>
      <c r="C29" s="25" t="s">
        <v>69</v>
      </c>
      <c r="D29" s="25" t="s">
        <v>27</v>
      </c>
      <c r="E29" s="47">
        <f t="shared" si="8"/>
        <v>130</v>
      </c>
      <c r="F29" s="22">
        <v>98</v>
      </c>
      <c r="G29" s="14">
        <v>1</v>
      </c>
      <c r="H29" s="14">
        <f t="shared" si="5"/>
        <v>98</v>
      </c>
      <c r="I29" s="20">
        <v>1</v>
      </c>
      <c r="J29" s="17">
        <f t="shared" si="0"/>
        <v>98</v>
      </c>
      <c r="K29" s="22">
        <v>32</v>
      </c>
      <c r="L29" s="14">
        <v>1</v>
      </c>
      <c r="M29" s="19">
        <f t="shared" si="6"/>
        <v>32</v>
      </c>
      <c r="N29" s="20">
        <v>7.0000000000000007E-2</v>
      </c>
      <c r="O29" s="17">
        <f t="shared" si="2"/>
        <v>2.2400000000000002</v>
      </c>
      <c r="P29" s="23">
        <f t="shared" si="3"/>
        <v>100.24</v>
      </c>
      <c r="Q29" s="98">
        <f t="shared" si="7"/>
        <v>57.269800000000004</v>
      </c>
      <c r="R29" s="48">
        <f t="shared" si="4"/>
        <v>5740.7247520000001</v>
      </c>
    </row>
    <row r="30" spans="1:18" ht="18" x14ac:dyDescent="0.25">
      <c r="A30" s="25" t="s">
        <v>9</v>
      </c>
      <c r="B30" s="72" t="s">
        <v>155</v>
      </c>
      <c r="C30" s="25" t="s">
        <v>70</v>
      </c>
      <c r="D30" s="25" t="s">
        <v>10</v>
      </c>
      <c r="E30" s="47">
        <f t="shared" si="8"/>
        <v>390</v>
      </c>
      <c r="F30" s="22">
        <v>390</v>
      </c>
      <c r="G30" s="14">
        <v>1</v>
      </c>
      <c r="H30" s="14">
        <f t="shared" si="5"/>
        <v>390</v>
      </c>
      <c r="I30" s="20">
        <v>0.05</v>
      </c>
      <c r="J30" s="17">
        <f t="shared" si="0"/>
        <v>19.5</v>
      </c>
      <c r="K30" s="22">
        <v>0</v>
      </c>
      <c r="L30" s="14">
        <v>0</v>
      </c>
      <c r="M30" s="19">
        <f t="shared" si="6"/>
        <v>0</v>
      </c>
      <c r="N30" s="20">
        <v>0</v>
      </c>
      <c r="O30" s="17">
        <f t="shared" si="2"/>
        <v>0</v>
      </c>
      <c r="P30" s="23">
        <f t="shared" si="3"/>
        <v>19.5</v>
      </c>
      <c r="Q30" s="98">
        <f t="shared" si="7"/>
        <v>57.269800000000004</v>
      </c>
      <c r="R30" s="48">
        <f t="shared" si="4"/>
        <v>1116.7611000000002</v>
      </c>
    </row>
    <row r="31" spans="1:18" ht="27" x14ac:dyDescent="0.25">
      <c r="A31" s="25" t="s">
        <v>9</v>
      </c>
      <c r="B31" s="72" t="s">
        <v>167</v>
      </c>
      <c r="C31" s="25" t="s">
        <v>166</v>
      </c>
      <c r="D31" s="25" t="s">
        <v>135</v>
      </c>
      <c r="E31" s="47">
        <v>40</v>
      </c>
      <c r="F31" s="22">
        <v>40</v>
      </c>
      <c r="G31" s="14">
        <v>1</v>
      </c>
      <c r="H31" s="14">
        <f t="shared" si="5"/>
        <v>40</v>
      </c>
      <c r="I31" s="20">
        <v>0.05</v>
      </c>
      <c r="J31" s="17">
        <f t="shared" si="0"/>
        <v>2</v>
      </c>
      <c r="K31" s="22">
        <v>0</v>
      </c>
      <c r="L31" s="14">
        <v>0</v>
      </c>
      <c r="M31" s="19">
        <f t="shared" si="6"/>
        <v>0</v>
      </c>
      <c r="N31" s="20">
        <v>0</v>
      </c>
      <c r="O31" s="17">
        <f t="shared" si="2"/>
        <v>0</v>
      </c>
      <c r="P31" s="23">
        <f t="shared" si="3"/>
        <v>2</v>
      </c>
      <c r="Q31" s="98">
        <f>43.14*1.33</f>
        <v>57.376200000000004</v>
      </c>
      <c r="R31" s="48">
        <f t="shared" si="4"/>
        <v>114.75240000000001</v>
      </c>
    </row>
    <row r="32" spans="1:18" ht="27" x14ac:dyDescent="0.25">
      <c r="A32" s="25" t="s">
        <v>9</v>
      </c>
      <c r="B32" s="72" t="s">
        <v>167</v>
      </c>
      <c r="C32" s="25" t="s">
        <v>166</v>
      </c>
      <c r="D32" s="25" t="s">
        <v>136</v>
      </c>
      <c r="E32" s="47">
        <v>7</v>
      </c>
      <c r="F32" s="22">
        <v>7</v>
      </c>
      <c r="G32" s="14">
        <v>1</v>
      </c>
      <c r="H32" s="14">
        <f t="shared" si="5"/>
        <v>7</v>
      </c>
      <c r="I32" s="20">
        <v>0.05</v>
      </c>
      <c r="J32" s="17">
        <f t="shared" si="0"/>
        <v>0.35000000000000003</v>
      </c>
      <c r="K32" s="22">
        <v>0</v>
      </c>
      <c r="L32" s="14">
        <v>0</v>
      </c>
      <c r="M32" s="19">
        <f t="shared" si="6"/>
        <v>0</v>
      </c>
      <c r="N32" s="20">
        <v>0</v>
      </c>
      <c r="O32" s="17">
        <f t="shared" si="2"/>
        <v>0</v>
      </c>
      <c r="P32" s="23">
        <f t="shared" si="3"/>
        <v>0.35000000000000003</v>
      </c>
      <c r="Q32" s="98">
        <f>47.18*1.33</f>
        <v>62.749400000000001</v>
      </c>
      <c r="R32" s="48">
        <f t="shared" si="4"/>
        <v>21.962290000000003</v>
      </c>
    </row>
    <row r="33" spans="1:20" ht="33" customHeight="1" x14ac:dyDescent="0.25">
      <c r="A33" s="25" t="s">
        <v>9</v>
      </c>
      <c r="B33" s="72" t="s">
        <v>144</v>
      </c>
      <c r="C33" s="25" t="s">
        <v>156</v>
      </c>
      <c r="D33" s="25" t="s">
        <v>37</v>
      </c>
      <c r="E33" s="47">
        <f t="shared" si="8"/>
        <v>264</v>
      </c>
      <c r="F33" s="22">
        <f>250</f>
        <v>250</v>
      </c>
      <c r="G33" s="14">
        <v>1</v>
      </c>
      <c r="H33" s="105">
        <f t="shared" si="5"/>
        <v>250</v>
      </c>
      <c r="I33" s="14">
        <f>3.08+0.17</f>
        <v>3.25</v>
      </c>
      <c r="J33" s="17">
        <f t="shared" si="0"/>
        <v>812.5</v>
      </c>
      <c r="K33" s="22">
        <f>14</f>
        <v>14</v>
      </c>
      <c r="L33" s="14">
        <v>1</v>
      </c>
      <c r="M33" s="19">
        <f t="shared" si="6"/>
        <v>14</v>
      </c>
      <c r="N33" s="20">
        <f>0.07+0.07</f>
        <v>0.14000000000000001</v>
      </c>
      <c r="O33" s="17">
        <f t="shared" si="2"/>
        <v>1.9600000000000002</v>
      </c>
      <c r="P33" s="23">
        <f t="shared" si="3"/>
        <v>814.46</v>
      </c>
      <c r="Q33" s="98">
        <f>43.06*1.33</f>
        <v>57.269800000000004</v>
      </c>
      <c r="R33" s="48">
        <f t="shared" si="4"/>
        <v>46643.961308000005</v>
      </c>
    </row>
    <row r="34" spans="1:20" ht="36" x14ac:dyDescent="0.25">
      <c r="A34" s="25" t="s">
        <v>9</v>
      </c>
      <c r="B34" s="72" t="s">
        <v>71</v>
      </c>
      <c r="C34" s="25" t="s">
        <v>129</v>
      </c>
      <c r="D34" s="25" t="s">
        <v>135</v>
      </c>
      <c r="E34" s="24">
        <v>40</v>
      </c>
      <c r="F34" s="66">
        <v>39</v>
      </c>
      <c r="G34" s="14">
        <v>1</v>
      </c>
      <c r="H34" s="105">
        <f t="shared" si="5"/>
        <v>39</v>
      </c>
      <c r="I34" s="14">
        <f>3.08+0.17</f>
        <v>3.25</v>
      </c>
      <c r="J34" s="17">
        <f t="shared" si="0"/>
        <v>126.75</v>
      </c>
      <c r="K34" s="70">
        <v>1</v>
      </c>
      <c r="L34" s="14">
        <v>1</v>
      </c>
      <c r="M34" s="19">
        <f t="shared" si="6"/>
        <v>1</v>
      </c>
      <c r="N34" s="20">
        <f>0.07+0.07</f>
        <v>0.14000000000000001</v>
      </c>
      <c r="O34" s="17">
        <f t="shared" si="2"/>
        <v>0.14000000000000001</v>
      </c>
      <c r="P34" s="23">
        <f t="shared" si="3"/>
        <v>126.89</v>
      </c>
      <c r="Q34" s="98">
        <f>43.14*1.33</f>
        <v>57.376200000000004</v>
      </c>
      <c r="R34" s="48">
        <f t="shared" si="4"/>
        <v>7280.466018000001</v>
      </c>
    </row>
    <row r="35" spans="1:20" ht="27" x14ac:dyDescent="0.25">
      <c r="A35" s="25" t="s">
        <v>9</v>
      </c>
      <c r="B35" s="72" t="s">
        <v>71</v>
      </c>
      <c r="C35" s="25" t="s">
        <v>165</v>
      </c>
      <c r="D35" s="25" t="s">
        <v>136</v>
      </c>
      <c r="E35" s="24">
        <v>7</v>
      </c>
      <c r="F35" s="66">
        <v>7</v>
      </c>
      <c r="G35" s="14">
        <v>1</v>
      </c>
      <c r="H35" s="105">
        <f t="shared" si="5"/>
        <v>7</v>
      </c>
      <c r="I35" s="14">
        <f>1.5+0.17</f>
        <v>1.67</v>
      </c>
      <c r="J35" s="17">
        <f t="shared" si="0"/>
        <v>11.69</v>
      </c>
      <c r="K35" s="66">
        <v>0</v>
      </c>
      <c r="L35" s="14">
        <v>1</v>
      </c>
      <c r="M35" s="19">
        <f t="shared" si="6"/>
        <v>0</v>
      </c>
      <c r="N35" s="20">
        <f>0.07+0.07</f>
        <v>0.14000000000000001</v>
      </c>
      <c r="O35" s="17">
        <f t="shared" si="2"/>
        <v>0</v>
      </c>
      <c r="P35" s="23">
        <f t="shared" si="3"/>
        <v>11.69</v>
      </c>
      <c r="Q35" s="98">
        <f>47.18*1.33</f>
        <v>62.749400000000001</v>
      </c>
      <c r="R35" s="48">
        <f t="shared" si="4"/>
        <v>733.54048599999999</v>
      </c>
    </row>
    <row r="36" spans="1:20" ht="34.5" customHeight="1" x14ac:dyDescent="0.25">
      <c r="A36" s="25" t="s">
        <v>9</v>
      </c>
      <c r="B36" s="72" t="s">
        <v>157</v>
      </c>
      <c r="C36" s="40" t="s">
        <v>130</v>
      </c>
      <c r="D36" s="25" t="s">
        <v>58</v>
      </c>
      <c r="E36" s="47">
        <f t="shared" si="8"/>
        <v>264</v>
      </c>
      <c r="F36" s="113">
        <v>250</v>
      </c>
      <c r="G36" s="14">
        <v>1</v>
      </c>
      <c r="H36" s="105">
        <f t="shared" si="5"/>
        <v>250</v>
      </c>
      <c r="I36" s="14">
        <v>3.08</v>
      </c>
      <c r="J36" s="17">
        <f t="shared" si="0"/>
        <v>770</v>
      </c>
      <c r="K36" s="121">
        <v>14</v>
      </c>
      <c r="L36" s="14">
        <v>1</v>
      </c>
      <c r="M36" s="19">
        <f t="shared" si="6"/>
        <v>14</v>
      </c>
      <c r="N36" s="20">
        <v>7.0000000000000007E-2</v>
      </c>
      <c r="O36" s="17">
        <f t="shared" si="2"/>
        <v>0.98000000000000009</v>
      </c>
      <c r="P36" s="23">
        <f t="shared" si="3"/>
        <v>770.98</v>
      </c>
      <c r="Q36" s="98">
        <f>43.06*1.33</f>
        <v>57.269800000000004</v>
      </c>
      <c r="R36" s="48">
        <f t="shared" si="4"/>
        <v>44153.870404000001</v>
      </c>
    </row>
    <row r="37" spans="1:20" ht="31.5" customHeight="1" x14ac:dyDescent="0.25">
      <c r="A37" s="25" t="s">
        <v>9</v>
      </c>
      <c r="B37" s="72" t="s">
        <v>157</v>
      </c>
      <c r="C37" s="40" t="s">
        <v>131</v>
      </c>
      <c r="D37" s="25" t="s">
        <v>137</v>
      </c>
      <c r="E37" s="24">
        <v>40</v>
      </c>
      <c r="F37" s="114">
        <v>39</v>
      </c>
      <c r="G37" s="14">
        <v>1</v>
      </c>
      <c r="H37" s="105">
        <f t="shared" si="5"/>
        <v>39</v>
      </c>
      <c r="I37" s="14">
        <v>3.08</v>
      </c>
      <c r="J37" s="17">
        <f t="shared" si="0"/>
        <v>120.12</v>
      </c>
      <c r="K37" s="122">
        <v>1</v>
      </c>
      <c r="L37" s="14">
        <v>1</v>
      </c>
      <c r="M37" s="19">
        <f t="shared" si="6"/>
        <v>1</v>
      </c>
      <c r="N37" s="20">
        <v>7.0000000000000007E-2</v>
      </c>
      <c r="O37" s="17">
        <f t="shared" si="2"/>
        <v>7.0000000000000007E-2</v>
      </c>
      <c r="P37" s="23">
        <f t="shared" si="3"/>
        <v>120.19</v>
      </c>
      <c r="Q37" s="98">
        <f>43.14*1.33</f>
        <v>57.376200000000004</v>
      </c>
      <c r="R37" s="48">
        <f t="shared" si="4"/>
        <v>6896.045478</v>
      </c>
    </row>
    <row r="38" spans="1:20" ht="31.5" customHeight="1" x14ac:dyDescent="0.25">
      <c r="A38" s="25" t="s">
        <v>9</v>
      </c>
      <c r="B38" s="72" t="s">
        <v>157</v>
      </c>
      <c r="C38" s="25" t="s">
        <v>180</v>
      </c>
      <c r="D38" s="25" t="s">
        <v>179</v>
      </c>
      <c r="E38" s="24">
        <v>7</v>
      </c>
      <c r="F38" s="66">
        <v>7</v>
      </c>
      <c r="G38" s="14">
        <v>1</v>
      </c>
      <c r="H38" s="105">
        <f t="shared" si="5"/>
        <v>7</v>
      </c>
      <c r="I38" s="20">
        <v>1.5</v>
      </c>
      <c r="J38" s="17">
        <f t="shared" si="0"/>
        <v>10.5</v>
      </c>
      <c r="K38" s="66">
        <v>0</v>
      </c>
      <c r="L38" s="14">
        <v>0</v>
      </c>
      <c r="M38" s="19">
        <f t="shared" si="6"/>
        <v>0</v>
      </c>
      <c r="N38" s="20">
        <v>0</v>
      </c>
      <c r="O38" s="17">
        <v>0</v>
      </c>
      <c r="P38" s="23">
        <f t="shared" si="3"/>
        <v>10.5</v>
      </c>
      <c r="Q38" s="98">
        <f>47.18*1.33</f>
        <v>62.749400000000001</v>
      </c>
      <c r="R38" s="48">
        <f t="shared" si="4"/>
        <v>658.86869999999999</v>
      </c>
    </row>
    <row r="39" spans="1:20" ht="24" customHeight="1" x14ac:dyDescent="0.25">
      <c r="A39" s="25" t="s">
        <v>9</v>
      </c>
      <c r="B39" s="72" t="s">
        <v>146</v>
      </c>
      <c r="C39" s="25" t="s">
        <v>72</v>
      </c>
      <c r="D39" s="25" t="s">
        <v>37</v>
      </c>
      <c r="E39" s="47">
        <f t="shared" si="8"/>
        <v>250</v>
      </c>
      <c r="F39" s="22">
        <v>250</v>
      </c>
      <c r="G39" s="14">
        <v>1</v>
      </c>
      <c r="H39" s="14">
        <f t="shared" si="5"/>
        <v>250</v>
      </c>
      <c r="I39" s="20">
        <v>0.05</v>
      </c>
      <c r="J39" s="17">
        <f t="shared" si="0"/>
        <v>12.5</v>
      </c>
      <c r="K39" s="22">
        <v>0</v>
      </c>
      <c r="L39" s="14">
        <v>0</v>
      </c>
      <c r="M39" s="19">
        <f t="shared" si="6"/>
        <v>0</v>
      </c>
      <c r="N39" s="20">
        <v>0</v>
      </c>
      <c r="O39" s="17">
        <f t="shared" si="2"/>
        <v>0</v>
      </c>
      <c r="P39" s="23">
        <f t="shared" si="3"/>
        <v>12.5</v>
      </c>
      <c r="Q39" s="98">
        <f>43.06*1.33</f>
        <v>57.269800000000004</v>
      </c>
      <c r="R39" s="48">
        <f t="shared" si="4"/>
        <v>715.87250000000006</v>
      </c>
    </row>
    <row r="40" spans="1:20" ht="23.25" customHeight="1" x14ac:dyDescent="0.25">
      <c r="A40" s="25" t="s">
        <v>9</v>
      </c>
      <c r="B40" s="72" t="s">
        <v>146</v>
      </c>
      <c r="C40" s="25" t="s">
        <v>72</v>
      </c>
      <c r="D40" s="25" t="s">
        <v>141</v>
      </c>
      <c r="E40" s="24">
        <v>39</v>
      </c>
      <c r="F40" s="66">
        <v>39</v>
      </c>
      <c r="G40" s="14">
        <v>1</v>
      </c>
      <c r="H40" s="14">
        <f t="shared" si="5"/>
        <v>39</v>
      </c>
      <c r="I40" s="20">
        <v>0.05</v>
      </c>
      <c r="J40" s="17">
        <f t="shared" si="0"/>
        <v>1.9500000000000002</v>
      </c>
      <c r="K40" s="66">
        <v>0</v>
      </c>
      <c r="L40" s="14">
        <v>0</v>
      </c>
      <c r="M40" s="19">
        <f t="shared" si="6"/>
        <v>0</v>
      </c>
      <c r="N40" s="20">
        <v>0</v>
      </c>
      <c r="O40" s="17">
        <f t="shared" si="2"/>
        <v>0</v>
      </c>
      <c r="P40" s="23">
        <f t="shared" si="3"/>
        <v>1.9500000000000002</v>
      </c>
      <c r="Q40" s="98">
        <f>43.14*1.33</f>
        <v>57.376200000000004</v>
      </c>
      <c r="R40" s="48">
        <f t="shared" si="4"/>
        <v>111.88359000000001</v>
      </c>
      <c r="T40" s="30"/>
    </row>
    <row r="41" spans="1:20" ht="29.25" customHeight="1" x14ac:dyDescent="0.25">
      <c r="A41" s="25" t="s">
        <v>9</v>
      </c>
      <c r="B41" s="72" t="s">
        <v>146</v>
      </c>
      <c r="C41" s="25" t="s">
        <v>72</v>
      </c>
      <c r="D41" s="25" t="s">
        <v>136</v>
      </c>
      <c r="E41" s="24">
        <v>7</v>
      </c>
      <c r="F41" s="66">
        <v>7</v>
      </c>
      <c r="G41" s="14">
        <v>1</v>
      </c>
      <c r="H41" s="14">
        <f t="shared" si="5"/>
        <v>7</v>
      </c>
      <c r="I41" s="20">
        <v>0.05</v>
      </c>
      <c r="J41" s="17">
        <f t="shared" si="0"/>
        <v>0.35000000000000003</v>
      </c>
      <c r="K41" s="66">
        <v>0</v>
      </c>
      <c r="L41" s="14">
        <v>0</v>
      </c>
      <c r="M41" s="19">
        <f t="shared" si="6"/>
        <v>0</v>
      </c>
      <c r="N41" s="20">
        <v>0</v>
      </c>
      <c r="O41" s="17">
        <f t="shared" si="2"/>
        <v>0</v>
      </c>
      <c r="P41" s="23">
        <f t="shared" si="3"/>
        <v>0.35000000000000003</v>
      </c>
      <c r="Q41" s="98">
        <f>47.18*1.33</f>
        <v>62.749400000000001</v>
      </c>
      <c r="R41" s="48">
        <f t="shared" si="4"/>
        <v>21.962290000000003</v>
      </c>
    </row>
    <row r="42" spans="1:20" ht="32.25" customHeight="1" x14ac:dyDescent="0.25">
      <c r="A42" s="25" t="s">
        <v>9</v>
      </c>
      <c r="B42" s="72" t="s">
        <v>145</v>
      </c>
      <c r="C42" s="25" t="s">
        <v>158</v>
      </c>
      <c r="D42" s="25" t="s">
        <v>37</v>
      </c>
      <c r="E42" s="47">
        <f t="shared" si="8"/>
        <v>250</v>
      </c>
      <c r="F42" s="22">
        <v>238</v>
      </c>
      <c r="G42" s="14">
        <v>1</v>
      </c>
      <c r="H42" s="105">
        <f t="shared" si="5"/>
        <v>238</v>
      </c>
      <c r="I42" s="20">
        <v>0.5</v>
      </c>
      <c r="J42" s="17">
        <f t="shared" si="0"/>
        <v>119</v>
      </c>
      <c r="K42" s="22">
        <v>12</v>
      </c>
      <c r="L42" s="14">
        <v>1</v>
      </c>
      <c r="M42" s="19">
        <f t="shared" si="6"/>
        <v>12</v>
      </c>
      <c r="N42" s="20">
        <v>6.6666666666666666E-2</v>
      </c>
      <c r="O42" s="17">
        <f t="shared" si="2"/>
        <v>0.8</v>
      </c>
      <c r="P42" s="23">
        <f t="shared" si="3"/>
        <v>119.8</v>
      </c>
      <c r="Q42" s="98">
        <f>43.06*1.33</f>
        <v>57.269800000000004</v>
      </c>
      <c r="R42" s="48">
        <f t="shared" si="4"/>
        <v>6860.9220400000004</v>
      </c>
    </row>
    <row r="43" spans="1:20" ht="30.75" customHeight="1" x14ac:dyDescent="0.25">
      <c r="A43" s="25" t="s">
        <v>9</v>
      </c>
      <c r="B43" s="72" t="s">
        <v>145</v>
      </c>
      <c r="C43" s="25" t="s">
        <v>158</v>
      </c>
      <c r="D43" s="25" t="s">
        <v>135</v>
      </c>
      <c r="E43" s="24">
        <v>39</v>
      </c>
      <c r="F43" s="66">
        <v>37</v>
      </c>
      <c r="G43" s="14">
        <v>1</v>
      </c>
      <c r="H43" s="105">
        <f t="shared" si="5"/>
        <v>37</v>
      </c>
      <c r="I43" s="20">
        <v>0.5</v>
      </c>
      <c r="J43" s="17">
        <f t="shared" si="0"/>
        <v>18.5</v>
      </c>
      <c r="K43" s="66">
        <v>2</v>
      </c>
      <c r="L43" s="14">
        <v>1</v>
      </c>
      <c r="M43" s="19">
        <f t="shared" si="6"/>
        <v>2</v>
      </c>
      <c r="N43" s="20">
        <v>6.6666666666666666E-2</v>
      </c>
      <c r="O43" s="17">
        <f t="shared" si="2"/>
        <v>0.13333333333333333</v>
      </c>
      <c r="P43" s="23">
        <f t="shared" si="3"/>
        <v>18.633333333333333</v>
      </c>
      <c r="Q43" s="98">
        <f>43.14*1.33</f>
        <v>57.376200000000004</v>
      </c>
      <c r="R43" s="48">
        <f t="shared" si="4"/>
        <v>1069.10986</v>
      </c>
    </row>
    <row r="44" spans="1:20" ht="33.75" customHeight="1" x14ac:dyDescent="0.25">
      <c r="A44" s="25" t="s">
        <v>9</v>
      </c>
      <c r="B44" s="72" t="s">
        <v>145</v>
      </c>
      <c r="C44" s="25" t="s">
        <v>158</v>
      </c>
      <c r="D44" s="25" t="s">
        <v>136</v>
      </c>
      <c r="E44" s="24">
        <v>7</v>
      </c>
      <c r="F44" s="66">
        <v>6</v>
      </c>
      <c r="G44" s="14">
        <v>1</v>
      </c>
      <c r="H44" s="105">
        <f t="shared" si="5"/>
        <v>6</v>
      </c>
      <c r="I44" s="20">
        <v>0.5</v>
      </c>
      <c r="J44" s="17">
        <f t="shared" si="0"/>
        <v>3</v>
      </c>
      <c r="K44" s="66">
        <v>1</v>
      </c>
      <c r="L44" s="14">
        <v>1</v>
      </c>
      <c r="M44" s="19">
        <f t="shared" si="6"/>
        <v>1</v>
      </c>
      <c r="N44" s="20">
        <v>6.6666666666666666E-2</v>
      </c>
      <c r="O44" s="17">
        <f t="shared" si="2"/>
        <v>6.6666666666666666E-2</v>
      </c>
      <c r="P44" s="23">
        <f t="shared" si="3"/>
        <v>3.0666666666666669</v>
      </c>
      <c r="Q44" s="98">
        <f>47.18*1.33</f>
        <v>62.749400000000001</v>
      </c>
      <c r="R44" s="48">
        <f t="shared" si="4"/>
        <v>192.43149333333335</v>
      </c>
    </row>
    <row r="45" spans="1:20" ht="45" x14ac:dyDescent="0.25">
      <c r="A45" s="25" t="s">
        <v>9</v>
      </c>
      <c r="B45" s="72" t="s">
        <v>184</v>
      </c>
      <c r="C45" s="25" t="s">
        <v>185</v>
      </c>
      <c r="D45" s="25" t="s">
        <v>37</v>
      </c>
      <c r="E45" s="47">
        <f t="shared" si="8"/>
        <v>250</v>
      </c>
      <c r="F45" s="22">
        <v>238</v>
      </c>
      <c r="G45" s="14">
        <v>1</v>
      </c>
      <c r="H45" s="14">
        <f t="shared" si="5"/>
        <v>238</v>
      </c>
      <c r="I45" s="20">
        <v>2</v>
      </c>
      <c r="J45" s="17">
        <f t="shared" si="0"/>
        <v>476</v>
      </c>
      <c r="K45" s="22">
        <v>12</v>
      </c>
      <c r="L45" s="14">
        <v>1</v>
      </c>
      <c r="M45" s="19">
        <f t="shared" si="6"/>
        <v>12</v>
      </c>
      <c r="N45" s="20">
        <v>6.6666666666666666E-2</v>
      </c>
      <c r="O45" s="17">
        <f t="shared" si="2"/>
        <v>0.8</v>
      </c>
      <c r="P45" s="23">
        <f t="shared" si="3"/>
        <v>476.8</v>
      </c>
      <c r="Q45" s="98">
        <f>43.06*1.33</f>
        <v>57.269800000000004</v>
      </c>
      <c r="R45" s="48">
        <f t="shared" si="4"/>
        <v>27306.240640000004</v>
      </c>
    </row>
    <row r="46" spans="1:20" ht="45" x14ac:dyDescent="0.25">
      <c r="A46" s="25" t="s">
        <v>9</v>
      </c>
      <c r="B46" s="72" t="s">
        <v>184</v>
      </c>
      <c r="C46" s="25" t="s">
        <v>185</v>
      </c>
      <c r="D46" s="25" t="s">
        <v>135</v>
      </c>
      <c r="E46" s="24">
        <v>39</v>
      </c>
      <c r="F46" s="66">
        <v>37</v>
      </c>
      <c r="G46" s="14">
        <v>1</v>
      </c>
      <c r="H46" s="14">
        <f t="shared" si="5"/>
        <v>37</v>
      </c>
      <c r="I46" s="20">
        <v>2</v>
      </c>
      <c r="J46" s="17">
        <f t="shared" si="0"/>
        <v>74</v>
      </c>
      <c r="K46" s="66">
        <v>2</v>
      </c>
      <c r="L46" s="14">
        <v>1</v>
      </c>
      <c r="M46" s="19">
        <f t="shared" si="6"/>
        <v>2</v>
      </c>
      <c r="N46" s="20">
        <v>6.6666666666666666E-2</v>
      </c>
      <c r="O46" s="17">
        <f t="shared" si="2"/>
        <v>0.13333333333333333</v>
      </c>
      <c r="P46" s="23">
        <f t="shared" si="3"/>
        <v>74.13333333333334</v>
      </c>
      <c r="Q46" s="98">
        <f>43.14*1.33</f>
        <v>57.376200000000004</v>
      </c>
      <c r="R46" s="48">
        <f t="shared" si="4"/>
        <v>4253.4889600000006</v>
      </c>
    </row>
    <row r="47" spans="1:20" ht="45" x14ac:dyDescent="0.25">
      <c r="A47" s="25" t="s">
        <v>9</v>
      </c>
      <c r="B47" s="72" t="s">
        <v>184</v>
      </c>
      <c r="C47" s="25" t="s">
        <v>185</v>
      </c>
      <c r="D47" s="25" t="s">
        <v>136</v>
      </c>
      <c r="E47" s="24">
        <v>7</v>
      </c>
      <c r="F47" s="66">
        <v>6</v>
      </c>
      <c r="G47" s="14">
        <v>1</v>
      </c>
      <c r="H47" s="14">
        <f t="shared" si="5"/>
        <v>6</v>
      </c>
      <c r="I47" s="20">
        <v>1.75</v>
      </c>
      <c r="J47" s="17">
        <f t="shared" si="0"/>
        <v>10.5</v>
      </c>
      <c r="K47" s="66">
        <v>1</v>
      </c>
      <c r="L47" s="14">
        <v>1</v>
      </c>
      <c r="M47" s="19">
        <f t="shared" si="6"/>
        <v>1</v>
      </c>
      <c r="N47" s="20">
        <v>6.6666666666666666E-2</v>
      </c>
      <c r="O47" s="17">
        <f t="shared" si="2"/>
        <v>6.6666666666666666E-2</v>
      </c>
      <c r="P47" s="23">
        <f t="shared" si="3"/>
        <v>10.566666666666666</v>
      </c>
      <c r="Q47" s="98">
        <f>47.18*1.33</f>
        <v>62.749400000000001</v>
      </c>
      <c r="R47" s="48">
        <f t="shared" si="4"/>
        <v>663.05199333333337</v>
      </c>
    </row>
    <row r="48" spans="1:20" ht="45" x14ac:dyDescent="0.25">
      <c r="A48" s="25" t="s">
        <v>9</v>
      </c>
      <c r="B48" s="72" t="s">
        <v>184</v>
      </c>
      <c r="C48" s="25" t="s">
        <v>185</v>
      </c>
      <c r="D48" s="25" t="s">
        <v>58</v>
      </c>
      <c r="E48" s="47">
        <f t="shared" si="8"/>
        <v>250</v>
      </c>
      <c r="F48" s="22">
        <v>238</v>
      </c>
      <c r="G48" s="14">
        <v>1</v>
      </c>
      <c r="H48" s="14">
        <f t="shared" si="5"/>
        <v>238</v>
      </c>
      <c r="I48" s="20">
        <v>2</v>
      </c>
      <c r="J48" s="17">
        <f t="shared" si="0"/>
        <v>476</v>
      </c>
      <c r="K48" s="22">
        <v>12</v>
      </c>
      <c r="L48" s="14">
        <v>1</v>
      </c>
      <c r="M48" s="19">
        <f t="shared" si="6"/>
        <v>12</v>
      </c>
      <c r="N48" s="20">
        <v>6.6666666666666666E-2</v>
      </c>
      <c r="O48" s="21">
        <f t="shared" si="2"/>
        <v>0.8</v>
      </c>
      <c r="P48" s="23">
        <f t="shared" si="3"/>
        <v>476.8</v>
      </c>
      <c r="Q48" s="98">
        <f>43.06*1.33</f>
        <v>57.269800000000004</v>
      </c>
      <c r="R48" s="48">
        <f t="shared" si="4"/>
        <v>27306.240640000004</v>
      </c>
    </row>
    <row r="49" spans="1:18" ht="45" x14ac:dyDescent="0.25">
      <c r="A49" s="25" t="s">
        <v>9</v>
      </c>
      <c r="B49" s="72" t="s">
        <v>184</v>
      </c>
      <c r="C49" s="25" t="s">
        <v>185</v>
      </c>
      <c r="D49" s="25" t="s">
        <v>137</v>
      </c>
      <c r="E49" s="24">
        <v>39</v>
      </c>
      <c r="F49" s="66">
        <v>37</v>
      </c>
      <c r="G49" s="14">
        <v>1</v>
      </c>
      <c r="H49" s="14">
        <f t="shared" si="5"/>
        <v>37</v>
      </c>
      <c r="I49" s="20">
        <v>2</v>
      </c>
      <c r="J49" s="21">
        <f t="shared" si="0"/>
        <v>74</v>
      </c>
      <c r="K49" s="66">
        <v>2</v>
      </c>
      <c r="L49" s="14">
        <v>1</v>
      </c>
      <c r="M49" s="19">
        <f t="shared" si="6"/>
        <v>2</v>
      </c>
      <c r="N49" s="20">
        <v>6.6666666666666666E-2</v>
      </c>
      <c r="O49" s="21">
        <f t="shared" si="2"/>
        <v>0.13333333333333333</v>
      </c>
      <c r="P49" s="23">
        <f t="shared" si="3"/>
        <v>74.13333333333334</v>
      </c>
      <c r="Q49" s="98">
        <f>43.14*1.33</f>
        <v>57.376200000000004</v>
      </c>
      <c r="R49" s="48">
        <f t="shared" si="4"/>
        <v>4253.4889600000006</v>
      </c>
    </row>
    <row r="50" spans="1:18" ht="45" x14ac:dyDescent="0.25">
      <c r="A50" s="25" t="s">
        <v>9</v>
      </c>
      <c r="B50" s="72" t="s">
        <v>184</v>
      </c>
      <c r="C50" s="25" t="s">
        <v>185</v>
      </c>
      <c r="D50" s="73" t="s">
        <v>179</v>
      </c>
      <c r="E50" s="12">
        <v>7</v>
      </c>
      <c r="F50" s="65">
        <v>6</v>
      </c>
      <c r="G50" s="60">
        <v>1</v>
      </c>
      <c r="H50" s="60">
        <f t="shared" si="5"/>
        <v>6</v>
      </c>
      <c r="I50" s="61">
        <v>1.75</v>
      </c>
      <c r="J50" s="21">
        <f t="shared" si="0"/>
        <v>10.5</v>
      </c>
      <c r="K50" s="65">
        <v>1</v>
      </c>
      <c r="L50" s="60">
        <v>0</v>
      </c>
      <c r="M50" s="63">
        <v>0</v>
      </c>
      <c r="N50" s="61">
        <v>0</v>
      </c>
      <c r="O50" s="21">
        <v>0</v>
      </c>
      <c r="P50" s="23">
        <f t="shared" si="3"/>
        <v>10.5</v>
      </c>
      <c r="Q50" s="98">
        <f>47.18*1.33</f>
        <v>62.749400000000001</v>
      </c>
      <c r="R50" s="48">
        <f t="shared" si="4"/>
        <v>658.86869999999999</v>
      </c>
    </row>
    <row r="51" spans="1:18" ht="27" x14ac:dyDescent="0.25">
      <c r="A51" s="25" t="s">
        <v>9</v>
      </c>
      <c r="B51" s="72" t="s">
        <v>214</v>
      </c>
      <c r="C51" s="25" t="s">
        <v>204</v>
      </c>
      <c r="D51" s="73" t="s">
        <v>136</v>
      </c>
      <c r="E51" s="12">
        <v>7</v>
      </c>
      <c r="F51" s="65">
        <v>7</v>
      </c>
      <c r="G51" s="60">
        <v>1</v>
      </c>
      <c r="H51" s="60">
        <f t="shared" si="5"/>
        <v>7</v>
      </c>
      <c r="I51" s="61">
        <v>3.5</v>
      </c>
      <c r="J51" s="21">
        <f t="shared" si="0"/>
        <v>24.5</v>
      </c>
      <c r="K51" s="65">
        <v>0</v>
      </c>
      <c r="L51" s="60">
        <v>1</v>
      </c>
      <c r="M51" s="63">
        <f t="shared" si="6"/>
        <v>0</v>
      </c>
      <c r="N51" s="61">
        <v>7.0000000000000007E-2</v>
      </c>
      <c r="O51" s="21">
        <f t="shared" si="2"/>
        <v>0</v>
      </c>
      <c r="P51" s="32">
        <f t="shared" si="3"/>
        <v>24.5</v>
      </c>
      <c r="Q51" s="98">
        <f>47.18*1.33</f>
        <v>62.749400000000001</v>
      </c>
      <c r="R51" s="48">
        <f t="shared" si="4"/>
        <v>1537.3603000000001</v>
      </c>
    </row>
    <row r="52" spans="1:18" s="30" customFormat="1" ht="36" customHeight="1" x14ac:dyDescent="0.25">
      <c r="A52" s="73" t="s">
        <v>9</v>
      </c>
      <c r="B52" s="74" t="s">
        <v>73</v>
      </c>
      <c r="C52" s="41" t="s">
        <v>62</v>
      </c>
      <c r="D52" s="73" t="s">
        <v>34</v>
      </c>
      <c r="E52" s="59">
        <f>F52+K52</f>
        <v>390</v>
      </c>
      <c r="F52" s="115">
        <v>375</v>
      </c>
      <c r="G52" s="60">
        <v>1</v>
      </c>
      <c r="H52" s="106">
        <f>F52*G52</f>
        <v>375</v>
      </c>
      <c r="I52" s="61">
        <v>1.5</v>
      </c>
      <c r="J52" s="62">
        <f>H52*I52</f>
        <v>562.5</v>
      </c>
      <c r="K52" s="123">
        <v>15</v>
      </c>
      <c r="L52" s="60">
        <v>1</v>
      </c>
      <c r="M52" s="63">
        <f>K52*L52</f>
        <v>15</v>
      </c>
      <c r="N52" s="61">
        <v>7.0000000000000007E-2</v>
      </c>
      <c r="O52" s="62">
        <f>M52*N52</f>
        <v>1.05</v>
      </c>
      <c r="P52" s="32">
        <f>J52+O52</f>
        <v>563.54999999999995</v>
      </c>
      <c r="Q52" s="98">
        <f>29.43*1.33</f>
        <v>39.1419</v>
      </c>
      <c r="R52" s="48">
        <f t="shared" si="4"/>
        <v>22058.417744999999</v>
      </c>
    </row>
    <row r="53" spans="1:18" ht="72" x14ac:dyDescent="0.25">
      <c r="A53" s="49"/>
      <c r="B53" s="79"/>
      <c r="C53" s="79"/>
      <c r="D53" s="49" t="s">
        <v>118</v>
      </c>
      <c r="E53" s="128">
        <f>SUM(F53,K53)</f>
        <v>1954</v>
      </c>
      <c r="F53" s="31">
        <f>SUM(F4:F5, F7:F10, F12:F13, F16, F23, F36:F37, F52)</f>
        <v>1824</v>
      </c>
      <c r="G53" s="35">
        <f>H53/F53</f>
        <v>3.3366228070175437</v>
      </c>
      <c r="H53" s="27">
        <f>SUM(H4:H52)</f>
        <v>6086</v>
      </c>
      <c r="I53" s="35">
        <f>J53/H53</f>
        <v>0.83297765363128484</v>
      </c>
      <c r="J53" s="33">
        <f>SUM(J4:J52)</f>
        <v>5069.5019999999995</v>
      </c>
      <c r="K53" s="126">
        <f>SUM(K4:K5, K7:K10, K25:K27, K34, K36:K37, K52)</f>
        <v>130</v>
      </c>
      <c r="L53" s="35">
        <f>M53/K53</f>
        <v>1.9615384615384615</v>
      </c>
      <c r="M53" s="27">
        <f>SUM(M4:M52)</f>
        <v>255</v>
      </c>
      <c r="N53" s="35">
        <f>O53/M53</f>
        <v>7.2823529411764718E-2</v>
      </c>
      <c r="O53" s="27">
        <f>SUM(O4:O52)</f>
        <v>18.570000000000004</v>
      </c>
      <c r="P53" s="28">
        <f>O53+J53</f>
        <v>5088.0719999999992</v>
      </c>
      <c r="Q53" s="96" t="s">
        <v>52</v>
      </c>
      <c r="R53" s="52">
        <f>SUM(R4:R52)</f>
        <v>284713.0598251333</v>
      </c>
    </row>
    <row r="54" spans="1:18" ht="18" x14ac:dyDescent="0.25">
      <c r="A54" s="25" t="s">
        <v>9</v>
      </c>
      <c r="B54" s="72" t="s">
        <v>119</v>
      </c>
      <c r="C54" s="40" t="s">
        <v>121</v>
      </c>
      <c r="D54" s="25" t="s">
        <v>60</v>
      </c>
      <c r="E54" s="47">
        <v>3</v>
      </c>
      <c r="F54" s="22">
        <v>3</v>
      </c>
      <c r="G54" s="14">
        <v>1</v>
      </c>
      <c r="H54" s="14">
        <f>F54*G54</f>
        <v>3</v>
      </c>
      <c r="I54" s="20">
        <v>4.25</v>
      </c>
      <c r="J54" s="17">
        <f>H54*I54</f>
        <v>12.75</v>
      </c>
      <c r="K54" s="22">
        <v>0</v>
      </c>
      <c r="L54" s="14">
        <v>0</v>
      </c>
      <c r="M54" s="19">
        <f>K54*L54</f>
        <v>0</v>
      </c>
      <c r="N54" s="20">
        <v>7.0000000000000007E-2</v>
      </c>
      <c r="O54" s="17">
        <f>M54*N54</f>
        <v>0</v>
      </c>
      <c r="P54" s="23">
        <f t="shared" ref="P54" si="9">J54+O54</f>
        <v>12.75</v>
      </c>
      <c r="Q54" s="97">
        <f>28.35*1.33</f>
        <v>37.705500000000001</v>
      </c>
      <c r="R54" s="48">
        <f>P54*Q54</f>
        <v>480.74512500000003</v>
      </c>
    </row>
    <row r="55" spans="1:18" ht="18" x14ac:dyDescent="0.25">
      <c r="A55" s="25" t="s">
        <v>9</v>
      </c>
      <c r="B55" s="72" t="s">
        <v>159</v>
      </c>
      <c r="C55" s="40" t="s">
        <v>74</v>
      </c>
      <c r="D55" s="25" t="s">
        <v>12</v>
      </c>
      <c r="E55" s="47">
        <f t="shared" ref="E55:E57" si="10">F55+K55</f>
        <v>1314</v>
      </c>
      <c r="F55" s="22">
        <v>1314</v>
      </c>
      <c r="G55" s="14">
        <v>1</v>
      </c>
      <c r="H55" s="19">
        <f t="shared" si="5"/>
        <v>1314</v>
      </c>
      <c r="I55" s="20">
        <v>0.13</v>
      </c>
      <c r="J55" s="21">
        <f t="shared" si="0"/>
        <v>170.82</v>
      </c>
      <c r="K55" s="22">
        <v>0</v>
      </c>
      <c r="L55" s="14">
        <v>0</v>
      </c>
      <c r="M55" s="19">
        <f t="shared" si="6"/>
        <v>0</v>
      </c>
      <c r="N55" s="20">
        <v>0</v>
      </c>
      <c r="O55" s="17">
        <f t="shared" si="2"/>
        <v>0</v>
      </c>
      <c r="P55" s="23">
        <f t="shared" si="3"/>
        <v>170.82</v>
      </c>
      <c r="Q55" s="97">
        <f>28.35*1.33</f>
        <v>37.705500000000001</v>
      </c>
      <c r="R55" s="48">
        <f t="shared" ref="R55:R74" si="11">P55*Q55</f>
        <v>6440.8535099999999</v>
      </c>
    </row>
    <row r="56" spans="1:18" ht="27" x14ac:dyDescent="0.25">
      <c r="A56" s="25" t="s">
        <v>9</v>
      </c>
      <c r="B56" s="72" t="s">
        <v>98</v>
      </c>
      <c r="C56" s="40" t="s">
        <v>74</v>
      </c>
      <c r="D56" s="25" t="s">
        <v>138</v>
      </c>
      <c r="E56" s="24">
        <v>227</v>
      </c>
      <c r="F56" s="66">
        <v>227</v>
      </c>
      <c r="G56" s="14">
        <v>1</v>
      </c>
      <c r="H56" s="19">
        <f t="shared" si="5"/>
        <v>227</v>
      </c>
      <c r="I56" s="20">
        <v>0.13</v>
      </c>
      <c r="J56" s="21">
        <f t="shared" si="0"/>
        <v>29.51</v>
      </c>
      <c r="K56" s="66">
        <v>0</v>
      </c>
      <c r="L56" s="14">
        <v>0</v>
      </c>
      <c r="M56" s="19">
        <f t="shared" si="6"/>
        <v>0</v>
      </c>
      <c r="N56" s="20">
        <v>0</v>
      </c>
      <c r="O56" s="17">
        <f t="shared" si="2"/>
        <v>0</v>
      </c>
      <c r="P56" s="23">
        <f t="shared" si="3"/>
        <v>29.51</v>
      </c>
      <c r="Q56" s="99">
        <f>28.97*1.33</f>
        <v>38.530099999999997</v>
      </c>
      <c r="R56" s="48">
        <f t="shared" si="11"/>
        <v>1137.0232510000001</v>
      </c>
    </row>
    <row r="57" spans="1:18" ht="18" x14ac:dyDescent="0.25">
      <c r="A57" s="25" t="s">
        <v>9</v>
      </c>
      <c r="B57" s="72" t="s">
        <v>160</v>
      </c>
      <c r="C57" s="25" t="s">
        <v>39</v>
      </c>
      <c r="D57" s="25" t="s">
        <v>13</v>
      </c>
      <c r="E57" s="47">
        <f t="shared" si="10"/>
        <v>789</v>
      </c>
      <c r="F57" s="22">
        <v>750</v>
      </c>
      <c r="G57" s="14">
        <v>1</v>
      </c>
      <c r="H57" s="105">
        <f t="shared" si="5"/>
        <v>750</v>
      </c>
      <c r="I57" s="20">
        <v>0.25</v>
      </c>
      <c r="J57" s="17">
        <f t="shared" si="0"/>
        <v>187.5</v>
      </c>
      <c r="K57" s="45">
        <v>39</v>
      </c>
      <c r="L57" s="14">
        <v>1</v>
      </c>
      <c r="M57" s="19">
        <f t="shared" si="6"/>
        <v>39</v>
      </c>
      <c r="N57" s="20">
        <v>7.0000000000000007E-2</v>
      </c>
      <c r="O57" s="17">
        <f t="shared" si="2"/>
        <v>2.7300000000000004</v>
      </c>
      <c r="P57" s="23">
        <f t="shared" si="3"/>
        <v>190.23</v>
      </c>
      <c r="Q57" s="97">
        <f>28.35*1.33</f>
        <v>37.705500000000001</v>
      </c>
      <c r="R57" s="48">
        <f t="shared" si="11"/>
        <v>7172.7172649999993</v>
      </c>
    </row>
    <row r="58" spans="1:18" ht="27" x14ac:dyDescent="0.25">
      <c r="A58" s="25" t="s">
        <v>9</v>
      </c>
      <c r="B58" s="72" t="s">
        <v>160</v>
      </c>
      <c r="C58" s="25" t="s">
        <v>39</v>
      </c>
      <c r="D58" s="25" t="s">
        <v>138</v>
      </c>
      <c r="E58" s="47">
        <v>227</v>
      </c>
      <c r="F58" s="22">
        <v>227</v>
      </c>
      <c r="G58" s="14">
        <v>1</v>
      </c>
      <c r="H58" s="105">
        <f t="shared" si="5"/>
        <v>227</v>
      </c>
      <c r="I58" s="93">
        <v>7.0000000000000007E-2</v>
      </c>
      <c r="J58" s="17">
        <f t="shared" si="0"/>
        <v>15.890000000000002</v>
      </c>
      <c r="K58" s="22">
        <v>0</v>
      </c>
      <c r="L58" s="14">
        <v>0</v>
      </c>
      <c r="M58" s="19">
        <f t="shared" si="6"/>
        <v>0</v>
      </c>
      <c r="N58" s="20">
        <v>0</v>
      </c>
      <c r="O58" s="17">
        <f t="shared" si="2"/>
        <v>0</v>
      </c>
      <c r="P58" s="23">
        <f t="shared" si="3"/>
        <v>15.890000000000002</v>
      </c>
      <c r="Q58" s="99">
        <f>28.97*1.33</f>
        <v>38.530099999999997</v>
      </c>
      <c r="R58" s="48">
        <f t="shared" si="11"/>
        <v>612.243289</v>
      </c>
    </row>
    <row r="59" spans="1:18" ht="18" x14ac:dyDescent="0.25">
      <c r="A59" s="25" t="s">
        <v>9</v>
      </c>
      <c r="B59" s="72" t="s">
        <v>155</v>
      </c>
      <c r="C59" s="25" t="s">
        <v>70</v>
      </c>
      <c r="D59" s="25" t="s">
        <v>12</v>
      </c>
      <c r="E59" s="47">
        <f>F59+K59</f>
        <v>1040</v>
      </c>
      <c r="F59" s="22">
        <v>1040</v>
      </c>
      <c r="G59" s="14">
        <v>1</v>
      </c>
      <c r="H59" s="19">
        <f t="shared" si="5"/>
        <v>1040</v>
      </c>
      <c r="I59" s="20">
        <v>0.05</v>
      </c>
      <c r="J59" s="21">
        <f t="shared" si="0"/>
        <v>52</v>
      </c>
      <c r="K59" s="22">
        <v>0</v>
      </c>
      <c r="L59" s="14">
        <v>0</v>
      </c>
      <c r="M59" s="19">
        <f t="shared" si="6"/>
        <v>0</v>
      </c>
      <c r="N59" s="20">
        <v>0</v>
      </c>
      <c r="O59" s="21">
        <f t="shared" si="2"/>
        <v>0</v>
      </c>
      <c r="P59" s="23">
        <f t="shared" si="3"/>
        <v>52</v>
      </c>
      <c r="Q59" s="97">
        <f>28.35*1.33</f>
        <v>37.705500000000001</v>
      </c>
      <c r="R59" s="48">
        <f t="shared" si="11"/>
        <v>1960.6860000000001</v>
      </c>
    </row>
    <row r="60" spans="1:18" ht="27" x14ac:dyDescent="0.25">
      <c r="A60" s="25" t="s">
        <v>9</v>
      </c>
      <c r="B60" s="72" t="s">
        <v>162</v>
      </c>
      <c r="C60" s="25" t="s">
        <v>163</v>
      </c>
      <c r="D60" s="25" t="s">
        <v>138</v>
      </c>
      <c r="E60" s="24">
        <v>227</v>
      </c>
      <c r="F60" s="66">
        <v>227</v>
      </c>
      <c r="G60" s="14">
        <v>1</v>
      </c>
      <c r="H60" s="19">
        <f t="shared" si="5"/>
        <v>227</v>
      </c>
      <c r="I60" s="93">
        <v>0.05</v>
      </c>
      <c r="J60" s="21">
        <f t="shared" si="0"/>
        <v>11.350000000000001</v>
      </c>
      <c r="K60" s="66">
        <v>0</v>
      </c>
      <c r="L60" s="14">
        <v>0</v>
      </c>
      <c r="M60" s="19">
        <f t="shared" si="6"/>
        <v>0</v>
      </c>
      <c r="N60" s="20">
        <v>0</v>
      </c>
      <c r="O60" s="17">
        <f t="shared" si="2"/>
        <v>0</v>
      </c>
      <c r="P60" s="23">
        <f t="shared" si="3"/>
        <v>11.350000000000001</v>
      </c>
      <c r="Q60" s="99">
        <f>28.97*1.33</f>
        <v>38.530099999999997</v>
      </c>
      <c r="R60" s="48">
        <f t="shared" si="11"/>
        <v>437.31663500000002</v>
      </c>
    </row>
    <row r="61" spans="1:18" ht="36" x14ac:dyDescent="0.25">
      <c r="A61" s="25" t="s">
        <v>9</v>
      </c>
      <c r="B61" s="72" t="s">
        <v>215</v>
      </c>
      <c r="C61" s="25" t="s">
        <v>41</v>
      </c>
      <c r="D61" s="25" t="s">
        <v>14</v>
      </c>
      <c r="E61" s="47">
        <f>F61+K61</f>
        <v>263</v>
      </c>
      <c r="F61" s="43">
        <v>250</v>
      </c>
      <c r="G61" s="14">
        <v>1</v>
      </c>
      <c r="H61" s="105">
        <f t="shared" si="5"/>
        <v>250</v>
      </c>
      <c r="I61" s="20">
        <v>8.33</v>
      </c>
      <c r="J61" s="17">
        <f t="shared" si="0"/>
        <v>2082.5</v>
      </c>
      <c r="K61" s="45">
        <v>13</v>
      </c>
      <c r="L61" s="14">
        <v>1</v>
      </c>
      <c r="M61" s="19">
        <f t="shared" si="6"/>
        <v>13</v>
      </c>
      <c r="N61" s="20">
        <f>0.0666666666666667+0.07</f>
        <v>0.13666666666666671</v>
      </c>
      <c r="O61" s="17">
        <f t="shared" si="2"/>
        <v>1.7766666666666673</v>
      </c>
      <c r="P61" s="23">
        <f t="shared" si="3"/>
        <v>2084.2766666666666</v>
      </c>
      <c r="Q61" s="97">
        <f>28.35*1.33</f>
        <v>37.705500000000001</v>
      </c>
      <c r="R61" s="48">
        <f t="shared" si="11"/>
        <v>78588.693855000005</v>
      </c>
    </row>
    <row r="62" spans="1:18" ht="52.5" customHeight="1" x14ac:dyDescent="0.25">
      <c r="A62" s="25" t="s">
        <v>9</v>
      </c>
      <c r="B62" s="72" t="s">
        <v>216</v>
      </c>
      <c r="C62" s="25" t="s">
        <v>42</v>
      </c>
      <c r="D62" s="25" t="s">
        <v>13</v>
      </c>
      <c r="E62" s="47">
        <f>F62+K62</f>
        <v>789</v>
      </c>
      <c r="F62" s="43">
        <v>750</v>
      </c>
      <c r="G62" s="14">
        <v>1</v>
      </c>
      <c r="H62" s="105">
        <f t="shared" si="5"/>
        <v>750</v>
      </c>
      <c r="I62" s="20">
        <v>10.33</v>
      </c>
      <c r="J62" s="17">
        <f t="shared" si="0"/>
        <v>7747.5</v>
      </c>
      <c r="K62" s="45">
        <v>39</v>
      </c>
      <c r="L62" s="14">
        <v>1</v>
      </c>
      <c r="M62" s="19">
        <f t="shared" si="6"/>
        <v>39</v>
      </c>
      <c r="N62" s="20">
        <f>0.0666666666666667+0.07</f>
        <v>0.13666666666666671</v>
      </c>
      <c r="O62" s="17">
        <f t="shared" si="2"/>
        <v>5.3300000000000018</v>
      </c>
      <c r="P62" s="23">
        <f t="shared" si="3"/>
        <v>7752.83</v>
      </c>
      <c r="Q62" s="97">
        <f>28.35*1.33</f>
        <v>37.705500000000001</v>
      </c>
      <c r="R62" s="48">
        <f t="shared" si="11"/>
        <v>292324.331565</v>
      </c>
    </row>
    <row r="63" spans="1:18" ht="27" x14ac:dyDescent="0.25">
      <c r="A63" s="25" t="s">
        <v>9</v>
      </c>
      <c r="B63" s="72" t="s">
        <v>214</v>
      </c>
      <c r="C63" s="25" t="s">
        <v>43</v>
      </c>
      <c r="D63" s="25" t="s">
        <v>138</v>
      </c>
      <c r="E63" s="24">
        <v>227</v>
      </c>
      <c r="F63" s="67">
        <v>216</v>
      </c>
      <c r="G63" s="14">
        <v>1</v>
      </c>
      <c r="H63" s="105">
        <f t="shared" si="5"/>
        <v>216</v>
      </c>
      <c r="I63" s="20">
        <v>8.34</v>
      </c>
      <c r="J63" s="17">
        <f t="shared" si="0"/>
        <v>1801.44</v>
      </c>
      <c r="K63" s="70">
        <v>11</v>
      </c>
      <c r="L63" s="14">
        <v>1</v>
      </c>
      <c r="M63" s="19">
        <f t="shared" si="6"/>
        <v>11</v>
      </c>
      <c r="N63" s="20">
        <v>6.6666666666666666E-2</v>
      </c>
      <c r="O63" s="17">
        <f t="shared" si="2"/>
        <v>0.73333333333333328</v>
      </c>
      <c r="P63" s="23">
        <f t="shared" si="3"/>
        <v>1802.1733333333334</v>
      </c>
      <c r="Q63" s="99">
        <f>28.97*1.33</f>
        <v>38.530099999999997</v>
      </c>
      <c r="R63" s="48">
        <f t="shared" si="11"/>
        <v>69437.918750666664</v>
      </c>
    </row>
    <row r="64" spans="1:18" ht="27" x14ac:dyDescent="0.25">
      <c r="A64" s="25" t="s">
        <v>9</v>
      </c>
      <c r="B64" s="72" t="s">
        <v>148</v>
      </c>
      <c r="C64" s="25" t="s">
        <v>161</v>
      </c>
      <c r="D64" s="25" t="s">
        <v>13</v>
      </c>
      <c r="E64" s="47">
        <f>F64+K64</f>
        <v>789</v>
      </c>
      <c r="F64" s="22">
        <v>750</v>
      </c>
      <c r="G64" s="14">
        <v>1</v>
      </c>
      <c r="H64" s="105">
        <f t="shared" si="5"/>
        <v>750</v>
      </c>
      <c r="I64" s="20">
        <v>1.5</v>
      </c>
      <c r="J64" s="17">
        <f t="shared" si="0"/>
        <v>1125</v>
      </c>
      <c r="K64" s="22">
        <v>39</v>
      </c>
      <c r="L64" s="14">
        <v>1</v>
      </c>
      <c r="M64" s="19">
        <f t="shared" si="6"/>
        <v>39</v>
      </c>
      <c r="N64" s="20">
        <v>6.6666666666666666E-2</v>
      </c>
      <c r="O64" s="17">
        <f t="shared" si="2"/>
        <v>2.6</v>
      </c>
      <c r="P64" s="23">
        <f t="shared" si="3"/>
        <v>1127.5999999999999</v>
      </c>
      <c r="Q64" s="97">
        <f>28.35*1.33</f>
        <v>37.705500000000001</v>
      </c>
      <c r="R64" s="48">
        <f t="shared" si="11"/>
        <v>42516.721799999999</v>
      </c>
    </row>
    <row r="65" spans="1:18" ht="27" x14ac:dyDescent="0.25">
      <c r="A65" s="25" t="s">
        <v>9</v>
      </c>
      <c r="B65" s="72" t="s">
        <v>164</v>
      </c>
      <c r="C65" s="25" t="s">
        <v>75</v>
      </c>
      <c r="D65" s="25" t="s">
        <v>138</v>
      </c>
      <c r="E65" s="47">
        <v>227</v>
      </c>
      <c r="F65" s="66">
        <v>216</v>
      </c>
      <c r="G65" s="14">
        <v>1</v>
      </c>
      <c r="H65" s="105">
        <f t="shared" si="5"/>
        <v>216</v>
      </c>
      <c r="I65" s="20">
        <v>1.5</v>
      </c>
      <c r="J65" s="17">
        <f t="shared" si="0"/>
        <v>324</v>
      </c>
      <c r="K65" s="66">
        <v>11</v>
      </c>
      <c r="L65" s="14">
        <v>1</v>
      </c>
      <c r="M65" s="19">
        <f t="shared" si="6"/>
        <v>11</v>
      </c>
      <c r="N65" s="20">
        <v>6.6666666666666666E-2</v>
      </c>
      <c r="O65" s="17">
        <f t="shared" si="2"/>
        <v>0.73333333333333328</v>
      </c>
      <c r="P65" s="23">
        <f t="shared" si="3"/>
        <v>324.73333333333335</v>
      </c>
      <c r="Q65" s="99">
        <f>28.97*1.33</f>
        <v>38.530099999999997</v>
      </c>
      <c r="R65" s="48">
        <f t="shared" si="11"/>
        <v>12512.007806666667</v>
      </c>
    </row>
    <row r="66" spans="1:18" ht="30" customHeight="1" x14ac:dyDescent="0.25">
      <c r="A66" s="25" t="s">
        <v>9</v>
      </c>
      <c r="B66" s="72" t="s">
        <v>97</v>
      </c>
      <c r="C66" s="25" t="s">
        <v>32</v>
      </c>
      <c r="D66" s="25" t="s">
        <v>13</v>
      </c>
      <c r="E66" s="47">
        <f t="shared" ref="E66:E77" si="12">F66+K66</f>
        <v>182</v>
      </c>
      <c r="F66" s="22">
        <v>173</v>
      </c>
      <c r="G66" s="14">
        <v>1</v>
      </c>
      <c r="H66" s="14">
        <f t="shared" si="5"/>
        <v>173</v>
      </c>
      <c r="I66" s="20">
        <v>0.16666666666666666</v>
      </c>
      <c r="J66" s="17">
        <f t="shared" si="0"/>
        <v>28.833333333333332</v>
      </c>
      <c r="K66" s="22">
        <v>9</v>
      </c>
      <c r="L66" s="14">
        <v>1</v>
      </c>
      <c r="M66" s="19">
        <f t="shared" si="6"/>
        <v>9</v>
      </c>
      <c r="N66" s="20">
        <v>6.6666666666666666E-2</v>
      </c>
      <c r="O66" s="17">
        <f t="shared" si="2"/>
        <v>0.6</v>
      </c>
      <c r="P66" s="23">
        <f t="shared" si="3"/>
        <v>29.433333333333334</v>
      </c>
      <c r="Q66" s="97">
        <f t="shared" ref="Q66:Q70" si="13">28.35*1.33</f>
        <v>37.705500000000001</v>
      </c>
      <c r="R66" s="48">
        <f t="shared" si="11"/>
        <v>1109.79855</v>
      </c>
    </row>
    <row r="67" spans="1:18" ht="27" x14ac:dyDescent="0.25">
      <c r="A67" s="25" t="s">
        <v>9</v>
      </c>
      <c r="B67" s="72" t="s">
        <v>76</v>
      </c>
      <c r="C67" s="25" t="s">
        <v>24</v>
      </c>
      <c r="D67" s="25" t="s">
        <v>15</v>
      </c>
      <c r="E67" s="47">
        <f t="shared" si="12"/>
        <v>1000</v>
      </c>
      <c r="F67" s="22">
        <v>1000</v>
      </c>
      <c r="G67" s="14">
        <v>1</v>
      </c>
      <c r="H67" s="107">
        <f t="shared" si="5"/>
        <v>1000</v>
      </c>
      <c r="I67" s="20">
        <v>0.33</v>
      </c>
      <c r="J67" s="17">
        <f t="shared" si="0"/>
        <v>330</v>
      </c>
      <c r="K67" s="22">
        <v>0</v>
      </c>
      <c r="L67" s="14">
        <v>0</v>
      </c>
      <c r="M67" s="19">
        <f t="shared" si="6"/>
        <v>0</v>
      </c>
      <c r="N67" s="20">
        <v>0</v>
      </c>
      <c r="O67" s="17">
        <f t="shared" si="2"/>
        <v>0</v>
      </c>
      <c r="P67" s="23">
        <f t="shared" si="3"/>
        <v>330</v>
      </c>
      <c r="Q67" s="97">
        <f t="shared" si="13"/>
        <v>37.705500000000001</v>
      </c>
      <c r="R67" s="48">
        <f t="shared" si="11"/>
        <v>12442.815000000001</v>
      </c>
    </row>
    <row r="68" spans="1:18" ht="27" x14ac:dyDescent="0.25">
      <c r="A68" s="25" t="s">
        <v>9</v>
      </c>
      <c r="B68" s="72" t="s">
        <v>77</v>
      </c>
      <c r="C68" s="25" t="s">
        <v>25</v>
      </c>
      <c r="D68" s="25" t="s">
        <v>14</v>
      </c>
      <c r="E68" s="47">
        <f t="shared" si="12"/>
        <v>250</v>
      </c>
      <c r="F68" s="22">
        <v>250</v>
      </c>
      <c r="G68" s="14">
        <v>1</v>
      </c>
      <c r="H68" s="14">
        <f t="shared" si="5"/>
        <v>250</v>
      </c>
      <c r="I68" s="20">
        <v>8.3333333333333329E-2</v>
      </c>
      <c r="J68" s="17">
        <f t="shared" ref="J68:J112" si="14">H68*I68</f>
        <v>20.833333333333332</v>
      </c>
      <c r="K68" s="22">
        <v>0</v>
      </c>
      <c r="L68" s="14">
        <v>0</v>
      </c>
      <c r="M68" s="19">
        <f t="shared" si="6"/>
        <v>0</v>
      </c>
      <c r="N68" s="20">
        <v>0</v>
      </c>
      <c r="O68" s="17">
        <f t="shared" ref="O68:O85" si="15">M68*N68</f>
        <v>0</v>
      </c>
      <c r="P68" s="23">
        <f t="shared" ref="P68:P112" si="16">J68+O68</f>
        <v>20.833333333333332</v>
      </c>
      <c r="Q68" s="97">
        <f t="shared" si="13"/>
        <v>37.705500000000001</v>
      </c>
      <c r="R68" s="48">
        <f t="shared" si="11"/>
        <v>785.53125</v>
      </c>
    </row>
    <row r="69" spans="1:18" ht="28.5" customHeight="1" x14ac:dyDescent="0.25">
      <c r="A69" s="25" t="s">
        <v>9</v>
      </c>
      <c r="B69" s="72" t="s">
        <v>94</v>
      </c>
      <c r="C69" s="25" t="s">
        <v>127</v>
      </c>
      <c r="D69" s="25" t="s">
        <v>12</v>
      </c>
      <c r="E69" s="47">
        <f>F69+K69</f>
        <v>1000</v>
      </c>
      <c r="F69" s="22">
        <v>1000</v>
      </c>
      <c r="G69" s="14">
        <v>1</v>
      </c>
      <c r="H69" s="105">
        <f t="shared" si="5"/>
        <v>1000</v>
      </c>
      <c r="I69" s="20">
        <v>0.08</v>
      </c>
      <c r="J69" s="17">
        <f t="shared" si="14"/>
        <v>80</v>
      </c>
      <c r="K69" s="22">
        <v>0</v>
      </c>
      <c r="L69" s="14">
        <v>0</v>
      </c>
      <c r="M69" s="19">
        <f t="shared" si="6"/>
        <v>0</v>
      </c>
      <c r="N69" s="20">
        <v>0</v>
      </c>
      <c r="O69" s="17">
        <f t="shared" si="15"/>
        <v>0</v>
      </c>
      <c r="P69" s="23">
        <f t="shared" si="16"/>
        <v>80</v>
      </c>
      <c r="Q69" s="97">
        <f t="shared" si="13"/>
        <v>37.705500000000001</v>
      </c>
      <c r="R69" s="48">
        <f t="shared" si="11"/>
        <v>3016.44</v>
      </c>
    </row>
    <row r="70" spans="1:18" ht="22.5" customHeight="1" x14ac:dyDescent="0.25">
      <c r="A70" s="25" t="s">
        <v>9</v>
      </c>
      <c r="B70" s="72" t="s">
        <v>79</v>
      </c>
      <c r="C70" s="25" t="s">
        <v>202</v>
      </c>
      <c r="D70" s="25" t="s">
        <v>14</v>
      </c>
      <c r="E70" s="47">
        <f t="shared" si="12"/>
        <v>250</v>
      </c>
      <c r="F70" s="22">
        <v>250</v>
      </c>
      <c r="G70" s="14">
        <v>1</v>
      </c>
      <c r="H70" s="14">
        <f>F70*G70</f>
        <v>250</v>
      </c>
      <c r="I70" s="20">
        <v>0.16666666666666666</v>
      </c>
      <c r="J70" s="17">
        <f>H70*I70</f>
        <v>41.666666666666664</v>
      </c>
      <c r="K70" s="22">
        <v>0</v>
      </c>
      <c r="L70" s="14">
        <v>0</v>
      </c>
      <c r="M70" s="19">
        <f>K70*L70</f>
        <v>0</v>
      </c>
      <c r="N70" s="20">
        <v>0</v>
      </c>
      <c r="O70" s="17">
        <f>M70*N70</f>
        <v>0</v>
      </c>
      <c r="P70" s="23">
        <f>J70+O70</f>
        <v>41.666666666666664</v>
      </c>
      <c r="Q70" s="97">
        <f t="shared" si="13"/>
        <v>37.705500000000001</v>
      </c>
      <c r="R70" s="48">
        <f t="shared" si="11"/>
        <v>1571.0625</v>
      </c>
    </row>
    <row r="71" spans="1:18" ht="27" x14ac:dyDescent="0.25">
      <c r="A71" s="25" t="s">
        <v>9</v>
      </c>
      <c r="B71" s="72" t="s">
        <v>78</v>
      </c>
      <c r="C71" s="25" t="s">
        <v>26</v>
      </c>
      <c r="D71" s="25" t="s">
        <v>13</v>
      </c>
      <c r="E71" s="47">
        <f t="shared" si="12"/>
        <v>130</v>
      </c>
      <c r="F71" s="22">
        <v>130</v>
      </c>
      <c r="G71" s="14">
        <v>1</v>
      </c>
      <c r="H71" s="14">
        <f t="shared" ref="H71:H98" si="17">F71*G71</f>
        <v>130</v>
      </c>
      <c r="I71" s="20">
        <v>0.16666666666666666</v>
      </c>
      <c r="J71" s="17">
        <f t="shared" si="14"/>
        <v>21.666666666666664</v>
      </c>
      <c r="K71" s="22">
        <v>0</v>
      </c>
      <c r="L71" s="14">
        <v>0</v>
      </c>
      <c r="M71" s="19">
        <f t="shared" si="6"/>
        <v>0</v>
      </c>
      <c r="N71" s="20">
        <v>0</v>
      </c>
      <c r="O71" s="17">
        <f t="shared" si="15"/>
        <v>0</v>
      </c>
      <c r="P71" s="23">
        <f t="shared" si="16"/>
        <v>21.666666666666664</v>
      </c>
      <c r="Q71" s="97">
        <f>28.35*1.33</f>
        <v>37.705500000000001</v>
      </c>
      <c r="R71" s="48">
        <f t="shared" si="11"/>
        <v>816.95249999999987</v>
      </c>
    </row>
    <row r="72" spans="1:18" ht="23.45" customHeight="1" x14ac:dyDescent="0.25">
      <c r="A72" s="25" t="s">
        <v>9</v>
      </c>
      <c r="B72" s="72" t="s">
        <v>160</v>
      </c>
      <c r="C72" s="40" t="s">
        <v>46</v>
      </c>
      <c r="D72" s="25" t="s">
        <v>16</v>
      </c>
      <c r="E72" s="47">
        <f>F72+K72</f>
        <v>264</v>
      </c>
      <c r="F72" s="43">
        <v>264</v>
      </c>
      <c r="G72" s="14">
        <v>1</v>
      </c>
      <c r="H72" s="105">
        <f>F72*G72</f>
        <v>264</v>
      </c>
      <c r="I72" s="20">
        <v>0.25</v>
      </c>
      <c r="J72" s="17">
        <f>H72*I72</f>
        <v>66</v>
      </c>
      <c r="K72" s="45">
        <v>0</v>
      </c>
      <c r="L72" s="14">
        <v>0</v>
      </c>
      <c r="M72" s="19">
        <f>K72*L72</f>
        <v>0</v>
      </c>
      <c r="N72" s="20">
        <v>0</v>
      </c>
      <c r="O72" s="17">
        <f>M72*N72</f>
        <v>0</v>
      </c>
      <c r="P72" s="23">
        <f>J72+O72</f>
        <v>66</v>
      </c>
      <c r="Q72" s="97">
        <f t="shared" ref="Q72:Q74" si="18">27.22*1.33</f>
        <v>36.202600000000004</v>
      </c>
      <c r="R72" s="48">
        <f t="shared" si="11"/>
        <v>2389.3716000000004</v>
      </c>
    </row>
    <row r="73" spans="1:18" ht="18" x14ac:dyDescent="0.25">
      <c r="A73" s="25" t="s">
        <v>9</v>
      </c>
      <c r="B73" s="72" t="s">
        <v>155</v>
      </c>
      <c r="C73" s="25" t="s">
        <v>70</v>
      </c>
      <c r="D73" s="25" t="s">
        <v>16</v>
      </c>
      <c r="E73" s="47">
        <f>F73+K73</f>
        <v>250</v>
      </c>
      <c r="F73" s="22">
        <v>250</v>
      </c>
      <c r="G73" s="14">
        <v>1</v>
      </c>
      <c r="H73" s="14">
        <f>F73*G73</f>
        <v>250</v>
      </c>
      <c r="I73" s="20">
        <v>0.05</v>
      </c>
      <c r="J73" s="17">
        <f>H73*I73</f>
        <v>12.5</v>
      </c>
      <c r="K73" s="22">
        <v>0</v>
      </c>
      <c r="L73" s="14">
        <v>0</v>
      </c>
      <c r="M73" s="19">
        <f>K73*L73</f>
        <v>0</v>
      </c>
      <c r="N73" s="20">
        <v>0</v>
      </c>
      <c r="O73" s="17">
        <f>M73*N73</f>
        <v>0</v>
      </c>
      <c r="P73" s="23">
        <f>J73+O73</f>
        <v>12.5</v>
      </c>
      <c r="Q73" s="97">
        <f t="shared" si="18"/>
        <v>36.202600000000004</v>
      </c>
      <c r="R73" s="48">
        <f t="shared" si="11"/>
        <v>452.53250000000003</v>
      </c>
    </row>
    <row r="74" spans="1:18" s="29" customFormat="1" ht="18" x14ac:dyDescent="0.25">
      <c r="A74" s="25" t="s">
        <v>9</v>
      </c>
      <c r="B74" s="72" t="s">
        <v>68</v>
      </c>
      <c r="C74" s="25" t="s">
        <v>69</v>
      </c>
      <c r="D74" s="25" t="s">
        <v>16</v>
      </c>
      <c r="E74" s="47">
        <f>F74+K74</f>
        <v>70</v>
      </c>
      <c r="F74" s="22">
        <v>70</v>
      </c>
      <c r="G74" s="14">
        <v>1</v>
      </c>
      <c r="H74" s="14">
        <f>F74*G74</f>
        <v>70</v>
      </c>
      <c r="I74" s="20">
        <v>1</v>
      </c>
      <c r="J74" s="17">
        <f>H74*I74</f>
        <v>70</v>
      </c>
      <c r="K74" s="22">
        <v>0</v>
      </c>
      <c r="L74" s="14">
        <v>0</v>
      </c>
      <c r="M74" s="19">
        <f>K74*L74</f>
        <v>0</v>
      </c>
      <c r="N74" s="20">
        <v>0</v>
      </c>
      <c r="O74" s="17">
        <f>M74*N74</f>
        <v>0</v>
      </c>
      <c r="P74" s="23">
        <f>J74+O74</f>
        <v>70</v>
      </c>
      <c r="Q74" s="97">
        <f t="shared" si="18"/>
        <v>36.202600000000004</v>
      </c>
      <c r="R74" s="48">
        <f t="shared" si="11"/>
        <v>2534.1820000000002</v>
      </c>
    </row>
    <row r="75" spans="1:18" s="80" customFormat="1" ht="36" x14ac:dyDescent="0.25">
      <c r="A75" s="49"/>
      <c r="B75" s="49"/>
      <c r="C75" s="53"/>
      <c r="D75" s="49" t="s">
        <v>107</v>
      </c>
      <c r="E75" s="128">
        <f>SUM(F75,K75)</f>
        <v>1910</v>
      </c>
      <c r="F75" s="31">
        <f>SUM(F54:F56,F72)</f>
        <v>1808</v>
      </c>
      <c r="G75" s="35">
        <f>H75/F75</f>
        <v>5.1753318584070795</v>
      </c>
      <c r="H75" s="27">
        <f>SUM(H54:H74)</f>
        <v>9357</v>
      </c>
      <c r="I75" s="35">
        <f>J75/H75</f>
        <v>1.5209746713690286</v>
      </c>
      <c r="J75" s="33">
        <f>SUM(J54:J74)</f>
        <v>14231.76</v>
      </c>
      <c r="K75" s="31">
        <f>SUM(K57, K61:K63, K72)</f>
        <v>102</v>
      </c>
      <c r="L75" s="35">
        <f>M75/K75</f>
        <v>1.5784313725490196</v>
      </c>
      <c r="M75" s="27">
        <f>SUM(M54:M74)</f>
        <v>161</v>
      </c>
      <c r="N75" s="35">
        <f>O75/M75</f>
        <v>9.0082815734989649E-2</v>
      </c>
      <c r="O75" s="27">
        <f>SUM(O54:O74)</f>
        <v>14.503333333333334</v>
      </c>
      <c r="P75" s="28">
        <f>O75+J75</f>
        <v>14246.263333333334</v>
      </c>
      <c r="Q75" s="96" t="s">
        <v>52</v>
      </c>
      <c r="R75" s="52">
        <f>SUM(R54:R74)</f>
        <v>538739.94475233322</v>
      </c>
    </row>
    <row r="76" spans="1:18" ht="18" x14ac:dyDescent="0.25">
      <c r="A76" s="25" t="s">
        <v>9</v>
      </c>
      <c r="B76" s="72" t="s">
        <v>119</v>
      </c>
      <c r="C76" s="40" t="s">
        <v>121</v>
      </c>
      <c r="D76" s="25" t="s">
        <v>61</v>
      </c>
      <c r="E76" s="47">
        <f t="shared" si="12"/>
        <v>3</v>
      </c>
      <c r="F76" s="22">
        <v>3</v>
      </c>
      <c r="G76" s="14">
        <v>1</v>
      </c>
      <c r="H76" s="14">
        <f t="shared" si="17"/>
        <v>3</v>
      </c>
      <c r="I76" s="20">
        <v>1.5</v>
      </c>
      <c r="J76" s="17">
        <f t="shared" si="14"/>
        <v>4.5</v>
      </c>
      <c r="K76" s="22">
        <v>0</v>
      </c>
      <c r="L76" s="14">
        <v>0</v>
      </c>
      <c r="M76" s="19">
        <f t="shared" si="6"/>
        <v>0</v>
      </c>
      <c r="N76" s="20">
        <v>6.6666666666666666E-2</v>
      </c>
      <c r="O76" s="17">
        <f t="shared" si="15"/>
        <v>0</v>
      </c>
      <c r="P76" s="23">
        <f t="shared" si="16"/>
        <v>4.5</v>
      </c>
      <c r="Q76" s="97">
        <f t="shared" ref="Q76:Q77" si="19">46.65*1.33</f>
        <v>62.044499999999999</v>
      </c>
      <c r="R76" s="48">
        <f>P76*Q76</f>
        <v>279.20024999999998</v>
      </c>
    </row>
    <row r="77" spans="1:18" ht="27" x14ac:dyDescent="0.25">
      <c r="A77" s="25" t="s">
        <v>9</v>
      </c>
      <c r="B77" s="72" t="s">
        <v>168</v>
      </c>
      <c r="C77" s="40" t="s">
        <v>80</v>
      </c>
      <c r="D77" s="25" t="s">
        <v>17</v>
      </c>
      <c r="E77" s="47">
        <f t="shared" si="12"/>
        <v>1040</v>
      </c>
      <c r="F77" s="22">
        <v>1040</v>
      </c>
      <c r="G77" s="14">
        <v>1</v>
      </c>
      <c r="H77" s="19">
        <f t="shared" si="17"/>
        <v>1040</v>
      </c>
      <c r="I77" s="20">
        <f>0.13+0.05</f>
        <v>0.18</v>
      </c>
      <c r="J77" s="17">
        <f t="shared" si="14"/>
        <v>187.2</v>
      </c>
      <c r="K77" s="22">
        <v>0</v>
      </c>
      <c r="L77" s="14">
        <v>0</v>
      </c>
      <c r="M77" s="19">
        <f t="shared" si="6"/>
        <v>0</v>
      </c>
      <c r="N77" s="20">
        <v>0</v>
      </c>
      <c r="O77" s="17">
        <f t="shared" si="15"/>
        <v>0</v>
      </c>
      <c r="P77" s="23">
        <f t="shared" si="16"/>
        <v>187.2</v>
      </c>
      <c r="Q77" s="97">
        <f t="shared" si="19"/>
        <v>62.044499999999999</v>
      </c>
      <c r="R77" s="48">
        <f t="shared" ref="R77:R85" si="20">P77*Q77</f>
        <v>11614.730399999999</v>
      </c>
    </row>
    <row r="78" spans="1:18" ht="18" x14ac:dyDescent="0.25">
      <c r="A78" s="25" t="s">
        <v>9</v>
      </c>
      <c r="B78" s="72" t="s">
        <v>96</v>
      </c>
      <c r="C78" s="40" t="s">
        <v>81</v>
      </c>
      <c r="D78" s="25" t="s">
        <v>139</v>
      </c>
      <c r="E78" s="24">
        <v>227</v>
      </c>
      <c r="F78" s="66">
        <v>227</v>
      </c>
      <c r="G78" s="14">
        <v>1</v>
      </c>
      <c r="H78" s="14">
        <f t="shared" si="17"/>
        <v>227</v>
      </c>
      <c r="I78" s="20">
        <v>0.13</v>
      </c>
      <c r="J78" s="17">
        <f t="shared" si="14"/>
        <v>29.51</v>
      </c>
      <c r="K78" s="66">
        <v>0</v>
      </c>
      <c r="L78" s="14">
        <v>0</v>
      </c>
      <c r="M78" s="19">
        <f t="shared" si="6"/>
        <v>0</v>
      </c>
      <c r="N78" s="20">
        <v>0</v>
      </c>
      <c r="O78" s="17">
        <f t="shared" si="15"/>
        <v>0</v>
      </c>
      <c r="P78" s="23">
        <f t="shared" si="16"/>
        <v>29.51</v>
      </c>
      <c r="Q78" s="99">
        <f>38.21*1.33</f>
        <v>50.819300000000005</v>
      </c>
      <c r="R78" s="48">
        <f t="shared" si="20"/>
        <v>1499.6775430000002</v>
      </c>
    </row>
    <row r="79" spans="1:18" ht="18" x14ac:dyDescent="0.25">
      <c r="A79" s="25" t="s">
        <v>9</v>
      </c>
      <c r="B79" s="72" t="s">
        <v>169</v>
      </c>
      <c r="C79" s="25" t="s">
        <v>109</v>
      </c>
      <c r="D79" s="25" t="s">
        <v>110</v>
      </c>
      <c r="E79" s="24">
        <v>250</v>
      </c>
      <c r="F79" s="66">
        <v>250</v>
      </c>
      <c r="G79" s="14">
        <v>1</v>
      </c>
      <c r="H79" s="14">
        <f t="shared" si="17"/>
        <v>250</v>
      </c>
      <c r="I79" s="20">
        <v>0.03</v>
      </c>
      <c r="J79" s="17">
        <f t="shared" si="14"/>
        <v>7.5</v>
      </c>
      <c r="K79" s="66">
        <v>0</v>
      </c>
      <c r="L79" s="14">
        <v>0</v>
      </c>
      <c r="M79" s="19">
        <f t="shared" si="6"/>
        <v>0</v>
      </c>
      <c r="N79" s="20">
        <v>0</v>
      </c>
      <c r="O79" s="17">
        <f t="shared" si="15"/>
        <v>0</v>
      </c>
      <c r="P79" s="23">
        <f t="shared" si="16"/>
        <v>7.5</v>
      </c>
      <c r="Q79" s="97">
        <f t="shared" ref="Q79:Q83" si="21">46.65*1.33</f>
        <v>62.044499999999999</v>
      </c>
      <c r="R79" s="48">
        <f t="shared" si="20"/>
        <v>465.33375000000001</v>
      </c>
    </row>
    <row r="80" spans="1:18" ht="18" x14ac:dyDescent="0.25">
      <c r="A80" s="25" t="s">
        <v>9</v>
      </c>
      <c r="B80" s="72" t="s">
        <v>83</v>
      </c>
      <c r="C80" s="25" t="s">
        <v>82</v>
      </c>
      <c r="D80" s="25" t="s">
        <v>17</v>
      </c>
      <c r="E80" s="47">
        <f>F80+K80</f>
        <v>1000</v>
      </c>
      <c r="F80" s="22">
        <v>1000</v>
      </c>
      <c r="G80" s="14">
        <v>1</v>
      </c>
      <c r="H80" s="19">
        <f t="shared" si="17"/>
        <v>1000</v>
      </c>
      <c r="I80" s="14">
        <v>0.02</v>
      </c>
      <c r="J80" s="17">
        <f t="shared" si="14"/>
        <v>20</v>
      </c>
      <c r="K80" s="22">
        <v>0</v>
      </c>
      <c r="L80" s="14">
        <v>0</v>
      </c>
      <c r="M80" s="19">
        <f t="shared" si="6"/>
        <v>0</v>
      </c>
      <c r="N80" s="20">
        <v>0</v>
      </c>
      <c r="O80" s="17">
        <f t="shared" si="15"/>
        <v>0</v>
      </c>
      <c r="P80" s="23">
        <f t="shared" si="16"/>
        <v>20</v>
      </c>
      <c r="Q80" s="97">
        <f t="shared" si="21"/>
        <v>62.044499999999999</v>
      </c>
      <c r="R80" s="48">
        <f t="shared" si="20"/>
        <v>1240.8899999999999</v>
      </c>
    </row>
    <row r="81" spans="1:18" ht="18" x14ac:dyDescent="0.25">
      <c r="A81" s="25" t="s">
        <v>9</v>
      </c>
      <c r="B81" s="72" t="s">
        <v>113</v>
      </c>
      <c r="C81" s="25" t="s">
        <v>44</v>
      </c>
      <c r="D81" s="25" t="s">
        <v>17</v>
      </c>
      <c r="E81" s="47">
        <f>F81+K81</f>
        <v>1000</v>
      </c>
      <c r="F81" s="43">
        <v>900</v>
      </c>
      <c r="G81" s="14">
        <v>1</v>
      </c>
      <c r="H81" s="105">
        <f t="shared" si="17"/>
        <v>900</v>
      </c>
      <c r="I81" s="20">
        <v>0.5</v>
      </c>
      <c r="J81" s="17">
        <f t="shared" si="14"/>
        <v>450</v>
      </c>
      <c r="K81" s="45">
        <v>100</v>
      </c>
      <c r="L81" s="14">
        <v>1</v>
      </c>
      <c r="M81" s="19">
        <f t="shared" si="6"/>
        <v>100</v>
      </c>
      <c r="N81" s="20">
        <v>6.6666666666666666E-2</v>
      </c>
      <c r="O81" s="17">
        <f t="shared" si="15"/>
        <v>6.666666666666667</v>
      </c>
      <c r="P81" s="23">
        <f t="shared" si="16"/>
        <v>456.66666666666669</v>
      </c>
      <c r="Q81" s="97">
        <f t="shared" si="21"/>
        <v>62.044499999999999</v>
      </c>
      <c r="R81" s="48">
        <f t="shared" si="20"/>
        <v>28333.655000000002</v>
      </c>
    </row>
    <row r="82" spans="1:18" ht="34.5" customHeight="1" x14ac:dyDescent="0.25">
      <c r="A82" s="25" t="s">
        <v>9</v>
      </c>
      <c r="B82" s="72" t="s">
        <v>116</v>
      </c>
      <c r="C82" s="25" t="s">
        <v>117</v>
      </c>
      <c r="D82" s="25" t="s">
        <v>17</v>
      </c>
      <c r="E82" s="47">
        <f>F82+K82</f>
        <v>500</v>
      </c>
      <c r="F82" s="22">
        <v>500</v>
      </c>
      <c r="G82" s="14">
        <v>1</v>
      </c>
      <c r="H82" s="14">
        <f t="shared" si="17"/>
        <v>500</v>
      </c>
      <c r="I82" s="20">
        <f>0.07+0.08</f>
        <v>0.15000000000000002</v>
      </c>
      <c r="J82" s="17">
        <f t="shared" si="14"/>
        <v>75.000000000000014</v>
      </c>
      <c r="K82" s="22">
        <v>0</v>
      </c>
      <c r="L82" s="14">
        <v>0</v>
      </c>
      <c r="M82" s="19">
        <f t="shared" si="6"/>
        <v>0</v>
      </c>
      <c r="N82" s="20">
        <v>0</v>
      </c>
      <c r="O82" s="16">
        <f t="shared" si="15"/>
        <v>0</v>
      </c>
      <c r="P82" s="23">
        <f t="shared" si="16"/>
        <v>75.000000000000014</v>
      </c>
      <c r="Q82" s="97">
        <f t="shared" si="21"/>
        <v>62.044499999999999</v>
      </c>
      <c r="R82" s="48">
        <f t="shared" si="20"/>
        <v>4653.3375000000005</v>
      </c>
    </row>
    <row r="83" spans="1:18" ht="27" x14ac:dyDescent="0.25">
      <c r="A83" s="25" t="s">
        <v>9</v>
      </c>
      <c r="B83" s="72" t="s">
        <v>147</v>
      </c>
      <c r="C83" s="25" t="s">
        <v>170</v>
      </c>
      <c r="D83" s="25" t="s">
        <v>38</v>
      </c>
      <c r="E83" s="47">
        <f>F83+K83</f>
        <v>789</v>
      </c>
      <c r="F83" s="22">
        <f>750</f>
        <v>750</v>
      </c>
      <c r="G83" s="14">
        <v>1</v>
      </c>
      <c r="H83" s="105">
        <f t="shared" si="17"/>
        <v>750</v>
      </c>
      <c r="I83" s="14">
        <v>0.75</v>
      </c>
      <c r="J83" s="17">
        <f t="shared" si="14"/>
        <v>562.5</v>
      </c>
      <c r="K83" s="22">
        <f>39</f>
        <v>39</v>
      </c>
      <c r="L83" s="14">
        <v>1</v>
      </c>
      <c r="M83" s="19">
        <f t="shared" si="6"/>
        <v>39</v>
      </c>
      <c r="N83" s="20">
        <v>6.6666666666666666E-2</v>
      </c>
      <c r="O83" s="17">
        <f t="shared" si="15"/>
        <v>2.6</v>
      </c>
      <c r="P83" s="23">
        <f t="shared" si="16"/>
        <v>565.1</v>
      </c>
      <c r="Q83" s="97">
        <f t="shared" si="21"/>
        <v>62.044499999999999</v>
      </c>
      <c r="R83" s="48">
        <f t="shared" si="20"/>
        <v>35061.346949999999</v>
      </c>
    </row>
    <row r="84" spans="1:18" ht="27" x14ac:dyDescent="0.25">
      <c r="A84" s="25" t="s">
        <v>9</v>
      </c>
      <c r="B84" s="72" t="s">
        <v>171</v>
      </c>
      <c r="C84" s="25" t="s">
        <v>172</v>
      </c>
      <c r="D84" s="25" t="s">
        <v>139</v>
      </c>
      <c r="E84" s="47">
        <v>227</v>
      </c>
      <c r="F84" s="22">
        <v>227</v>
      </c>
      <c r="G84" s="14">
        <v>1</v>
      </c>
      <c r="H84" s="14">
        <f t="shared" si="17"/>
        <v>227</v>
      </c>
      <c r="I84" s="20">
        <v>0.05</v>
      </c>
      <c r="J84" s="17">
        <f t="shared" si="14"/>
        <v>11.350000000000001</v>
      </c>
      <c r="K84" s="22">
        <v>0</v>
      </c>
      <c r="L84" s="14">
        <v>0</v>
      </c>
      <c r="M84" s="19">
        <f t="shared" si="6"/>
        <v>0</v>
      </c>
      <c r="N84" s="20">
        <v>6.6666666666666666E-2</v>
      </c>
      <c r="O84" s="17">
        <f t="shared" si="15"/>
        <v>0</v>
      </c>
      <c r="P84" s="23">
        <f t="shared" si="16"/>
        <v>11.350000000000001</v>
      </c>
      <c r="Q84" s="99">
        <f>38.21*1.33</f>
        <v>50.819300000000005</v>
      </c>
      <c r="R84" s="48">
        <f t="shared" si="20"/>
        <v>576.79905500000018</v>
      </c>
    </row>
    <row r="85" spans="1:18" ht="18" x14ac:dyDescent="0.25">
      <c r="A85" s="25" t="s">
        <v>9</v>
      </c>
      <c r="B85" s="72" t="s">
        <v>173</v>
      </c>
      <c r="C85" s="25" t="s">
        <v>48</v>
      </c>
      <c r="D85" s="25" t="s">
        <v>139</v>
      </c>
      <c r="E85" s="24">
        <v>227</v>
      </c>
      <c r="F85" s="67">
        <v>216</v>
      </c>
      <c r="G85" s="14">
        <v>1</v>
      </c>
      <c r="H85" s="105">
        <f t="shared" si="17"/>
        <v>216</v>
      </c>
      <c r="I85" s="14">
        <v>0.75</v>
      </c>
      <c r="J85" s="17">
        <f t="shared" si="14"/>
        <v>162</v>
      </c>
      <c r="K85" s="70">
        <v>11</v>
      </c>
      <c r="L85" s="14">
        <v>1</v>
      </c>
      <c r="M85" s="19">
        <f t="shared" si="6"/>
        <v>11</v>
      </c>
      <c r="N85" s="20">
        <v>6.6666666666666666E-2</v>
      </c>
      <c r="O85" s="17">
        <f t="shared" si="15"/>
        <v>0.73333333333333328</v>
      </c>
      <c r="P85" s="23">
        <f t="shared" si="16"/>
        <v>162.73333333333332</v>
      </c>
      <c r="Q85" s="99">
        <f>38.21*1.33</f>
        <v>50.819300000000005</v>
      </c>
      <c r="R85" s="48">
        <f t="shared" si="20"/>
        <v>8269.9940866666675</v>
      </c>
    </row>
    <row r="86" spans="1:18" s="80" customFormat="1" ht="20.25" customHeight="1" x14ac:dyDescent="0.25">
      <c r="A86" s="49"/>
      <c r="B86" s="49"/>
      <c r="C86" s="53"/>
      <c r="D86" s="49" t="s">
        <v>108</v>
      </c>
      <c r="E86" s="128">
        <f>SUM(F86,K86)</f>
        <v>1381</v>
      </c>
      <c r="F86" s="31">
        <f>SUM(F76:F78)</f>
        <v>1270</v>
      </c>
      <c r="G86" s="35">
        <f>H86/F86</f>
        <v>4.0259842519685041</v>
      </c>
      <c r="H86" s="27">
        <f>SUM(H76:H85)</f>
        <v>5113</v>
      </c>
      <c r="I86" s="35">
        <f>J86/H86</f>
        <v>0.29523958537062389</v>
      </c>
      <c r="J86" s="33">
        <f>SUM(J76:J85)</f>
        <v>1509.56</v>
      </c>
      <c r="K86" s="31">
        <f>SUM(K81,K85)</f>
        <v>111</v>
      </c>
      <c r="L86" s="35">
        <f>M86/K86</f>
        <v>1.3513513513513513</v>
      </c>
      <c r="M86" s="27">
        <f>SUM(M76:M85)</f>
        <v>150</v>
      </c>
      <c r="N86" s="35">
        <f>O86/M86</f>
        <v>6.6666666666666666E-2</v>
      </c>
      <c r="O86" s="27">
        <f>SUM(O76:O85)</f>
        <v>10</v>
      </c>
      <c r="P86" s="50">
        <f>O86+J86</f>
        <v>1519.56</v>
      </c>
      <c r="Q86" s="96" t="s">
        <v>52</v>
      </c>
      <c r="R86" s="52">
        <f>SUM(R76:R85)</f>
        <v>91994.964534666666</v>
      </c>
    </row>
    <row r="87" spans="1:18" ht="15" customHeight="1" x14ac:dyDescent="0.25">
      <c r="A87" s="141" t="s">
        <v>19</v>
      </c>
      <c r="B87" s="141"/>
      <c r="C87" s="141"/>
      <c r="D87" s="141"/>
      <c r="E87" s="81">
        <f>SUM(E86,E75,E53)</f>
        <v>5245</v>
      </c>
      <c r="F87" s="82">
        <f>SUM(F86,F75,F53)</f>
        <v>4902</v>
      </c>
      <c r="G87" s="35">
        <f>H87/F87</f>
        <v>4.1933904528763772</v>
      </c>
      <c r="H87" s="81">
        <f>SUM(H86,H75,H53)</f>
        <v>20556</v>
      </c>
      <c r="I87" s="35">
        <f>J87/H87</f>
        <v>1.0123964779139911</v>
      </c>
      <c r="J87" s="86">
        <f>SUM(J86,J75,J53)</f>
        <v>20810.822</v>
      </c>
      <c r="K87" s="127">
        <f>SUM(K86,K75,K53)</f>
        <v>343</v>
      </c>
      <c r="L87" s="35">
        <f>M87/K87</f>
        <v>1.6501457725947521</v>
      </c>
      <c r="M87" s="81">
        <f>SUM(M86,M75,M53)</f>
        <v>566</v>
      </c>
      <c r="N87" s="35">
        <f>O87/M87</f>
        <v>7.6101295641931688E-2</v>
      </c>
      <c r="O87" s="81">
        <f>SUM(O86,O75,O53)</f>
        <v>43.073333333333338</v>
      </c>
      <c r="P87" s="87">
        <f>SUM(P86,P75,P53)</f>
        <v>20853.895333333334</v>
      </c>
      <c r="Q87" s="96" t="s">
        <v>52</v>
      </c>
      <c r="R87" s="83">
        <f>SUM(R86,R75,R53)</f>
        <v>915447.96911213314</v>
      </c>
    </row>
    <row r="88" spans="1:18" ht="27" x14ac:dyDescent="0.25">
      <c r="A88" s="25" t="s">
        <v>29</v>
      </c>
      <c r="B88" s="72" t="s">
        <v>174</v>
      </c>
      <c r="C88" s="40" t="s">
        <v>178</v>
      </c>
      <c r="D88" s="25" t="s">
        <v>196</v>
      </c>
      <c r="E88" s="24">
        <v>25</v>
      </c>
      <c r="F88" s="66">
        <v>25</v>
      </c>
      <c r="G88" s="14">
        <v>1</v>
      </c>
      <c r="H88" s="14">
        <f t="shared" si="17"/>
        <v>25</v>
      </c>
      <c r="I88" s="20">
        <v>0.13</v>
      </c>
      <c r="J88" s="17">
        <f t="shared" si="14"/>
        <v>3.25</v>
      </c>
      <c r="K88" s="66">
        <v>0</v>
      </c>
      <c r="L88" s="14">
        <v>0</v>
      </c>
      <c r="M88" s="19">
        <f t="shared" si="6"/>
        <v>0</v>
      </c>
      <c r="N88" s="20">
        <v>0</v>
      </c>
      <c r="O88" s="16">
        <f t="shared" ref="O88:O98" si="22">M88*N88</f>
        <v>0</v>
      </c>
      <c r="P88" s="23">
        <f t="shared" ref="P88:P98" si="23">J88+O88</f>
        <v>3.25</v>
      </c>
      <c r="Q88" s="97">
        <f>59.56*1.33</f>
        <v>79.214800000000011</v>
      </c>
      <c r="R88" s="48">
        <f>P88*Q88</f>
        <v>257.44810000000001</v>
      </c>
    </row>
    <row r="89" spans="1:18" ht="36" x14ac:dyDescent="0.25">
      <c r="A89" s="25" t="s">
        <v>29</v>
      </c>
      <c r="B89" s="72" t="s">
        <v>182</v>
      </c>
      <c r="C89" s="25" t="s">
        <v>193</v>
      </c>
      <c r="D89" s="25" t="s">
        <v>140</v>
      </c>
      <c r="E89" s="24">
        <v>1</v>
      </c>
      <c r="F89" s="66">
        <v>1</v>
      </c>
      <c r="G89" s="14">
        <v>1</v>
      </c>
      <c r="H89" s="95">
        <v>1</v>
      </c>
      <c r="I89" s="20">
        <v>7.0000000000000007E-2</v>
      </c>
      <c r="J89" s="17">
        <f t="shared" si="14"/>
        <v>7.0000000000000007E-2</v>
      </c>
      <c r="K89" s="66">
        <v>0</v>
      </c>
      <c r="L89" s="14">
        <v>0</v>
      </c>
      <c r="M89" s="19">
        <f t="shared" si="6"/>
        <v>0</v>
      </c>
      <c r="N89" s="20">
        <v>0</v>
      </c>
      <c r="O89" s="16">
        <f t="shared" si="22"/>
        <v>0</v>
      </c>
      <c r="P89" s="23">
        <f t="shared" si="23"/>
        <v>7.0000000000000007E-2</v>
      </c>
      <c r="Q89" s="97">
        <f>40.53*1.33</f>
        <v>53.904900000000005</v>
      </c>
      <c r="R89" s="48">
        <f>P89*Q89</f>
        <v>3.7733430000000006</v>
      </c>
    </row>
    <row r="90" spans="1:18" s="29" customFormat="1" ht="27" x14ac:dyDescent="0.25">
      <c r="A90" s="25" t="s">
        <v>29</v>
      </c>
      <c r="B90" s="72" t="s">
        <v>175</v>
      </c>
      <c r="C90" s="25" t="s">
        <v>84</v>
      </c>
      <c r="D90" s="25" t="s">
        <v>196</v>
      </c>
      <c r="E90" s="24">
        <v>25</v>
      </c>
      <c r="F90" s="66">
        <v>24</v>
      </c>
      <c r="G90" s="14">
        <v>1</v>
      </c>
      <c r="H90" s="14">
        <f t="shared" si="17"/>
        <v>24</v>
      </c>
      <c r="I90" s="20">
        <v>0.25</v>
      </c>
      <c r="J90" s="21">
        <f t="shared" si="14"/>
        <v>6</v>
      </c>
      <c r="K90" s="70">
        <v>1</v>
      </c>
      <c r="L90" s="14">
        <v>1</v>
      </c>
      <c r="M90" s="19">
        <f t="shared" si="6"/>
        <v>1</v>
      </c>
      <c r="N90" s="20">
        <v>7.0000000000000007E-2</v>
      </c>
      <c r="O90" s="16">
        <f t="shared" si="22"/>
        <v>7.0000000000000007E-2</v>
      </c>
      <c r="P90" s="23">
        <f t="shared" si="23"/>
        <v>6.07</v>
      </c>
      <c r="Q90" s="97">
        <f>59.56*1.33</f>
        <v>79.214800000000011</v>
      </c>
      <c r="R90" s="48">
        <f>P90*Q90</f>
        <v>480.83383600000008</v>
      </c>
    </row>
    <row r="91" spans="1:18" s="29" customFormat="1" ht="36" x14ac:dyDescent="0.25">
      <c r="A91" s="25" t="s">
        <v>29</v>
      </c>
      <c r="B91" s="72" t="s">
        <v>149</v>
      </c>
      <c r="C91" s="25" t="s">
        <v>151</v>
      </c>
      <c r="D91" s="25" t="s">
        <v>140</v>
      </c>
      <c r="E91" s="24">
        <v>1</v>
      </c>
      <c r="F91" s="66">
        <v>1</v>
      </c>
      <c r="G91" s="14">
        <v>1</v>
      </c>
      <c r="H91" s="14">
        <f t="shared" si="17"/>
        <v>1</v>
      </c>
      <c r="I91" s="20">
        <v>0.5</v>
      </c>
      <c r="J91" s="21">
        <f t="shared" si="14"/>
        <v>0.5</v>
      </c>
      <c r="K91" s="66">
        <v>0</v>
      </c>
      <c r="L91" s="14">
        <v>0</v>
      </c>
      <c r="M91" s="19">
        <f t="shared" si="6"/>
        <v>0</v>
      </c>
      <c r="N91" s="20">
        <v>0</v>
      </c>
      <c r="O91" s="16">
        <f t="shared" si="22"/>
        <v>0</v>
      </c>
      <c r="P91" s="23">
        <f t="shared" si="23"/>
        <v>0.5</v>
      </c>
      <c r="Q91" s="97">
        <f t="shared" ref="Q91:Q98" si="24">40.53*1.33</f>
        <v>53.904900000000005</v>
      </c>
      <c r="R91" s="48">
        <f>P91*Q91</f>
        <v>26.952450000000002</v>
      </c>
    </row>
    <row r="92" spans="1:18" s="29" customFormat="1" ht="36" x14ac:dyDescent="0.25">
      <c r="A92" s="25" t="s">
        <v>29</v>
      </c>
      <c r="B92" s="72" t="s">
        <v>167</v>
      </c>
      <c r="C92" s="25" t="s">
        <v>166</v>
      </c>
      <c r="D92" s="25" t="s">
        <v>140</v>
      </c>
      <c r="E92" s="24">
        <v>1</v>
      </c>
      <c r="F92" s="66">
        <v>1</v>
      </c>
      <c r="G92" s="14">
        <v>1</v>
      </c>
      <c r="H92" s="14">
        <f t="shared" si="17"/>
        <v>1</v>
      </c>
      <c r="I92" s="20">
        <v>0.05</v>
      </c>
      <c r="J92" s="21">
        <f t="shared" si="14"/>
        <v>0.05</v>
      </c>
      <c r="K92" s="66">
        <v>0</v>
      </c>
      <c r="L92" s="14">
        <v>0</v>
      </c>
      <c r="M92" s="19">
        <v>0</v>
      </c>
      <c r="N92" s="20">
        <v>0</v>
      </c>
      <c r="O92" s="16">
        <v>0</v>
      </c>
      <c r="P92" s="23">
        <f t="shared" si="23"/>
        <v>0.05</v>
      </c>
      <c r="Q92" s="97">
        <f t="shared" si="24"/>
        <v>53.904900000000005</v>
      </c>
      <c r="R92" s="48">
        <f>P92*Q92</f>
        <v>2.6952450000000003</v>
      </c>
    </row>
    <row r="93" spans="1:18" s="29" customFormat="1" ht="36" x14ac:dyDescent="0.25">
      <c r="A93" s="25" t="s">
        <v>29</v>
      </c>
      <c r="B93" s="72" t="s">
        <v>71</v>
      </c>
      <c r="C93" s="25" t="s">
        <v>129</v>
      </c>
      <c r="D93" s="25" t="s">
        <v>140</v>
      </c>
      <c r="E93" s="24">
        <v>1</v>
      </c>
      <c r="F93" s="67">
        <v>1</v>
      </c>
      <c r="G93" s="14">
        <v>1</v>
      </c>
      <c r="H93" s="14">
        <f t="shared" si="17"/>
        <v>1</v>
      </c>
      <c r="I93" s="14">
        <v>1.67</v>
      </c>
      <c r="J93" s="17">
        <f t="shared" si="14"/>
        <v>1.67</v>
      </c>
      <c r="K93" s="70">
        <v>0</v>
      </c>
      <c r="L93" s="14">
        <v>1</v>
      </c>
      <c r="M93" s="19">
        <f t="shared" ref="M93:M98" si="25">K93*L93</f>
        <v>0</v>
      </c>
      <c r="N93" s="20">
        <f>0.07+0.07</f>
        <v>0.14000000000000001</v>
      </c>
      <c r="O93" s="17">
        <f t="shared" si="22"/>
        <v>0</v>
      </c>
      <c r="P93" s="23">
        <f t="shared" si="23"/>
        <v>1.67</v>
      </c>
      <c r="Q93" s="97">
        <f t="shared" si="24"/>
        <v>53.904900000000005</v>
      </c>
      <c r="R93" s="48">
        <f t="shared" ref="R93:R98" si="26">P93*Q93</f>
        <v>90.021183000000008</v>
      </c>
    </row>
    <row r="94" spans="1:18" s="29" customFormat="1" ht="36" x14ac:dyDescent="0.25">
      <c r="A94" s="25" t="s">
        <v>29</v>
      </c>
      <c r="B94" s="72" t="s">
        <v>146</v>
      </c>
      <c r="C94" s="25" t="s">
        <v>72</v>
      </c>
      <c r="D94" s="25" t="s">
        <v>140</v>
      </c>
      <c r="E94" s="24">
        <v>1</v>
      </c>
      <c r="F94" s="66">
        <v>1</v>
      </c>
      <c r="G94" s="14">
        <v>1</v>
      </c>
      <c r="H94" s="14">
        <v>1</v>
      </c>
      <c r="I94" s="14">
        <v>0.05</v>
      </c>
      <c r="J94" s="17">
        <f t="shared" si="14"/>
        <v>0.05</v>
      </c>
      <c r="K94" s="66">
        <v>0</v>
      </c>
      <c r="L94" s="14">
        <v>0</v>
      </c>
      <c r="M94" s="19">
        <v>0</v>
      </c>
      <c r="N94" s="20">
        <v>0</v>
      </c>
      <c r="O94" s="17">
        <v>0</v>
      </c>
      <c r="P94" s="23">
        <f t="shared" si="23"/>
        <v>0.05</v>
      </c>
      <c r="Q94" s="97">
        <f t="shared" si="24"/>
        <v>53.904900000000005</v>
      </c>
      <c r="R94" s="48">
        <f>P94*Q94</f>
        <v>2.6952450000000003</v>
      </c>
    </row>
    <row r="95" spans="1:18" s="29" customFormat="1" ht="36" x14ac:dyDescent="0.25">
      <c r="A95" s="25" t="s">
        <v>29</v>
      </c>
      <c r="B95" s="72" t="s">
        <v>145</v>
      </c>
      <c r="C95" s="25" t="s">
        <v>158</v>
      </c>
      <c r="D95" s="25" t="s">
        <v>140</v>
      </c>
      <c r="E95" s="24">
        <v>1</v>
      </c>
      <c r="F95" s="66">
        <v>1</v>
      </c>
      <c r="G95" s="14">
        <v>1</v>
      </c>
      <c r="H95" s="105">
        <v>1</v>
      </c>
      <c r="I95" s="14">
        <v>0.12</v>
      </c>
      <c r="J95" s="17">
        <f t="shared" si="14"/>
        <v>0.12</v>
      </c>
      <c r="K95" s="66">
        <v>0</v>
      </c>
      <c r="L95" s="14">
        <v>0</v>
      </c>
      <c r="M95" s="19">
        <v>0</v>
      </c>
      <c r="N95" s="20">
        <v>0</v>
      </c>
      <c r="O95" s="17">
        <v>0</v>
      </c>
      <c r="P95" s="23">
        <f t="shared" si="23"/>
        <v>0.12</v>
      </c>
      <c r="Q95" s="97">
        <f t="shared" si="24"/>
        <v>53.904900000000005</v>
      </c>
      <c r="R95" s="48">
        <f>P95*Q95</f>
        <v>6.4685880000000004</v>
      </c>
    </row>
    <row r="96" spans="1:18" s="29" customFormat="1" ht="45" x14ac:dyDescent="0.25">
      <c r="A96" s="25" t="s">
        <v>29</v>
      </c>
      <c r="B96" s="72" t="s">
        <v>184</v>
      </c>
      <c r="C96" s="25" t="s">
        <v>185</v>
      </c>
      <c r="D96" s="25" t="s">
        <v>140</v>
      </c>
      <c r="E96" s="24">
        <v>1</v>
      </c>
      <c r="F96" s="66">
        <v>1</v>
      </c>
      <c r="G96" s="14">
        <v>1</v>
      </c>
      <c r="H96" s="14">
        <f t="shared" si="17"/>
        <v>1</v>
      </c>
      <c r="I96" s="20">
        <v>2</v>
      </c>
      <c r="J96" s="17">
        <f t="shared" si="14"/>
        <v>2</v>
      </c>
      <c r="K96" s="66">
        <v>0</v>
      </c>
      <c r="L96" s="14">
        <v>1</v>
      </c>
      <c r="M96" s="19">
        <f t="shared" si="25"/>
        <v>0</v>
      </c>
      <c r="N96" s="20">
        <v>6.6666666666666666E-2</v>
      </c>
      <c r="O96" s="17">
        <f t="shared" si="22"/>
        <v>0</v>
      </c>
      <c r="P96" s="23">
        <f t="shared" si="23"/>
        <v>2</v>
      </c>
      <c r="Q96" s="97">
        <f t="shared" si="24"/>
        <v>53.904900000000005</v>
      </c>
      <c r="R96" s="48">
        <f t="shared" si="26"/>
        <v>107.80980000000001</v>
      </c>
    </row>
    <row r="97" spans="1:18" s="29" customFormat="1" ht="45" x14ac:dyDescent="0.25">
      <c r="A97" s="25" t="s">
        <v>29</v>
      </c>
      <c r="B97" s="72" t="s">
        <v>214</v>
      </c>
      <c r="C97" s="25" t="s">
        <v>123</v>
      </c>
      <c r="D97" s="25" t="s">
        <v>186</v>
      </c>
      <c r="E97" s="24">
        <v>4</v>
      </c>
      <c r="F97" s="67">
        <v>4</v>
      </c>
      <c r="G97" s="14">
        <v>1</v>
      </c>
      <c r="H97" s="105">
        <f t="shared" si="17"/>
        <v>4</v>
      </c>
      <c r="I97" s="20">
        <v>8.34</v>
      </c>
      <c r="J97" s="17">
        <f t="shared" si="14"/>
        <v>33.36</v>
      </c>
      <c r="K97" s="70">
        <v>0</v>
      </c>
      <c r="L97" s="14">
        <v>1</v>
      </c>
      <c r="M97" s="19">
        <f t="shared" si="25"/>
        <v>0</v>
      </c>
      <c r="N97" s="20">
        <v>6.6666666666666666E-2</v>
      </c>
      <c r="O97" s="17">
        <f t="shared" si="22"/>
        <v>0</v>
      </c>
      <c r="P97" s="23">
        <f t="shared" si="23"/>
        <v>33.36</v>
      </c>
      <c r="Q97" s="97">
        <f t="shared" si="24"/>
        <v>53.904900000000005</v>
      </c>
      <c r="R97" s="48">
        <f t="shared" si="26"/>
        <v>1798.2674640000002</v>
      </c>
    </row>
    <row r="98" spans="1:18" s="29" customFormat="1" ht="45" x14ac:dyDescent="0.25">
      <c r="A98" s="25" t="s">
        <v>29</v>
      </c>
      <c r="B98" s="72" t="s">
        <v>148</v>
      </c>
      <c r="C98" s="25" t="s">
        <v>161</v>
      </c>
      <c r="D98" s="25" t="s">
        <v>186</v>
      </c>
      <c r="E98" s="47">
        <v>4</v>
      </c>
      <c r="F98" s="66">
        <v>4</v>
      </c>
      <c r="G98" s="14">
        <v>1</v>
      </c>
      <c r="H98" s="105">
        <f t="shared" si="17"/>
        <v>4</v>
      </c>
      <c r="I98" s="20">
        <v>1.5</v>
      </c>
      <c r="J98" s="17">
        <f t="shared" si="14"/>
        <v>6</v>
      </c>
      <c r="K98" s="66">
        <v>0</v>
      </c>
      <c r="L98" s="14">
        <v>1</v>
      </c>
      <c r="M98" s="19">
        <f t="shared" si="25"/>
        <v>0</v>
      </c>
      <c r="N98" s="20">
        <v>6.6666666666666666E-2</v>
      </c>
      <c r="O98" s="17">
        <f t="shared" si="22"/>
        <v>0</v>
      </c>
      <c r="P98" s="23">
        <f t="shared" si="23"/>
        <v>6</v>
      </c>
      <c r="Q98" s="97">
        <f t="shared" si="24"/>
        <v>53.904900000000005</v>
      </c>
      <c r="R98" s="48">
        <f t="shared" si="26"/>
        <v>323.42940000000004</v>
      </c>
    </row>
    <row r="99" spans="1:18" ht="15" customHeight="1" x14ac:dyDescent="0.25">
      <c r="A99" s="141" t="s">
        <v>132</v>
      </c>
      <c r="B99" s="141"/>
      <c r="C99" s="141"/>
      <c r="D99" s="141"/>
      <c r="E99" s="129">
        <f>SUM(F99,K99)</f>
        <v>31</v>
      </c>
      <c r="F99" s="27">
        <f>SUM(F88+F89+F97)</f>
        <v>30</v>
      </c>
      <c r="G99" s="35">
        <f>H99/F99</f>
        <v>2.1333333333333333</v>
      </c>
      <c r="H99" s="27">
        <f>SUM(H88:H98)</f>
        <v>64</v>
      </c>
      <c r="I99" s="35">
        <f>J99/H99</f>
        <v>0.82921875</v>
      </c>
      <c r="J99" s="33">
        <f>SUM(J88:J98)</f>
        <v>53.07</v>
      </c>
      <c r="K99" s="27">
        <f>SUM(K90, K93, K97)</f>
        <v>1</v>
      </c>
      <c r="L99" s="35">
        <f>M99/K99</f>
        <v>1</v>
      </c>
      <c r="M99" s="27">
        <f>SUM(M88:M98)</f>
        <v>1</v>
      </c>
      <c r="N99" s="35">
        <f>O99/M99</f>
        <v>7.0000000000000007E-2</v>
      </c>
      <c r="O99" s="34">
        <f>SUM(O88:O98)</f>
        <v>7.0000000000000007E-2</v>
      </c>
      <c r="P99" s="33">
        <f>O99+J99</f>
        <v>53.14</v>
      </c>
      <c r="Q99" s="96" t="s">
        <v>52</v>
      </c>
      <c r="R99" s="84">
        <f>SUM(R88:R98)</f>
        <v>3100.3946540000002</v>
      </c>
    </row>
    <row r="100" spans="1:18" ht="36" x14ac:dyDescent="0.25">
      <c r="A100" s="25" t="s">
        <v>18</v>
      </c>
      <c r="B100" s="72" t="s">
        <v>86</v>
      </c>
      <c r="C100" s="40" t="s">
        <v>85</v>
      </c>
      <c r="D100" s="25" t="s">
        <v>30</v>
      </c>
      <c r="E100" s="47">
        <f t="shared" ref="E100:E106" si="27">F100+K100</f>
        <v>4000</v>
      </c>
      <c r="F100" s="22">
        <v>4000</v>
      </c>
      <c r="G100" s="14">
        <v>1</v>
      </c>
      <c r="H100" s="19">
        <f t="shared" ref="H100:H112" si="28">F100*G100</f>
        <v>4000</v>
      </c>
      <c r="I100" s="20">
        <v>0.13</v>
      </c>
      <c r="J100" s="17">
        <f t="shared" si="14"/>
        <v>520</v>
      </c>
      <c r="K100" s="22">
        <v>0</v>
      </c>
      <c r="L100" s="14">
        <v>0</v>
      </c>
      <c r="M100" s="19">
        <f>K100*L100</f>
        <v>0</v>
      </c>
      <c r="N100" s="20">
        <v>0</v>
      </c>
      <c r="O100" s="17">
        <f t="shared" ref="O100:O112" si="29">M100*N100</f>
        <v>0</v>
      </c>
      <c r="P100" s="23">
        <f>J100+O100</f>
        <v>520</v>
      </c>
      <c r="Q100" s="54">
        <f t="shared" ref="Q100:Q106" si="30">24.98*1.33</f>
        <v>33.223400000000005</v>
      </c>
      <c r="R100" s="48">
        <f>P100*Q100</f>
        <v>17276.168000000001</v>
      </c>
    </row>
    <row r="101" spans="1:18" ht="23.1" customHeight="1" x14ac:dyDescent="0.25">
      <c r="A101" s="25" t="s">
        <v>18</v>
      </c>
      <c r="B101" s="72" t="s">
        <v>87</v>
      </c>
      <c r="C101" s="25" t="s">
        <v>207</v>
      </c>
      <c r="D101" s="25" t="s">
        <v>30</v>
      </c>
      <c r="E101" s="47">
        <f t="shared" si="27"/>
        <v>4000</v>
      </c>
      <c r="F101" s="22">
        <v>3712</v>
      </c>
      <c r="G101" s="14">
        <v>1</v>
      </c>
      <c r="H101" s="19">
        <f t="shared" si="28"/>
        <v>3712</v>
      </c>
      <c r="I101" s="20">
        <v>0.1</v>
      </c>
      <c r="J101" s="17">
        <f t="shared" si="14"/>
        <v>371.20000000000005</v>
      </c>
      <c r="K101" s="22">
        <v>288</v>
      </c>
      <c r="L101" s="14">
        <v>1</v>
      </c>
      <c r="M101" s="19">
        <f>K101*L101</f>
        <v>288</v>
      </c>
      <c r="N101" s="20">
        <v>7.0000000000000007E-2</v>
      </c>
      <c r="O101" s="17">
        <f t="shared" si="29"/>
        <v>20.160000000000004</v>
      </c>
      <c r="P101" s="23">
        <f t="shared" ref="P101:P102" si="31">J101+O101</f>
        <v>391.36000000000007</v>
      </c>
      <c r="Q101" s="54">
        <f t="shared" si="30"/>
        <v>33.223400000000005</v>
      </c>
      <c r="R101" s="48">
        <f t="shared" ref="R101:R106" si="32">P101*Q101</f>
        <v>13002.309824000004</v>
      </c>
    </row>
    <row r="102" spans="1:18" s="30" customFormat="1" ht="18" x14ac:dyDescent="0.25">
      <c r="A102" s="25" t="s">
        <v>18</v>
      </c>
      <c r="B102" s="72" t="s">
        <v>99</v>
      </c>
      <c r="C102" s="25" t="s">
        <v>88</v>
      </c>
      <c r="D102" s="25" t="s">
        <v>30</v>
      </c>
      <c r="E102" s="47">
        <f t="shared" si="27"/>
        <v>2222</v>
      </c>
      <c r="F102" s="22">
        <v>2222</v>
      </c>
      <c r="G102" s="14">
        <v>1</v>
      </c>
      <c r="H102" s="19">
        <f t="shared" si="28"/>
        <v>2222</v>
      </c>
      <c r="I102" s="20">
        <v>0.03</v>
      </c>
      <c r="J102" s="17">
        <f t="shared" si="14"/>
        <v>66.66</v>
      </c>
      <c r="K102" s="22">
        <v>0</v>
      </c>
      <c r="L102" s="14">
        <v>0</v>
      </c>
      <c r="M102" s="19">
        <f>K102*L102</f>
        <v>0</v>
      </c>
      <c r="N102" s="20">
        <v>0</v>
      </c>
      <c r="O102" s="17">
        <f t="shared" si="29"/>
        <v>0</v>
      </c>
      <c r="P102" s="23">
        <f t="shared" si="31"/>
        <v>66.66</v>
      </c>
      <c r="Q102" s="54">
        <f t="shared" si="30"/>
        <v>33.223400000000005</v>
      </c>
      <c r="R102" s="48">
        <f t="shared" si="32"/>
        <v>2214.6718440000004</v>
      </c>
    </row>
    <row r="103" spans="1:18" ht="27" x14ac:dyDescent="0.25">
      <c r="A103" s="25" t="s">
        <v>18</v>
      </c>
      <c r="B103" s="72" t="s">
        <v>89</v>
      </c>
      <c r="C103" s="25" t="s">
        <v>45</v>
      </c>
      <c r="D103" s="25" t="s">
        <v>30</v>
      </c>
      <c r="E103" s="47">
        <f t="shared" si="27"/>
        <v>2222</v>
      </c>
      <c r="F103" s="43">
        <v>2000</v>
      </c>
      <c r="G103" s="14">
        <v>1</v>
      </c>
      <c r="H103" s="107">
        <f t="shared" si="28"/>
        <v>2000</v>
      </c>
      <c r="I103" s="20">
        <v>0.41666666666666702</v>
      </c>
      <c r="J103" s="17">
        <f t="shared" si="14"/>
        <v>833.33333333333405</v>
      </c>
      <c r="K103" s="45">
        <v>222</v>
      </c>
      <c r="L103" s="14">
        <v>1</v>
      </c>
      <c r="M103" s="19">
        <f>K103*L103</f>
        <v>222</v>
      </c>
      <c r="N103" s="20">
        <v>7.0000000000000007E-2</v>
      </c>
      <c r="O103" s="17">
        <f t="shared" si="29"/>
        <v>15.540000000000001</v>
      </c>
      <c r="P103" s="23">
        <f t="shared" si="16"/>
        <v>848.87333333333402</v>
      </c>
      <c r="Q103" s="54">
        <f t="shared" si="30"/>
        <v>33.223400000000005</v>
      </c>
      <c r="R103" s="48">
        <f t="shared" si="32"/>
        <v>28202.458302666695</v>
      </c>
    </row>
    <row r="104" spans="1:18" ht="21" customHeight="1" x14ac:dyDescent="0.25">
      <c r="A104" s="76" t="s">
        <v>18</v>
      </c>
      <c r="B104" s="72" t="s">
        <v>100</v>
      </c>
      <c r="C104" s="25" t="s">
        <v>106</v>
      </c>
      <c r="D104" s="25" t="s">
        <v>30</v>
      </c>
      <c r="E104" s="47">
        <f t="shared" si="27"/>
        <v>1262</v>
      </c>
      <c r="F104" s="22">
        <v>1066</v>
      </c>
      <c r="G104" s="14">
        <v>1</v>
      </c>
      <c r="H104" s="19">
        <f t="shared" si="28"/>
        <v>1066</v>
      </c>
      <c r="I104" s="20">
        <f>(1+10)/60</f>
        <v>0.18333333333333332</v>
      </c>
      <c r="J104" s="17">
        <f t="shared" si="14"/>
        <v>195.43333333333331</v>
      </c>
      <c r="K104" s="22">
        <v>196</v>
      </c>
      <c r="L104" s="14">
        <v>1</v>
      </c>
      <c r="M104" s="19">
        <f t="shared" ref="M104:M112" si="33">K104*L104</f>
        <v>196</v>
      </c>
      <c r="N104" s="20">
        <v>0.02</v>
      </c>
      <c r="O104" s="17">
        <f t="shared" si="29"/>
        <v>3.92</v>
      </c>
      <c r="P104" s="23">
        <f t="shared" si="16"/>
        <v>199.3533333333333</v>
      </c>
      <c r="Q104" s="54">
        <f t="shared" si="30"/>
        <v>33.223400000000005</v>
      </c>
      <c r="R104" s="48">
        <f t="shared" si="32"/>
        <v>6623.1955346666664</v>
      </c>
    </row>
    <row r="105" spans="1:18" ht="18" x14ac:dyDescent="0.25">
      <c r="A105" s="76" t="s">
        <v>18</v>
      </c>
      <c r="B105" s="72" t="s">
        <v>90</v>
      </c>
      <c r="C105" s="25" t="s">
        <v>101</v>
      </c>
      <c r="D105" s="25" t="s">
        <v>30</v>
      </c>
      <c r="E105" s="47">
        <f t="shared" si="27"/>
        <v>911</v>
      </c>
      <c r="F105" s="22">
        <v>820</v>
      </c>
      <c r="G105" s="14">
        <v>1</v>
      </c>
      <c r="H105" s="105">
        <f t="shared" si="28"/>
        <v>820</v>
      </c>
      <c r="I105" s="20">
        <v>0.25</v>
      </c>
      <c r="J105" s="17">
        <f t="shared" si="14"/>
        <v>205</v>
      </c>
      <c r="K105" s="22">
        <v>91</v>
      </c>
      <c r="L105" s="14">
        <v>1</v>
      </c>
      <c r="M105" s="19">
        <f t="shared" si="33"/>
        <v>91</v>
      </c>
      <c r="N105" s="20">
        <v>7.0000000000000007E-2</v>
      </c>
      <c r="O105" s="17">
        <f t="shared" si="29"/>
        <v>6.370000000000001</v>
      </c>
      <c r="P105" s="23">
        <f t="shared" si="16"/>
        <v>211.37</v>
      </c>
      <c r="Q105" s="54">
        <f t="shared" si="30"/>
        <v>33.223400000000005</v>
      </c>
      <c r="R105" s="48">
        <f t="shared" si="32"/>
        <v>7022.4300580000008</v>
      </c>
    </row>
    <row r="106" spans="1:18" ht="18" x14ac:dyDescent="0.25">
      <c r="A106" s="76" t="s">
        <v>18</v>
      </c>
      <c r="B106" s="72" t="s">
        <v>90</v>
      </c>
      <c r="C106" s="25" t="s">
        <v>205</v>
      </c>
      <c r="D106" s="25" t="s">
        <v>30</v>
      </c>
      <c r="E106" s="47">
        <f t="shared" si="27"/>
        <v>351</v>
      </c>
      <c r="F106" s="22">
        <v>246</v>
      </c>
      <c r="G106" s="14">
        <v>1</v>
      </c>
      <c r="H106" s="105">
        <f t="shared" si="28"/>
        <v>246</v>
      </c>
      <c r="I106" s="20">
        <v>0.75</v>
      </c>
      <c r="J106" s="17">
        <f t="shared" si="14"/>
        <v>184.5</v>
      </c>
      <c r="K106" s="22">
        <v>105</v>
      </c>
      <c r="L106" s="14">
        <v>1</v>
      </c>
      <c r="M106" s="19">
        <f t="shared" si="33"/>
        <v>105</v>
      </c>
      <c r="N106" s="20">
        <v>6.6666666666666666E-2</v>
      </c>
      <c r="O106" s="17">
        <f t="shared" si="29"/>
        <v>7</v>
      </c>
      <c r="P106" s="23">
        <f t="shared" si="16"/>
        <v>191.5</v>
      </c>
      <c r="Q106" s="54">
        <f t="shared" si="30"/>
        <v>33.223400000000005</v>
      </c>
      <c r="R106" s="48">
        <f t="shared" si="32"/>
        <v>6362.2811000000011</v>
      </c>
    </row>
    <row r="107" spans="1:18" ht="18" x14ac:dyDescent="0.25">
      <c r="A107" s="77"/>
      <c r="B107" s="78"/>
      <c r="C107" s="78"/>
      <c r="D107" s="78" t="s">
        <v>54</v>
      </c>
      <c r="E107" s="128">
        <f>SUM(F107, K107)</f>
        <v>4222</v>
      </c>
      <c r="F107" s="31">
        <f>F100</f>
        <v>4000</v>
      </c>
      <c r="G107" s="35">
        <f>H107/F107</f>
        <v>3.5165000000000002</v>
      </c>
      <c r="H107" s="27">
        <f>SUM(H100:H106)</f>
        <v>14066</v>
      </c>
      <c r="I107" s="35">
        <f>J107/H107</f>
        <v>0.16892696336319263</v>
      </c>
      <c r="J107" s="56">
        <f>SUM(J100:J106)</f>
        <v>2376.1266666666675</v>
      </c>
      <c r="K107" s="126">
        <f>K103</f>
        <v>222</v>
      </c>
      <c r="L107" s="35">
        <f>M107/K107</f>
        <v>4.0630630630630629</v>
      </c>
      <c r="M107" s="27">
        <f>SUM(M100:M106)</f>
        <v>902</v>
      </c>
      <c r="N107" s="35">
        <f>O107/M107</f>
        <v>5.8747228381374736E-2</v>
      </c>
      <c r="O107" s="34">
        <f>SUM(O100:O106)</f>
        <v>52.990000000000009</v>
      </c>
      <c r="P107" s="50">
        <f>O107+J107</f>
        <v>2429.1166666666677</v>
      </c>
      <c r="Q107" s="51" t="s">
        <v>52</v>
      </c>
      <c r="R107" s="52">
        <f>SUM(R100:R106)</f>
        <v>80703.514663333379</v>
      </c>
    </row>
    <row r="108" spans="1:18" x14ac:dyDescent="0.25">
      <c r="A108" s="76" t="s">
        <v>18</v>
      </c>
      <c r="B108" s="72" t="s">
        <v>91</v>
      </c>
      <c r="C108" s="40" t="s">
        <v>47</v>
      </c>
      <c r="D108" s="25" t="s">
        <v>31</v>
      </c>
      <c r="E108" s="47">
        <f>F108+K108</f>
        <v>4000</v>
      </c>
      <c r="F108" s="22">
        <v>4000</v>
      </c>
      <c r="G108" s="14">
        <v>1</v>
      </c>
      <c r="H108" s="19">
        <f t="shared" si="28"/>
        <v>4000</v>
      </c>
      <c r="I108" s="20">
        <v>0.05</v>
      </c>
      <c r="J108" s="17">
        <f t="shared" si="14"/>
        <v>200</v>
      </c>
      <c r="K108" s="22">
        <v>0</v>
      </c>
      <c r="L108" s="14">
        <v>0</v>
      </c>
      <c r="M108" s="19">
        <f t="shared" si="33"/>
        <v>0</v>
      </c>
      <c r="N108" s="20">
        <v>0</v>
      </c>
      <c r="O108" s="17">
        <f t="shared" si="29"/>
        <v>0</v>
      </c>
      <c r="P108" s="23">
        <f t="shared" si="16"/>
        <v>200</v>
      </c>
      <c r="Q108" s="54">
        <v>0</v>
      </c>
      <c r="R108" s="48">
        <f>P109*Q108</f>
        <v>0</v>
      </c>
    </row>
    <row r="109" spans="1:18" ht="18" x14ac:dyDescent="0.25">
      <c r="A109" s="76" t="s">
        <v>18</v>
      </c>
      <c r="B109" s="72" t="s">
        <v>102</v>
      </c>
      <c r="C109" s="25" t="s">
        <v>92</v>
      </c>
      <c r="D109" s="25" t="s">
        <v>31</v>
      </c>
      <c r="E109" s="47">
        <f>F109+K109</f>
        <v>2857</v>
      </c>
      <c r="F109" s="22">
        <v>2857</v>
      </c>
      <c r="G109" s="14">
        <v>1</v>
      </c>
      <c r="H109" s="19">
        <f t="shared" si="28"/>
        <v>2857</v>
      </c>
      <c r="I109" s="20">
        <v>0.02</v>
      </c>
      <c r="J109" s="17">
        <f t="shared" si="14"/>
        <v>57.14</v>
      </c>
      <c r="K109" s="22">
        <v>0</v>
      </c>
      <c r="L109" s="14">
        <v>0</v>
      </c>
      <c r="M109" s="19">
        <f t="shared" si="33"/>
        <v>0</v>
      </c>
      <c r="N109" s="20">
        <v>0</v>
      </c>
      <c r="O109" s="17">
        <f t="shared" si="29"/>
        <v>0</v>
      </c>
      <c r="P109" s="23">
        <f t="shared" si="16"/>
        <v>57.14</v>
      </c>
      <c r="Q109" s="54">
        <v>0</v>
      </c>
      <c r="R109" s="48">
        <f>P110*Q109</f>
        <v>0</v>
      </c>
    </row>
    <row r="110" spans="1:18" ht="18" x14ac:dyDescent="0.25">
      <c r="A110" s="76" t="s">
        <v>18</v>
      </c>
      <c r="B110" s="72" t="s">
        <v>103</v>
      </c>
      <c r="C110" s="25" t="s">
        <v>105</v>
      </c>
      <c r="D110" s="25" t="s">
        <v>31</v>
      </c>
      <c r="E110" s="47">
        <f>F110+K110</f>
        <v>2857</v>
      </c>
      <c r="F110" s="43">
        <v>2000</v>
      </c>
      <c r="G110" s="14">
        <v>1</v>
      </c>
      <c r="H110" s="107">
        <f t="shared" si="28"/>
        <v>2000</v>
      </c>
      <c r="I110" s="20">
        <v>1</v>
      </c>
      <c r="J110" s="17">
        <f t="shared" si="14"/>
        <v>2000</v>
      </c>
      <c r="K110" s="45">
        <v>857</v>
      </c>
      <c r="L110" s="14">
        <v>1</v>
      </c>
      <c r="M110" s="19">
        <f t="shared" si="33"/>
        <v>857</v>
      </c>
      <c r="N110" s="20">
        <f>0.07+0.07+0.28</f>
        <v>0.42000000000000004</v>
      </c>
      <c r="O110" s="17">
        <f t="shared" si="29"/>
        <v>359.94000000000005</v>
      </c>
      <c r="P110" s="23">
        <f t="shared" si="16"/>
        <v>2359.94</v>
      </c>
      <c r="Q110" s="54">
        <v>0</v>
      </c>
      <c r="R110" s="48">
        <f>P111*Q110</f>
        <v>0</v>
      </c>
    </row>
    <row r="111" spans="1:18" ht="18" x14ac:dyDescent="0.25">
      <c r="A111" s="76" t="s">
        <v>18</v>
      </c>
      <c r="B111" s="72" t="s">
        <v>104</v>
      </c>
      <c r="C111" s="25" t="s">
        <v>93</v>
      </c>
      <c r="D111" s="25" t="s">
        <v>31</v>
      </c>
      <c r="E111" s="47">
        <f>F111+K111</f>
        <v>857</v>
      </c>
      <c r="F111" s="22">
        <v>857</v>
      </c>
      <c r="G111" s="14">
        <v>1</v>
      </c>
      <c r="H111" s="19">
        <f>F111*G111</f>
        <v>857</v>
      </c>
      <c r="I111" s="20">
        <v>0.02</v>
      </c>
      <c r="J111" s="17">
        <f>H111*I111</f>
        <v>17.14</v>
      </c>
      <c r="K111" s="22">
        <v>0</v>
      </c>
      <c r="L111" s="14">
        <v>0</v>
      </c>
      <c r="M111" s="19">
        <f>K111*L111</f>
        <v>0</v>
      </c>
      <c r="N111" s="20">
        <v>0</v>
      </c>
      <c r="O111" s="17">
        <f>M111*N111</f>
        <v>0</v>
      </c>
      <c r="P111" s="23">
        <f>J111+O111</f>
        <v>17.14</v>
      </c>
      <c r="Q111" s="54">
        <v>0</v>
      </c>
      <c r="R111" s="48">
        <f>P112*Q111</f>
        <v>0</v>
      </c>
    </row>
    <row r="112" spans="1:18" ht="18" x14ac:dyDescent="0.25">
      <c r="A112" s="76" t="s">
        <v>18</v>
      </c>
      <c r="B112" s="72" t="s">
        <v>90</v>
      </c>
      <c r="C112" s="25" t="s">
        <v>205</v>
      </c>
      <c r="D112" s="25" t="s">
        <v>31</v>
      </c>
      <c r="E112" s="47">
        <f>F112+K112</f>
        <v>857</v>
      </c>
      <c r="F112" s="22">
        <v>600</v>
      </c>
      <c r="G112" s="14">
        <v>1</v>
      </c>
      <c r="H112" s="105">
        <f t="shared" si="28"/>
        <v>600</v>
      </c>
      <c r="I112" s="14">
        <v>0.75</v>
      </c>
      <c r="J112" s="17">
        <f t="shared" si="14"/>
        <v>450</v>
      </c>
      <c r="K112" s="22">
        <v>257</v>
      </c>
      <c r="L112" s="14">
        <v>1</v>
      </c>
      <c r="M112" s="19">
        <f t="shared" si="33"/>
        <v>257</v>
      </c>
      <c r="N112" s="20">
        <v>6.6666666666666666E-2</v>
      </c>
      <c r="O112" s="17">
        <f t="shared" si="29"/>
        <v>17.133333333333333</v>
      </c>
      <c r="P112" s="23">
        <f t="shared" si="16"/>
        <v>467.13333333333333</v>
      </c>
      <c r="Q112" s="54">
        <v>0</v>
      </c>
      <c r="R112" s="48">
        <f>P113*Q112</f>
        <v>0</v>
      </c>
    </row>
    <row r="113" spans="1:18" s="29" customFormat="1" ht="18" customHeight="1" x14ac:dyDescent="0.25">
      <c r="A113" s="53"/>
      <c r="B113" s="49"/>
      <c r="C113" s="49"/>
      <c r="D113" s="49" t="s">
        <v>53</v>
      </c>
      <c r="E113" s="128">
        <f>SUM(F113, K113)</f>
        <v>4857</v>
      </c>
      <c r="F113" s="31">
        <f>F108</f>
        <v>4000</v>
      </c>
      <c r="G113" s="35">
        <f>H113/F113</f>
        <v>2.5785</v>
      </c>
      <c r="H113" s="27">
        <f>SUM(H108:H112)</f>
        <v>10314</v>
      </c>
      <c r="I113" s="35">
        <f>J113/H113</f>
        <v>0.26413418654256349</v>
      </c>
      <c r="J113" s="34">
        <f>SUM(J108:J112)</f>
        <v>2724.2799999999997</v>
      </c>
      <c r="K113" s="31">
        <f>K110</f>
        <v>857</v>
      </c>
      <c r="L113" s="35">
        <f>M113/K113</f>
        <v>1.2998833138856476</v>
      </c>
      <c r="M113" s="27">
        <f>SUM(M108:M112)</f>
        <v>1114</v>
      </c>
      <c r="N113" s="35">
        <f>O113/M113</f>
        <v>0.3384859365649312</v>
      </c>
      <c r="O113" s="34">
        <f>SUM(O108:O112)</f>
        <v>377.07333333333338</v>
      </c>
      <c r="P113" s="50">
        <f>O113+J113</f>
        <v>3101.353333333333</v>
      </c>
      <c r="Q113" s="51" t="s">
        <v>52</v>
      </c>
      <c r="R113" s="51" t="s">
        <v>52</v>
      </c>
    </row>
    <row r="114" spans="1:18" s="29" customFormat="1" ht="15" customHeight="1" x14ac:dyDescent="0.25">
      <c r="A114" s="142" t="s">
        <v>20</v>
      </c>
      <c r="B114" s="142"/>
      <c r="C114" s="142"/>
      <c r="D114" s="142"/>
      <c r="E114" s="56">
        <f>SUM(E107,E113)</f>
        <v>9079</v>
      </c>
      <c r="F114" s="31">
        <f>SUM(F107,F113)</f>
        <v>8000</v>
      </c>
      <c r="G114" s="35">
        <f>H114/F114</f>
        <v>3.0474999999999999</v>
      </c>
      <c r="H114" s="27">
        <f>SUM(H107,H113)</f>
        <v>24380</v>
      </c>
      <c r="I114" s="35">
        <f>J114/H114</f>
        <v>0.20920453923981411</v>
      </c>
      <c r="J114" s="34">
        <f>SUM(J107,J113)</f>
        <v>5100.4066666666677</v>
      </c>
      <c r="K114" s="126">
        <f>SUM(K107,K113)</f>
        <v>1079</v>
      </c>
      <c r="L114" s="35">
        <f>M114/K114</f>
        <v>1.8683966635773865</v>
      </c>
      <c r="M114" s="27">
        <f>SUM(M107,M113)</f>
        <v>2016</v>
      </c>
      <c r="N114" s="35">
        <f>O114/M114</f>
        <v>0.21332506613756616</v>
      </c>
      <c r="O114" s="34">
        <f>SUM(O107,O113)</f>
        <v>430.06333333333339</v>
      </c>
      <c r="P114" s="50">
        <f>SUM(P107,P113)</f>
        <v>5530.4700000000012</v>
      </c>
      <c r="Q114" s="51" t="s">
        <v>52</v>
      </c>
      <c r="R114" s="57">
        <f>SUM(R107,R113)</f>
        <v>80703.514663333379</v>
      </c>
    </row>
    <row r="115" spans="1:18" ht="15" customHeight="1" x14ac:dyDescent="0.25">
      <c r="A115" s="143" t="s">
        <v>21</v>
      </c>
      <c r="B115" s="143"/>
      <c r="C115" s="143"/>
      <c r="D115" s="55"/>
      <c r="E115" s="36">
        <f>SUM(E114,E99,E87)</f>
        <v>14355</v>
      </c>
      <c r="F115" s="36">
        <f>SUM(F114,F99,F87)</f>
        <v>12932</v>
      </c>
      <c r="G115" s="37">
        <f>H115/F115</f>
        <v>3.4797401793999381</v>
      </c>
      <c r="H115" s="36">
        <f>SUM(H114,H99,H87)</f>
        <v>45000</v>
      </c>
      <c r="I115" s="37">
        <f>J115/H115</f>
        <v>0.57698441481481488</v>
      </c>
      <c r="J115" s="38">
        <f>SUM(J114,J99,J87)</f>
        <v>25964.298666666669</v>
      </c>
      <c r="K115" s="125">
        <f>SUM(K114,K99,K87)</f>
        <v>1423</v>
      </c>
      <c r="L115" s="37">
        <f>M115/K115</f>
        <v>1.815179198875615</v>
      </c>
      <c r="M115" s="36">
        <f>SUM(M114,M99,M87)</f>
        <v>2583</v>
      </c>
      <c r="N115" s="37">
        <f>O115/M115</f>
        <v>0.18320041295651054</v>
      </c>
      <c r="O115" s="38">
        <f>SUM(O114,O99,O87)</f>
        <v>473.20666666666671</v>
      </c>
      <c r="P115" s="39">
        <f>SUM(P114,P99,P87)</f>
        <v>26437.505333333334</v>
      </c>
      <c r="Q115" s="58" t="s">
        <v>52</v>
      </c>
      <c r="R115" s="85">
        <f>SUM(R114,R99,R87)</f>
        <v>999251.87842946651</v>
      </c>
    </row>
    <row r="116" spans="1:18" ht="33.75" customHeight="1" x14ac:dyDescent="0.25">
      <c r="A116" s="26"/>
      <c r="B116" s="26"/>
    </row>
    <row r="117" spans="1:18" ht="35.25" customHeight="1" x14ac:dyDescent="0.25">
      <c r="A117" s="130" t="s">
        <v>198</v>
      </c>
      <c r="B117" s="130"/>
      <c r="C117" s="130"/>
      <c r="D117" s="130"/>
      <c r="E117" s="130"/>
      <c r="F117" s="130"/>
      <c r="G117" s="130"/>
      <c r="H117" s="130"/>
      <c r="I117" s="130"/>
      <c r="J117" s="130"/>
      <c r="K117" s="130"/>
      <c r="L117" s="130"/>
      <c r="M117" s="130"/>
      <c r="N117" s="130"/>
      <c r="O117" s="130"/>
      <c r="P117" s="130"/>
    </row>
    <row r="118" spans="1:18" ht="30" customHeight="1" x14ac:dyDescent="0.25">
      <c r="A118" s="131" t="s">
        <v>197</v>
      </c>
      <c r="B118" s="131"/>
      <c r="C118" s="131"/>
      <c r="D118" s="131"/>
      <c r="E118" s="131"/>
      <c r="F118" s="131"/>
      <c r="G118" s="131"/>
      <c r="H118" s="131"/>
      <c r="I118" s="131"/>
      <c r="J118" s="131"/>
      <c r="K118" s="131"/>
      <c r="L118" s="131"/>
      <c r="M118" s="131"/>
      <c r="N118" s="131"/>
      <c r="O118" s="131"/>
      <c r="P118" s="131"/>
    </row>
    <row r="119" spans="1:18" ht="27.75" customHeight="1" x14ac:dyDescent="0.25">
      <c r="A119" s="132" t="s">
        <v>208</v>
      </c>
      <c r="B119" s="132"/>
      <c r="C119" s="132"/>
      <c r="D119" s="132"/>
      <c r="E119" s="132"/>
      <c r="F119" s="132"/>
      <c r="G119" s="132"/>
      <c r="H119" s="132"/>
      <c r="I119" s="132"/>
      <c r="J119" s="132"/>
      <c r="K119" s="132"/>
      <c r="L119" s="132"/>
      <c r="M119" s="132"/>
      <c r="N119" s="132"/>
      <c r="O119" s="132"/>
      <c r="P119" s="132"/>
    </row>
    <row r="120" spans="1:18" s="88" customFormat="1" ht="15" customHeight="1" x14ac:dyDescent="0.25">
      <c r="A120" s="134" t="s">
        <v>213</v>
      </c>
      <c r="B120" s="134"/>
      <c r="C120" s="134"/>
      <c r="D120" s="134"/>
      <c r="E120" s="134"/>
      <c r="F120" s="134"/>
      <c r="G120" s="134"/>
      <c r="H120" s="134"/>
      <c r="I120" s="134"/>
      <c r="J120" s="134"/>
      <c r="K120" s="134"/>
      <c r="L120" s="134"/>
      <c r="M120" s="134"/>
      <c r="N120" s="134"/>
      <c r="O120" s="134"/>
      <c r="P120" s="134"/>
      <c r="Q120" s="89"/>
    </row>
    <row r="121" spans="1:18" s="91" customFormat="1" ht="18" customHeight="1" x14ac:dyDescent="0.25">
      <c r="A121" s="133" t="s">
        <v>210</v>
      </c>
      <c r="B121" s="133"/>
      <c r="C121" s="133"/>
      <c r="D121" s="133"/>
      <c r="E121" s="133"/>
      <c r="F121" s="133"/>
      <c r="G121" s="133"/>
      <c r="H121" s="133"/>
      <c r="I121" s="133"/>
      <c r="J121" s="133"/>
      <c r="K121" s="133"/>
      <c r="L121" s="133"/>
      <c r="M121" s="133"/>
      <c r="N121" s="133"/>
      <c r="O121" s="133"/>
      <c r="P121" s="133"/>
      <c r="Q121" s="109"/>
    </row>
    <row r="122" spans="1:18" x14ac:dyDescent="0.25">
      <c r="A122" s="124" t="s">
        <v>211</v>
      </c>
    </row>
    <row r="123" spans="1:18" s="88" customFormat="1" ht="12" customHeight="1" x14ac:dyDescent="0.25">
      <c r="A123" s="133" t="s">
        <v>35</v>
      </c>
      <c r="B123" s="133"/>
      <c r="C123" s="133"/>
      <c r="D123" s="133"/>
      <c r="E123" s="133"/>
      <c r="F123" s="133"/>
      <c r="G123" s="133"/>
      <c r="H123" s="133"/>
      <c r="I123" s="133"/>
      <c r="J123" s="133"/>
      <c r="K123" s="133"/>
      <c r="L123" s="133"/>
      <c r="M123" s="133"/>
      <c r="N123" s="133"/>
      <c r="O123" s="133"/>
      <c r="P123" s="133"/>
    </row>
    <row r="124" spans="1:18" s="88" customFormat="1" ht="13.5" customHeight="1" x14ac:dyDescent="0.25">
      <c r="A124" s="133" t="s">
        <v>128</v>
      </c>
      <c r="B124" s="133"/>
      <c r="C124" s="133"/>
      <c r="D124" s="133"/>
      <c r="E124" s="133"/>
      <c r="F124" s="133"/>
      <c r="G124" s="133"/>
      <c r="H124" s="133"/>
      <c r="I124" s="133"/>
      <c r="J124" s="133"/>
      <c r="K124" s="133"/>
      <c r="L124" s="133"/>
      <c r="M124" s="133"/>
      <c r="N124" s="133"/>
      <c r="O124" s="133"/>
      <c r="P124" s="133"/>
    </row>
    <row r="125" spans="1:18" s="88" customFormat="1" ht="15.75" customHeight="1" x14ac:dyDescent="0.25">
      <c r="A125" s="89" t="s">
        <v>124</v>
      </c>
      <c r="B125" s="101"/>
      <c r="C125" s="101"/>
      <c r="D125" s="101"/>
      <c r="E125" s="101"/>
      <c r="F125" s="101"/>
      <c r="G125" s="101"/>
      <c r="H125" s="101"/>
      <c r="I125" s="101"/>
      <c r="J125" s="101"/>
      <c r="K125" s="101"/>
      <c r="L125" s="101"/>
      <c r="M125" s="101"/>
      <c r="N125" s="101"/>
      <c r="O125" s="101"/>
      <c r="P125" s="101"/>
      <c r="Q125" s="89"/>
    </row>
    <row r="126" spans="1:18" s="88" customFormat="1" ht="15" customHeight="1" x14ac:dyDescent="0.25">
      <c r="A126" s="133" t="s">
        <v>36</v>
      </c>
      <c r="B126" s="133"/>
      <c r="C126" s="133"/>
      <c r="D126" s="133"/>
      <c r="E126" s="133"/>
      <c r="F126" s="133"/>
      <c r="G126" s="133"/>
      <c r="H126" s="133"/>
      <c r="I126" s="133"/>
      <c r="J126" s="133"/>
      <c r="K126" s="133"/>
      <c r="L126" s="133"/>
      <c r="M126" s="133"/>
      <c r="N126" s="133"/>
      <c r="O126" s="133"/>
      <c r="P126" s="133"/>
      <c r="Q126" s="89"/>
    </row>
    <row r="127" spans="1:18" s="88" customFormat="1" ht="15" customHeight="1" x14ac:dyDescent="0.25">
      <c r="A127" s="108"/>
      <c r="B127" s="108"/>
      <c r="C127" s="108"/>
      <c r="D127" s="108"/>
      <c r="E127" s="108"/>
      <c r="F127" s="108"/>
      <c r="G127" s="108"/>
      <c r="H127" s="108"/>
      <c r="I127" s="108"/>
      <c r="J127" s="108"/>
      <c r="K127" s="108"/>
      <c r="L127" s="108"/>
      <c r="M127" s="108"/>
      <c r="N127" s="108"/>
      <c r="O127" s="108"/>
      <c r="P127" s="108"/>
      <c r="Q127" s="89"/>
    </row>
    <row r="128" spans="1:18" s="88" customFormat="1" ht="24" customHeight="1" x14ac:dyDescent="0.25">
      <c r="A128" s="133" t="s">
        <v>195</v>
      </c>
      <c r="B128" s="133"/>
      <c r="C128" s="133"/>
      <c r="D128" s="133"/>
      <c r="E128" s="133"/>
      <c r="F128" s="133"/>
      <c r="G128" s="133"/>
      <c r="H128" s="133"/>
      <c r="I128" s="133"/>
      <c r="J128" s="133"/>
      <c r="K128" s="133"/>
      <c r="L128" s="133"/>
      <c r="M128" s="133"/>
      <c r="N128" s="133"/>
      <c r="O128" s="133"/>
      <c r="P128" s="133"/>
    </row>
    <row r="129" spans="1:17" s="88" customFormat="1" ht="19.5" customHeight="1" x14ac:dyDescent="0.25">
      <c r="A129" s="145" t="s">
        <v>199</v>
      </c>
      <c r="B129" s="145"/>
      <c r="C129" s="145"/>
      <c r="D129" s="145"/>
      <c r="E129" s="145"/>
      <c r="F129" s="145"/>
      <c r="G129" s="145"/>
      <c r="H129" s="145"/>
      <c r="I129" s="145"/>
      <c r="J129" s="145"/>
      <c r="K129" s="145"/>
      <c r="L129" s="145"/>
      <c r="M129" s="145"/>
      <c r="N129" s="145"/>
      <c r="O129" s="145"/>
      <c r="P129" s="145"/>
    </row>
    <row r="130" spans="1:17" s="88" customFormat="1" ht="19.5" customHeight="1" x14ac:dyDescent="0.25">
      <c r="A130" s="90" t="s">
        <v>125</v>
      </c>
      <c r="B130" s="102"/>
      <c r="C130" s="102"/>
      <c r="D130" s="102"/>
      <c r="E130" s="102"/>
      <c r="F130" s="102"/>
      <c r="G130" s="102"/>
      <c r="H130" s="102"/>
      <c r="I130" s="102"/>
      <c r="J130" s="102"/>
      <c r="K130" s="102"/>
      <c r="L130" s="102"/>
      <c r="M130" s="102"/>
      <c r="N130" s="102"/>
      <c r="O130" s="102"/>
      <c r="P130" s="102"/>
    </row>
    <row r="131" spans="1:17" s="88" customFormat="1" ht="22.5" customHeight="1" x14ac:dyDescent="0.25">
      <c r="A131" s="89" t="s">
        <v>200</v>
      </c>
      <c r="B131" s="103"/>
      <c r="C131" s="103"/>
      <c r="D131" s="103"/>
      <c r="E131" s="103"/>
      <c r="F131" s="103"/>
      <c r="G131" s="103"/>
      <c r="H131" s="103"/>
      <c r="I131" s="103"/>
      <c r="J131" s="103"/>
      <c r="K131" s="103"/>
      <c r="L131" s="103"/>
      <c r="M131" s="103"/>
      <c r="N131" s="103"/>
      <c r="O131" s="103"/>
      <c r="P131" s="103"/>
      <c r="Q131" s="89"/>
    </row>
    <row r="132" spans="1:17" s="88" customFormat="1" ht="45.75" customHeight="1" x14ac:dyDescent="0.25">
      <c r="A132" s="144" t="s">
        <v>206</v>
      </c>
      <c r="B132" s="144"/>
      <c r="C132" s="144"/>
      <c r="D132" s="144"/>
      <c r="E132" s="144"/>
      <c r="F132" s="144"/>
      <c r="G132" s="144"/>
      <c r="H132" s="144"/>
      <c r="I132" s="144"/>
      <c r="J132" s="144"/>
      <c r="K132" s="144"/>
      <c r="L132" s="144"/>
      <c r="M132" s="144"/>
      <c r="N132" s="144"/>
      <c r="O132" s="144"/>
      <c r="P132" s="144"/>
      <c r="Q132" s="89"/>
    </row>
    <row r="133" spans="1:17" s="88" customFormat="1" ht="62.25" customHeight="1" x14ac:dyDescent="0.25">
      <c r="A133" s="144" t="s">
        <v>209</v>
      </c>
      <c r="B133" s="144"/>
      <c r="C133" s="144"/>
      <c r="D133" s="144"/>
      <c r="E133" s="144"/>
      <c r="F133" s="144"/>
      <c r="G133" s="144"/>
      <c r="H133" s="144"/>
      <c r="I133" s="144"/>
      <c r="J133" s="144"/>
      <c r="K133" s="144"/>
      <c r="L133" s="144"/>
      <c r="M133" s="144"/>
      <c r="N133" s="144"/>
      <c r="O133" s="144"/>
      <c r="P133" s="144"/>
      <c r="Q133" s="89"/>
    </row>
    <row r="134" spans="1:17" s="91" customFormat="1" ht="15.75" customHeight="1" x14ac:dyDescent="0.25">
      <c r="A134" s="144" t="s">
        <v>122</v>
      </c>
      <c r="B134" s="144"/>
      <c r="C134" s="144"/>
      <c r="D134" s="144"/>
      <c r="E134" s="144"/>
      <c r="F134" s="144"/>
      <c r="G134" s="144"/>
      <c r="H134" s="144"/>
      <c r="I134" s="144"/>
      <c r="J134" s="144"/>
      <c r="K134" s="144"/>
      <c r="L134" s="144"/>
      <c r="M134" s="144"/>
      <c r="N134" s="144"/>
      <c r="O134" s="144"/>
      <c r="P134" s="144"/>
    </row>
    <row r="135" spans="1:17" s="88" customFormat="1" ht="15" customHeight="1" x14ac:dyDescent="0.25">
      <c r="A135" s="145" t="s">
        <v>120</v>
      </c>
      <c r="B135" s="145"/>
      <c r="C135" s="145"/>
      <c r="D135" s="145"/>
      <c r="E135" s="145"/>
      <c r="F135" s="145"/>
      <c r="G135" s="145"/>
      <c r="H135" s="145"/>
      <c r="I135" s="145"/>
      <c r="J135" s="145"/>
      <c r="K135" s="145"/>
      <c r="L135" s="145"/>
      <c r="M135" s="145"/>
      <c r="N135" s="145"/>
      <c r="O135" s="145"/>
      <c r="P135" s="145"/>
      <c r="Q135" s="92"/>
    </row>
  </sheetData>
  <autoFilter ref="A3:P115"/>
  <mergeCells count="20">
    <mergeCell ref="A128:P128"/>
    <mergeCell ref="A126:P126"/>
    <mergeCell ref="A133:P133"/>
    <mergeCell ref="A132:P132"/>
    <mergeCell ref="A135:P135"/>
    <mergeCell ref="A134:P134"/>
    <mergeCell ref="A129:P129"/>
    <mergeCell ref="F2:J2"/>
    <mergeCell ref="K2:O2"/>
    <mergeCell ref="A87:D87"/>
    <mergeCell ref="A114:D114"/>
    <mergeCell ref="A115:C115"/>
    <mergeCell ref="A99:D99"/>
    <mergeCell ref="A117:P117"/>
    <mergeCell ref="A118:P118"/>
    <mergeCell ref="A119:P119"/>
    <mergeCell ref="A123:P123"/>
    <mergeCell ref="A124:P124"/>
    <mergeCell ref="A120:P120"/>
    <mergeCell ref="A121:P121"/>
  </mergeCells>
  <pageMargins left="0.5" right="0.5" top="0.5" bottom="0.5" header="0.3" footer="0.3"/>
  <pageSetup paperSize="5" scale="8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3ADAC86214EDD4389075E86D8008783" ma:contentTypeVersion="0" ma:contentTypeDescription="Create a new document." ma:contentTypeScope="" ma:versionID="8585b0de78f57e36a6821a5bb2616b4e">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ADC5E3-828E-43DF-A96B-F95504ADAB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6208E971-01D7-4DC5-99A0-42DF9C44EBFD}">
  <ds:schemaRefs>
    <ds:schemaRef ds:uri="http://purl.org/dc/elements/1.1/"/>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9ABC184-CC79-4351-AA73-236456A135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Burden Table</vt:lpstr>
    </vt:vector>
  </TitlesOfParts>
  <Company>Mathematica,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MHu</dc:creator>
  <cp:lastModifiedBy>Sandberg, Christina - FNS</cp:lastModifiedBy>
  <cp:lastPrinted>2019-06-06T20:10:38Z</cp:lastPrinted>
  <dcterms:created xsi:type="dcterms:W3CDTF">2018-03-29T20:38:59Z</dcterms:created>
  <dcterms:modified xsi:type="dcterms:W3CDTF">2019-06-19T21:04:27Z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0x01010033ADAC86214EDD4389075E86D8008783</vt:lpwstr>
  </property>
</Properties>
</file>