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O:\TAD\TAD10\Paperwork Reduction Act - Information Collections (TAD-10)\(OMB 2132-0561) FIXED GUIDEWAY -CAPITAL INVESTMENT GRANTS NEW STARTS 5309\2019 ICR Renewal\"/>
    </mc:Choice>
  </mc:AlternateContent>
  <bookViews>
    <workbookView xWindow="105" yWindow="540" windowWidth="18315" windowHeight="8235" tabRatio="745"/>
  </bookViews>
  <sheets>
    <sheet name="Project Description" sheetId="1" r:id="rId1"/>
    <sheet name="Travel Forecasts" sheetId="13" r:id="rId2"/>
    <sheet name="Mobility Cost Eff &amp; Cong Relief" sheetId="2" r:id="rId3"/>
    <sheet name="Land Use" sheetId="5" r:id="rId4"/>
    <sheet name="Environmental Benefits" sheetId="11" r:id="rId5"/>
    <sheet name="Finance" sheetId="6" r:id="rId6"/>
    <sheet name="Lookups" sheetId="15" state="hidden" r:id="rId7"/>
    <sheet name="Rating Estimation" sheetId="16" r:id="rId8"/>
  </sheets>
  <definedNames>
    <definedName name="doesntMeetThresholds">Lookups!$L$22</definedName>
    <definedName name="_xlnm.Print_Area" localSheetId="4">'Environmental Benefits'!$A$1:$Q$168</definedName>
    <definedName name="_xlnm.Print_Area" localSheetId="5">Finance!$A$1:$F$99</definedName>
    <definedName name="_xlnm.Print_Area" localSheetId="3">'Land Use'!$A$1:$G$266</definedName>
    <definedName name="_xlnm.Print_Area" localSheetId="6">Lookups!$A$1:$C$32</definedName>
    <definedName name="_xlnm.Print_Area" localSheetId="2">'Mobility Cost Eff &amp; Cong Relief'!$A$1:$E$27</definedName>
    <definedName name="_xlnm.Print_Area" localSheetId="0">'Project Description'!$A$1:$D$193</definedName>
    <definedName name="_xlnm.Print_Area" localSheetId="7">'Rating Estimation'!$A$1:$K$19</definedName>
    <definedName name="_xlnm.Print_Area" localSheetId="1">'Travel Forecasts'!$A$1:$N$42</definedName>
    <definedName name="warrantedMedium">Lookups!$L$21</definedName>
    <definedName name="Z_AB5399CE_BEB7_40AA_A66C_46449E135DF8_.wvu.PrintArea" localSheetId="5" hidden="1">Finance!$A$1:$F$99</definedName>
    <definedName name="Z_AB5399CE_BEB7_40AA_A66C_46449E135DF8_.wvu.PrintArea" localSheetId="3" hidden="1">'Land Use'!$A$1:$G$266</definedName>
    <definedName name="Z_AB5399CE_BEB7_40AA_A66C_46449E135DF8_.wvu.PrintArea" localSheetId="2" hidden="1">'Mobility Cost Eff &amp; Cong Relief'!$A$1:$E$21</definedName>
    <definedName name="Z_AB5399CE_BEB7_40AA_A66C_46449E135DF8_.wvu.PrintArea" localSheetId="0" hidden="1">'Project Description'!$A$1:$D$193</definedName>
  </definedNames>
  <calcPr calcId="171027"/>
  <customWorkbookViews>
    <customWorkbookView name="benjamin.owen - Personal View" guid="{AB5399CE-BEB7-40AA-A66C-46449E135DF8}" mergeInterval="0" personalView="1" maximized="1" windowWidth="1280" windowHeight="809" tabRatio="745" activeSheetId="1"/>
  </customWorkbookViews>
</workbook>
</file>

<file path=xl/calcChain.xml><?xml version="1.0" encoding="utf-8"?>
<calcChain xmlns="http://schemas.openxmlformats.org/spreadsheetml/2006/main">
  <c r="J13" i="16" l="1"/>
  <c r="G2" i="16" l="1"/>
  <c r="H24" i="15" l="1"/>
  <c r="J11" i="16"/>
  <c r="J10" i="16"/>
  <c r="J9" i="16"/>
  <c r="D12" i="16"/>
  <c r="D11" i="16"/>
  <c r="I12" i="16" l="1"/>
  <c r="A4" i="11" l="1"/>
  <c r="A4" i="2"/>
  <c r="A4" i="13"/>
  <c r="H23" i="11" l="1"/>
  <c r="H25" i="11" s="1"/>
  <c r="A108" i="1"/>
  <c r="A107" i="1"/>
  <c r="D95" i="1"/>
  <c r="C95" i="1"/>
  <c r="E48" i="1" l="1"/>
  <c r="D25" i="2"/>
  <c r="C25" i="2"/>
  <c r="I5" i="15" l="1"/>
  <c r="H15" i="15" s="1"/>
  <c r="E8" i="13" l="1"/>
  <c r="E5" i="5" s="1"/>
  <c r="H8" i="13" l="1"/>
  <c r="K29" i="13"/>
  <c r="J28" i="11"/>
  <c r="D8" i="2"/>
  <c r="F29" i="13"/>
  <c r="N29" i="13"/>
  <c r="D24" i="2" l="1"/>
  <c r="D15" i="2"/>
  <c r="A93" i="1" l="1"/>
  <c r="I9" i="13" l="1"/>
  <c r="H18" i="11"/>
  <c r="H20" i="11" s="1"/>
  <c r="H22" i="11" s="1"/>
  <c r="C37" i="5" l="1"/>
  <c r="E24" i="13" l="1"/>
  <c r="D24" i="13" l="1"/>
  <c r="H31" i="13" l="1"/>
  <c r="F11" i="13"/>
  <c r="I11" i="13" l="1"/>
  <c r="Q100" i="11" l="1"/>
  <c r="Q99" i="11"/>
  <c r="Q98" i="11"/>
  <c r="Q97" i="11"/>
  <c r="Q96" i="11"/>
  <c r="Q95" i="11"/>
  <c r="Q94" i="11"/>
  <c r="Q93" i="11"/>
  <c r="Q92" i="11"/>
  <c r="Q91" i="11"/>
  <c r="L100" i="11"/>
  <c r="L99" i="11"/>
  <c r="L98" i="11"/>
  <c r="L97" i="11"/>
  <c r="L96" i="11"/>
  <c r="L95" i="11"/>
  <c r="L94" i="11"/>
  <c r="L93" i="11"/>
  <c r="L92" i="11"/>
  <c r="L91" i="11"/>
  <c r="Q84" i="11"/>
  <c r="Q83" i="11"/>
  <c r="Q82" i="11"/>
  <c r="Q81" i="11"/>
  <c r="Q80" i="11"/>
  <c r="Q79" i="11"/>
  <c r="Q78" i="11"/>
  <c r="Q77" i="11"/>
  <c r="Q76" i="11"/>
  <c r="Q75" i="11"/>
  <c r="L84" i="11"/>
  <c r="L83" i="11"/>
  <c r="L82" i="11"/>
  <c r="L81" i="11"/>
  <c r="L80" i="11"/>
  <c r="L79" i="11"/>
  <c r="L78" i="11"/>
  <c r="L77" i="11"/>
  <c r="L76" i="11"/>
  <c r="L75" i="11"/>
  <c r="Q66" i="11"/>
  <c r="Q65" i="11"/>
  <c r="Q64" i="11"/>
  <c r="Q63" i="11"/>
  <c r="Q62" i="11"/>
  <c r="Q61" i="11"/>
  <c r="Q60" i="11"/>
  <c r="Q59" i="11"/>
  <c r="Q58" i="11"/>
  <c r="Q57" i="11"/>
  <c r="L66" i="11"/>
  <c r="L65" i="11"/>
  <c r="L64" i="11"/>
  <c r="L63" i="11"/>
  <c r="L62" i="11"/>
  <c r="L61" i="11"/>
  <c r="L60" i="11"/>
  <c r="L59" i="11"/>
  <c r="L58" i="11"/>
  <c r="L57" i="11"/>
  <c r="P100" i="11" l="1"/>
  <c r="P99" i="11"/>
  <c r="P98" i="11"/>
  <c r="P97" i="11"/>
  <c r="P96" i="11"/>
  <c r="P95" i="11"/>
  <c r="P94" i="11"/>
  <c r="P93" i="11"/>
  <c r="P92" i="11"/>
  <c r="P91" i="11"/>
  <c r="K100" i="11"/>
  <c r="K99" i="11"/>
  <c r="K98" i="11"/>
  <c r="K97" i="11"/>
  <c r="K96" i="11"/>
  <c r="K95" i="11"/>
  <c r="K94" i="11"/>
  <c r="K93" i="11"/>
  <c r="K92" i="11"/>
  <c r="K91" i="11"/>
  <c r="F100" i="11"/>
  <c r="G100" i="11" s="1"/>
  <c r="F99" i="11"/>
  <c r="G99" i="11" s="1"/>
  <c r="F98" i="11"/>
  <c r="G98" i="11" s="1"/>
  <c r="F97" i="11"/>
  <c r="F96" i="11"/>
  <c r="F95" i="11"/>
  <c r="F94" i="11"/>
  <c r="F93" i="11"/>
  <c r="F92" i="11"/>
  <c r="F91" i="11"/>
  <c r="P84" i="11"/>
  <c r="P83" i="11"/>
  <c r="P82" i="11"/>
  <c r="P81" i="11"/>
  <c r="P80" i="11"/>
  <c r="P79" i="11"/>
  <c r="P78" i="11"/>
  <c r="P77" i="11"/>
  <c r="P76" i="11"/>
  <c r="P75" i="11"/>
  <c r="K84" i="11"/>
  <c r="K83" i="11"/>
  <c r="K82" i="11"/>
  <c r="K81" i="11"/>
  <c r="K80" i="11"/>
  <c r="K79" i="11"/>
  <c r="K78" i="11"/>
  <c r="K77" i="11"/>
  <c r="K76" i="11"/>
  <c r="K75" i="11"/>
  <c r="F84" i="11"/>
  <c r="G84" i="11" s="1"/>
  <c r="F83" i="11"/>
  <c r="G83" i="11" s="1"/>
  <c r="F82" i="11"/>
  <c r="G82" i="11" s="1"/>
  <c r="F81" i="11"/>
  <c r="F80" i="11"/>
  <c r="F79" i="11"/>
  <c r="F78" i="11"/>
  <c r="F77" i="11"/>
  <c r="F76" i="11"/>
  <c r="F75" i="11"/>
  <c r="P66" i="11"/>
  <c r="P65" i="11"/>
  <c r="P64" i="11"/>
  <c r="P63" i="11"/>
  <c r="P62" i="11"/>
  <c r="P61" i="11"/>
  <c r="P60" i="11"/>
  <c r="P59" i="11"/>
  <c r="P58" i="11"/>
  <c r="P57" i="11"/>
  <c r="K66" i="11"/>
  <c r="K65" i="11"/>
  <c r="K64" i="11"/>
  <c r="K63" i="11"/>
  <c r="K62" i="11"/>
  <c r="K61" i="11"/>
  <c r="K60" i="11"/>
  <c r="K59" i="11"/>
  <c r="K58" i="11"/>
  <c r="K57" i="11"/>
  <c r="F66" i="11"/>
  <c r="G66" i="11" s="1"/>
  <c r="F65" i="11"/>
  <c r="G65" i="11" s="1"/>
  <c r="F64" i="11"/>
  <c r="G64" i="11" s="1"/>
  <c r="F63" i="11"/>
  <c r="F62" i="11"/>
  <c r="F61" i="11"/>
  <c r="F60" i="11"/>
  <c r="F59" i="11"/>
  <c r="F58" i="11"/>
  <c r="F57" i="11"/>
  <c r="A9" i="11"/>
  <c r="A10" i="11" s="1"/>
  <c r="A11" i="11" s="1"/>
  <c r="A29" i="11" s="1"/>
  <c r="A30" i="11" s="1"/>
  <c r="A31" i="11" s="1"/>
  <c r="A32" i="11" s="1"/>
  <c r="A41" i="11" s="1"/>
  <c r="A42" i="11" s="1"/>
  <c r="A43" i="11" s="1"/>
  <c r="A44" i="11" s="1"/>
  <c r="A45" i="11" s="1"/>
  <c r="A46" i="11" s="1"/>
  <c r="A47" i="11" s="1"/>
  <c r="A48" i="11" s="1"/>
  <c r="A49" i="11" s="1"/>
  <c r="A50" i="11" s="1"/>
  <c r="A51" i="11" s="1"/>
  <c r="C258" i="5" l="1"/>
  <c r="C249" i="5"/>
  <c r="C240" i="5"/>
  <c r="C231" i="5"/>
  <c r="C222" i="5"/>
  <c r="C213" i="5"/>
  <c r="C201" i="5"/>
  <c r="C192" i="5"/>
  <c r="C183" i="5"/>
  <c r="C174" i="5"/>
  <c r="C165" i="5"/>
  <c r="C156" i="5"/>
  <c r="C147" i="5"/>
  <c r="C135" i="5"/>
  <c r="C126" i="5"/>
  <c r="C117" i="5"/>
  <c r="C108" i="5"/>
  <c r="C99" i="5"/>
  <c r="C90" i="5"/>
  <c r="C83" i="5"/>
  <c r="C82" i="5"/>
  <c r="C81" i="5"/>
  <c r="G8" i="5" l="1"/>
  <c r="E37" i="5" s="1"/>
  <c r="H9" i="13"/>
  <c r="G256" i="5" l="1"/>
  <c r="E248" i="5"/>
  <c r="E251" i="5" s="1"/>
  <c r="G246" i="5"/>
  <c r="G238" i="5"/>
  <c r="E230" i="5"/>
  <c r="E233" i="5" s="1"/>
  <c r="G228" i="5"/>
  <c r="G220" i="5"/>
  <c r="E212" i="5"/>
  <c r="E215" i="5" s="1"/>
  <c r="G210" i="5"/>
  <c r="G199" i="5"/>
  <c r="G190" i="5"/>
  <c r="E182" i="5"/>
  <c r="E185" i="5" s="1"/>
  <c r="G180" i="5"/>
  <c r="G172" i="5"/>
  <c r="E164" i="5"/>
  <c r="E167" i="5" s="1"/>
  <c r="G162" i="5"/>
  <c r="E155" i="5"/>
  <c r="E158" i="5" s="1"/>
  <c r="G153" i="5"/>
  <c r="E146" i="5"/>
  <c r="E149" i="5" s="1"/>
  <c r="G144" i="5"/>
  <c r="G133" i="5"/>
  <c r="G124" i="5"/>
  <c r="G115" i="5"/>
  <c r="E107" i="5"/>
  <c r="E110" i="5" s="1"/>
  <c r="G105" i="5"/>
  <c r="E98" i="5"/>
  <c r="E101" i="5" s="1"/>
  <c r="G96" i="5"/>
  <c r="E89" i="5"/>
  <c r="E92" i="5" s="1"/>
  <c r="G87" i="5"/>
  <c r="E257" i="5"/>
  <c r="E260" i="5" s="1"/>
  <c r="G255" i="5"/>
  <c r="G247" i="5"/>
  <c r="E239" i="5"/>
  <c r="E242" i="5" s="1"/>
  <c r="G237" i="5"/>
  <c r="G229" i="5"/>
  <c r="E221" i="5"/>
  <c r="E224" i="5" s="1"/>
  <c r="G219" i="5"/>
  <c r="G211" i="5"/>
  <c r="E200" i="5"/>
  <c r="E203" i="5" s="1"/>
  <c r="G198" i="5"/>
  <c r="E191" i="5"/>
  <c r="E194" i="5" s="1"/>
  <c r="G189" i="5"/>
  <c r="G181" i="5"/>
  <c r="E173" i="5"/>
  <c r="E176" i="5" s="1"/>
  <c r="G171" i="5"/>
  <c r="G163" i="5"/>
  <c r="E157" i="5"/>
  <c r="G154" i="5"/>
  <c r="G145" i="5"/>
  <c r="E134" i="5"/>
  <c r="E137" i="5" s="1"/>
  <c r="G132" i="5"/>
  <c r="E125" i="5"/>
  <c r="E128" i="5" s="1"/>
  <c r="G123" i="5"/>
  <c r="E116" i="5"/>
  <c r="E119" i="5" s="1"/>
  <c r="G114" i="5"/>
  <c r="G106" i="5"/>
  <c r="G97" i="5"/>
  <c r="E91" i="5"/>
  <c r="G88" i="5"/>
  <c r="E232" i="5"/>
  <c r="E214" i="5"/>
  <c r="E241" i="5"/>
  <c r="E223" i="5"/>
  <c r="E175" i="5"/>
  <c r="N40" i="13"/>
  <c r="H11" i="13"/>
  <c r="H13" i="13"/>
  <c r="H15" i="13"/>
  <c r="H17" i="13"/>
  <c r="H19" i="13"/>
  <c r="D16" i="2" s="1"/>
  <c r="K31" i="13"/>
  <c r="N33" i="13"/>
  <c r="N35" i="13"/>
  <c r="N37" i="13"/>
  <c r="N39" i="13"/>
  <c r="G79" i="5"/>
  <c r="G12" i="5"/>
  <c r="G19" i="5"/>
  <c r="E14" i="5"/>
  <c r="E22" i="5"/>
  <c r="E23" i="5" s="1"/>
  <c r="E21" i="5"/>
  <c r="E35" i="5"/>
  <c r="E80" i="5"/>
  <c r="E82" i="5" s="1"/>
  <c r="H10" i="13"/>
  <c r="H12" i="13"/>
  <c r="H14" i="13"/>
  <c r="H16" i="13"/>
  <c r="H18" i="13"/>
  <c r="H20" i="13"/>
  <c r="L31" i="13"/>
  <c r="N32" i="13"/>
  <c r="N34" i="13"/>
  <c r="N36" i="13"/>
  <c r="N38" i="13"/>
  <c r="G78" i="5"/>
  <c r="G9" i="5"/>
  <c r="G18" i="5"/>
  <c r="E13" i="5"/>
  <c r="E15" i="5"/>
  <c r="E20" i="5"/>
  <c r="E34" i="5"/>
  <c r="E136" i="5" l="1"/>
  <c r="E259" i="5"/>
  <c r="N31" i="13"/>
  <c r="E250" i="5"/>
  <c r="E100" i="5"/>
  <c r="E24" i="5"/>
  <c r="E202" i="5"/>
  <c r="E166" i="5"/>
  <c r="E148" i="5"/>
  <c r="E109" i="5"/>
  <c r="E184" i="5"/>
  <c r="E83" i="5"/>
  <c r="E118" i="5"/>
  <c r="E127" i="5"/>
  <c r="E193" i="5"/>
  <c r="H22" i="13"/>
  <c r="H21" i="13"/>
  <c r="L165" i="11"/>
  <c r="L164" i="11"/>
  <c r="L163" i="11"/>
  <c r="L162" i="11"/>
  <c r="L161" i="11"/>
  <c r="L160" i="11"/>
  <c r="L159" i="11"/>
  <c r="L158" i="11"/>
  <c r="L157" i="11"/>
  <c r="L156" i="11"/>
  <c r="L150" i="11"/>
  <c r="L149" i="11"/>
  <c r="L148" i="11"/>
  <c r="L147" i="11"/>
  <c r="L146" i="11"/>
  <c r="L145" i="11"/>
  <c r="L144" i="11"/>
  <c r="L143" i="11"/>
  <c r="L142" i="11"/>
  <c r="L141" i="11"/>
  <c r="L132" i="11"/>
  <c r="L131" i="11"/>
  <c r="L126" i="11"/>
  <c r="L125" i="11"/>
  <c r="L124" i="11"/>
  <c r="L117" i="11"/>
  <c r="L116" i="11"/>
  <c r="L115" i="11"/>
  <c r="L114" i="11"/>
  <c r="L113" i="11"/>
  <c r="L112" i="11"/>
  <c r="L111" i="11"/>
  <c r="L110" i="11"/>
  <c r="L109" i="11"/>
  <c r="L108" i="11"/>
  <c r="H23" i="13" l="1"/>
  <c r="L134" i="11"/>
  <c r="L151" i="11"/>
  <c r="D17" i="2"/>
  <c r="D18" i="2" s="1"/>
  <c r="L166" i="11"/>
  <c r="L118" i="11" l="1"/>
  <c r="L101" i="11"/>
  <c r="L85" i="11"/>
  <c r="A57" i="11"/>
  <c r="A58" i="11" s="1"/>
  <c r="A59" i="11" s="1"/>
  <c r="A60" i="11" s="1"/>
  <c r="A61" i="11" s="1"/>
  <c r="A62" i="11" s="1"/>
  <c r="A63" i="11" s="1"/>
  <c r="A64" i="11" s="1"/>
  <c r="A65" i="11" s="1"/>
  <c r="A66" i="11" s="1"/>
  <c r="A67" i="11" s="1"/>
  <c r="A75" i="11" s="1"/>
  <c r="A76" i="11" s="1"/>
  <c r="A77" i="11" s="1"/>
  <c r="A78" i="11" s="1"/>
  <c r="A79" i="11" s="1"/>
  <c r="A80" i="11" s="1"/>
  <c r="A81" i="11" s="1"/>
  <c r="A82" i="11" s="1"/>
  <c r="A83" i="11" s="1"/>
  <c r="A84" i="11" s="1"/>
  <c r="A85" i="11" s="1"/>
  <c r="A91" i="11" s="1"/>
  <c r="A92" i="11" s="1"/>
  <c r="A93" i="11" s="1"/>
  <c r="A94" i="11" s="1"/>
  <c r="A95" i="11" s="1"/>
  <c r="A96" i="11" s="1"/>
  <c r="A97" i="11" s="1"/>
  <c r="A98" i="11" s="1"/>
  <c r="A99" i="11" s="1"/>
  <c r="A100" i="11" s="1"/>
  <c r="A101" i="11" s="1"/>
  <c r="A108" i="11" s="1"/>
  <c r="A109" i="11" s="1"/>
  <c r="A110" i="11" s="1"/>
  <c r="A111" i="11" s="1"/>
  <c r="A112" i="11" s="1"/>
  <c r="A113" i="11" s="1"/>
  <c r="A114" i="11" s="1"/>
  <c r="A115" i="11" s="1"/>
  <c r="A116" i="11" s="1"/>
  <c r="A117" i="11" s="1"/>
  <c r="A118" i="11" s="1"/>
  <c r="A124" i="11" s="1"/>
  <c r="A125" i="11" s="1"/>
  <c r="A126" i="11" s="1"/>
  <c r="A127" i="11" s="1"/>
  <c r="A128" i="11" s="1"/>
  <c r="A129" i="11" s="1"/>
  <c r="A130" i="11" s="1"/>
  <c r="A131" i="11" s="1"/>
  <c r="A132" i="11" s="1"/>
  <c r="A133" i="11" s="1"/>
  <c r="A134" i="11" s="1"/>
  <c r="A141" i="11" s="1"/>
  <c r="A142" i="11" s="1"/>
  <c r="A143" i="11" s="1"/>
  <c r="A144" i="11" s="1"/>
  <c r="A145" i="11" s="1"/>
  <c r="A146" i="11" s="1"/>
  <c r="A147" i="11" s="1"/>
  <c r="A148" i="11" s="1"/>
  <c r="A149" i="11" s="1"/>
  <c r="A150" i="11" s="1"/>
  <c r="A151" i="11" s="1"/>
  <c r="A156" i="11" s="1"/>
  <c r="A157" i="11" s="1"/>
  <c r="A158" i="11" s="1"/>
  <c r="A159" i="11" s="1"/>
  <c r="A160" i="11" s="1"/>
  <c r="A161" i="11" s="1"/>
  <c r="A162" i="11" s="1"/>
  <c r="A163" i="11" s="1"/>
  <c r="A164" i="11" s="1"/>
  <c r="A165" i="11" s="1"/>
  <c r="A166" i="11" s="1"/>
  <c r="P50" i="11" l="1"/>
  <c r="P49" i="11"/>
  <c r="P48" i="11"/>
  <c r="P47" i="11"/>
  <c r="P46" i="11"/>
  <c r="P45" i="11"/>
  <c r="P44" i="11"/>
  <c r="P43" i="11"/>
  <c r="P42" i="11"/>
  <c r="P41" i="11"/>
  <c r="K50" i="11" l="1"/>
  <c r="L50" i="11" s="1"/>
  <c r="K49" i="11"/>
  <c r="L49" i="11" s="1"/>
  <c r="K48" i="11"/>
  <c r="L48" i="11" s="1"/>
  <c r="K47" i="11"/>
  <c r="L47" i="11" s="1"/>
  <c r="K46" i="11"/>
  <c r="L46" i="11" s="1"/>
  <c r="K45" i="11"/>
  <c r="L45" i="11" s="1"/>
  <c r="K44" i="11"/>
  <c r="L44" i="11" s="1"/>
  <c r="K43" i="11"/>
  <c r="L43" i="11" s="1"/>
  <c r="K42" i="11"/>
  <c r="L42" i="11" s="1"/>
  <c r="K41" i="11"/>
  <c r="L41" i="11" s="1"/>
  <c r="F50" i="11"/>
  <c r="F49" i="11"/>
  <c r="F48" i="11"/>
  <c r="F47" i="11"/>
  <c r="F46" i="11"/>
  <c r="F45" i="11"/>
  <c r="F44" i="11"/>
  <c r="F43" i="11"/>
  <c r="F42" i="11"/>
  <c r="F41" i="11"/>
  <c r="G50" i="11" l="1"/>
  <c r="G49" i="11"/>
  <c r="G48" i="11"/>
  <c r="C28" i="5"/>
  <c r="C27" i="5"/>
  <c r="C45" i="5" l="1"/>
  <c r="D8" i="13"/>
  <c r="D29" i="13" l="1"/>
  <c r="H28" i="11"/>
  <c r="C8" i="2"/>
  <c r="G8" i="13"/>
  <c r="C5" i="5"/>
  <c r="M29" i="13"/>
  <c r="I29" i="13"/>
  <c r="H143" i="11"/>
  <c r="J143" i="11" s="1"/>
  <c r="H126" i="11"/>
  <c r="J126" i="11" s="1"/>
  <c r="H158" i="11"/>
  <c r="J158" i="11" s="1"/>
  <c r="H77" i="11"/>
  <c r="J77" i="11" s="1"/>
  <c r="H110" i="11"/>
  <c r="J110" i="11" s="1"/>
  <c r="H93" i="11"/>
  <c r="J93" i="11" s="1"/>
  <c r="H147" i="11"/>
  <c r="J147" i="11" s="1"/>
  <c r="H162" i="11"/>
  <c r="J162" i="11" s="1"/>
  <c r="H81" i="11"/>
  <c r="J81" i="11" s="1"/>
  <c r="H114" i="11"/>
  <c r="J114" i="11" s="1"/>
  <c r="H97" i="11"/>
  <c r="J97" i="11" s="1"/>
  <c r="H157" i="11"/>
  <c r="J157" i="11" s="1"/>
  <c r="H142" i="11"/>
  <c r="J142" i="11" s="1"/>
  <c r="H125" i="11"/>
  <c r="J125" i="11" s="1"/>
  <c r="H109" i="11"/>
  <c r="J109" i="11" s="1"/>
  <c r="H92" i="11"/>
  <c r="J92" i="11" s="1"/>
  <c r="H76" i="11"/>
  <c r="J76" i="11" s="1"/>
  <c r="H161" i="11"/>
  <c r="J161" i="11" s="1"/>
  <c r="H146" i="11"/>
  <c r="J146" i="11" s="1"/>
  <c r="H113" i="11"/>
  <c r="J113" i="11" s="1"/>
  <c r="H96" i="11"/>
  <c r="J96" i="11" s="1"/>
  <c r="H80" i="11"/>
  <c r="J80" i="11" s="1"/>
  <c r="H165" i="11"/>
  <c r="J165" i="11" s="1"/>
  <c r="H150" i="11"/>
  <c r="J150" i="11" s="1"/>
  <c r="H117" i="11"/>
  <c r="J117" i="11" s="1"/>
  <c r="H100" i="11"/>
  <c r="J100" i="11" s="1"/>
  <c r="H84" i="11"/>
  <c r="J84" i="11" s="1"/>
  <c r="H145" i="11"/>
  <c r="J145" i="11" s="1"/>
  <c r="H160" i="11"/>
  <c r="J160" i="11" s="1"/>
  <c r="H79" i="11"/>
  <c r="J79" i="11" s="1"/>
  <c r="H112" i="11"/>
  <c r="J112" i="11" s="1"/>
  <c r="H95" i="11"/>
  <c r="J95" i="11" s="1"/>
  <c r="H149" i="11"/>
  <c r="J149" i="11" s="1"/>
  <c r="H132" i="11"/>
  <c r="J132" i="11" s="1"/>
  <c r="H164" i="11"/>
  <c r="J164" i="11" s="1"/>
  <c r="H83" i="11"/>
  <c r="J83" i="11" s="1"/>
  <c r="H116" i="11"/>
  <c r="J116" i="11" s="1"/>
  <c r="H99" i="11"/>
  <c r="J99" i="11" s="1"/>
  <c r="H159" i="11"/>
  <c r="J159" i="11" s="1"/>
  <c r="H144" i="11"/>
  <c r="J144" i="11" s="1"/>
  <c r="H111" i="11"/>
  <c r="J111" i="11" s="1"/>
  <c r="H94" i="11"/>
  <c r="J94" i="11" s="1"/>
  <c r="H78" i="11"/>
  <c r="J78" i="11" s="1"/>
  <c r="H163" i="11"/>
  <c r="J163" i="11" s="1"/>
  <c r="H148" i="11"/>
  <c r="J148" i="11" s="1"/>
  <c r="H131" i="11"/>
  <c r="J131" i="11" s="1"/>
  <c r="H115" i="11"/>
  <c r="J115" i="11" s="1"/>
  <c r="H98" i="11"/>
  <c r="J98" i="11" s="1"/>
  <c r="H82" i="11"/>
  <c r="J82" i="11" s="1"/>
  <c r="M61" i="11"/>
  <c r="O61" i="11" s="1"/>
  <c r="M160" i="11"/>
  <c r="O160" i="11" s="1"/>
  <c r="Q160" i="11" s="1"/>
  <c r="M145" i="11"/>
  <c r="O145" i="11" s="1"/>
  <c r="Q145" i="11" s="1"/>
  <c r="M95" i="11"/>
  <c r="O95" i="11" s="1"/>
  <c r="M79" i="11"/>
  <c r="O79" i="11" s="1"/>
  <c r="M112" i="11"/>
  <c r="O112" i="11" s="1"/>
  <c r="Q112" i="11" s="1"/>
  <c r="M65" i="11"/>
  <c r="O65" i="11" s="1"/>
  <c r="M132" i="11"/>
  <c r="O132" i="11" s="1"/>
  <c r="Q132" i="11" s="1"/>
  <c r="M164" i="11"/>
  <c r="O164" i="11" s="1"/>
  <c r="Q164" i="11" s="1"/>
  <c r="M149" i="11"/>
  <c r="O149" i="11" s="1"/>
  <c r="Q149" i="11" s="1"/>
  <c r="M99" i="11"/>
  <c r="O99" i="11" s="1"/>
  <c r="M83" i="11"/>
  <c r="O83" i="11" s="1"/>
  <c r="M116" i="11"/>
  <c r="O116" i="11" s="1"/>
  <c r="Q116" i="11" s="1"/>
  <c r="M60" i="11"/>
  <c r="O60" i="11" s="1"/>
  <c r="M159" i="11"/>
  <c r="O159" i="11" s="1"/>
  <c r="Q159" i="11" s="1"/>
  <c r="M144" i="11"/>
  <c r="O144" i="11" s="1"/>
  <c r="Q144" i="11" s="1"/>
  <c r="M111" i="11"/>
  <c r="O111" i="11" s="1"/>
  <c r="Q111" i="11" s="1"/>
  <c r="M94" i="11"/>
  <c r="O94" i="11" s="1"/>
  <c r="M78" i="11"/>
  <c r="O78" i="11" s="1"/>
  <c r="M64" i="11"/>
  <c r="O64" i="11" s="1"/>
  <c r="M163" i="11"/>
  <c r="O163" i="11" s="1"/>
  <c r="Q163" i="11" s="1"/>
  <c r="M148" i="11"/>
  <c r="O148" i="11" s="1"/>
  <c r="Q148" i="11" s="1"/>
  <c r="M131" i="11"/>
  <c r="O131" i="11" s="1"/>
  <c r="Q131" i="11" s="1"/>
  <c r="M115" i="11"/>
  <c r="O115" i="11" s="1"/>
  <c r="Q115" i="11" s="1"/>
  <c r="M98" i="11"/>
  <c r="O98" i="11" s="1"/>
  <c r="M82" i="11"/>
  <c r="O82" i="11" s="1"/>
  <c r="M59" i="11"/>
  <c r="O59" i="11" s="1"/>
  <c r="M126" i="11"/>
  <c r="O126" i="11" s="1"/>
  <c r="Q126" i="11" s="1"/>
  <c r="M158" i="11"/>
  <c r="O158" i="11" s="1"/>
  <c r="Q158" i="11" s="1"/>
  <c r="M143" i="11"/>
  <c r="O143" i="11" s="1"/>
  <c r="Q143" i="11" s="1"/>
  <c r="M93" i="11"/>
  <c r="O93" i="11" s="1"/>
  <c r="M77" i="11"/>
  <c r="O77" i="11" s="1"/>
  <c r="M110" i="11"/>
  <c r="O110" i="11" s="1"/>
  <c r="Q110" i="11" s="1"/>
  <c r="M63" i="11"/>
  <c r="O63" i="11" s="1"/>
  <c r="M162" i="11"/>
  <c r="O162" i="11" s="1"/>
  <c r="Q162" i="11" s="1"/>
  <c r="M147" i="11"/>
  <c r="O147" i="11" s="1"/>
  <c r="Q147" i="11" s="1"/>
  <c r="M97" i="11"/>
  <c r="O97" i="11" s="1"/>
  <c r="M81" i="11"/>
  <c r="O81" i="11" s="1"/>
  <c r="M114" i="11"/>
  <c r="O114" i="11" s="1"/>
  <c r="Q114" i="11" s="1"/>
  <c r="M58" i="11"/>
  <c r="O58" i="11" s="1"/>
  <c r="M157" i="11"/>
  <c r="O157" i="11" s="1"/>
  <c r="Q157" i="11" s="1"/>
  <c r="M142" i="11"/>
  <c r="O142" i="11" s="1"/>
  <c r="Q142" i="11" s="1"/>
  <c r="M125" i="11"/>
  <c r="O125" i="11" s="1"/>
  <c r="Q125" i="11" s="1"/>
  <c r="M109" i="11"/>
  <c r="O109" i="11" s="1"/>
  <c r="Q109" i="11" s="1"/>
  <c r="M92" i="11"/>
  <c r="O92" i="11" s="1"/>
  <c r="M76" i="11"/>
  <c r="O76" i="11" s="1"/>
  <c r="M62" i="11"/>
  <c r="O62" i="11" s="1"/>
  <c r="M161" i="11"/>
  <c r="O161" i="11" s="1"/>
  <c r="Q161" i="11" s="1"/>
  <c r="M146" i="11"/>
  <c r="O146" i="11" s="1"/>
  <c r="Q146" i="11" s="1"/>
  <c r="M113" i="11"/>
  <c r="O113" i="11" s="1"/>
  <c r="Q113" i="11" s="1"/>
  <c r="M96" i="11"/>
  <c r="O96" i="11" s="1"/>
  <c r="M80" i="11"/>
  <c r="O80" i="11" s="1"/>
  <c r="M66" i="11"/>
  <c r="O66" i="11" s="1"/>
  <c r="M165" i="11"/>
  <c r="O165" i="11" s="1"/>
  <c r="Q165" i="11" s="1"/>
  <c r="M150" i="11"/>
  <c r="O150" i="11" s="1"/>
  <c r="Q150" i="11" s="1"/>
  <c r="M117" i="11"/>
  <c r="O117" i="11" s="1"/>
  <c r="Q117" i="11" s="1"/>
  <c r="M100" i="11"/>
  <c r="O100" i="11" s="1"/>
  <c r="M84" i="11"/>
  <c r="O84" i="11" s="1"/>
  <c r="M47" i="11"/>
  <c r="O47" i="11" s="1"/>
  <c r="Q47" i="11" s="1"/>
  <c r="H47" i="11"/>
  <c r="H63" i="11"/>
  <c r="J63" i="11" s="1"/>
  <c r="M42" i="11"/>
  <c r="O42" i="11" s="1"/>
  <c r="Q42" i="11" s="1"/>
  <c r="H58" i="11"/>
  <c r="J58" i="11" s="1"/>
  <c r="M46" i="11"/>
  <c r="O46" i="11" s="1"/>
  <c r="Q46" i="11" s="1"/>
  <c r="H62" i="11"/>
  <c r="J62" i="11" s="1"/>
  <c r="H46" i="11"/>
  <c r="M45" i="11"/>
  <c r="O45" i="11" s="1"/>
  <c r="Q45" i="11" s="1"/>
  <c r="H45" i="11"/>
  <c r="H61" i="11"/>
  <c r="J61" i="11" s="1"/>
  <c r="M49" i="11"/>
  <c r="O49" i="11" s="1"/>
  <c r="Q49" i="11" s="1"/>
  <c r="H49" i="11"/>
  <c r="H65" i="11"/>
  <c r="J65" i="11" s="1"/>
  <c r="M44" i="11"/>
  <c r="O44" i="11" s="1"/>
  <c r="Q44" i="11" s="1"/>
  <c r="H60" i="11"/>
  <c r="J60" i="11" s="1"/>
  <c r="H44" i="11"/>
  <c r="M48" i="11"/>
  <c r="O48" i="11" s="1"/>
  <c r="Q48" i="11" s="1"/>
  <c r="H64" i="11"/>
  <c r="J64" i="11" s="1"/>
  <c r="H48" i="11"/>
  <c r="M43" i="11"/>
  <c r="O43" i="11" s="1"/>
  <c r="Q43" i="11" s="1"/>
  <c r="H43" i="11"/>
  <c r="H59" i="11"/>
  <c r="J59" i="11" s="1"/>
  <c r="M50" i="11"/>
  <c r="O50" i="11" s="1"/>
  <c r="Q50" i="11" s="1"/>
  <c r="H66" i="11"/>
  <c r="J66" i="11" s="1"/>
  <c r="H50" i="11"/>
  <c r="C15" i="2" l="1"/>
  <c r="C24" i="2"/>
  <c r="J31" i="13"/>
  <c r="I31" i="13"/>
  <c r="G20" i="13"/>
  <c r="G19" i="13"/>
  <c r="G18" i="13"/>
  <c r="G17" i="13"/>
  <c r="G16" i="13"/>
  <c r="G15" i="13"/>
  <c r="G14" i="13"/>
  <c r="G13" i="13"/>
  <c r="G12" i="13"/>
  <c r="G11" i="13"/>
  <c r="G10" i="13"/>
  <c r="G9" i="13"/>
  <c r="G22" i="13" l="1"/>
  <c r="G21" i="13"/>
  <c r="M31" i="13"/>
  <c r="M40" i="13"/>
  <c r="M34" i="13"/>
  <c r="M35" i="13"/>
  <c r="M36" i="13"/>
  <c r="M37" i="13"/>
  <c r="M38" i="13"/>
  <c r="M39" i="13"/>
  <c r="M33" i="13"/>
  <c r="M32" i="13"/>
  <c r="C141" i="11" l="1"/>
  <c r="C108" i="11"/>
  <c r="C75" i="11"/>
  <c r="C156" i="11"/>
  <c r="C124" i="11"/>
  <c r="C91" i="11"/>
  <c r="C41" i="11"/>
  <c r="E41" i="11" s="1"/>
  <c r="G41" i="11" s="1"/>
  <c r="C57" i="11"/>
  <c r="G23" i="13"/>
  <c r="C17" i="2" s="1"/>
  <c r="C18" i="2" s="1"/>
  <c r="C42" i="11"/>
  <c r="E42" i="11" s="1"/>
  <c r="G42" i="11" s="1"/>
  <c r="C142" i="11"/>
  <c r="E142" i="11" s="1"/>
  <c r="G142" i="11" s="1"/>
  <c r="C125" i="11"/>
  <c r="E125" i="11" s="1"/>
  <c r="G125" i="11" s="1"/>
  <c r="C157" i="11"/>
  <c r="E157" i="11" s="1"/>
  <c r="G157" i="11" s="1"/>
  <c r="C92" i="11"/>
  <c r="E92" i="11" s="1"/>
  <c r="G92" i="11" s="1"/>
  <c r="C109" i="11"/>
  <c r="E109" i="11" s="1"/>
  <c r="G109" i="11" s="1"/>
  <c r="C76" i="11"/>
  <c r="E76" i="11" s="1"/>
  <c r="G76" i="11" s="1"/>
  <c r="C58" i="11"/>
  <c r="E58" i="11" s="1"/>
  <c r="G58" i="11" s="1"/>
  <c r="C164" i="11"/>
  <c r="E164" i="11" s="1"/>
  <c r="G164" i="11" s="1"/>
  <c r="C149" i="11"/>
  <c r="E149" i="11" s="1"/>
  <c r="G149" i="11" s="1"/>
  <c r="C132" i="11"/>
  <c r="E132" i="11" s="1"/>
  <c r="G132" i="11" s="1"/>
  <c r="C116" i="11"/>
  <c r="E116" i="11" s="1"/>
  <c r="G116" i="11" s="1"/>
  <c r="C83" i="11"/>
  <c r="E83" i="11" s="1"/>
  <c r="C99" i="11"/>
  <c r="E99" i="11" s="1"/>
  <c r="C65" i="11"/>
  <c r="E65" i="11" s="1"/>
  <c r="C49" i="11"/>
  <c r="E49" i="11" s="1"/>
  <c r="C47" i="11"/>
  <c r="E47" i="11" s="1"/>
  <c r="G47" i="11" s="1"/>
  <c r="C162" i="11"/>
  <c r="E162" i="11" s="1"/>
  <c r="G162" i="11" s="1"/>
  <c r="C147" i="11"/>
  <c r="E147" i="11" s="1"/>
  <c r="G147" i="11" s="1"/>
  <c r="C114" i="11"/>
  <c r="E114" i="11" s="1"/>
  <c r="G114" i="11" s="1"/>
  <c r="C81" i="11"/>
  <c r="E81" i="11" s="1"/>
  <c r="G81" i="11" s="1"/>
  <c r="C97" i="11"/>
  <c r="E97" i="11" s="1"/>
  <c r="G97" i="11" s="1"/>
  <c r="C63" i="11"/>
  <c r="E63" i="11" s="1"/>
  <c r="G63" i="11" s="1"/>
  <c r="C160" i="11"/>
  <c r="E160" i="11" s="1"/>
  <c r="G160" i="11" s="1"/>
  <c r="C145" i="11"/>
  <c r="E145" i="11" s="1"/>
  <c r="G145" i="11" s="1"/>
  <c r="C112" i="11"/>
  <c r="E112" i="11" s="1"/>
  <c r="G112" i="11" s="1"/>
  <c r="C79" i="11"/>
  <c r="E79" i="11" s="1"/>
  <c r="G79" i="11" s="1"/>
  <c r="C95" i="11"/>
  <c r="E95" i="11" s="1"/>
  <c r="G95" i="11" s="1"/>
  <c r="C61" i="11"/>
  <c r="E61" i="11" s="1"/>
  <c r="G61" i="11" s="1"/>
  <c r="C45" i="11"/>
  <c r="E45" i="11" s="1"/>
  <c r="G45" i="11" s="1"/>
  <c r="C150" i="11"/>
  <c r="E150" i="11" s="1"/>
  <c r="G150" i="11" s="1"/>
  <c r="C165" i="11"/>
  <c r="E165" i="11" s="1"/>
  <c r="G165" i="11" s="1"/>
  <c r="C100" i="11"/>
  <c r="E100" i="11" s="1"/>
  <c r="C117" i="11"/>
  <c r="E117" i="11" s="1"/>
  <c r="G117" i="11" s="1"/>
  <c r="C84" i="11"/>
  <c r="E84" i="11" s="1"/>
  <c r="C66" i="11"/>
  <c r="E66" i="11" s="1"/>
  <c r="C50" i="11"/>
  <c r="E50" i="11" s="1"/>
  <c r="C158" i="11"/>
  <c r="E158" i="11" s="1"/>
  <c r="G158" i="11" s="1"/>
  <c r="C143" i="11"/>
  <c r="E143" i="11" s="1"/>
  <c r="G143" i="11" s="1"/>
  <c r="C126" i="11"/>
  <c r="E126" i="11" s="1"/>
  <c r="G126" i="11" s="1"/>
  <c r="C110" i="11"/>
  <c r="E110" i="11" s="1"/>
  <c r="G110" i="11" s="1"/>
  <c r="C77" i="11"/>
  <c r="E77" i="11" s="1"/>
  <c r="G77" i="11" s="1"/>
  <c r="C93" i="11"/>
  <c r="E93" i="11" s="1"/>
  <c r="G93" i="11" s="1"/>
  <c r="C59" i="11"/>
  <c r="E59" i="11" s="1"/>
  <c r="G59" i="11" s="1"/>
  <c r="C43" i="11"/>
  <c r="E43" i="11" s="1"/>
  <c r="G43" i="11" s="1"/>
  <c r="C148" i="11"/>
  <c r="E148" i="11" s="1"/>
  <c r="G148" i="11" s="1"/>
  <c r="C131" i="11"/>
  <c r="E131" i="11" s="1"/>
  <c r="G131" i="11" s="1"/>
  <c r="C163" i="11"/>
  <c r="E163" i="11" s="1"/>
  <c r="G163" i="11" s="1"/>
  <c r="C98" i="11"/>
  <c r="E98" i="11" s="1"/>
  <c r="C115" i="11"/>
  <c r="E115" i="11" s="1"/>
  <c r="G115" i="11" s="1"/>
  <c r="C82" i="11"/>
  <c r="E82" i="11" s="1"/>
  <c r="C64" i="11"/>
  <c r="E64" i="11" s="1"/>
  <c r="C48" i="11"/>
  <c r="E48" i="11" s="1"/>
  <c r="C146" i="11"/>
  <c r="E146" i="11" s="1"/>
  <c r="G146" i="11" s="1"/>
  <c r="C161" i="11"/>
  <c r="E161" i="11" s="1"/>
  <c r="G161" i="11" s="1"/>
  <c r="C96" i="11"/>
  <c r="E96" i="11" s="1"/>
  <c r="G96" i="11" s="1"/>
  <c r="C113" i="11"/>
  <c r="E113" i="11" s="1"/>
  <c r="G113" i="11" s="1"/>
  <c r="C80" i="11"/>
  <c r="E80" i="11" s="1"/>
  <c r="G80" i="11" s="1"/>
  <c r="C46" i="11"/>
  <c r="E46" i="11" s="1"/>
  <c r="G46" i="11" s="1"/>
  <c r="C62" i="11"/>
  <c r="E62" i="11" s="1"/>
  <c r="G62" i="11" s="1"/>
  <c r="C144" i="11"/>
  <c r="E144" i="11" s="1"/>
  <c r="G144" i="11" s="1"/>
  <c r="C159" i="11"/>
  <c r="E159" i="11" s="1"/>
  <c r="G159" i="11" s="1"/>
  <c r="C94" i="11"/>
  <c r="E94" i="11" s="1"/>
  <c r="G94" i="11" s="1"/>
  <c r="C111" i="11"/>
  <c r="E111" i="11" s="1"/>
  <c r="G111" i="11" s="1"/>
  <c r="C78" i="11"/>
  <c r="E78" i="11" s="1"/>
  <c r="G78" i="11" s="1"/>
  <c r="C44" i="11"/>
  <c r="E44" i="11" s="1"/>
  <c r="G44" i="11" s="1"/>
  <c r="C60" i="11"/>
  <c r="E60" i="11" s="1"/>
  <c r="G60" i="11" s="1"/>
  <c r="C9" i="2"/>
  <c r="C51" i="11" l="1"/>
  <c r="E91" i="11"/>
  <c r="C101" i="11"/>
  <c r="E141" i="11"/>
  <c r="C151" i="11"/>
  <c r="E124" i="11"/>
  <c r="C134" i="11"/>
  <c r="C67" i="11"/>
  <c r="E57" i="11"/>
  <c r="G57" i="11" s="1"/>
  <c r="C85" i="11"/>
  <c r="E75" i="11"/>
  <c r="G75" i="11" s="1"/>
  <c r="E108" i="11"/>
  <c r="C118" i="11"/>
  <c r="C166" i="11"/>
  <c r="E156" i="11"/>
  <c r="E51" i="11"/>
  <c r="G51" i="11"/>
  <c r="E101" i="11" l="1"/>
  <c r="G91" i="11"/>
  <c r="G101" i="11" s="1"/>
  <c r="G108" i="11"/>
  <c r="G118" i="11" s="1"/>
  <c r="E118" i="11"/>
  <c r="G124" i="11"/>
  <c r="G134" i="11" s="1"/>
  <c r="E134" i="11"/>
  <c r="G156" i="11"/>
  <c r="G166" i="11" s="1"/>
  <c r="E166" i="11"/>
  <c r="G85" i="11"/>
  <c r="E85" i="11"/>
  <c r="G67" i="11"/>
  <c r="E67" i="11"/>
  <c r="G141" i="11"/>
  <c r="G151" i="11" s="1"/>
  <c r="E151" i="11"/>
  <c r="B117" i="1"/>
  <c r="B116" i="1"/>
  <c r="B115" i="1"/>
  <c r="B114" i="1"/>
  <c r="H29" i="11" l="1"/>
  <c r="C32" i="5"/>
  <c r="C44" i="5" s="1"/>
  <c r="C46" i="5" s="1"/>
  <c r="J30" i="11" l="1"/>
  <c r="H30" i="11"/>
  <c r="J31" i="11"/>
  <c r="H31" i="11"/>
  <c r="J29" i="11"/>
  <c r="C41" i="5"/>
  <c r="H32" i="11" l="1"/>
  <c r="B2" i="6"/>
  <c r="C13" i="5"/>
  <c r="C101" i="5"/>
  <c r="C92" i="5"/>
  <c r="C260" i="5"/>
  <c r="C259" i="5"/>
  <c r="C251" i="5"/>
  <c r="C250" i="5"/>
  <c r="C242" i="5"/>
  <c r="C241" i="5"/>
  <c r="C233" i="5"/>
  <c r="C232" i="5"/>
  <c r="C224" i="5"/>
  <c r="C223" i="5"/>
  <c r="C215" i="5"/>
  <c r="C214" i="5"/>
  <c r="C203" i="5"/>
  <c r="C202" i="5"/>
  <c r="C194" i="5"/>
  <c r="C193" i="5"/>
  <c r="C185" i="5"/>
  <c r="C184" i="5"/>
  <c r="C176" i="5"/>
  <c r="C175" i="5"/>
  <c r="C167" i="5"/>
  <c r="C166" i="5"/>
  <c r="C158" i="5"/>
  <c r="C157" i="5"/>
  <c r="C149" i="5"/>
  <c r="C148" i="5"/>
  <c r="C110" i="5"/>
  <c r="C119" i="5"/>
  <c r="C128" i="5"/>
  <c r="C137" i="5"/>
  <c r="C136" i="5"/>
  <c r="C127" i="5"/>
  <c r="C91" i="5"/>
  <c r="C100" i="5"/>
  <c r="C109" i="5"/>
  <c r="C118" i="5"/>
  <c r="C15" i="5"/>
  <c r="C24" i="5"/>
  <c r="C23" i="5"/>
  <c r="C21" i="5"/>
  <c r="C20" i="5"/>
  <c r="D33" i="6"/>
  <c r="D34" i="6" s="1"/>
  <c r="F33" i="6"/>
  <c r="F31" i="6"/>
  <c r="F30" i="6"/>
  <c r="F29" i="6"/>
  <c r="F26" i="6"/>
  <c r="F25" i="6"/>
  <c r="F24" i="6"/>
  <c r="F23" i="6"/>
  <c r="F20" i="6"/>
  <c r="F19" i="6"/>
  <c r="F18" i="6"/>
  <c r="F17" i="6"/>
  <c r="F14" i="6"/>
  <c r="F13" i="6"/>
  <c r="F12" i="6"/>
  <c r="F11" i="6"/>
  <c r="E5" i="6"/>
  <c r="G12" i="16" s="1"/>
  <c r="C35" i="5"/>
  <c r="G35" i="5" s="1"/>
  <c r="C34" i="5"/>
  <c r="G34" i="5" s="1"/>
  <c r="B2" i="5"/>
  <c r="C98" i="1"/>
  <c r="K15" i="15" s="1"/>
  <c r="K20" i="15" s="1"/>
  <c r="C97" i="1"/>
  <c r="B87" i="6"/>
  <c r="A60" i="6"/>
  <c r="A59" i="6"/>
  <c r="A58" i="6"/>
  <c r="A55" i="6"/>
  <c r="A54" i="6"/>
  <c r="A53" i="6"/>
  <c r="A52" i="6"/>
  <c r="A49" i="6"/>
  <c r="A48" i="6"/>
  <c r="A47" i="6"/>
  <c r="A46" i="6"/>
  <c r="A43" i="6"/>
  <c r="A42" i="6"/>
  <c r="A41" i="6"/>
  <c r="A40" i="6"/>
  <c r="H33" i="11" l="1"/>
  <c r="C10" i="16" s="1"/>
  <c r="D10" i="16" s="1"/>
  <c r="C27" i="2"/>
  <c r="C9" i="16" s="1"/>
  <c r="J12" i="16"/>
  <c r="E92" i="1"/>
  <c r="C26" i="2"/>
  <c r="E39" i="5"/>
  <c r="E40" i="5"/>
  <c r="D2" i="13"/>
  <c r="F2" i="11"/>
  <c r="C40" i="5"/>
  <c r="C39" i="5"/>
  <c r="J50" i="11"/>
  <c r="J48" i="11"/>
  <c r="J46" i="11"/>
  <c r="J44" i="11"/>
  <c r="J49" i="11"/>
  <c r="J47" i="11"/>
  <c r="J45" i="11"/>
  <c r="J43" i="11"/>
  <c r="C2" i="2"/>
  <c r="C38" i="5"/>
  <c r="I13" i="16" l="1"/>
  <c r="D9" i="16"/>
  <c r="H42" i="11"/>
  <c r="J42" i="11" s="1"/>
  <c r="H141" i="11" l="1"/>
  <c r="H124" i="11"/>
  <c r="H156" i="11"/>
  <c r="H75" i="11"/>
  <c r="H108" i="11"/>
  <c r="H91" i="11"/>
  <c r="M124" i="11"/>
  <c r="M156" i="11"/>
  <c r="M141" i="11"/>
  <c r="M91" i="11"/>
  <c r="M75" i="11"/>
  <c r="M108" i="11"/>
  <c r="H57" i="11"/>
  <c r="J57" i="11" s="1"/>
  <c r="M57" i="11"/>
  <c r="H41" i="11"/>
  <c r="J41" i="11" s="1"/>
  <c r="L51" i="11" s="1"/>
  <c r="M41" i="11"/>
  <c r="D9" i="2"/>
  <c r="C10" i="2" s="1"/>
  <c r="C11" i="2" s="1"/>
  <c r="C7" i="16" s="1"/>
  <c r="D7" i="16" l="1"/>
  <c r="H51" i="11"/>
  <c r="H67" i="11"/>
  <c r="C19" i="2"/>
  <c r="C20" i="2" s="1"/>
  <c r="C8" i="16" s="1"/>
  <c r="H101" i="11"/>
  <c r="J91" i="11"/>
  <c r="J101" i="11" s="1"/>
  <c r="H85" i="11"/>
  <c r="J75" i="11"/>
  <c r="J85" i="11" s="1"/>
  <c r="H134" i="11"/>
  <c r="J124" i="11"/>
  <c r="J134" i="11" s="1"/>
  <c r="H118" i="11"/>
  <c r="J108" i="11"/>
  <c r="J118" i="11" s="1"/>
  <c r="H166" i="11"/>
  <c r="J156" i="11"/>
  <c r="J166" i="11" s="1"/>
  <c r="J141" i="11"/>
  <c r="J151" i="11" s="1"/>
  <c r="H151" i="11"/>
  <c r="O108" i="11"/>
  <c r="M118" i="11"/>
  <c r="M101" i="11"/>
  <c r="O91" i="11"/>
  <c r="O156" i="11"/>
  <c r="M166" i="11"/>
  <c r="O75" i="11"/>
  <c r="M85" i="11"/>
  <c r="O141" i="11"/>
  <c r="Q141" i="11" s="1"/>
  <c r="M151" i="11"/>
  <c r="O124" i="11"/>
  <c r="M134" i="11"/>
  <c r="M67" i="11"/>
  <c r="O57" i="11"/>
  <c r="J51" i="11"/>
  <c r="L67" i="11"/>
  <c r="J67" i="11"/>
  <c r="M51" i="11"/>
  <c r="O41" i="11"/>
  <c r="Q41" i="11" s="1"/>
  <c r="D8" i="16" l="1"/>
  <c r="O85" i="11"/>
  <c r="Q85" i="11"/>
  <c r="O166" i="11"/>
  <c r="Q156" i="11"/>
  <c r="Q166" i="11" s="1"/>
  <c r="O118" i="11"/>
  <c r="Q108" i="11"/>
  <c r="Q118" i="11" s="1"/>
  <c r="O101" i="11"/>
  <c r="Q101" i="11"/>
  <c r="O134" i="11"/>
  <c r="Q124" i="11"/>
  <c r="Q134" i="11" s="1"/>
  <c r="Q151" i="11"/>
  <c r="O151" i="11"/>
  <c r="O67" i="11"/>
  <c r="Q67" i="11"/>
  <c r="Q51" i="11"/>
  <c r="O51" i="11"/>
  <c r="D13" i="16" l="1"/>
  <c r="D15" i="16" s="1"/>
  <c r="G15" i="16" s="1"/>
  <c r="C13" i="16" l="1"/>
</calcChain>
</file>

<file path=xl/comments1.xml><?xml version="1.0" encoding="utf-8"?>
<comments xmlns="http://schemas.openxmlformats.org/spreadsheetml/2006/main">
  <authors>
    <author>daye</author>
    <author>benjamin.owen</author>
  </authors>
  <commentList>
    <comment ref="B2" authorId="0" shapeId="0">
      <text>
        <r>
          <rPr>
            <sz val="10"/>
            <color indexed="81"/>
            <rFont val="Arial"/>
            <family val="2"/>
          </rPr>
          <t xml:space="preserve">Enter your official name for the project as you would like it reflected in the Annual Report on Funding Recommendations </t>
        </r>
      </text>
    </comment>
    <comment ref="C50" authorId="1" shapeId="0">
      <text>
        <r>
          <rPr>
            <sz val="10"/>
            <color indexed="81"/>
            <rFont val="Arial"/>
            <family val="2"/>
          </rPr>
          <t>Count paired inbound/outbound boarding platforms as one station (do not report the total number of boarding platforms)</t>
        </r>
      </text>
    </comment>
    <comment ref="C54" authorId="0" shapeId="0">
      <text>
        <r>
          <rPr>
            <sz val="10"/>
            <color indexed="81"/>
            <rFont val="Arial"/>
            <family val="2"/>
          </rPr>
          <t>Insert additional rows if necessary</t>
        </r>
      </text>
    </comment>
    <comment ref="C74" authorId="0" shapeId="0">
      <text>
        <r>
          <rPr>
            <sz val="10"/>
            <color indexed="81"/>
            <rFont val="Arial"/>
            <family val="2"/>
          </rPr>
          <t>Insert additional rows if necessary</t>
        </r>
      </text>
    </comment>
    <comment ref="A95" authorId="1" shapeId="0">
      <text>
        <r>
          <rPr>
            <sz val="10"/>
            <color indexed="81"/>
            <rFont val="Arial"/>
            <family val="2"/>
          </rPr>
          <t>The "current year" is the most recent year for which data on demographics and the existing transit system are available.</t>
        </r>
      </text>
    </comment>
    <comment ref="C97" authorId="0" shapeId="0">
      <text>
        <r>
          <rPr>
            <sz val="10"/>
            <color indexed="81"/>
            <rFont val="Arial"/>
            <family val="2"/>
          </rPr>
          <t>Value linked from Finance Template</t>
        </r>
      </text>
    </comment>
    <comment ref="C98" authorId="0" shapeId="0">
      <text>
        <r>
          <rPr>
            <sz val="10"/>
            <color indexed="81"/>
            <rFont val="Arial"/>
            <family val="2"/>
          </rPr>
          <t>Value linked from Finance Template</t>
        </r>
      </text>
    </comment>
  </commentList>
</comments>
</file>

<file path=xl/comments2.xml><?xml version="1.0" encoding="utf-8"?>
<comments xmlns="http://schemas.openxmlformats.org/spreadsheetml/2006/main">
  <authors>
    <author>benjamin.owen</author>
    <author>daye</author>
  </authors>
  <commentList>
    <comment ref="A70" authorId="0" shapeId="0">
      <text>
        <r>
          <rPr>
            <sz val="10"/>
            <color indexed="81"/>
            <rFont val="Arial"/>
            <family val="2"/>
          </rPr>
          <t>Add additional counties as necessary.  Please update formulas for the totals for all counties at the top of this template if additional counties are added.</t>
        </r>
      </text>
    </comment>
    <comment ref="G261" authorId="1" shapeId="0">
      <text>
        <r>
          <rPr>
            <sz val="10"/>
            <color indexed="81"/>
            <rFont val="Arial"/>
            <family val="2"/>
          </rPr>
          <t>Add additional station areas as necessary.  Please update formulas for the totals for all stations areas at the top of this template if additional station areas are added.</t>
        </r>
      </text>
    </comment>
  </commentList>
</comments>
</file>

<file path=xl/comments3.xml><?xml version="1.0" encoding="utf-8"?>
<comments xmlns="http://schemas.openxmlformats.org/spreadsheetml/2006/main">
  <authors>
    <author>elizabeth.day</author>
  </authors>
  <commentList>
    <comment ref="H25" authorId="0" shapeId="0">
      <text>
        <r>
          <rPr>
            <sz val="9"/>
            <color indexed="81"/>
            <rFont val="Tahoma"/>
            <family val="2"/>
          </rPr>
          <t xml:space="preserve">Becomes input to tables below
</t>
        </r>
      </text>
    </comment>
  </commentList>
</comments>
</file>

<file path=xl/comments4.xml><?xml version="1.0" encoding="utf-8"?>
<comments xmlns="http://schemas.openxmlformats.org/spreadsheetml/2006/main">
  <authors>
    <author>daye</author>
    <author>Benjamin.Owen</author>
  </authors>
  <commentList>
    <comment ref="B4" authorId="0" shapeId="0">
      <text>
        <r>
          <rPr>
            <sz val="10"/>
            <color indexed="81"/>
            <rFont val="Arial"/>
            <family val="2"/>
          </rPr>
          <t>Please enter entire numbers in the cells in this worksheet.  Do not abbreviate or round.  For example, enter $1,000,105 rather than $1.0 or $1,000,000.  Otherwise calculations will not work correctly.</t>
        </r>
      </text>
    </comment>
    <comment ref="B77" authorId="1" shapeId="0">
      <text>
        <r>
          <rPr>
            <sz val="9"/>
            <color indexed="81"/>
            <rFont val="Tahoma"/>
            <family val="2"/>
          </rPr>
          <t>Provide the cost for the first full year of service (even if this period extends into the next fiscal or calendar year).</t>
        </r>
      </text>
    </comment>
  </commentList>
</comments>
</file>

<file path=xl/sharedStrings.xml><?xml version="1.0" encoding="utf-8"?>
<sst xmlns="http://schemas.openxmlformats.org/spreadsheetml/2006/main" count="1458" uniqueCount="460">
  <si>
    <t>Total</t>
  </si>
  <si>
    <t>Line</t>
  </si>
  <si>
    <t>Source/Calculation</t>
  </si>
  <si>
    <t>PROJECT NAME:</t>
  </si>
  <si>
    <t>Participating Agencies</t>
  </si>
  <si>
    <t>Lead Agency</t>
  </si>
  <si>
    <t>Name</t>
  </si>
  <si>
    <t>Contact Person</t>
  </si>
  <si>
    <t>Address</t>
  </si>
  <si>
    <t>Telephone Number</t>
  </si>
  <si>
    <t>Fax Number</t>
  </si>
  <si>
    <t>Email</t>
  </si>
  <si>
    <t>Transit Agency</t>
  </si>
  <si>
    <t>State Department of Transportation</t>
  </si>
  <si>
    <t>Other Relevant Agencies</t>
  </si>
  <si>
    <t>Project Definition</t>
  </si>
  <si>
    <t>Length (miles)</t>
  </si>
  <si>
    <t>Mode/Technology</t>
  </si>
  <si>
    <t>Number of Stations</t>
  </si>
  <si>
    <t>List each station with major transfer facilities to other modes</t>
  </si>
  <si>
    <t>Number of vehicles/rolling stock</t>
  </si>
  <si>
    <t>Above grade</t>
  </si>
  <si>
    <t>Below grade</t>
  </si>
  <si>
    <t>At grade</t>
  </si>
  <si>
    <t>Exclusive</t>
  </si>
  <si>
    <t>Mixed Traffic</t>
  </si>
  <si>
    <t>Ownership – who owns the right of way?</t>
  </si>
  <si>
    <t>Current Use: active freight or passenger service?</t>
  </si>
  <si>
    <t>Project Planning Dates</t>
  </si>
  <si>
    <t>Opening Year</t>
  </si>
  <si>
    <t>Capital Cost Estimate</t>
  </si>
  <si>
    <t>Year of Expenditure</t>
  </si>
  <si>
    <t>Levels of Service</t>
  </si>
  <si>
    <t>Headways</t>
  </si>
  <si>
    <t>Weekday Peak</t>
  </si>
  <si>
    <t>Weekday Off-peak</t>
  </si>
  <si>
    <t>Weekday Evening</t>
  </si>
  <si>
    <t>Weekend</t>
  </si>
  <si>
    <t>Hours of Service</t>
  </si>
  <si>
    <t>Weekday</t>
  </si>
  <si>
    <t>Project Schedule</t>
  </si>
  <si>
    <t>LPA selected</t>
  </si>
  <si>
    <t>LPA included in the financially constrained long range plan</t>
  </si>
  <si>
    <t>Project Management</t>
  </si>
  <si>
    <t>Project Manager</t>
  </si>
  <si>
    <t>Phone</t>
  </si>
  <si>
    <t>Fax</t>
  </si>
  <si>
    <t>Agency CEO</t>
  </si>
  <si>
    <t>Cost Estimates</t>
  </si>
  <si>
    <t>Land Use Assessment</t>
  </si>
  <si>
    <t>Financial Assessment</t>
  </si>
  <si>
    <t>Project Maps</t>
  </si>
  <si>
    <t>Contractors</t>
  </si>
  <si>
    <t>Current Prime Contractor</t>
  </si>
  <si>
    <t>Prime Contractor: Project Manager</t>
  </si>
  <si>
    <t>Metropolitan Planning Organization</t>
  </si>
  <si>
    <t>Type of Alignment by Segment (Number of Miles)</t>
  </si>
  <si>
    <t>Growth (%)</t>
  </si>
  <si>
    <t>Metropolitan Area</t>
  </si>
  <si>
    <t>Total Population</t>
  </si>
  <si>
    <t>Total Employment</t>
  </si>
  <si>
    <t>Employment – Percent of Metropolitan Area</t>
  </si>
  <si>
    <t xml:space="preserve">Corridor </t>
  </si>
  <si>
    <t>Corridor Land Area (sq. mi.)</t>
  </si>
  <si>
    <t>Population Density (persons per sq. mi.)</t>
  </si>
  <si>
    <t>Employment Density (jobs per sq. mi.)</t>
  </si>
  <si>
    <t>Population</t>
  </si>
  <si>
    <t>Employment</t>
  </si>
  <si>
    <t>Employment Density (persons per sq. mi.)</t>
  </si>
  <si>
    <t>Central Business District [see footnote 1]</t>
  </si>
  <si>
    <t>Station Area 3</t>
  </si>
  <si>
    <t>Station Area 2</t>
  </si>
  <si>
    <t>Type of Funds</t>
  </si>
  <si>
    <t>Dollar Amount</t>
  </si>
  <si>
    <t>% of Total Capital Cost</t>
  </si>
  <si>
    <t xml:space="preserve">State Capital Funding Sources </t>
  </si>
  <si>
    <t>Local Capital Funding Sources</t>
  </si>
  <si>
    <t xml:space="preserve">Private Sector/In-kind match/Other </t>
  </si>
  <si>
    <t xml:space="preserve">Other Federal Sources </t>
  </si>
  <si>
    <t>Specify Whether New or Existing Funding Source</t>
  </si>
  <si>
    <t xml:space="preserve">State Sources </t>
  </si>
  <si>
    <t>Local Sources</t>
  </si>
  <si>
    <t>Innovative Financing Methods</t>
  </si>
  <si>
    <t xml:space="preserve">Innovative Funding Source </t>
  </si>
  <si>
    <t xml:space="preserve">Anticipated Funding Amount </t>
  </si>
  <si>
    <t>Identify Supporting Documentation Submitted</t>
  </si>
  <si>
    <t>Type of Funding Source</t>
  </si>
  <si>
    <t>Farebox Revenues</t>
  </si>
  <si>
    <t>State Revenue Source A</t>
  </si>
  <si>
    <t>State Revenue Source B</t>
  </si>
  <si>
    <t>State Revenue Source C</t>
  </si>
  <si>
    <t>Local Revenue Source A</t>
  </si>
  <si>
    <t>Local Revenue Source B</t>
  </si>
  <si>
    <t>Local Revenue Source C</t>
  </si>
  <si>
    <t>Other</t>
  </si>
  <si>
    <t>Transit System Operating Characteristics</t>
  </si>
  <si>
    <t xml:space="preserve">Current Systemwide Characteristics </t>
  </si>
  <si>
    <t>(Can be the same data as reported to the FTA for the National Transit Database)</t>
  </si>
  <si>
    <t xml:space="preserve"> Number/Value</t>
  </si>
  <si>
    <t>Number/Value</t>
  </si>
  <si>
    <t>Farebox Recovery Percent</t>
  </si>
  <si>
    <t>Number of Buses</t>
  </si>
  <si>
    <t>Number of Rail Vehicles</t>
  </si>
  <si>
    <t>Average Fare</t>
  </si>
  <si>
    <t>Average Age of Buses</t>
  </si>
  <si>
    <t>Revenue Miles of Service Provided</t>
  </si>
  <si>
    <t>Average Age of Rail Vehicles</t>
  </si>
  <si>
    <t>Revenue Hours of Service Provided</t>
  </si>
  <si>
    <t>Station Area 12</t>
  </si>
  <si>
    <t>Station Area 11</t>
  </si>
  <si>
    <t>Station Area 10</t>
  </si>
  <si>
    <t>Station Area 9</t>
  </si>
  <si>
    <t>Station Area 8</t>
  </si>
  <si>
    <t>Station Area 7</t>
  </si>
  <si>
    <t>Station Area 6</t>
  </si>
  <si>
    <t>Station Area 5</t>
  </si>
  <si>
    <t>Station Area 4</t>
  </si>
  <si>
    <t>Station Area 17</t>
  </si>
  <si>
    <t>Station Area 18</t>
  </si>
  <si>
    <t>Station Area 15</t>
  </si>
  <si>
    <t>Station Area 16</t>
  </si>
  <si>
    <t>Station Area 14</t>
  </si>
  <si>
    <t>Station Area 13</t>
  </si>
  <si>
    <t>Station Area 20</t>
  </si>
  <si>
    <t>Station Area 19</t>
  </si>
  <si>
    <t xml:space="preserve">Revenue Miles of Service </t>
  </si>
  <si>
    <t xml:space="preserve">Revenue Hours of Service </t>
  </si>
  <si>
    <t>List each station separately, including the number of park and ride spaces at each and whether structured or surface parking</t>
  </si>
  <si>
    <t>(Donations of right-of-way, construction of stations or parking, or funding for the project from a non-governmental entity, business, or business assoc.)</t>
  </si>
  <si>
    <t>(Municipal, City, County, Township, or Regional funding such as bonds, sales tax, legislative appropriation, transportation trust funds, etc.)</t>
  </si>
  <si>
    <t>(Funds provided by State agencies or legislatures such as bonds, dedicated sales tax, annual legislative appropriation, transportation trust funds, etc.)</t>
  </si>
  <si>
    <t>Reference Notes:  The following categories and definitions are applied to funding sources:</t>
  </si>
  <si>
    <t xml:space="preserve">Number of Rail Vehicles </t>
  </si>
  <si>
    <t>---</t>
  </si>
  <si>
    <t>Mobility Improvements</t>
  </si>
  <si>
    <t>Status of Existing Right of Way</t>
  </si>
  <si>
    <t>Project Planning and Development Schedule</t>
  </si>
  <si>
    <t>Item</t>
  </si>
  <si>
    <t>Land Area (square miles)</t>
  </si>
  <si>
    <t>Station Name:</t>
  </si>
  <si>
    <t xml:space="preserve">Land Area (square miles) </t>
  </si>
  <si>
    <t>Employment Density (e.g., jobs per sq. mi.)</t>
  </si>
  <si>
    <t>Other Federal Capital Funding Sources</t>
  </si>
  <si>
    <t>(Linked from page 1)</t>
  </si>
  <si>
    <t>Private Sector/In-kind Match/Other</t>
  </si>
  <si>
    <t>Specify Status of Funds --Committed, Budgeted, or Planned (See notes below)</t>
  </si>
  <si>
    <t>Summary Information from the Operating Finance Plan</t>
  </si>
  <si>
    <t>Cost Effectiveness</t>
  </si>
  <si>
    <t>Contractor Responsible for Capital Cost Estimates</t>
  </si>
  <si>
    <t xml:space="preserve">Key Agency Staff: </t>
  </si>
  <si>
    <t>Key Agency Staff:</t>
  </si>
  <si>
    <t>Documentation</t>
  </si>
  <si>
    <t>Environmental</t>
  </si>
  <si>
    <t>Current Year</t>
  </si>
  <si>
    <t>Automobile</t>
  </si>
  <si>
    <t>Heavy Rail</t>
  </si>
  <si>
    <t>Light Rail / Streetcar</t>
  </si>
  <si>
    <t>Commuter Rail - New diesel locomotive or DMU</t>
  </si>
  <si>
    <t>Commuter Rail - Electric or EMU</t>
  </si>
  <si>
    <t>Mode</t>
  </si>
  <si>
    <t>Commuter Rail - Used diesel locomotive</t>
  </si>
  <si>
    <t>Values</t>
  </si>
  <si>
    <t>Dollar Amount
(YOE)</t>
  </si>
  <si>
    <t>TOTAL NON-SECTION 5309 FUNDING (YOE dollars)</t>
  </si>
  <si>
    <t>Housing Units - All Types</t>
  </si>
  <si>
    <t>Housing Units - Legally Binding Affordability Restricted</t>
  </si>
  <si>
    <t>Population – Percent of Metropolitan Area</t>
  </si>
  <si>
    <t>Station-Area Share of Legally Binding Affordability Restricted Housing Units</t>
  </si>
  <si>
    <t>Insert anticipated or actual date</t>
  </si>
  <si>
    <t>Entry into Project Development</t>
  </si>
  <si>
    <t>Anticipated NEPA Class of Action</t>
  </si>
  <si>
    <t>Key Agency Staff: 
Ridership Forecasts</t>
  </si>
  <si>
    <t>Contractor Responsible for Travel Forecasts</t>
  </si>
  <si>
    <t>Annual linked trips on the project</t>
  </si>
  <si>
    <t>Estimated Cost of Project Development (YOE $):</t>
  </si>
  <si>
    <t>TOTAL CHANGE</t>
  </si>
  <si>
    <t>Value of environmental benefits</t>
  </si>
  <si>
    <t>Line 6 / Line 5</t>
  </si>
  <si>
    <t>Diesel Bus</t>
  </si>
  <si>
    <t>Hybrid Bus</t>
  </si>
  <si>
    <t>CNG Bus</t>
  </si>
  <si>
    <t>Electric Bus</t>
  </si>
  <si>
    <t>CBD Land Area (sq. mi.)</t>
  </si>
  <si>
    <t>Electric bus</t>
  </si>
  <si>
    <t>CNG bus</t>
  </si>
  <si>
    <t>Hybrid bus</t>
  </si>
  <si>
    <t>Diesel bus</t>
  </si>
  <si>
    <t>Build</t>
  </si>
  <si>
    <t>Mode / Technology</t>
  </si>
  <si>
    <t>Vehicle-Miles of Travel (VMT)</t>
  </si>
  <si>
    <t>Transit dependents</t>
  </si>
  <si>
    <t>Trips made by:</t>
  </si>
  <si>
    <t>Transit market</t>
  </si>
  <si>
    <t>Trips on the Project</t>
  </si>
  <si>
    <t>(Select…)</t>
  </si>
  <si>
    <t>Estimated Number of U.S. Jobs Related to Design, Construction, Operation and Maintenance of the Project</t>
  </si>
  <si>
    <t>Number of Counties</t>
  </si>
  <si>
    <t>Modeled trips: home-based work (HBW)</t>
  </si>
  <si>
    <t>3a</t>
  </si>
  <si>
    <t>3b</t>
  </si>
  <si>
    <t>4a</t>
  </si>
  <si>
    <t>4b</t>
  </si>
  <si>
    <t>5a</t>
  </si>
  <si>
    <t>5b</t>
  </si>
  <si>
    <t>Non-transit dependents</t>
  </si>
  <si>
    <t>6a</t>
  </si>
  <si>
    <t>6b</t>
  </si>
  <si>
    <t>7a</t>
  </si>
  <si>
    <t>7b</t>
  </si>
  <si>
    <t>Modeled trips: all other trip purposes</t>
  </si>
  <si>
    <t>Special market 1 (specify)</t>
  </si>
  <si>
    <t>Special market 2 (specify)</t>
  </si>
  <si>
    <t>Special market 3 (specify)</t>
  </si>
  <si>
    <t>Special market 4 (specify)</t>
  </si>
  <si>
    <t>Daily VMT</t>
  </si>
  <si>
    <t>Annuali-zation factor</t>
  </si>
  <si>
    <t>2a</t>
  </si>
  <si>
    <t>2b</t>
  </si>
  <si>
    <t>2.</t>
  </si>
  <si>
    <t>3.</t>
  </si>
  <si>
    <t>4.</t>
  </si>
  <si>
    <t>1.</t>
  </si>
  <si>
    <t>1. (Example: CMAQ)</t>
  </si>
  <si>
    <t>1. (Example: State Transportation Fund)</t>
  </si>
  <si>
    <t>Initiation of Revenue Service</t>
  </si>
  <si>
    <t>1a</t>
  </si>
  <si>
    <t>1b</t>
  </si>
  <si>
    <t>Travel Forecasts Template, Line 7a + 2 * Line 7b</t>
  </si>
  <si>
    <t>Horizon</t>
  </si>
  <si>
    <t>Total - All Station Areas (1/2-mile radius)  [See footnote 2]</t>
  </si>
  <si>
    <t>County 1</t>
  </si>
  <si>
    <t>County Name:</t>
  </si>
  <si>
    <t>County 2</t>
  </si>
  <si>
    <t>County 3</t>
  </si>
  <si>
    <t>County 4</t>
  </si>
  <si>
    <t>County 5</t>
  </si>
  <si>
    <t>[1] Optionally, employment for the largest activity center(s) served by the project may be reported.</t>
  </si>
  <si>
    <r>
      <t xml:space="preserve">Identify Supporting Documentation Submitted to Verify Funding Source
</t>
    </r>
    <r>
      <rPr>
        <sz val="10"/>
        <rFont val="Arial"/>
        <family val="2"/>
      </rPr>
      <t>If a public referendum is needed, provide the anticipated date</t>
    </r>
  </si>
  <si>
    <t>VALUE OF BENEFITS BY FACTOR</t>
  </si>
  <si>
    <t>Horizon - 10 Years</t>
  </si>
  <si>
    <t>Horizon - 20 Years</t>
  </si>
  <si>
    <t>Conversion Factor: Emissions (kg) / VMT</t>
  </si>
  <si>
    <t>VMT Decrease
(Increase)</t>
  </si>
  <si>
    <t>Conversion Factor: Emissions (ton) / VMT</t>
  </si>
  <si>
    <t>Monetization Factor
($ / ton)</t>
  </si>
  <si>
    <t>Air Quality: Carbon Monoxide (CO)</t>
  </si>
  <si>
    <t>Air Quality: Volatile Organic Compounds (VOCs)</t>
  </si>
  <si>
    <r>
      <t>Air Quality: Particulate Matter (PM</t>
    </r>
    <r>
      <rPr>
        <b/>
        <vertAlign val="subscript"/>
        <sz val="12"/>
        <rFont val="Arial"/>
        <family val="2"/>
      </rPr>
      <t>2.5</t>
    </r>
    <r>
      <rPr>
        <b/>
        <sz val="12"/>
        <rFont val="Arial"/>
        <family val="2"/>
      </rPr>
      <t>)</t>
    </r>
  </si>
  <si>
    <r>
      <t>Greenhouse Gases (Carbon Dioxide Equivalent [CO</t>
    </r>
    <r>
      <rPr>
        <b/>
        <vertAlign val="subscript"/>
        <sz val="12"/>
        <rFont val="Arial"/>
        <family val="2"/>
      </rPr>
      <t>2</t>
    </r>
    <r>
      <rPr>
        <b/>
        <sz val="12"/>
        <rFont val="Arial"/>
        <family val="2"/>
      </rPr>
      <t>e])</t>
    </r>
  </si>
  <si>
    <t>Energy Use (British Thermal Units [Btu])</t>
  </si>
  <si>
    <t>Conversion Factor: Energy Use (million Btu) / VMT</t>
  </si>
  <si>
    <t>Monetization Factor
($ / million Btu)</t>
  </si>
  <si>
    <t>Conversion Factor: Fatalities / VMT</t>
  </si>
  <si>
    <t>Monetization Factor
($ / fatality)</t>
  </si>
  <si>
    <t>Safety: Fatalities</t>
  </si>
  <si>
    <t>Safety: Injuries</t>
  </si>
  <si>
    <t>Conversion Factor: Injuries / VMT</t>
  </si>
  <si>
    <t>Monetization Factor
($ / injury)</t>
  </si>
  <si>
    <t>Emissions Decrease (Increase)
(kg)</t>
  </si>
  <si>
    <t>Emissions Decrease (Increase)
(tons)</t>
  </si>
  <si>
    <t>Energy Use Decrease (Increase)
(million Btu)</t>
  </si>
  <si>
    <t>Fatality Decrease (Increase)</t>
  </si>
  <si>
    <t>Injury Decrease (Increase)</t>
  </si>
  <si>
    <t>Housing Totals for Each County in which Project Stations are Located</t>
  </si>
  <si>
    <t>Population, Employment and Housing – Metropolitan Area, CBD, and Corridor</t>
  </si>
  <si>
    <t>Proportion in All Station Areas</t>
  </si>
  <si>
    <t>Proportion in All Counties in which Project Stations are Located</t>
  </si>
  <si>
    <t>Total - All Counties in which Project Stations are Located</t>
  </si>
  <si>
    <t>Ratio, Proportion in All Station Areas to Proportion in All Counties in which Project Stations are Located</t>
  </si>
  <si>
    <t>Daily linked trips</t>
  </si>
  <si>
    <r>
      <t xml:space="preserve">Annual linked trips
</t>
    </r>
    <r>
      <rPr>
        <sz val="10"/>
        <color theme="1"/>
        <rFont val="Arial"/>
        <family val="2"/>
      </rPr>
      <t>(daily trips * annualization factor)</t>
    </r>
  </si>
  <si>
    <t>Subtotal (lines 1 through 6)</t>
  </si>
  <si>
    <r>
      <t xml:space="preserve">VMT change
</t>
    </r>
    <r>
      <rPr>
        <sz val="10"/>
        <color theme="1"/>
        <rFont val="Arial"/>
        <family val="2"/>
      </rPr>
      <t>(Build minus No-build VMT)</t>
    </r>
  </si>
  <si>
    <r>
      <t xml:space="preserve">Annual VMT
</t>
    </r>
    <r>
      <rPr>
        <sz val="10"/>
        <color theme="1"/>
        <rFont val="Arial"/>
        <family val="2"/>
      </rPr>
      <t>(for automobile, calculation is daily VMT * annualization factor;
for transit, source is service plans for each mode/technology)</t>
    </r>
  </si>
  <si>
    <t>Source: EPA Green Book</t>
  </si>
  <si>
    <t>Horizon Year</t>
  </si>
  <si>
    <t>No-build</t>
  </si>
  <si>
    <t>Heavy rail [1]</t>
  </si>
  <si>
    <t>Light rail / streetcar [1]</t>
  </si>
  <si>
    <t>Commuter rail (new diesel locomotive or DMU) [1]</t>
  </si>
  <si>
    <t>Commuter rail (used diesel locomotive) [1]</t>
  </si>
  <si>
    <t>Commuter rail (electric or EMU) [1]</t>
  </si>
  <si>
    <t>Value used in rating</t>
  </si>
  <si>
    <t>Monetization Factor ($ / kg)</t>
  </si>
  <si>
    <t>Value of Improvement [1]</t>
  </si>
  <si>
    <t>[1] Value will be positive for decreases and negative for increases.</t>
  </si>
  <si>
    <t>Regional air quality attainment status, carbon monoxide (CO)</t>
  </si>
  <si>
    <r>
      <t>Regional air quality attainment status, nitrogen dioxide (NO</t>
    </r>
    <r>
      <rPr>
        <b/>
        <vertAlign val="subscript"/>
        <sz val="11"/>
        <rFont val="Calibri"/>
        <family val="2"/>
        <scheme val="minor"/>
      </rPr>
      <t>2</t>
    </r>
    <r>
      <rPr>
        <b/>
        <sz val="11"/>
        <rFont val="Calibri"/>
        <family val="2"/>
        <scheme val="minor"/>
      </rPr>
      <t>)</t>
    </r>
  </si>
  <si>
    <r>
      <t>Regional air quality attainment status, particulate matter (PM</t>
    </r>
    <r>
      <rPr>
        <b/>
        <vertAlign val="subscript"/>
        <sz val="11"/>
        <rFont val="Calibri"/>
        <family val="2"/>
        <scheme val="minor"/>
      </rPr>
      <t>2.5</t>
    </r>
    <r>
      <rPr>
        <b/>
        <sz val="11"/>
        <rFont val="Calibri"/>
        <family val="2"/>
        <scheme val="minor"/>
      </rPr>
      <t>) (2006 standard)</t>
    </r>
  </si>
  <si>
    <r>
      <t>Regional air quality attainment status, ozone (O</t>
    </r>
    <r>
      <rPr>
        <b/>
        <vertAlign val="subscript"/>
        <sz val="11"/>
        <rFont val="Calibri"/>
        <family val="2"/>
        <scheme val="minor"/>
      </rPr>
      <t>3</t>
    </r>
    <r>
      <rPr>
        <b/>
        <sz val="11"/>
        <rFont val="Calibri"/>
        <family val="2"/>
        <scheme val="minor"/>
      </rPr>
      <t>) (2008 8-hour standard)</t>
    </r>
  </si>
  <si>
    <r>
      <t>Air Quality: Mono-Nitrogen Oxides (NO</t>
    </r>
    <r>
      <rPr>
        <b/>
        <vertAlign val="subscript"/>
        <sz val="12"/>
        <rFont val="Arial"/>
        <family val="2"/>
      </rPr>
      <t>x</t>
    </r>
    <r>
      <rPr>
        <b/>
        <sz val="12"/>
        <rFont val="Arial"/>
        <family val="2"/>
      </rPr>
      <t>)</t>
    </r>
  </si>
  <si>
    <t>(Select...)</t>
  </si>
  <si>
    <t>Line 5 / Line 6</t>
  </si>
  <si>
    <t>Sum of lines 19, 30, 41, 52, 63, 74, 85 and 96 for current and applicable (if any) horizon year</t>
  </si>
  <si>
    <t>If a 10- or 20-year horizon is used: 50 percent * Line 1 current year value + 50 percent * Line 1 horizon year value
If no horizon year is used: Line 1 current year value</t>
  </si>
  <si>
    <t>If a 10- or 20-year horizon is used: 50 percent * Line 7 current year value + 50 percent * Line 7 horizon year value
If no horizon year is used: Line 7 current year value</t>
  </si>
  <si>
    <t>Geographic Area</t>
  </si>
  <si>
    <t>[2] See Appendix A of the Reporting Instructions for a sample methodology for estimating station area population, households, and employment.</t>
  </si>
  <si>
    <t>Housing Unit Density (units per sq. mi.) - All Types</t>
  </si>
  <si>
    <t>[1] For rail transit modes, report VMT in terms of total rail passenger car mileage, not train mileage.  (As an illustration of the difference, the rail passenger car mileage for a commuter rail or heavy rail train with six passenger cars would be six times the train mileage.)</t>
  </si>
  <si>
    <t>If a 10- or 20-year horizon is being used: 50 percent * Line 7 current year value + 50 percent * Line 7 horizon year value
If no horizon year is being used: Line 7 current year value</t>
  </si>
  <si>
    <t>Share of Housing Units that are Legally Binding Affordability Restricted in the Corridor compared to Share in the Counties</t>
  </si>
  <si>
    <t>(Unconventional sources of funding which may include TIFIA, State Infrastructure Banks, Public/Private partnerships, Toll Credits, etc.)</t>
  </si>
  <si>
    <t>Committed, Budgeted or Planned</t>
  </si>
  <si>
    <r>
      <t>Committed:</t>
    </r>
    <r>
      <rPr>
        <sz val="10"/>
        <rFont val="Arial"/>
        <family val="2"/>
      </rPr>
      <t xml:space="preserve"> Committed sources are programmed funds that </t>
    </r>
    <r>
      <rPr>
        <b/>
        <u/>
        <sz val="10"/>
        <rFont val="Arial"/>
        <family val="2"/>
      </rPr>
      <t>have all the necessary approvals</t>
    </r>
    <r>
      <rPr>
        <sz val="10"/>
        <rFont val="Arial"/>
        <family val="2"/>
      </rPr>
      <t xml:space="preserve"> (legislative or referendum) to be used to fund the proposed project </t>
    </r>
    <r>
      <rPr>
        <b/>
        <u/>
        <sz val="10"/>
        <rFont val="Arial"/>
        <family val="2"/>
      </rPr>
      <t>without any additional action</t>
    </r>
    <r>
      <rPr>
        <sz val="10"/>
        <rFont val="Arial"/>
        <family val="2"/>
      </rPr>
      <t>.  These funds have been formally programmed in the MPO’s TIP and/or any related local, regional, or state CIP or appropriation.  Examples include dedicated or approved tax revenues, state grants that have been approved by all required legislative bodies, cash reserves that have been dedicated to the proposed project, and additional debt capacity that requires no further approvals and has been dedicated by the transit agency to the proposed project.</t>
    </r>
  </si>
  <si>
    <r>
      <t>Planned:</t>
    </r>
    <r>
      <rPr>
        <sz val="10"/>
        <rFont val="Arial"/>
        <family val="2"/>
      </rPr>
      <t xml:space="preserve"> This category is for funds that are identified and have a reasonable chance of being committed, but are neither committed nor budgeted.  Examples include proposed sources that require a scheduled referendum, reasonable requests for state/local  grants, and proposed debt financing that has not yet been adopted in the agency’s CIP.</t>
    </r>
  </si>
  <si>
    <t>Construction Duration (enter start and end dates)</t>
  </si>
  <si>
    <t>Total annual linked trips with special markets (lines 7a through 7b)</t>
  </si>
  <si>
    <t>Total daily linked trips without special markets (lines 1a through 2b)</t>
  </si>
  <si>
    <t>Employment at New Project Stations</t>
  </si>
  <si>
    <t>Housing Units - All Types  [See footnote 4]</t>
  </si>
  <si>
    <t>Station Area 1 [See footnote 5]</t>
  </si>
  <si>
    <t>[4] Countywide housing unit totals are available from the U.S. Census Bureau's American Community Survey website (http://www.census.gov/acs/).</t>
  </si>
  <si>
    <t xml:space="preserve">[5] Reporting of data by individual station area is required.  </t>
  </si>
  <si>
    <t>Housing, Population and Employment for Each Station Area That is Part of the Proposed Project</t>
  </si>
  <si>
    <t>8a</t>
  </si>
  <si>
    <t>8b</t>
  </si>
  <si>
    <t>[1] Please provide a narrative summarizing fare policy assumptions used for all regional transit services.  Include this summary as an attachment.</t>
  </si>
  <si>
    <t>Employment at Existing Stations Along the Line [see footnote 3]</t>
  </si>
  <si>
    <t>Travel Forecasts Template, Line 8a</t>
  </si>
  <si>
    <t>Brief description of the process used to develop travel forecasts (e.g., local model, FTA simplified national model, incremental data-driven method, direct demand model)</t>
  </si>
  <si>
    <t>Elasticity Factor</t>
  </si>
  <si>
    <t>Average share of transit users that previously drove</t>
  </si>
  <si>
    <t>Average auto occupany factor</t>
  </si>
  <si>
    <t>Project Length</t>
  </si>
  <si>
    <t>Average trip length factor</t>
  </si>
  <si>
    <t>From Project Description Template</t>
  </si>
  <si>
    <t>Input by project sponsor</t>
  </si>
  <si>
    <t>TCRP Report 95, Traveler Response to Transportation System Changes: Transit Scheduling and Frequency (2004)</t>
  </si>
  <si>
    <t xml:space="preserve">Nation-wide average for work trips from the 2009 National Household Travel Survey </t>
  </si>
  <si>
    <t>A</t>
  </si>
  <si>
    <t>B</t>
  </si>
  <si>
    <t>C</t>
  </si>
  <si>
    <t>D</t>
  </si>
  <si>
    <t>E</t>
  </si>
  <si>
    <t>F</t>
  </si>
  <si>
    <t>G</t>
  </si>
  <si>
    <t>H</t>
  </si>
  <si>
    <t>I</t>
  </si>
  <si>
    <t>J</t>
  </si>
  <si>
    <t>K</t>
  </si>
  <si>
    <t>Line A * Line B * Line C</t>
  </si>
  <si>
    <t>Line D * Line E</t>
  </si>
  <si>
    <t>Line F / Line G</t>
  </si>
  <si>
    <t>Factor based on data from past projects in the CIG program</t>
  </si>
  <si>
    <t>Line H * Line I * Line J</t>
  </si>
  <si>
    <t>Congestion Relief</t>
  </si>
  <si>
    <t>New Weekday Linked Transit Trips</t>
  </si>
  <si>
    <t>Attainment Status</t>
  </si>
  <si>
    <t>Summary Results</t>
  </si>
  <si>
    <t>Existing Annual Transit Ridership in the Corridor Today</t>
  </si>
  <si>
    <t>Estimated Increase in Annual Project Ridership</t>
  </si>
  <si>
    <t>Estimated new transit ridership coming from autos</t>
  </si>
  <si>
    <t>Estimated decrease (increase) in auto trips</t>
  </si>
  <si>
    <t>Estimated decrease (increase) in Annual Auto Vehicle Miles Travelled</t>
  </si>
  <si>
    <t>Percentage Change in Corridor Annual Transit Vehicle Hours That Would Result from Implementation of the Proposed Project</t>
  </si>
  <si>
    <t>Description</t>
  </si>
  <si>
    <t>Low-end of Range</t>
  </si>
  <si>
    <t>Score</t>
  </si>
  <si>
    <t>Cost Effectiveness (Cost per Trip) - New Starts: Numeric Rating</t>
  </si>
  <si>
    <t>Cost Effectiveness (Cost per Trip) - Small Starts: Numeric Rating</t>
  </si>
  <si>
    <t>Standard Five-point Scale</t>
  </si>
  <si>
    <t>Mobility: Weighted Estimated Annual Trips</t>
  </si>
  <si>
    <t>Environmental Benefits</t>
  </si>
  <si>
    <t>Rating Lookup Tables</t>
  </si>
  <si>
    <t>Warrant Validation</t>
  </si>
  <si>
    <t>Requesting warrant?</t>
  </si>
  <si>
    <t>Ridership bands</t>
  </si>
  <si>
    <t>Cost bands</t>
  </si>
  <si>
    <t>This project:</t>
  </si>
  <si>
    <t>Can't be warranted if ridership or cost is in band 0 (ridership &lt; 3000, cost &gt; 500m)</t>
  </si>
  <si>
    <t>Otherwise, number of cost band cannot exceed number of ridership band</t>
  </si>
  <si>
    <t>Does project qualify for warrants?</t>
  </si>
  <si>
    <t>Seeking Use of Project Justification Warrants?</t>
  </si>
  <si>
    <t>LOW</t>
  </si>
  <si>
    <t>MEDIUM-LOW</t>
  </si>
  <si>
    <t>MEDIUM</t>
  </si>
  <si>
    <t>MEDIUM-HIGH</t>
  </si>
  <si>
    <t>HIGH</t>
  </si>
  <si>
    <t>N/A</t>
  </si>
  <si>
    <t>New transit trips</t>
  </si>
  <si>
    <t>Travel Forecasts Template, Line 9</t>
  </si>
  <si>
    <t>SMALL STARTS PROJECT DESCRIPTION TEMPLATE</t>
  </si>
  <si>
    <t>SMALL STARTS PROJECT DESCRIPTION TEMPLATE (Page 2)</t>
  </si>
  <si>
    <t>SMALL STARTS PROJECT DESCRIPTION TEMPLATE (Page 3)</t>
  </si>
  <si>
    <t>Key Agency Staff:                  Overall Small Starts Criteria</t>
  </si>
  <si>
    <t>SMALL STARTS PROJECT DESCRIPTION TEMPLATE (Page 4)</t>
  </si>
  <si>
    <t>Anticipated SSGA/Construction Grant Award</t>
  </si>
  <si>
    <t>SMALL STARTS TRAVEL FORECASTS TEMPLATE</t>
  </si>
  <si>
    <t>SMALL STARTS MOBILITY, COST-EFFECTIVENESS, AND CONGESTION RELIEF TEMPLATE</t>
  </si>
  <si>
    <t>Annualized Federal share of the project per annual linked trip on the project</t>
  </si>
  <si>
    <t>SMALL STARTS LAND USE TEMPLATE (QUANTITATIVE DATA)</t>
  </si>
  <si>
    <t>SMALL STARTS ENVIRONMENTAL BENEFITS TEMPLATE</t>
  </si>
  <si>
    <t>ADDITIONAL ENVIRONMENTAL BENEFITS INPUTS REQUIRED FOR WARRANTED SMALL STARTS PROJECTS ONLY</t>
  </si>
  <si>
    <t>Mobility and Cost Effectiveness Template, Line 3</t>
  </si>
  <si>
    <t>SMALL STARTS FINANCE TEMPLATE</t>
  </si>
  <si>
    <r>
      <t xml:space="preserve">Total Capital Cost of Project in YOE dollars
(including finance charges, costs of Project Development and construction): </t>
    </r>
    <r>
      <rPr>
        <sz val="10"/>
        <rFont val="Arial"/>
        <family val="2"/>
      </rPr>
      <t>(from SCC Main Worksheet)</t>
    </r>
  </si>
  <si>
    <r>
      <t>Total Finance Charges Included in Capital Cost (include finance charges that are expected prior to either the revenue operations date or the fulfillment of the Section 5309 Small Starts funding commitment, whichever is later in time</t>
    </r>
    <r>
      <rPr>
        <b/>
        <u/>
        <sz val="10"/>
        <rFont val="Arial"/>
        <family val="2"/>
      </rPr>
      <t>)</t>
    </r>
    <r>
      <rPr>
        <b/>
        <sz val="10"/>
        <rFont val="Arial"/>
        <family val="2"/>
      </rPr>
      <t xml:space="preserve">: </t>
    </r>
    <r>
      <rPr>
        <sz val="10"/>
        <rFont val="Arial"/>
        <family val="2"/>
      </rPr>
      <t>(from SCC Main Worksheet)</t>
    </r>
  </si>
  <si>
    <t>Section 5309 Small Starts Funding Anticipated (YOE $):</t>
  </si>
  <si>
    <t>Section 5309 Small Starts Share of Project Cost:</t>
  </si>
  <si>
    <t xml:space="preserve">(Non-5309 Small Starts Funds such as FTA Section 5307, Surface Transportation Program (STP), Congestion Mitigation and Air Quality (CMAQ), etc.) </t>
  </si>
  <si>
    <t>SMALL STARTS FINANCE TEMPLATE (page 2)</t>
  </si>
  <si>
    <t>SMALL STARTS FINANCE TEMPLATE (page 3)</t>
  </si>
  <si>
    <t>Small Starts Project Annual Operating Cost in the Opening Year (YOE$):</t>
  </si>
  <si>
    <r>
      <t xml:space="preserve">Future Transit System with Small Starts Project </t>
    </r>
    <r>
      <rPr>
        <sz val="10"/>
        <rFont val="Arial"/>
        <family val="2"/>
      </rPr>
      <t>(Systemwide characteristics at completion of the Small Starts Project)</t>
    </r>
  </si>
  <si>
    <t>Small Starts Project Financial Commitment</t>
  </si>
  <si>
    <t>Total Transit System (including Small Starts Project) Annual Operating Cost in the Opening Year (YOE$)</t>
  </si>
  <si>
    <r>
      <t xml:space="preserve">Proposed Sources of Operating Funds </t>
    </r>
    <r>
      <rPr>
        <sz val="10"/>
        <rFont val="Arial"/>
        <family val="2"/>
      </rPr>
      <t>(Proposed sources of operating funds that are anticipated to support operating expenses of the transit system including the Small Starts project in the opening year.)</t>
    </r>
  </si>
  <si>
    <t>SMALL STARTS ENVIRONMENTAL BENEFITS TEMPLATE (page 2)</t>
  </si>
  <si>
    <t>SMALL STARTS ENVIRONMENTAL BENEFITS TEMPLATE (page 3)</t>
  </si>
  <si>
    <t>SMALL STARTS ENVIRONMENTAL BENEFITS TEMPLATE (page 4)</t>
  </si>
  <si>
    <t>SMALL STARTS ENVIRONMENTAL BENEFITS TEMPLATE (page 5)</t>
  </si>
  <si>
    <t>SMALL STARTS LAND USE TEMPLATE (QUANTITATIVE DATA) page 2</t>
  </si>
  <si>
    <t>SMALL STARTS LAND USE TEMPLATE (QUANTITATIVE DATA) page 3</t>
  </si>
  <si>
    <t>SMALL STARTS LAND USE TEMPLATE (QUANTITATIVE DATA) page 4</t>
  </si>
  <si>
    <r>
      <t>Budgeted:</t>
    </r>
    <r>
      <rPr>
        <sz val="10"/>
        <rFont val="Arial"/>
        <family val="2"/>
      </rPr>
      <t xml:space="preserve"> This category is for funds that have been budgeted and/or programmed for use on the proposed project but remain uncommitted, i.e., the funds have not yet received statutory approval.  Examples include debt financing in an agency-adopted CIP that has yet to receive final legislative approval, or state grants that have been included in the state budget, but are still awaiting legislative approval.  These funds are almost certain to be committed in the near future.  Funds will be classified as budgeted where available funding cannot be committed until the Small Starts Grant Agreement (SSGA) is executed, or due to local practices outside of the project sponsor’s control (e.g., the project development schedule extends beyond the TIP period).</t>
    </r>
  </si>
  <si>
    <t>Annualized Federal share of project</t>
  </si>
  <si>
    <t>Ratio of environmental benefits to annualized Federal share of project</t>
  </si>
  <si>
    <t>Source: SCC Build Annualized worksheet</t>
  </si>
  <si>
    <t>Project Justification</t>
  </si>
  <si>
    <t>Local Financial Commitment</t>
  </si>
  <si>
    <t>Criterion</t>
  </si>
  <si>
    <t>Land Use</t>
  </si>
  <si>
    <t>Economic Development</t>
  </si>
  <si>
    <t>Current Financial Condition</t>
  </si>
  <si>
    <t>Commitment of Capital and Operating Funds</t>
  </si>
  <si>
    <t>Reasonableness of Financial Plan</t>
  </si>
  <si>
    <t>numeric</t>
  </si>
  <si>
    <t>List of possible ratings for rating estimation tab</t>
  </si>
  <si>
    <t>-</t>
  </si>
  <si>
    <t>Mobility, Cost-Effectiveness, and Congestion Relief Template</t>
  </si>
  <si>
    <t>Environmental Benefits Template</t>
  </si>
  <si>
    <t>SMALL STARTS RATING ESTIMATION</t>
  </si>
  <si>
    <t>NOT RATED</t>
  </si>
  <si>
    <t>List of streamlined assessment options for rating estimation tab</t>
  </si>
  <si>
    <t>YES</t>
  </si>
  <si>
    <t>NO</t>
  </si>
  <si>
    <t>Finance Template</t>
  </si>
  <si>
    <t>Weight</t>
  </si>
  <si>
    <t>Summary Rating</t>
  </si>
  <si>
    <t>Annual linked trips on the project with double weight for trips by transit-dependent persons</t>
  </si>
  <si>
    <t>Estimated Rating</t>
  </si>
  <si>
    <t>Do you anticipate that your project will qualify for the simplified financial assessment? (See the Local Financial Commitment section of the Small Starts portion of the CIG Program Final Interim Policy Guidance for the qualifying criteria.)</t>
  </si>
  <si>
    <t>Link to CIG Program Guidance on the FTA Website</t>
  </si>
  <si>
    <t>Use this tool to calculate your Small Starts project's potential overall rating.  Enter a value from the drop down menu in each of the yellow cells based on the ratings you anticipate. *</t>
  </si>
  <si>
    <t>Enter your estimations of these ratings.  See the Local Financial Commitment section in the Small Starts chapter of the CIG Program Final Interim Policy Guidance for information on how FTA rates these factors.</t>
  </si>
  <si>
    <t>Ratings are assigned to each subfactor on a five-point scale, with Low = 1, Medium-Low = 2, Medium = 3, Medium-High = 4, and High = 5.  Individual subfactor ratings are then weighted as shown to develop the summary Local Financial Commitment rating.  If the summary rating is at least Medium and the Small Starts share is less than 50%, the summary rating is increased one level.  If the project qualifies for the simplified financial evaluation, the rating is High if the Small Starts share is 50% or less; otherwise it is Medium.</t>
  </si>
  <si>
    <t>Ratings are assigned to each criterion on a five-point scale, with Low = 1, Medium-Low = 2, Medium = 3, Medium-High = 4, and High = 5.  Individual criterion ratings are then weighted 16.66% each to develop the summary Project Justification rating.</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</si>
  <si>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</si>
  <si>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Enter your estimations of these ratings.  See FTA's Guidelines for Land Use and Economic Development Effects on how FTA determines the ratings for these criteria.</t>
  </si>
  <si>
    <t>If project is warranted, rating appears as</t>
  </si>
  <si>
    <t>MEDIUM (Warranted)</t>
  </si>
  <si>
    <t>If project does not meet thresholds, rating appears as</t>
  </si>
  <si>
    <t>Project does not meet thresholds for warrants</t>
  </si>
  <si>
    <t>2017 constant dollars</t>
  </si>
  <si>
    <t>Annualized Federal share of project capital cost (constant 2017 dollars)</t>
  </si>
  <si>
    <r>
      <t xml:space="preserve">Total Capital Cost of Project in Constant 2017 Dollars
</t>
    </r>
    <r>
      <rPr>
        <sz val="10"/>
        <rFont val="Arial"/>
        <family val="2"/>
      </rPr>
      <t>(from the SCC Main Worksheet)</t>
    </r>
  </si>
  <si>
    <t>* FTA is providing this tool solely to help project sponsors understand how their projects may rate.  Any anticipated ratings entered into this spreadsheet will not inform the ratings that FTA assigns, and any ratings computed in the templates are subject to verification by FTA.  FTA has sole responsibility for assigning project ratings according to the evaluation and rating framework described in the Capital Investment Grants Program Final Interim Policy Guidance.</t>
  </si>
  <si>
    <t>[3] This information should be entered only for projects that are extensions to existing lines. Provide the total employment served within a 1/2-mile radius of the existing stations along the entire line on which a no-transfer ride from the proposed project’s stations can be reached. Do not include employment within a ½-mile radius of the new stations</t>
  </si>
  <si>
    <r>
      <t xml:space="preserve">QA/QC CHECK: TOTAL CAPITAL COSTS LESS SEC. 5309 FUNDING LESS NON-SEC. 5309 FUNDING </t>
    </r>
    <r>
      <rPr>
        <b/>
        <sz val="8"/>
        <rFont val="Arial"/>
        <family val="2"/>
      </rPr>
      <t>(SHOULD EQUAL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</si>
</sst>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quot;$&quot;#,##0"/>
    <numFmt numFmtId="169" formatCode="0.0%"/>
    <numFmt numFmtId="170" formatCode="&quot;$&quot;#,##0.00"/>
    <numFmt numFmtId="171" formatCode="#,##0.0000"/>
    <numFmt numFmtId="172" formatCode="0_)"/>
    <numFmt numFmtId="173" formatCode="_(* #,##0.0_);_(* \(#,##0.0\);_(* &quot;-&quot;??_);_(@_)"/>
    <numFmt numFmtId="174" formatCode="#,##0_)"/>
    <numFmt numFmtId="175" formatCode="###0.00_)"/>
    <numFmt numFmtId="176" formatCode="0.0_W"/>
    <numFmt numFmtId="177" formatCode="#,##0.00000_);[Red]\(#,##0.00000\)"/>
    <numFmt numFmtId="178" formatCode="#,##0.00000_);\(#,##0.00000\)"/>
    <numFmt numFmtId="179" formatCode="0.000000"/>
    <numFmt numFmtId="180" formatCode="0.00000"/>
    <numFmt numFmtId="181" formatCode="0.000000000"/>
    <numFmt numFmtId="182" formatCode="[$-409]mmm\-yy;@"/>
    <numFmt numFmtId="183" formatCode="0.000"/>
    <numFmt numFmtId="184" formatCode="_([$€-2]* #,##0.00_);_([$€-2]* \(#,##0.00\);_([$€-2]* &quot;-&quot;??_)"/>
    <numFmt numFmtId="185" formatCode="#,##0\ "/>
    <numFmt numFmtId="186" formatCode="&quot;L.&quot;\ #,##0_);[Red]\(&quot;L.&quot;\ #,##0\)"/>
    <numFmt numFmtId="187" formatCode="#,##0_);\(#,##0\);&quot;-  &quot;;&quot; &quot;@"/>
    <numFmt numFmtId="188" formatCode="&quot;L.&quot;\ #,##0.00_);[Red]\(&quot;L.&quot;\ #,##0.00\)"/>
    <numFmt numFmtId="189" formatCode="#,##0.00\ &quot;Lps&quot;;[Red]\-#,##0.00\ &quot;Lps&quot;"/>
    <numFmt numFmtId="190" formatCode="[$$-409]#,##0.00_);\([$$-409]#,##0.00\)"/>
    <numFmt numFmtId="191" formatCode="dd\ mmm\ yyyy_);;&quot;-  &quot;;&quot; &quot;@"/>
    <numFmt numFmtId="192" formatCode="dd/mmm/yyyy_);;&quot;-  &quot;;&quot; &quot;@"/>
    <numFmt numFmtId="193" formatCode="dd\ mmm\ yy_);;&quot;-  &quot;;&quot; &quot;@"/>
    <numFmt numFmtId="194" formatCode="dd/mmm/yy_);;&quot;-  &quot;;&quot; &quot;@"/>
    <numFmt numFmtId="195" formatCode="_ * #,##0.00_ ;_ * \-#,##0.00_ ;_ * &quot;-&quot;??_ ;_ @_ "/>
    <numFmt numFmtId="196" formatCode="#,##0.0000_);\(#,##0.0000\);&quot;-  &quot;;&quot; &quot;@"/>
    <numFmt numFmtId="197" formatCode="#,##0_-;\(#,##0\)"/>
    <numFmt numFmtId="198" formatCode="#."/>
    <numFmt numFmtId="199" formatCode="dd/mmm/yy"/>
    <numFmt numFmtId="200" formatCode="#\ ###\ ###\ ###\ ##0.00"/>
    <numFmt numFmtId="201" formatCode="0.000%"/>
    <numFmt numFmtId="202" formatCode="0.0000"/>
    <numFmt numFmtId="203" formatCode="&quot;YEAR&quot;\ 0"/>
    <numFmt numFmtId="204" formatCode="_-* #,##0.00,,\ _-;\(#,##0.00,,\)_-;_-* &quot;-&quot;??_-;_-@_-"/>
    <numFmt numFmtId="205" formatCode="_-* #,##0,,\ _-;\(#,##0,,\)_-;_-* &quot;-&quot;??_-;_-@_-"/>
    <numFmt numFmtId="206" formatCode="dd/mmm"/>
    <numFmt numFmtId="207" formatCode="0.00%_);\-0.00%_);&quot;-  &quot;;&quot; &quot;@"/>
  </numFmts>
  <fonts count="124">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9"/>
      <name val="Times New Roman"/>
      <family val="1"/>
    </font>
    <font>
      <sz val="11"/>
      <color indexed="9"/>
      <name val="Calibri"/>
      <family val="2"/>
    </font>
    <font>
      <sz val="11"/>
      <color indexed="20"/>
      <name val="Calibri"/>
      <family val="2"/>
    </font>
    <font>
      <b/>
      <sz val="9"/>
      <name val="Times New Roman"/>
      <family val="1"/>
    </font>
    <font>
      <b/>
      <sz val="11"/>
      <color indexed="52"/>
      <name val="Calibri"/>
      <family val="2"/>
    </font>
    <font>
      <b/>
      <sz val="11"/>
      <color indexed="9"/>
      <name val="Calibri"/>
      <family val="2"/>
    </font>
    <font>
      <sz val="10"/>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Times New Roman"/>
      <family val="1"/>
    </font>
    <font>
      <sz val="8"/>
      <name val="Helv"/>
    </font>
    <font>
      <b/>
      <sz val="11"/>
      <color indexed="63"/>
      <name val="Calibri"/>
      <family val="2"/>
    </font>
    <font>
      <sz val="10"/>
      <name val="Helv"/>
      <family val="2"/>
    </font>
    <font>
      <b/>
      <sz val="18"/>
      <color indexed="56"/>
      <name val="Cambria"/>
      <family val="1"/>
    </font>
    <font>
      <b/>
      <sz val="11"/>
      <color indexed="8"/>
      <name val="Calibri"/>
      <family val="2"/>
    </font>
    <font>
      <sz val="11"/>
      <color indexed="10"/>
      <name val="Calibri"/>
      <family val="2"/>
    </font>
    <font>
      <sz val="12"/>
      <name val="Helv"/>
    </font>
    <font>
      <b/>
      <sz val="12"/>
      <name val="Helv"/>
    </font>
    <font>
      <sz val="9"/>
      <name val="Helv"/>
    </font>
    <font>
      <vertAlign val="superscript"/>
      <sz val="12"/>
      <name val="Helv"/>
    </font>
    <font>
      <sz val="10"/>
      <name val="Helv"/>
    </font>
    <font>
      <b/>
      <sz val="9"/>
      <name val="Helv"/>
    </font>
    <font>
      <sz val="8.5"/>
      <name val="Helv"/>
    </font>
    <font>
      <b/>
      <sz val="10"/>
      <name val="Helv"/>
    </font>
    <font>
      <b/>
      <sz val="14"/>
      <name val="Helv"/>
    </font>
    <font>
      <sz val="10"/>
      <color theme="1"/>
      <name val="Arial"/>
      <family val="2"/>
    </font>
    <font>
      <u/>
      <sz val="8"/>
      <color theme="10"/>
      <name val="Arial"/>
      <family val="2"/>
    </font>
    <font>
      <b/>
      <sz val="10"/>
      <name val="Calibri"/>
      <family val="2"/>
      <scheme val="minor"/>
    </font>
    <font>
      <sz val="10"/>
      <name val="Calibri"/>
      <family val="2"/>
      <scheme val="minor"/>
    </font>
    <font>
      <b/>
      <sz val="10"/>
      <color theme="1"/>
      <name val="Arial"/>
      <family val="2"/>
    </font>
    <font>
      <b/>
      <sz val="12"/>
      <color theme="1"/>
      <name val="Arial"/>
      <family val="2"/>
    </font>
    <font>
      <b/>
      <sz val="12"/>
      <name val="Calibri"/>
      <family val="2"/>
      <scheme val="minor"/>
    </font>
    <font>
      <b/>
      <vertAlign val="subscript"/>
      <sz val="12"/>
      <name val="Arial"/>
      <family val="2"/>
    </font>
    <font>
      <b/>
      <sz val="11"/>
      <name val="Calibri"/>
      <family val="2"/>
      <scheme val="minor"/>
    </font>
    <font>
      <sz val="11"/>
      <name val="Calibri"/>
      <family val="2"/>
      <scheme val="minor"/>
    </font>
    <font>
      <b/>
      <u/>
      <sz val="11"/>
      <color theme="10"/>
      <name val="Calibri"/>
      <family val="2"/>
      <scheme val="minor"/>
    </font>
    <font>
      <b/>
      <vertAlign val="subscript"/>
      <sz val="11"/>
      <name val="Calibri"/>
      <family val="2"/>
      <scheme val="minor"/>
    </font>
    <font>
      <b/>
      <sz val="12"/>
      <color theme="0"/>
      <name val="Arial"/>
      <family val="2"/>
    </font>
    <font>
      <sz val="9"/>
      <color indexed="81"/>
      <name val="Tahoma"/>
      <family val="2"/>
    </font>
    <font>
      <sz val="10"/>
      <color rgb="FFFF0000"/>
      <name val="Arial"/>
      <family val="2"/>
    </font>
    <font>
      <b/>
      <sz val="8"/>
      <color rgb="FFFF0000"/>
      <name val="Arial"/>
      <family val="2"/>
    </font>
    <font>
      <b/>
      <sz val="12"/>
      <name val="Tms Rmn"/>
    </font>
    <font>
      <sz val="11"/>
      <name val="Arial"/>
      <family val="2"/>
    </font>
    <font>
      <sz val="11"/>
      <color indexed="29"/>
      <name val="Calibri"/>
      <family val="2"/>
    </font>
    <font>
      <sz val="10"/>
      <color indexed="8"/>
      <name val="Arial"/>
      <family val="2"/>
    </font>
    <font>
      <sz val="8"/>
      <color indexed="12"/>
      <name val="Tms Rmn"/>
    </font>
    <font>
      <b/>
      <sz val="12"/>
      <color theme="0"/>
      <name val="Calibri"/>
      <family val="2"/>
    </font>
    <font>
      <b/>
      <i/>
      <sz val="9"/>
      <name val="Arial"/>
      <family val="2"/>
    </font>
    <font>
      <b/>
      <sz val="11"/>
      <color indexed="10"/>
      <name val="Calibri"/>
      <family val="2"/>
      <scheme val="minor"/>
    </font>
    <font>
      <b/>
      <i/>
      <sz val="8"/>
      <name val="Arial"/>
      <family val="2"/>
    </font>
    <font>
      <b/>
      <sz val="8"/>
      <name val="Book Antiqua"/>
      <family val="1"/>
    </font>
    <font>
      <sz val="10"/>
      <name val="Geneva"/>
      <family val="2"/>
    </font>
    <font>
      <sz val="8"/>
      <name val="Palatino"/>
      <family val="1"/>
    </font>
    <font>
      <sz val="12"/>
      <color indexed="8"/>
      <name val="CG Times"/>
      <family val="1"/>
    </font>
    <font>
      <sz val="11"/>
      <color indexed="12"/>
      <name val="Book Antiqua"/>
      <family val="1"/>
    </font>
    <font>
      <sz val="12"/>
      <name val="David"/>
      <family val="2"/>
      <charset val="177"/>
    </font>
    <font>
      <sz val="10"/>
      <color indexed="8"/>
      <name val="Sans Serif 12cpi"/>
    </font>
    <font>
      <sz val="10"/>
      <color indexed="8"/>
      <name val="Sans Serif 17cpi"/>
    </font>
    <font>
      <sz val="7"/>
      <name val="Palatino"/>
      <family val="1"/>
    </font>
    <font>
      <b/>
      <sz val="10"/>
      <name val="Arial (W1)"/>
    </font>
    <font>
      <sz val="6"/>
      <color indexed="16"/>
      <name val="Palatino"/>
      <family val="1"/>
    </font>
    <font>
      <sz val="8"/>
      <color indexed="25"/>
      <name val="Helvetica Black"/>
    </font>
    <font>
      <b/>
      <sz val="18"/>
      <color indexed="8"/>
      <name val="Arial"/>
      <family val="2"/>
    </font>
    <font>
      <b/>
      <sz val="15"/>
      <color indexed="62"/>
      <name val="Calibri"/>
      <family val="2"/>
    </font>
    <font>
      <b/>
      <sz val="12"/>
      <color indexed="8"/>
      <name val="Arial"/>
      <family val="2"/>
    </font>
    <font>
      <b/>
      <sz val="13"/>
      <color indexed="62"/>
      <name val="Calibri"/>
      <family val="2"/>
    </font>
    <font>
      <i/>
      <sz val="14"/>
      <name val="Palatino"/>
      <family val="1"/>
    </font>
    <font>
      <b/>
      <sz val="11"/>
      <color indexed="62"/>
      <name val="Calibri"/>
      <family val="2"/>
    </font>
    <font>
      <b/>
      <sz val="1"/>
      <color indexed="8"/>
      <name val="Courier"/>
      <family val="3"/>
    </font>
    <font>
      <b/>
      <sz val="16"/>
      <color indexed="9"/>
      <name val="Arial"/>
      <family val="2"/>
    </font>
    <font>
      <b/>
      <i/>
      <sz val="12"/>
      <color indexed="9"/>
      <name val="Arial"/>
      <family val="2"/>
    </font>
    <font>
      <b/>
      <sz val="11"/>
      <color indexed="9"/>
      <name val="Arial"/>
      <family val="2"/>
    </font>
    <font>
      <u/>
      <sz val="8"/>
      <color indexed="12"/>
      <name val="Arial"/>
      <family val="2"/>
    </font>
    <font>
      <sz val="12"/>
      <name val="Calibri"/>
      <family val="2"/>
    </font>
    <font>
      <b/>
      <sz val="14"/>
      <color theme="0"/>
      <name val="Calibri"/>
      <family val="2"/>
    </font>
    <font>
      <b/>
      <sz val="11.5"/>
      <color theme="1"/>
      <name val="Arial"/>
      <family val="2"/>
    </font>
    <font>
      <b/>
      <sz val="11"/>
      <name val="Arial"/>
      <family val="2"/>
    </font>
    <font>
      <b/>
      <sz val="16"/>
      <name val="Arial"/>
      <family val="2"/>
    </font>
    <font>
      <b/>
      <u/>
      <sz val="12"/>
      <color theme="10"/>
      <name val="Arial"/>
      <family val="2"/>
    </font>
    <font>
      <sz val="14"/>
      <name val="Arial"/>
      <family val="2"/>
    </font>
    <font>
      <b/>
      <sz val="12"/>
      <color rgb="FFFF0000"/>
      <name val="Arial"/>
      <family val="2"/>
    </font>
    <font>
      <b/>
      <sz val="8"/>
      <name val="Arial"/>
      <family val="2"/>
    </font>
  </fonts>
  <fills count="8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indexed="26"/>
      </patternFill>
    </fill>
    <fill>
      <patternFill patternType="darkTrellis"/>
    </fill>
    <fill>
      <patternFill patternType="solid">
        <fgColor indexed="22"/>
        <bgColor indexed="9"/>
      </patternFill>
    </fill>
    <fill>
      <patternFill patternType="solid">
        <fgColor indexed="22"/>
        <bgColor indexed="55"/>
      </patternFill>
    </fill>
    <fill>
      <patternFill patternType="solid">
        <fgColor theme="1"/>
        <bgColor indexed="64"/>
      </patternFill>
    </fill>
    <fill>
      <patternFill patternType="solid">
        <fgColor theme="0"/>
        <bgColor indexed="64"/>
      </patternFill>
    </fill>
    <fill>
      <patternFill patternType="solid">
        <fgColor rgb="FFEAEAEA"/>
        <bgColor indexed="64"/>
      </patternFill>
    </fill>
    <fill>
      <patternFill patternType="solid">
        <fgColor indexed="9"/>
      </patternFill>
    </fill>
    <fill>
      <patternFill patternType="solid">
        <fgColor indexed="41"/>
      </patternFill>
    </fill>
    <fill>
      <patternFill patternType="solid">
        <fgColor indexed="34"/>
      </patternFill>
    </fill>
    <fill>
      <patternFill patternType="solid">
        <fgColor indexed="35"/>
      </patternFill>
    </fill>
    <fill>
      <patternFill patternType="solid">
        <fgColor indexed="25"/>
      </patternFill>
    </fill>
    <fill>
      <patternFill patternType="solid">
        <fgColor indexed="56"/>
      </patternFill>
    </fill>
    <fill>
      <patternFill patternType="solid">
        <fgColor indexed="33"/>
      </patternFill>
    </fill>
    <fill>
      <patternFill patternType="solid">
        <fgColor indexed="54"/>
      </patternFill>
    </fill>
    <fill>
      <patternFill patternType="solid">
        <fgColor indexed="41"/>
        <bgColor indexed="64"/>
      </patternFill>
    </fill>
    <fill>
      <patternFill patternType="solid">
        <fgColor indexed="56"/>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10"/>
        <bgColor indexed="64"/>
      </patternFill>
    </fill>
    <fill>
      <gradientFill degree="270">
        <stop position="0">
          <color rgb="FF760000"/>
        </stop>
        <stop position="1">
          <color rgb="FFD60000"/>
        </stop>
      </gradientFill>
    </fill>
    <fill>
      <patternFill patternType="solid">
        <fgColor indexed="44"/>
        <bgColor indexed="64"/>
      </patternFill>
    </fill>
    <fill>
      <gradientFill degree="90">
        <stop position="0">
          <color theme="6" tint="0.80001220740379042"/>
        </stop>
        <stop position="1">
          <color theme="6" tint="0.40000610370189521"/>
        </stop>
      </gradientFill>
    </fill>
    <fill>
      <gradientFill degree="90">
        <stop position="0">
          <color theme="3" tint="0.80001220740379042"/>
        </stop>
        <stop position="1">
          <color theme="3" tint="0.59999389629810485"/>
        </stop>
      </gradientFill>
    </fill>
    <fill>
      <patternFill patternType="solid">
        <fgColor rgb="FFDF5B5B"/>
        <bgColor indexed="64"/>
      </patternFill>
    </fill>
    <fill>
      <patternFill patternType="solid">
        <fgColor rgb="FFFFFF66"/>
        <bgColor indexed="64"/>
      </patternFill>
    </fill>
  </fills>
  <borders count="181">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22"/>
      </bottom>
      <diagonal/>
    </border>
    <border>
      <left/>
      <right/>
      <top/>
      <bottom style="hair">
        <color indexed="8"/>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bottom style="medium">
        <color indexed="64"/>
      </bottom>
      <diagonal/>
    </border>
    <border>
      <left style="dashed">
        <color indexed="64"/>
      </left>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dashed">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ashed">
        <color indexed="64"/>
      </left>
      <right/>
      <top style="dashed">
        <color indexed="64"/>
      </top>
      <bottom style="medium">
        <color indexed="64"/>
      </bottom>
      <diagonal/>
    </border>
    <border>
      <left style="medium">
        <color indexed="64"/>
      </left>
      <right style="thin">
        <color auto="1"/>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ashed">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top/>
      <bottom style="double">
        <color indexed="64"/>
      </bottom>
      <diagonal/>
    </border>
    <border>
      <left/>
      <right/>
      <top style="hair">
        <color indexed="64"/>
      </top>
      <bottom style="hair">
        <color indexed="64"/>
      </bottom>
      <diagonal/>
    </border>
    <border>
      <left/>
      <right/>
      <top style="medium">
        <color indexed="64"/>
      </top>
      <bottom style="hair">
        <color indexed="64"/>
      </bottom>
      <diagonal/>
    </border>
    <border>
      <left/>
      <right style="thin">
        <color indexed="8"/>
      </right>
      <top style="thin">
        <color indexed="8"/>
      </top>
      <bottom/>
      <diagonal/>
    </border>
    <border>
      <left/>
      <right/>
      <top/>
      <bottom style="dotted">
        <color indexed="64"/>
      </bottom>
      <diagonal/>
    </border>
    <border>
      <left style="double">
        <color indexed="64"/>
      </left>
      <right style="medium">
        <color indexed="64"/>
      </right>
      <top style="medium">
        <color indexed="64"/>
      </top>
      <bottom/>
      <diagonal/>
    </border>
    <border>
      <left/>
      <right/>
      <top/>
      <bottom style="medium">
        <color indexed="45"/>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57"/>
      </left>
      <right style="double">
        <color indexed="57"/>
      </right>
      <top/>
      <bottom/>
      <diagonal/>
    </border>
    <border>
      <left style="double">
        <color indexed="64"/>
      </left>
      <right style="double">
        <color indexed="64"/>
      </right>
      <top/>
      <bottom/>
      <diagonal/>
    </border>
    <border>
      <left style="medium">
        <color indexed="10"/>
      </left>
      <right/>
      <top/>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auto="1"/>
      </right>
      <top style="thin">
        <color auto="1"/>
      </top>
      <bottom/>
      <diagonal/>
    </border>
  </borders>
  <cellStyleXfs count="7024">
    <xf numFmtId="0" fontId="0" fillId="0" borderId="0"/>
    <xf numFmtId="43" fontId="4"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4" fontId="4" fillId="0" borderId="0" applyFont="0" applyFill="0" applyBorder="0" applyAlignment="0" applyProtection="0"/>
    <xf numFmtId="0" fontId="5" fillId="0" borderId="0"/>
    <xf numFmtId="0" fontId="16" fillId="0" borderId="0"/>
    <xf numFmtId="9" fontId="4"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xf numFmtId="0" fontId="18" fillId="0" borderId="67" applyNumberFormat="0" applyFill="0" applyAlignment="0" applyProtection="0"/>
    <xf numFmtId="0" fontId="19" fillId="0" borderId="68" applyNumberFormat="0" applyFill="0" applyAlignment="0" applyProtection="0"/>
    <xf numFmtId="0" fontId="20" fillId="0" borderId="69"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70" applyNumberFormat="0" applyAlignment="0" applyProtection="0"/>
    <xf numFmtId="0" fontId="25" fillId="11" borderId="71" applyNumberFormat="0" applyAlignment="0" applyProtection="0"/>
    <xf numFmtId="0" fontId="26" fillId="11" borderId="70" applyNumberFormat="0" applyAlignment="0" applyProtection="0"/>
    <xf numFmtId="0" fontId="27" fillId="0" borderId="72" applyNumberFormat="0" applyFill="0" applyAlignment="0" applyProtection="0"/>
    <xf numFmtId="0" fontId="28" fillId="12" borderId="73"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75" applyNumberFormat="0" applyFill="0" applyAlignment="0" applyProtection="0"/>
    <xf numFmtId="0" fontId="3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2" fillId="37" borderId="0" applyNumberFormat="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87"/>
    <xf numFmtId="43" fontId="10" fillId="0" borderId="0" applyFont="0" applyFill="0" applyBorder="0" applyAlignment="0" applyProtection="0"/>
    <xf numFmtId="9" fontId="10" fillId="0" borderId="0" applyFont="0" applyFill="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49" fontId="34" fillId="0" borderId="39" applyNumberFormat="0" applyFont="0" applyFill="0" applyBorder="0" applyProtection="0">
      <alignment horizontal="left" vertical="center" indent="2"/>
    </xf>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49" fontId="34" fillId="0" borderId="2" applyNumberFormat="0" applyFont="0" applyFill="0" applyBorder="0" applyProtection="0">
      <alignment horizontal="left" vertical="center" indent="5"/>
    </xf>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5" borderId="0" applyNumberFormat="0" applyBorder="0" applyAlignment="0" applyProtection="0"/>
    <xf numFmtId="0" fontId="36" fillId="39" borderId="0" applyNumberFormat="0" applyBorder="0" applyAlignment="0" applyProtection="0"/>
    <xf numFmtId="4" fontId="37" fillId="0" borderId="37" applyFill="0" applyBorder="0" applyProtection="0">
      <alignment horizontal="right" vertical="center"/>
    </xf>
    <xf numFmtId="0" fontId="38" fillId="56" borderId="88" applyNumberFormat="0" applyAlignment="0" applyProtection="0"/>
    <xf numFmtId="0" fontId="39" fillId="57" borderId="89" applyNumberFormat="0" applyAlignment="0" applyProtection="0"/>
    <xf numFmtId="43" fontId="33" fillId="0" borderId="0" applyFont="0" applyFill="0" applyBorder="0" applyAlignment="0" applyProtection="0"/>
    <xf numFmtId="43" fontId="40" fillId="0" borderId="0" applyFont="0" applyFill="0" applyBorder="0" applyAlignment="0" applyProtection="0"/>
    <xf numFmtId="43" fontId="33" fillId="0" borderId="0" applyFont="0" applyFill="0" applyBorder="0" applyAlignment="0" applyProtection="0"/>
    <xf numFmtId="0" fontId="41" fillId="0" borderId="0" applyNumberFormat="0" applyFill="0" applyBorder="0" applyAlignment="0" applyProtection="0"/>
    <xf numFmtId="0" fontId="42" fillId="40" borderId="0" applyNumberFormat="0" applyBorder="0" applyAlignment="0" applyProtection="0"/>
    <xf numFmtId="0" fontId="43" fillId="0" borderId="90" applyNumberFormat="0" applyFill="0" applyAlignment="0" applyProtection="0"/>
    <xf numFmtId="0" fontId="44" fillId="0" borderId="91" applyNumberFormat="0" applyFill="0" applyAlignment="0" applyProtection="0"/>
    <xf numFmtId="0" fontId="45" fillId="0" borderId="92"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43" borderId="88" applyNumberFormat="0" applyAlignment="0" applyProtection="0"/>
    <xf numFmtId="0" fontId="49" fillId="0" borderId="93" applyNumberFormat="0" applyFill="0" applyAlignment="0" applyProtection="0"/>
    <xf numFmtId="0" fontId="50" fillId="5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51" fillId="0" borderId="0"/>
    <xf numFmtId="0" fontId="40" fillId="0" borderId="0"/>
    <xf numFmtId="0" fontId="33" fillId="0" borderId="0"/>
    <xf numFmtId="0" fontId="40" fillId="0" borderId="0"/>
    <xf numFmtId="0" fontId="10" fillId="0" borderId="0"/>
    <xf numFmtId="0" fontId="10" fillId="0" borderId="0"/>
    <xf numFmtId="0" fontId="10" fillId="0" borderId="0"/>
    <xf numFmtId="0" fontId="10" fillId="0" borderId="0"/>
    <xf numFmtId="0" fontId="10" fillId="0" borderId="0"/>
    <xf numFmtId="4" fontId="34" fillId="0" borderId="39" applyFill="0" applyBorder="0" applyProtection="0">
      <alignment horizontal="right" vertical="center"/>
    </xf>
    <xf numFmtId="49" fontId="37" fillId="0" borderId="39" applyNumberFormat="0" applyFill="0" applyBorder="0" applyProtection="0">
      <alignment horizontal="left" vertical="center"/>
    </xf>
    <xf numFmtId="0" fontId="34" fillId="0" borderId="39" applyNumberFormat="0" applyFill="0" applyAlignment="0" applyProtection="0"/>
    <xf numFmtId="0" fontId="52" fillId="59" borderId="0" applyNumberFormat="0" applyFont="0" applyBorder="0" applyAlignment="0" applyProtection="0"/>
    <xf numFmtId="0" fontId="10" fillId="60" borderId="94" applyNumberFormat="0" applyFont="0" applyAlignment="0" applyProtection="0"/>
    <xf numFmtId="0" fontId="53" fillId="56" borderId="95" applyNumberFormat="0" applyAlignment="0" applyProtection="0"/>
    <xf numFmtId="171" fontId="34" fillId="61" borderId="39" applyNumberFormat="0" applyFont="0" applyBorder="0" applyAlignment="0" applyProtection="0">
      <alignment horizontal="right" vertical="center"/>
    </xf>
    <xf numFmtId="9" fontId="40" fillId="0" borderId="0" applyFont="0" applyFill="0" applyBorder="0" applyAlignment="0" applyProtection="0"/>
    <xf numFmtId="9" fontId="33" fillId="0" borderId="0" applyFont="0" applyFill="0" applyBorder="0" applyAlignment="0" applyProtection="0"/>
    <xf numFmtId="172" fontId="54" fillId="0" borderId="0"/>
    <xf numFmtId="11" fontId="54" fillId="0" borderId="0" applyFont="0" applyFill="0" applyBorder="0" applyAlignment="0" applyProtection="0"/>
    <xf numFmtId="0" fontId="55" fillId="0" borderId="0" applyNumberFormat="0" applyFill="0" applyBorder="0" applyAlignment="0" applyProtection="0"/>
    <xf numFmtId="0" fontId="56" fillId="0" borderId="96" applyNumberFormat="0" applyFill="0" applyAlignment="0" applyProtection="0"/>
    <xf numFmtId="0" fontId="57" fillId="0" borderId="0" applyNumberFormat="0" applyFill="0" applyBorder="0" applyAlignment="0" applyProtection="0"/>
    <xf numFmtId="0" fontId="3" fillId="13" borderId="74" applyNumberFormat="0" applyFont="0" applyAlignment="0" applyProtection="0"/>
    <xf numFmtId="0" fontId="10" fillId="0" borderId="0"/>
    <xf numFmtId="169" fontId="10" fillId="0" borderId="0" applyFont="0" applyFill="0" applyBorder="0" applyAlignment="0" applyProtection="0"/>
    <xf numFmtId="0" fontId="10" fillId="0" borderId="0"/>
    <xf numFmtId="169" fontId="10" fillId="0" borderId="0" applyFont="0" applyFill="0" applyBorder="0" applyAlignment="0" applyProtection="0"/>
    <xf numFmtId="0" fontId="3" fillId="0" borderId="0"/>
    <xf numFmtId="43" fontId="3" fillId="0" borderId="0" applyFont="0" applyFill="0" applyBorder="0" applyAlignment="0" applyProtection="0"/>
    <xf numFmtId="0" fontId="58" fillId="0" borderId="0">
      <alignment horizontal="center" vertical="center" wrapText="1"/>
    </xf>
    <xf numFmtId="3" fontId="10" fillId="0" borderId="0" applyFont="0" applyFill="0" applyBorder="0" applyAlignment="0" applyProtection="0"/>
    <xf numFmtId="0" fontId="59" fillId="0" borderId="0">
      <alignment horizontal="left" vertical="center" wrapText="1"/>
    </xf>
    <xf numFmtId="173" fontId="10" fillId="0" borderId="0" applyFont="0" applyFill="0" applyBorder="0" applyAlignment="0" applyProtection="0"/>
    <xf numFmtId="3" fontId="60" fillId="0" borderId="97" applyAlignment="0">
      <alignment horizontal="right" vertical="center"/>
    </xf>
    <xf numFmtId="174" fontId="60" fillId="0" borderId="97">
      <alignment horizontal="right" vertical="center"/>
    </xf>
    <xf numFmtId="49" fontId="61" fillId="0" borderId="97">
      <alignment horizontal="left" vertical="center"/>
    </xf>
    <xf numFmtId="175" fontId="62" fillId="0" borderId="97" applyNumberFormat="0" applyFill="0">
      <alignment horizontal="right"/>
    </xf>
    <xf numFmtId="176" fontId="62" fillId="0" borderId="97">
      <alignment horizontal="right"/>
    </xf>
    <xf numFmtId="0" fontId="10" fillId="0" borderId="0" applyFont="0" applyFill="0" applyBorder="0" applyAlignment="0" applyProtection="0"/>
    <xf numFmtId="2" fontId="10" fillId="0" borderId="0" applyFont="0" applyFill="0" applyBorder="0" applyAlignment="0" applyProtection="0"/>
    <xf numFmtId="0" fontId="63" fillId="0" borderId="97">
      <alignment horizontal="left"/>
    </xf>
    <xf numFmtId="0" fontId="63" fillId="0" borderId="56">
      <alignment horizontal="right" vertical="center"/>
    </xf>
    <xf numFmtId="0" fontId="64" fillId="0" borderId="97">
      <alignment horizontal="left" vertical="center"/>
    </xf>
    <xf numFmtId="0" fontId="62" fillId="0" borderId="97">
      <alignment horizontal="left" vertical="center"/>
    </xf>
    <xf numFmtId="0" fontId="65" fillId="0" borderId="97">
      <alignment horizontal="left"/>
    </xf>
    <xf numFmtId="0" fontId="65" fillId="62" borderId="0">
      <alignment horizontal="centerContinuous" wrapText="1"/>
    </xf>
    <xf numFmtId="49" fontId="65" fillId="62" borderId="60">
      <alignment horizontal="left" vertical="center"/>
    </xf>
    <xf numFmtId="0" fontId="65" fillId="62" borderId="0">
      <alignment horizontal="centerContinuous" vertical="center" wrapText="1"/>
    </xf>
    <xf numFmtId="0" fontId="3" fillId="0" borderId="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3" fontId="60" fillId="0" borderId="0">
      <alignment horizontal="left" vertical="center"/>
    </xf>
    <xf numFmtId="0" fontId="58" fillId="0" borderId="0">
      <alignment horizontal="left" vertical="center"/>
    </xf>
    <xf numFmtId="0" fontId="52" fillId="0" borderId="0">
      <alignment horizontal="right"/>
    </xf>
    <xf numFmtId="49" fontId="52" fillId="0" borderId="0">
      <alignment horizontal="center"/>
    </xf>
    <xf numFmtId="0" fontId="61" fillId="0" borderId="0">
      <alignment horizontal="right"/>
    </xf>
    <xf numFmtId="0" fontId="52" fillId="0" borderId="0">
      <alignment horizontal="left"/>
    </xf>
    <xf numFmtId="49" fontId="60" fillId="0" borderId="0">
      <alignment horizontal="left" vertical="center"/>
    </xf>
    <xf numFmtId="49" fontId="61" fillId="0" borderId="97">
      <alignment horizontal="left" vertical="center"/>
    </xf>
    <xf numFmtId="49" fontId="58" fillId="0" borderId="97" applyFill="0">
      <alignment horizontal="left" vertical="center"/>
    </xf>
    <xf numFmtId="49" fontId="61" fillId="0" borderId="97">
      <alignment horizontal="left"/>
    </xf>
    <xf numFmtId="175" fontId="60" fillId="0" borderId="0" applyNumberFormat="0">
      <alignment horizontal="right"/>
    </xf>
    <xf numFmtId="0" fontId="63" fillId="63" borderId="0">
      <alignment horizontal="centerContinuous" vertical="center" wrapText="1"/>
    </xf>
    <xf numFmtId="0" fontId="63" fillId="0" borderId="98">
      <alignment horizontal="left" vertical="center"/>
    </xf>
    <xf numFmtId="0" fontId="66" fillId="0" borderId="0">
      <alignment horizontal="left" vertical="top"/>
    </xf>
    <xf numFmtId="0" fontId="65" fillId="0" borderId="0">
      <alignment horizontal="left"/>
    </xf>
    <xf numFmtId="0" fontId="59" fillId="0" borderId="0">
      <alignment horizontal="left"/>
    </xf>
    <xf numFmtId="0" fontId="62" fillId="0" borderId="0">
      <alignment horizontal="left"/>
    </xf>
    <xf numFmtId="0" fontId="66" fillId="0" borderId="0">
      <alignment horizontal="left" vertical="top"/>
    </xf>
    <xf numFmtId="0" fontId="59" fillId="0" borderId="0">
      <alignment horizontal="left"/>
    </xf>
    <xf numFmtId="0" fontId="62" fillId="0" borderId="0">
      <alignment horizontal="left"/>
    </xf>
    <xf numFmtId="49" fontId="60" fillId="0" borderId="97">
      <alignment horizontal="left"/>
    </xf>
    <xf numFmtId="0" fontId="63" fillId="0" borderId="56">
      <alignment horizontal="left"/>
    </xf>
    <xf numFmtId="0" fontId="65" fillId="0" borderId="0">
      <alignment horizontal="left" vertical="center"/>
    </xf>
    <xf numFmtId="49" fontId="52" fillId="0" borderId="97">
      <alignment horizontal="left"/>
    </xf>
    <xf numFmtId="0" fontId="67" fillId="0" borderId="0"/>
    <xf numFmtId="0" fontId="68" fillId="0" borderId="0" applyNumberFormat="0" applyFill="0" applyBorder="0" applyAlignment="0" applyProtection="0"/>
    <xf numFmtId="0" fontId="2" fillId="0" borderId="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9" fontId="10" fillId="0" borderId="0">
      <alignment horizontal="left" wrapText="1"/>
    </xf>
    <xf numFmtId="179" fontId="10" fillId="0" borderId="0">
      <alignment horizontal="left" wrapText="1"/>
    </xf>
    <xf numFmtId="179" fontId="10" fillId="0" borderId="0">
      <alignment horizontal="left" wrapText="1"/>
    </xf>
    <xf numFmtId="184" fontId="10" fillId="0" borderId="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3" fillId="38"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84" fontId="33" fillId="6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84" fontId="33" fillId="6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3" fillId="39"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184" fontId="33"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184" fontId="33"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33" fillId="4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58"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58"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58"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3" fillId="41"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184" fontId="33" fillId="6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184" fontId="33" fillId="6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7"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84" fontId="33"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84" fontId="33"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68"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38" borderId="0" applyNumberFormat="0" applyBorder="0" applyAlignment="0" applyProtection="0"/>
    <xf numFmtId="184" fontId="33" fillId="39" borderId="0" applyNumberFormat="0" applyBorder="0" applyAlignment="0" applyProtection="0"/>
    <xf numFmtId="184" fontId="33" fillId="40" borderId="0" applyNumberFormat="0" applyBorder="0" applyAlignment="0" applyProtection="0"/>
    <xf numFmtId="184" fontId="33" fillId="41" borderId="0" applyNumberFormat="0" applyBorder="0" applyAlignment="0" applyProtection="0"/>
    <xf numFmtId="184" fontId="33" fillId="42" borderId="0" applyNumberFormat="0" applyBorder="0" applyAlignment="0" applyProtection="0"/>
    <xf numFmtId="184" fontId="33" fillId="43"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3" fillId="44"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5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5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3" fillId="4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84" fontId="33"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84" fontId="33"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33" fillId="46"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184" fontId="33" fillId="6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184" fontId="33" fillId="6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69"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3" fillId="4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84" fontId="33" fillId="56"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84" fontId="33" fillId="56"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56"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3" fillId="44"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7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7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70"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33" fillId="47"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3" borderId="0" applyNumberFormat="0" applyBorder="0" applyAlignment="0" applyProtection="0"/>
    <xf numFmtId="184" fontId="33" fillId="44" borderId="0" applyNumberFormat="0" applyBorder="0" applyAlignment="0" applyProtection="0"/>
    <xf numFmtId="184" fontId="33" fillId="45" borderId="0" applyNumberFormat="0" applyBorder="0" applyAlignment="0" applyProtection="0"/>
    <xf numFmtId="184" fontId="33" fillId="46" borderId="0" applyNumberFormat="0" applyBorder="0" applyAlignment="0" applyProtection="0"/>
    <xf numFmtId="184" fontId="33" fillId="41" borderId="0" applyNumberFormat="0" applyBorder="0" applyAlignment="0" applyProtection="0"/>
    <xf numFmtId="184" fontId="33" fillId="44" borderId="0" applyNumberFormat="0" applyBorder="0" applyAlignment="0" applyProtection="0"/>
    <xf numFmtId="184" fontId="33" fillId="47"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0" fontId="35" fillId="48"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184" fontId="35"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184" fontId="35" fillId="42" borderId="0" applyNumberFormat="0" applyBorder="0" applyAlignment="0" applyProtection="0"/>
    <xf numFmtId="0" fontId="32"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0" fontId="35" fillId="4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184" fontId="35" fillId="71"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184" fontId="35" fillId="71" borderId="0" applyNumberFormat="0" applyBorder="0" applyAlignment="0" applyProtection="0"/>
    <xf numFmtId="0" fontId="32" fillId="55"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0" fontId="35" fillId="46"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184" fontId="35" fillId="69"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184" fontId="35" fillId="69" borderId="0" applyNumberFormat="0" applyBorder="0" applyAlignment="0" applyProtection="0"/>
    <xf numFmtId="0" fontId="32" fillId="47"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69"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0" fontId="35" fillId="4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84" fontId="35" fillId="56"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84" fontId="35" fillId="56" borderId="0" applyNumberFormat="0" applyBorder="0" applyAlignment="0" applyProtection="0"/>
    <xf numFmtId="0" fontId="32" fillId="39"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6"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0" fontId="35" fillId="5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184" fontId="35" fillId="5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184" fontId="35" fillId="50" borderId="0" applyNumberFormat="0" applyBorder="0" applyAlignment="0" applyProtection="0"/>
    <xf numFmtId="0" fontId="32" fillId="42"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0" fontId="35" fillId="51"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184" fontId="35" fillId="43"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184" fontId="35" fillId="43" borderId="0" applyNumberFormat="0" applyBorder="0" applyAlignment="0" applyProtection="0"/>
    <xf numFmtId="0" fontId="32" fillId="45"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3" borderId="0" applyNumberFormat="0" applyBorder="0" applyAlignment="0" applyProtection="0"/>
    <xf numFmtId="184" fontId="35" fillId="48" borderId="0" applyNumberFormat="0" applyBorder="0" applyAlignment="0" applyProtection="0"/>
    <xf numFmtId="184" fontId="35" fillId="45" borderId="0" applyNumberFormat="0" applyBorder="0" applyAlignment="0" applyProtection="0"/>
    <xf numFmtId="184" fontId="35" fillId="46" borderId="0" applyNumberFormat="0" applyBorder="0" applyAlignment="0" applyProtection="0"/>
    <xf numFmtId="184" fontId="35" fillId="49" borderId="0" applyNumberFormat="0" applyBorder="0" applyAlignment="0" applyProtection="0"/>
    <xf numFmtId="184" fontId="35" fillId="50" borderId="0" applyNumberFormat="0" applyBorder="0" applyAlignment="0" applyProtection="0"/>
    <xf numFmtId="184" fontId="35" fillId="51"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0" fontId="35" fillId="5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184" fontId="35" fillId="4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0" fontId="32" fillId="72" borderId="0" applyNumberFormat="0" applyBorder="0" applyAlignment="0" applyProtection="0"/>
    <xf numFmtId="184" fontId="35" fillId="42" borderId="0" applyNumberFormat="0" applyBorder="0" applyAlignment="0" applyProtection="0"/>
    <xf numFmtId="0" fontId="32" fillId="7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42"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0" fontId="35" fillId="5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184" fontId="35" fillId="7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184" fontId="35" fillId="73" borderId="0" applyNumberFormat="0" applyBorder="0" applyAlignment="0" applyProtection="0"/>
    <xf numFmtId="0" fontId="32" fillId="55"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0" fontId="35" fillId="54"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184" fontId="35" fillId="73"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184" fontId="35" fillId="73" borderId="0" applyNumberFormat="0" applyBorder="0" applyAlignment="0" applyProtection="0"/>
    <xf numFmtId="0" fontId="32" fillId="47"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3"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0" fontId="35" fillId="49"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184" fontId="35"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184" fontId="35" fillId="74" borderId="0" applyNumberFormat="0" applyBorder="0" applyAlignment="0" applyProtection="0"/>
    <xf numFmtId="0" fontId="32"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74"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0" fontId="35" fillId="5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184" fontId="35" fillId="5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184" fontId="35" fillId="50" borderId="0" applyNumberFormat="0" applyBorder="0" applyAlignment="0" applyProtection="0"/>
    <xf numFmtId="0" fontId="32" fillId="3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50"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0" fontId="35" fillId="55"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184" fontId="35" fillId="71"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184" fontId="35" fillId="71" borderId="0" applyNumberFormat="0" applyBorder="0" applyAlignment="0" applyProtection="0"/>
    <xf numFmtId="0" fontId="32" fillId="53"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35" fillId="71" borderId="0" applyNumberFormat="0" applyBorder="0" applyAlignment="0" applyProtection="0"/>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84" fontId="10" fillId="0" borderId="0" applyNumberFormat="0" applyFont="0" applyFill="0" applyBorder="0" applyAlignment="0">
      <protection locked="0"/>
    </xf>
    <xf numFmtId="167" fontId="83" fillId="0" borderId="0"/>
    <xf numFmtId="185" fontId="84" fillId="0" borderId="0">
      <alignment vertical="center"/>
    </xf>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0" fontId="36" fillId="3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184" fontId="85" fillId="3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184" fontId="85" fillId="39" borderId="0" applyNumberFormat="0" applyBorder="0" applyAlignment="0" applyProtection="0"/>
    <xf numFmtId="0" fontId="22" fillId="41"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85" fillId="39" borderId="0" applyNumberFormat="0" applyBorder="0" applyAlignment="0" applyProtection="0"/>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184" fontId="10" fillId="44" borderId="0" applyNumberFormat="0" applyBorder="0" applyAlignment="0">
      <protection locked="0"/>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38" fontId="86" fillId="75" borderId="39" applyFont="0" applyFill="0" applyBorder="0" applyAlignment="0" applyProtection="0">
      <alignment horizontal="right"/>
    </xf>
    <xf numFmtId="184" fontId="87" fillId="0" borderId="0" applyNumberFormat="0" applyFill="0" applyBorder="0" applyAlignment="0" applyProtection="0"/>
    <xf numFmtId="18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0" fontId="88" fillId="76" borderId="17">
      <alignment horizontal="center" vertical="center" wrapText="1"/>
    </xf>
    <xf numFmtId="3" fontId="88" fillId="77" borderId="12">
      <alignment horizontal="right" vertical="center" wrapText="1" indent="2"/>
    </xf>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42" fillId="40" borderId="0" applyNumberFormat="0" applyBorder="0" applyAlignment="0" applyProtection="0"/>
    <xf numFmtId="184" fontId="89" fillId="0" borderId="0" applyNumberForma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7" fillId="0" borderId="0" applyFont="0" applyFill="0" applyBorder="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0" fontId="38" fillId="56" borderId="88" applyNumberFormat="0" applyAlignment="0" applyProtection="0"/>
    <xf numFmtId="0" fontId="38" fillId="56" borderId="88" applyNumberFormat="0" applyAlignment="0" applyProtection="0"/>
    <xf numFmtId="0" fontId="90" fillId="67" borderId="70" applyNumberFormat="0" applyAlignment="0" applyProtection="0"/>
    <xf numFmtId="0" fontId="90" fillId="67" borderId="70" applyNumberFormat="0" applyAlignment="0" applyProtection="0"/>
    <xf numFmtId="184" fontId="38" fillId="67" borderId="88" applyNumberFormat="0" applyAlignment="0" applyProtection="0"/>
    <xf numFmtId="0" fontId="90" fillId="67" borderId="70" applyNumberFormat="0" applyAlignment="0" applyProtection="0"/>
    <xf numFmtId="0" fontId="90" fillId="67" borderId="70" applyNumberFormat="0" applyAlignment="0" applyProtection="0"/>
    <xf numFmtId="0" fontId="90" fillId="67" borderId="70"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0" fontId="90" fillId="67" borderId="70"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67"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8" fillId="56" borderId="88" applyNumberFormat="0" applyAlignment="0" applyProtection="0"/>
    <xf numFmtId="184" fontId="39" fillId="57" borderId="89" applyNumberFormat="0" applyAlignment="0" applyProtection="0"/>
    <xf numFmtId="184" fontId="49" fillId="0" borderId="93" applyNumberFormat="0" applyFill="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0" fontId="39" fillId="57" borderId="89" applyNumberFormat="0" applyAlignment="0" applyProtection="0"/>
    <xf numFmtId="0" fontId="28" fillId="12" borderId="73" applyNumberFormat="0" applyAlignment="0" applyProtection="0"/>
    <xf numFmtId="0" fontId="28" fillId="12" borderId="73" applyNumberFormat="0" applyAlignment="0" applyProtection="0"/>
    <xf numFmtId="184" fontId="39" fillId="57" borderId="89" applyNumberFormat="0" applyAlignment="0" applyProtection="0"/>
    <xf numFmtId="0" fontId="28" fillId="12" borderId="73" applyNumberFormat="0" applyAlignment="0" applyProtection="0"/>
    <xf numFmtId="0" fontId="28" fillId="12" borderId="73" applyNumberFormat="0" applyAlignment="0" applyProtection="0"/>
    <xf numFmtId="0" fontId="28" fillId="12" borderId="73" applyNumberFormat="0" applyAlignment="0" applyProtection="0"/>
    <xf numFmtId="184" fontId="39" fillId="57" borderId="89" applyNumberFormat="0" applyAlignment="0" applyProtection="0"/>
    <xf numFmtId="0" fontId="28" fillId="12" borderId="73"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39" fillId="57" borderId="89" applyNumberFormat="0" applyAlignment="0" applyProtection="0"/>
    <xf numFmtId="184" fontId="4" fillId="0" borderId="0" applyNumberFormat="0" applyFill="0" applyBorder="0" applyAlignment="0" applyProtection="0"/>
    <xf numFmtId="184" fontId="91"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4" fillId="0" borderId="0" applyNumberFormat="0" applyFill="0" applyBorder="0" applyAlignment="0" applyProtection="0"/>
    <xf numFmtId="184" fontId="92" fillId="0" borderId="60" applyNumberFormat="0" applyFill="0" applyBorder="0" applyAlignment="0" applyProtection="0">
      <alignment horizontal="center"/>
    </xf>
    <xf numFmtId="167" fontId="93" fillId="0" borderId="0" applyFont="0" applyFill="0" applyBorder="0" applyAlignment="0" applyProtection="0"/>
    <xf numFmtId="186" fontId="40" fillId="0" borderId="0" applyFont="0" applyFill="0" applyBorder="0" applyAlignment="0" applyProtection="0"/>
    <xf numFmtId="184" fontId="94" fillId="0" borderId="0" applyFont="0" applyFill="0" applyBorder="0" applyAlignment="0" applyProtection="0">
      <alignment horizontal="right"/>
    </xf>
    <xf numFmtId="43" fontId="4"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43" fontId="4"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180" fontId="95"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7" fontId="11" fillId="0" borderId="0" applyFont="0" applyFill="0" applyBorder="0" applyAlignment="0" applyProtection="0"/>
    <xf numFmtId="184" fontId="94" fillId="0" borderId="0" applyFont="0" applyFill="0" applyBorder="0" applyAlignment="0" applyProtection="0">
      <alignment horizontal="right"/>
    </xf>
    <xf numFmtId="184" fontId="94" fillId="0" borderId="0" applyFont="0" applyFill="0" applyBorder="0" applyAlignment="0" applyProtection="0">
      <alignment horizontal="right"/>
    </xf>
    <xf numFmtId="184" fontId="94" fillId="0" borderId="0" applyFont="0" applyFill="0" applyBorder="0" applyAlignment="0" applyProtection="0">
      <alignment horizontal="right"/>
    </xf>
    <xf numFmtId="43" fontId="10" fillId="0" borderId="0" applyFont="0" applyFill="0" applyBorder="0" applyAlignment="0" applyProtection="0"/>
    <xf numFmtId="187" fontId="11" fillId="0" borderId="0" applyFont="0" applyFill="0" applyBorder="0" applyAlignment="0" applyProtection="0"/>
    <xf numFmtId="43" fontId="10" fillId="0" borderId="0" applyFont="0" applyFill="0" applyBorder="0" applyAlignment="0" applyProtection="0"/>
    <xf numFmtId="187"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7"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84" fontId="94" fillId="0" borderId="0" applyFont="0" applyFill="0" applyBorder="0" applyAlignment="0" applyProtection="0">
      <alignment horizontal="right"/>
    </xf>
    <xf numFmtId="184" fontId="94" fillId="0" borderId="0" applyFont="0" applyFill="0" applyBorder="0" applyAlignment="0" applyProtection="0">
      <alignment horizontal="right"/>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184" fontId="94" fillId="0" borderId="0" applyFont="0" applyFill="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184" fontId="94" fillId="0" borderId="0" applyFont="0" applyFill="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4" fontId="94" fillId="0" borderId="0" applyFont="0" applyFill="0" applyBorder="0" applyAlignment="0" applyProtection="0">
      <alignment horizontal="right"/>
    </xf>
    <xf numFmtId="184" fontId="94" fillId="0" borderId="0" applyFont="0" applyFill="0" applyBorder="0" applyAlignment="0" applyProtection="0">
      <alignment horizontal="right"/>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8" fontId="40" fillId="0" borderId="0" applyFont="0" applyFill="0" applyBorder="0" applyAlignment="0" applyProtection="0"/>
    <xf numFmtId="188" fontId="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43" fontId="4"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43" fontId="4" fillId="0" borderId="0" applyFont="0" applyFill="0" applyBorder="0" applyAlignment="0" applyProtection="0"/>
    <xf numFmtId="189" fontId="40" fillId="0" borderId="0" applyFont="0" applyFill="0" applyBorder="0" applyAlignment="0" applyProtection="0"/>
    <xf numFmtId="189" fontId="40" fillId="0" borderId="0" applyFont="0" applyFill="0" applyBorder="0" applyAlignment="0" applyProtection="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6" fillId="0" borderId="167">
      <protection locked="0"/>
    </xf>
    <xf numFmtId="184" fontId="9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4" fillId="0" borderId="0" applyFont="0" applyFill="0" applyBorder="0" applyAlignment="0" applyProtection="0"/>
    <xf numFmtId="44" fontId="10"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4" fontId="94" fillId="0" borderId="0" applyFont="0" applyFill="0" applyBorder="0" applyAlignment="0" applyProtection="0">
      <alignment horizontal="right"/>
    </xf>
    <xf numFmtId="184" fontId="94"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5" fontId="95" fillId="0" borderId="0" applyFont="0" applyFill="0" applyBorder="0" applyAlignment="0" applyProtection="0"/>
    <xf numFmtId="5" fontId="95" fillId="0" borderId="0" applyFont="0" applyFill="0" applyBorder="0" applyAlignment="0" applyProtection="0"/>
    <xf numFmtId="44" fontId="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90" fontId="10"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10"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190" fontId="10" fillId="0" borderId="0" applyFont="0" applyFill="0" applyBorder="0" applyAlignment="0" applyProtection="0"/>
    <xf numFmtId="184" fontId="94" fillId="0" borderId="0" applyFont="0" applyFill="0" applyBorder="0" applyAlignment="0" applyProtection="0"/>
    <xf numFmtId="15" fontId="10" fillId="0" borderId="0" applyFont="0" applyFill="0" applyBorder="0" applyAlignment="0" applyProtection="0">
      <alignment horizontal="right"/>
    </xf>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4" fontId="10" fillId="0" borderId="0" applyFont="0" applyFill="0" applyBorder="0" applyAlignment="0" applyProtection="0"/>
    <xf numFmtId="193" fontId="10" fillId="0" borderId="0" applyFont="0" applyFill="0" applyBorder="0" applyAlignment="0" applyProtection="0"/>
    <xf numFmtId="194"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5" fontId="97" fillId="0" borderId="0" applyFont="0" applyFill="0" applyBorder="0" applyAlignment="0" applyProtection="0"/>
    <xf numFmtId="184" fontId="94" fillId="0" borderId="168" applyNumberFormat="0" applyFont="0" applyFill="0" applyAlignment="0" applyProtection="0"/>
    <xf numFmtId="184" fontId="45" fillId="0" borderId="0" applyNumberFormat="0" applyFill="0" applyBorder="0" applyAlignment="0" applyProtection="0"/>
    <xf numFmtId="184" fontId="35" fillId="52" borderId="0" applyNumberFormat="0" applyBorder="0" applyAlignment="0" applyProtection="0"/>
    <xf numFmtId="184" fontId="35" fillId="53" borderId="0" applyNumberFormat="0" applyBorder="0" applyAlignment="0" applyProtection="0"/>
    <xf numFmtId="184" fontId="35" fillId="54" borderId="0" applyNumberFormat="0" applyBorder="0" applyAlignment="0" applyProtection="0"/>
    <xf numFmtId="184" fontId="35" fillId="49" borderId="0" applyNumberFormat="0" applyBorder="0" applyAlignment="0" applyProtection="0"/>
    <xf numFmtId="184" fontId="35" fillId="50" borderId="0" applyNumberFormat="0" applyBorder="0" applyAlignment="0" applyProtection="0"/>
    <xf numFmtId="184" fontId="35" fillId="55" borderId="0" applyNumberFormat="0" applyBorder="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184" fontId="48" fillId="43" borderId="88" applyNumberFormat="0" applyAlignment="0" applyProtection="0"/>
    <xf numFmtId="3" fontId="98" fillId="0" borderId="0"/>
    <xf numFmtId="3" fontId="98" fillId="0" borderId="0"/>
    <xf numFmtId="184" fontId="99" fillId="0" borderId="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0" fontId="4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4" fontId="4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4" fontId="41" fillId="0" borderId="0" applyNumberFormat="0" applyFill="0" applyBorder="0" applyAlignment="0" applyProtection="0"/>
    <xf numFmtId="0" fontId="30"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84" fontId="41" fillId="0" borderId="0" applyNumberForma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0" fontId="65" fillId="0" borderId="60" applyNumberFormat="0" applyFill="0" applyBorder="0" applyAlignment="0"/>
    <xf numFmtId="184" fontId="100" fillId="0" borderId="0" applyFill="0" applyBorder="0" applyProtection="0">
      <alignment horizontal="left"/>
    </xf>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0" fontId="42"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184" fontId="42"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184" fontId="42" fillId="40" borderId="0" applyNumberFormat="0" applyBorder="0" applyAlignment="0" applyProtection="0"/>
    <xf numFmtId="0" fontId="21" fillId="42"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184" fontId="42" fillId="40" borderId="0" applyNumberFormat="0" applyBorder="0" applyAlignment="0" applyProtection="0"/>
    <xf numFmtId="3" fontId="88" fillId="77" borderId="12">
      <alignment horizontal="center" vertical="center" wrapText="1"/>
    </xf>
    <xf numFmtId="3" fontId="88" fillId="77" borderId="169">
      <alignment horizontal="center" vertical="center" wrapText="1"/>
    </xf>
    <xf numFmtId="184" fontId="94" fillId="0" borderId="0" applyFont="0" applyFill="0" applyBorder="0" applyAlignment="0" applyProtection="0">
      <alignment horizontal="right"/>
    </xf>
    <xf numFmtId="0" fontId="101" fillId="56" borderId="47">
      <alignment horizontal="center" vertical="center"/>
    </xf>
    <xf numFmtId="184" fontId="102" fillId="0" borderId="0" applyProtection="0">
      <alignment horizontal="right"/>
    </xf>
    <xf numFmtId="0" fontId="101" fillId="56" borderId="47">
      <alignment horizontal="center" vertical="center"/>
    </xf>
    <xf numFmtId="0" fontId="101" fillId="56" borderId="47">
      <alignment horizontal="center" vertical="center"/>
    </xf>
    <xf numFmtId="184" fontId="102" fillId="0" borderId="0" applyProtection="0">
      <alignment horizontal="right"/>
    </xf>
    <xf numFmtId="197" fontId="103" fillId="0" borderId="170" applyFill="0" applyProtection="0">
      <alignment wrapText="1"/>
    </xf>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0" fontId="43" fillId="0" borderId="90" applyNumberFormat="0" applyFill="0" applyAlignment="0" applyProtection="0"/>
    <xf numFmtId="0" fontId="105" fillId="0" borderId="171" applyNumberFormat="0" applyFill="0" applyAlignment="0" applyProtection="0"/>
    <xf numFmtId="0" fontId="105" fillId="0" borderId="171" applyNumberFormat="0" applyFill="0" applyAlignment="0" applyProtection="0"/>
    <xf numFmtId="184" fontId="104" fillId="0" borderId="0" applyNumberFormat="0" applyFill="0" applyBorder="0" applyAlignment="0" applyProtection="0"/>
    <xf numFmtId="0" fontId="105" fillId="0" borderId="171" applyNumberFormat="0" applyFill="0" applyAlignment="0" applyProtection="0"/>
    <xf numFmtId="0" fontId="105" fillId="0" borderId="171" applyNumberFormat="0" applyFill="0" applyAlignment="0" applyProtection="0"/>
    <xf numFmtId="0" fontId="105" fillId="0" borderId="171" applyNumberFormat="0" applyFill="0" applyAlignment="0" applyProtection="0"/>
    <xf numFmtId="184" fontId="104" fillId="0" borderId="0" applyNumberFormat="0" applyFill="0" applyBorder="0" applyAlignment="0" applyProtection="0"/>
    <xf numFmtId="0" fontId="105" fillId="0" borderId="171" applyNumberFormat="0" applyFill="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4"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0" fontId="44" fillId="0" borderId="91" applyNumberFormat="0" applyFill="0" applyAlignment="0" applyProtection="0"/>
    <xf numFmtId="0" fontId="107" fillId="0" borderId="172" applyNumberFormat="0" applyFill="0" applyAlignment="0" applyProtection="0"/>
    <xf numFmtId="0" fontId="107" fillId="0" borderId="172" applyNumberFormat="0" applyFill="0" applyAlignment="0" applyProtection="0"/>
    <xf numFmtId="184" fontId="106" fillId="0" borderId="0" applyNumberFormat="0" applyFill="0" applyBorder="0" applyAlignment="0" applyProtection="0"/>
    <xf numFmtId="0" fontId="107" fillId="0" borderId="172" applyNumberFormat="0" applyFill="0" applyAlignment="0" applyProtection="0"/>
    <xf numFmtId="0" fontId="107" fillId="0" borderId="172" applyNumberFormat="0" applyFill="0" applyAlignment="0" applyProtection="0"/>
    <xf numFmtId="0" fontId="107" fillId="0" borderId="172" applyNumberFormat="0" applyFill="0" applyAlignment="0" applyProtection="0"/>
    <xf numFmtId="184" fontId="106" fillId="0" borderId="0" applyNumberFormat="0" applyFill="0" applyBorder="0" applyAlignment="0" applyProtection="0"/>
    <xf numFmtId="0" fontId="107" fillId="0" borderId="172" applyNumberFormat="0" applyFill="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6" fillId="0" borderId="0" applyNumberFormat="0" applyFill="0" applyBorder="0" applyAlignment="0" applyProtection="0"/>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0" fontId="45" fillId="0" borderId="92" applyNumberFormat="0" applyFill="0" applyAlignment="0" applyProtection="0"/>
    <xf numFmtId="0" fontId="109" fillId="0" borderId="173" applyNumberFormat="0" applyFill="0" applyAlignment="0" applyProtection="0"/>
    <xf numFmtId="0" fontId="109" fillId="0" borderId="173" applyNumberFormat="0" applyFill="0" applyAlignment="0" applyProtection="0"/>
    <xf numFmtId="184" fontId="108" fillId="0" borderId="0" applyProtection="0">
      <alignment horizontal="left"/>
    </xf>
    <xf numFmtId="0" fontId="109" fillId="0" borderId="173" applyNumberFormat="0" applyFill="0" applyAlignment="0" applyProtection="0"/>
    <xf numFmtId="0" fontId="109" fillId="0" borderId="173" applyNumberFormat="0" applyFill="0" applyAlignment="0" applyProtection="0"/>
    <xf numFmtId="0" fontId="109" fillId="0" borderId="173" applyNumberFormat="0" applyFill="0" applyAlignment="0" applyProtection="0"/>
    <xf numFmtId="184" fontId="108" fillId="0" borderId="0" applyProtection="0">
      <alignment horizontal="left"/>
    </xf>
    <xf numFmtId="0" fontId="109" fillId="0" borderId="173" applyNumberFormat="0" applyFill="0" applyAlignment="0" applyProtection="0"/>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8" fillId="0" borderId="0" applyProtection="0">
      <alignment horizontal="left"/>
    </xf>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0" fontId="45"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84"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84" fontId="109" fillId="0" borderId="0" applyNumberFormat="0" applyFill="0" applyBorder="0" applyAlignment="0" applyProtection="0"/>
    <xf numFmtId="0"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84" fontId="109" fillId="0" borderId="0" applyNumberFormat="0" applyFill="0" applyBorder="0" applyAlignment="0" applyProtection="0"/>
    <xf numFmtId="198" fontId="110" fillId="0" borderId="0">
      <protection locked="0"/>
    </xf>
    <xf numFmtId="198" fontId="110" fillId="0" borderId="0">
      <protection locked="0"/>
    </xf>
    <xf numFmtId="199" fontId="10" fillId="78" borderId="0" applyBorder="0"/>
    <xf numFmtId="1" fontId="10" fillId="78" borderId="0" applyFill="0" applyBorder="0" applyAlignment="0" applyProtection="0"/>
    <xf numFmtId="200" fontId="10" fillId="78" borderId="0" applyBorder="0" applyProtection="0"/>
    <xf numFmtId="200" fontId="10" fillId="79" borderId="0"/>
    <xf numFmtId="201" fontId="10" fillId="78" borderId="0" applyFill="0" applyBorder="0" applyProtection="0"/>
    <xf numFmtId="202" fontId="10" fillId="78" borderId="174" applyBorder="0" applyProtection="0"/>
    <xf numFmtId="203" fontId="10" fillId="78" borderId="175" applyFill="0" applyBorder="0" applyProtection="0"/>
    <xf numFmtId="204" fontId="10" fillId="0" borderId="0" applyFill="0"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5" fontId="10" fillId="0" borderId="176"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0" fillId="0" borderId="0" applyFill="0" applyBorder="0"/>
    <xf numFmtId="204" fontId="11" fillId="0" borderId="0" applyFill="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204" fontId="11" fillId="0" borderId="80"/>
    <xf numFmtId="184" fontId="111" fillId="80" borderId="0"/>
    <xf numFmtId="184" fontId="112" fillId="80" borderId="0"/>
    <xf numFmtId="184" fontId="113" fillId="80" borderId="0"/>
    <xf numFmtId="199" fontId="10" fillId="0" borderId="0" applyFill="0" applyBorder="0"/>
    <xf numFmtId="206" fontId="10" fillId="0" borderId="0" applyBorder="0"/>
    <xf numFmtId="184" fontId="10" fillId="0" borderId="0" applyBorder="0">
      <alignment horizontal="right"/>
    </xf>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1" fontId="10" fillId="0" borderId="174"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8"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81" borderId="177">
      <alignment horizontal="center"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5" fillId="82" borderId="17">
      <alignment horizontal="left" vertical="center" wrapText="1"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0" fontId="115" fillId="83" borderId="17">
      <alignment vertical="center"/>
    </xf>
    <xf numFmtId="0" fontId="4" fillId="0" borderId="0"/>
    <xf numFmtId="207" fontId="115" fillId="84" borderId="17">
      <alignment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0" fontId="7" fillId="76" borderId="17"/>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2" fontId="7" fillId="77" borderId="5"/>
    <xf numFmtId="0" fontId="4" fillId="0" borderId="0"/>
    <xf numFmtId="0" fontId="116" fillId="85" borderId="3">
      <alignment horizontal="left" vertical="center" wrapText="1"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7" fontId="115" fillId="84" borderId="17">
      <alignment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160">
    <xf numFmtId="0" fontId="0" fillId="0" borderId="0" xfId="0"/>
    <xf numFmtId="0" fontId="0" fillId="2" borderId="0" xfId="0" applyFill="1"/>
    <xf numFmtId="0" fontId="0" fillId="2" borderId="0" xfId="0" applyFill="1" applyAlignment="1">
      <alignment horizontal="center"/>
    </xf>
    <xf numFmtId="0" fontId="7" fillId="0" borderId="0" xfId="0" applyFont="1"/>
    <xf numFmtId="0" fontId="7" fillId="3" borderId="0" xfId="0" applyFont="1" applyFill="1"/>
    <xf numFmtId="0" fontId="7" fillId="3" borderId="0" xfId="0" applyFont="1" applyFill="1" applyAlignment="1">
      <alignment horizontal="center"/>
    </xf>
    <xf numFmtId="0" fontId="7" fillId="0" borderId="0" xfId="0" applyFont="1" applyFill="1"/>
    <xf numFmtId="0" fontId="5" fillId="0" borderId="0" xfId="0" applyFont="1"/>
    <xf numFmtId="0" fontId="12" fillId="0" borderId="0" xfId="0" applyFont="1"/>
    <xf numFmtId="0" fontId="5" fillId="0" borderId="0" xfId="0" applyFont="1" applyFill="1"/>
    <xf numFmtId="0" fontId="12" fillId="0" borderId="0" xfId="0" applyFont="1" applyFill="1"/>
    <xf numFmtId="0" fontId="7" fillId="2" borderId="0" xfId="0" applyFont="1" applyFill="1"/>
    <xf numFmtId="0" fontId="12" fillId="3" borderId="0" xfId="0" applyFont="1" applyFill="1"/>
    <xf numFmtId="0" fontId="12" fillId="3" borderId="13" xfId="0" applyFont="1" applyFill="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16" xfId="0" applyFont="1" applyFill="1" applyBorder="1" applyAlignment="1" applyProtection="1">
      <alignment vertical="top" wrapText="1"/>
      <protection locked="0"/>
    </xf>
    <xf numFmtId="0" fontId="12" fillId="3" borderId="19"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24" xfId="0" applyFont="1" applyFill="1" applyBorder="1" applyAlignment="1" applyProtection="1">
      <alignment vertical="top" wrapText="1"/>
      <protection locked="0"/>
    </xf>
    <xf numFmtId="0" fontId="12" fillId="3" borderId="30" xfId="0" applyFont="1" applyFill="1" applyBorder="1" applyAlignment="1" applyProtection="1">
      <alignment vertical="top" wrapText="1"/>
      <protection locked="0"/>
    </xf>
    <xf numFmtId="0" fontId="12" fillId="3" borderId="31" xfId="0" applyFont="1" applyFill="1" applyBorder="1" applyAlignment="1" applyProtection="1">
      <alignment horizontal="center" vertical="top" wrapText="1"/>
      <protection locked="0"/>
    </xf>
    <xf numFmtId="0" fontId="12" fillId="3" borderId="24" xfId="0" applyFont="1" applyFill="1" applyBorder="1" applyAlignment="1" applyProtection="1">
      <alignment horizontal="center" vertical="top" wrapText="1"/>
      <protection locked="0"/>
    </xf>
    <xf numFmtId="0" fontId="12" fillId="3" borderId="32" xfId="0" applyFont="1" applyFill="1" applyBorder="1" applyAlignment="1" applyProtection="1">
      <alignment vertical="top" wrapText="1"/>
      <protection locked="0"/>
    </xf>
    <xf numFmtId="0" fontId="12" fillId="3" borderId="15" xfId="0" quotePrefix="1" applyFont="1" applyFill="1" applyBorder="1" applyAlignment="1" applyProtection="1">
      <alignment horizontal="center" vertical="top" wrapText="1"/>
      <protection locked="0"/>
    </xf>
    <xf numFmtId="0" fontId="12" fillId="2" borderId="6" xfId="0" applyFont="1" applyFill="1" applyBorder="1" applyAlignment="1" applyProtection="1">
      <alignment vertical="top" wrapText="1"/>
      <protection locked="0"/>
    </xf>
    <xf numFmtId="5" fontId="12" fillId="0" borderId="12" xfId="4" applyNumberFormat="1" applyFont="1" applyFill="1" applyBorder="1" applyAlignment="1" applyProtection="1">
      <alignment horizontal="center" vertical="center" wrapText="1"/>
      <protection locked="0"/>
    </xf>
    <xf numFmtId="168" fontId="12" fillId="3" borderId="46" xfId="4" applyNumberFormat="1" applyFont="1" applyFill="1" applyBorder="1" applyAlignment="1" applyProtection="1">
      <alignment horizontal="center" vertical="center" wrapText="1"/>
      <protection locked="0"/>
    </xf>
    <xf numFmtId="168" fontId="12" fillId="3" borderId="5" xfId="4" applyNumberFormat="1" applyFont="1" applyFill="1" applyBorder="1" applyAlignment="1" applyProtection="1">
      <alignment horizontal="center" vertical="center" wrapText="1"/>
      <protection locked="0"/>
    </xf>
    <xf numFmtId="9" fontId="12" fillId="3" borderId="21" xfId="7" applyFont="1" applyFill="1" applyBorder="1" applyAlignment="1" applyProtection="1">
      <alignment horizontal="center" vertical="top" wrapText="1"/>
      <protection locked="0"/>
    </xf>
    <xf numFmtId="0" fontId="12" fillId="3" borderId="9" xfId="0" applyFont="1" applyFill="1" applyBorder="1" applyAlignment="1" applyProtection="1">
      <alignment horizontal="center" vertical="top" wrapText="1"/>
      <protection locked="0"/>
    </xf>
    <xf numFmtId="0" fontId="12" fillId="3" borderId="50" xfId="0" applyFont="1" applyFill="1" applyBorder="1" applyAlignment="1" applyProtection="1">
      <alignment horizontal="center" vertical="top" wrapText="1"/>
      <protection locked="0"/>
    </xf>
    <xf numFmtId="168" fontId="12" fillId="3" borderId="50" xfId="4" applyNumberFormat="1" applyFont="1" applyFill="1" applyBorder="1" applyAlignment="1" applyProtection="1">
      <alignment horizontal="center" vertical="top" wrapText="1"/>
      <protection locked="0"/>
    </xf>
    <xf numFmtId="0" fontId="12" fillId="0" borderId="14" xfId="0" applyFont="1" applyFill="1" applyBorder="1" applyAlignment="1" applyProtection="1">
      <alignment horizontal="center" vertical="top" wrapText="1"/>
      <protection locked="0"/>
    </xf>
    <xf numFmtId="0" fontId="12" fillId="0" borderId="0" xfId="0" applyFont="1" applyFill="1" applyBorder="1"/>
    <xf numFmtId="0" fontId="11" fillId="0" borderId="0" xfId="0" applyFont="1" applyAlignment="1">
      <alignment horizontal="left"/>
    </xf>
    <xf numFmtId="168" fontId="10" fillId="3" borderId="18" xfId="4" applyNumberFormat="1" applyFont="1" applyFill="1" applyBorder="1" applyAlignment="1" applyProtection="1">
      <alignment horizontal="center" vertical="center" wrapText="1"/>
      <protection locked="0"/>
    </xf>
    <xf numFmtId="0" fontId="11" fillId="0" borderId="0" xfId="0" applyFont="1" applyFill="1" applyBorder="1" applyAlignment="1">
      <alignment horizontal="center"/>
    </xf>
    <xf numFmtId="0" fontId="10" fillId="0" borderId="0" xfId="0" applyFont="1" applyFill="1" applyBorder="1"/>
    <xf numFmtId="0" fontId="6" fillId="0" borderId="0" xfId="0" applyFont="1" applyFill="1" applyBorder="1" applyAlignment="1"/>
    <xf numFmtId="0" fontId="8" fillId="0" borderId="0" xfId="0" applyFont="1" applyFill="1" applyBorder="1" applyAlignment="1">
      <alignment vertical="top" wrapText="1"/>
    </xf>
    <xf numFmtId="0" fontId="12" fillId="0" borderId="8" xfId="0" applyFont="1" applyBorder="1" applyAlignment="1" applyProtection="1">
      <alignment horizontal="center" vertical="top" wrapText="1"/>
      <protection locked="0"/>
    </xf>
    <xf numFmtId="0" fontId="67" fillId="0" borderId="0" xfId="211" applyFont="1"/>
    <xf numFmtId="0" fontId="67" fillId="0" borderId="0" xfId="211" applyFont="1" applyAlignment="1">
      <alignment horizontal="left" wrapText="1"/>
    </xf>
    <xf numFmtId="0" fontId="67" fillId="0" borderId="0" xfId="211" applyFont="1" applyBorder="1"/>
    <xf numFmtId="0" fontId="67" fillId="0" borderId="0" xfId="211" applyFont="1" applyBorder="1" applyAlignment="1">
      <alignment horizontal="left" wrapText="1"/>
    </xf>
    <xf numFmtId="0" fontId="67" fillId="0" borderId="0" xfId="211" applyFont="1" applyBorder="1" applyAlignment="1">
      <alignment vertical="center"/>
    </xf>
    <xf numFmtId="0" fontId="67" fillId="0" borderId="0" xfId="211" applyFont="1" applyAlignment="1">
      <alignment vertical="center" wrapText="1"/>
    </xf>
    <xf numFmtId="0" fontId="12" fillId="3" borderId="16" xfId="0" applyFont="1" applyFill="1" applyBorder="1" applyAlignment="1" applyProtection="1">
      <alignment horizontal="center" vertical="top" wrapText="1"/>
      <protection locked="0"/>
    </xf>
    <xf numFmtId="170" fontId="12" fillId="3" borderId="16" xfId="0" applyNumberFormat="1" applyFont="1" applyFill="1" applyBorder="1" applyAlignment="1" applyProtection="1">
      <alignment horizontal="center" vertical="top" wrapText="1"/>
      <protection locked="0"/>
    </xf>
    <xf numFmtId="3" fontId="12" fillId="3" borderId="24" xfId="0" applyNumberFormat="1" applyFont="1" applyFill="1" applyBorder="1" applyAlignment="1" applyProtection="1">
      <alignment horizontal="center" vertical="top" wrapText="1"/>
      <protection locked="0"/>
    </xf>
    <xf numFmtId="3" fontId="12" fillId="3" borderId="16" xfId="0" applyNumberFormat="1" applyFont="1" applyFill="1" applyBorder="1" applyAlignment="1" applyProtection="1">
      <alignment horizontal="center" vertical="top" wrapText="1"/>
      <protection locked="0"/>
    </xf>
    <xf numFmtId="0" fontId="12" fillId="3" borderId="47" xfId="0" applyFont="1" applyFill="1" applyBorder="1" applyAlignment="1" applyProtection="1">
      <alignment horizontal="center" vertical="top" wrapText="1"/>
      <protection locked="0"/>
    </xf>
    <xf numFmtId="0" fontId="12" fillId="3" borderId="15" xfId="0" applyFont="1" applyFill="1" applyBorder="1" applyAlignment="1" applyProtection="1">
      <alignment horizontal="center" vertical="top" wrapText="1"/>
      <protection locked="0"/>
    </xf>
    <xf numFmtId="0" fontId="12" fillId="3" borderId="48" xfId="0" applyFont="1" applyFill="1" applyBorder="1" applyAlignment="1" applyProtection="1">
      <alignment horizontal="center" vertical="top" wrapText="1"/>
      <protection locked="0"/>
    </xf>
    <xf numFmtId="168" fontId="12" fillId="3" borderId="16" xfId="4" applyNumberFormat="1" applyFont="1" applyFill="1" applyBorder="1" applyAlignment="1" applyProtection="1">
      <alignment horizontal="center" vertical="top" wrapText="1"/>
      <protection locked="0"/>
    </xf>
    <xf numFmtId="168" fontId="12" fillId="3" borderId="15" xfId="4" applyNumberFormat="1" applyFont="1" applyFill="1" applyBorder="1" applyAlignment="1" applyProtection="1">
      <alignment horizontal="center" vertical="top" wrapText="1"/>
      <protection locked="0"/>
    </xf>
    <xf numFmtId="0" fontId="6" fillId="5" borderId="11" xfId="0" applyFont="1" applyFill="1" applyBorder="1" applyAlignment="1" applyProtection="1">
      <alignment vertical="top" wrapText="1"/>
    </xf>
    <xf numFmtId="0" fontId="11" fillId="5" borderId="6" xfId="0" applyFont="1" applyFill="1" applyBorder="1" applyAlignment="1" applyProtection="1">
      <alignment vertical="top" wrapText="1"/>
    </xf>
    <xf numFmtId="0" fontId="11" fillId="5" borderId="7" xfId="0" applyFont="1" applyFill="1" applyBorder="1" applyAlignment="1" applyProtection="1">
      <alignment vertical="top" wrapText="1"/>
    </xf>
    <xf numFmtId="0" fontId="11" fillId="5" borderId="8" xfId="0" applyFont="1" applyFill="1" applyBorder="1" applyAlignment="1" applyProtection="1">
      <alignment vertical="top" wrapText="1"/>
    </xf>
    <xf numFmtId="0" fontId="11" fillId="5" borderId="9" xfId="0" applyFont="1" applyFill="1" applyBorder="1" applyAlignment="1" applyProtection="1">
      <alignment vertical="top" wrapText="1"/>
    </xf>
    <xf numFmtId="0" fontId="11" fillId="5" borderId="10" xfId="0" applyFont="1" applyFill="1" applyBorder="1" applyAlignment="1" applyProtection="1">
      <alignment vertical="top" wrapText="1"/>
    </xf>
    <xf numFmtId="0" fontId="7" fillId="0" borderId="0" xfId="0" applyFont="1" applyFill="1" applyProtection="1"/>
    <xf numFmtId="0" fontId="5" fillId="0" borderId="0" xfId="0" applyFont="1" applyFill="1" applyProtection="1"/>
    <xf numFmtId="0" fontId="11" fillId="5" borderId="17" xfId="0" applyFont="1" applyFill="1" applyBorder="1" applyAlignment="1" applyProtection="1">
      <alignment vertical="top" wrapText="1"/>
    </xf>
    <xf numFmtId="0" fontId="11" fillId="5" borderId="14" xfId="0" applyFont="1" applyFill="1" applyBorder="1" applyAlignment="1" applyProtection="1">
      <alignment vertical="top" wrapText="1"/>
    </xf>
    <xf numFmtId="0" fontId="11" fillId="5" borderId="14" xfId="0" applyFont="1" applyFill="1" applyBorder="1" applyAlignment="1" applyProtection="1">
      <alignment horizontal="center" vertical="top" wrapText="1"/>
    </xf>
    <xf numFmtId="0" fontId="11" fillId="5" borderId="18" xfId="0" applyFont="1" applyFill="1" applyBorder="1" applyAlignment="1" applyProtection="1">
      <alignment vertical="top" wrapText="1"/>
    </xf>
    <xf numFmtId="0" fontId="13" fillId="5" borderId="18" xfId="0" applyFont="1" applyFill="1" applyBorder="1" applyAlignment="1" applyProtection="1">
      <alignment horizontal="right" vertical="top" wrapText="1"/>
    </xf>
    <xf numFmtId="0" fontId="13" fillId="5" borderId="14" xfId="0" applyFont="1" applyFill="1" applyBorder="1" applyAlignment="1" applyProtection="1">
      <alignment horizontal="right" vertical="top" wrapText="1"/>
    </xf>
    <xf numFmtId="0" fontId="12" fillId="5" borderId="15" xfId="0" applyFont="1" applyFill="1" applyBorder="1" applyAlignment="1" applyProtection="1">
      <alignment vertical="top" wrapText="1"/>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11" fillId="5" borderId="19" xfId="0" applyFont="1" applyFill="1" applyBorder="1" applyAlignment="1" applyProtection="1">
      <alignment horizontal="right" vertical="top" wrapText="1"/>
    </xf>
    <xf numFmtId="0" fontId="11" fillId="5" borderId="8" xfId="0" applyFont="1" applyFill="1" applyBorder="1" applyAlignment="1" applyProtection="1">
      <alignment horizontal="right" vertical="top" wrapText="1"/>
    </xf>
    <xf numFmtId="0" fontId="11" fillId="5" borderId="9" xfId="0" applyFont="1" applyFill="1" applyBorder="1" applyAlignment="1" applyProtection="1">
      <alignment horizontal="right" vertical="top" wrapText="1"/>
    </xf>
    <xf numFmtId="0" fontId="11" fillId="5" borderId="10" xfId="0" applyFont="1" applyFill="1" applyBorder="1" applyAlignment="1" applyProtection="1">
      <alignment horizontal="right" vertical="top" wrapText="1"/>
    </xf>
    <xf numFmtId="0" fontId="12" fillId="0" borderId="0" xfId="0" applyFont="1" applyFill="1" applyAlignment="1" applyProtection="1">
      <alignment wrapText="1"/>
    </xf>
    <xf numFmtId="0" fontId="11" fillId="5" borderId="14" xfId="0" applyFont="1" applyFill="1" applyBorder="1" applyAlignment="1" applyProtection="1">
      <alignment horizontal="right" vertical="top" wrapText="1"/>
    </xf>
    <xf numFmtId="0" fontId="11" fillId="5" borderId="12" xfId="0" quotePrefix="1" applyFont="1" applyFill="1" applyBorder="1" applyAlignment="1" applyProtection="1">
      <alignment horizontal="right" vertical="top" wrapText="1"/>
    </xf>
    <xf numFmtId="0" fontId="11" fillId="5" borderId="13" xfId="0" applyFont="1" applyFill="1" applyBorder="1" applyAlignment="1" applyProtection="1">
      <alignment horizontal="right" vertical="top" wrapText="1"/>
    </xf>
    <xf numFmtId="0" fontId="12" fillId="5" borderId="13" xfId="0" applyFont="1" applyFill="1" applyBorder="1" applyAlignment="1" applyProtection="1">
      <alignment vertical="top" wrapText="1"/>
    </xf>
    <xf numFmtId="0" fontId="12" fillId="5" borderId="11" xfId="0" applyFont="1" applyFill="1" applyBorder="1" applyAlignment="1" applyProtection="1">
      <alignment vertical="top" wrapText="1"/>
    </xf>
    <xf numFmtId="0" fontId="11" fillId="5" borderId="13" xfId="0" quotePrefix="1" applyFont="1" applyFill="1" applyBorder="1" applyAlignment="1" applyProtection="1">
      <alignment horizontal="right" vertical="top" wrapText="1"/>
    </xf>
    <xf numFmtId="0" fontId="11" fillId="5" borderId="3" xfId="0" applyFont="1" applyFill="1" applyBorder="1" applyAlignment="1" applyProtection="1">
      <alignment vertical="top" wrapText="1"/>
    </xf>
    <xf numFmtId="0" fontId="11" fillId="5" borderId="4" xfId="0" applyFont="1" applyFill="1" applyBorder="1" applyAlignment="1" applyProtection="1">
      <alignment horizontal="right" vertical="top" wrapText="1"/>
    </xf>
    <xf numFmtId="0" fontId="67" fillId="0" borderId="0" xfId="211" applyFont="1" applyProtection="1"/>
    <xf numFmtId="0" fontId="67" fillId="0" borderId="0" xfId="211" applyFont="1" applyAlignment="1" applyProtection="1">
      <alignment horizontal="left" wrapText="1"/>
    </xf>
    <xf numFmtId="0" fontId="67" fillId="6" borderId="1" xfId="211" applyFont="1" applyFill="1" applyBorder="1" applyAlignment="1" applyProtection="1">
      <alignment horizontal="center" wrapText="1"/>
    </xf>
    <xf numFmtId="0" fontId="67" fillId="6" borderId="25" xfId="211" applyFont="1" applyFill="1" applyBorder="1" applyAlignment="1" applyProtection="1">
      <alignment horizontal="center" wrapText="1"/>
    </xf>
    <xf numFmtId="0" fontId="71" fillId="6" borderId="117" xfId="211" applyFont="1" applyFill="1" applyBorder="1" applyAlignment="1" applyProtection="1">
      <alignment horizontal="center"/>
    </xf>
    <xf numFmtId="0" fontId="67" fillId="6" borderId="114" xfId="211" applyFont="1" applyFill="1" applyBorder="1" applyAlignment="1" applyProtection="1">
      <alignment vertical="center"/>
    </xf>
    <xf numFmtId="3" fontId="67" fillId="6" borderId="115" xfId="211" applyNumberFormat="1" applyFont="1" applyFill="1" applyBorder="1" applyAlignment="1" applyProtection="1">
      <alignment horizontal="center" vertical="center"/>
    </xf>
    <xf numFmtId="3" fontId="67" fillId="6" borderId="116" xfId="211" applyNumberFormat="1" applyFont="1" applyFill="1" applyBorder="1" applyAlignment="1" applyProtection="1">
      <alignment horizontal="center" vertical="center"/>
    </xf>
    <xf numFmtId="0" fontId="71" fillId="6" borderId="118" xfId="211" applyFont="1" applyFill="1" applyBorder="1" applyAlignment="1" applyProtection="1">
      <alignment horizontal="center"/>
    </xf>
    <xf numFmtId="0" fontId="67" fillId="6" borderId="108" xfId="211" applyFont="1" applyFill="1" applyBorder="1" applyAlignment="1" applyProtection="1">
      <alignment vertical="center"/>
    </xf>
    <xf numFmtId="3" fontId="67" fillId="6" borderId="109" xfId="211" applyNumberFormat="1" applyFont="1" applyFill="1" applyBorder="1" applyAlignment="1" applyProtection="1">
      <alignment horizontal="center" vertical="center"/>
    </xf>
    <xf numFmtId="3" fontId="67" fillId="6" borderId="110" xfId="211" applyNumberFormat="1" applyFont="1" applyFill="1" applyBorder="1" applyAlignment="1" applyProtection="1">
      <alignment horizontal="center" vertical="center"/>
    </xf>
    <xf numFmtId="0" fontId="71" fillId="6" borderId="119" xfId="211" applyFont="1" applyFill="1" applyBorder="1" applyAlignment="1" applyProtection="1">
      <alignment horizontal="center"/>
    </xf>
    <xf numFmtId="0" fontId="67" fillId="6" borderId="105" xfId="211" applyFont="1" applyFill="1" applyBorder="1" applyAlignment="1" applyProtection="1">
      <alignment vertical="center"/>
    </xf>
    <xf numFmtId="3" fontId="67" fillId="6" borderId="106" xfId="211" applyNumberFormat="1" applyFont="1" applyFill="1" applyBorder="1" applyAlignment="1" applyProtection="1">
      <alignment horizontal="center" vertical="center"/>
    </xf>
    <xf numFmtId="3" fontId="67" fillId="6" borderId="107" xfId="211" applyNumberFormat="1" applyFont="1" applyFill="1" applyBorder="1" applyAlignment="1" applyProtection="1">
      <alignment horizontal="center" vertical="center"/>
    </xf>
    <xf numFmtId="0" fontId="71" fillId="6" borderId="120" xfId="211" applyFont="1" applyFill="1" applyBorder="1" applyAlignment="1" applyProtection="1">
      <alignment horizontal="center"/>
    </xf>
    <xf numFmtId="0" fontId="67" fillId="6" borderId="111" xfId="211" applyFont="1" applyFill="1" applyBorder="1" applyAlignment="1" applyProtection="1">
      <alignment vertical="center"/>
    </xf>
    <xf numFmtId="3" fontId="67" fillId="6" borderId="112" xfId="211" applyNumberFormat="1" applyFont="1" applyFill="1" applyBorder="1" applyAlignment="1" applyProtection="1">
      <alignment horizontal="center" vertical="center"/>
    </xf>
    <xf numFmtId="3" fontId="67" fillId="6" borderId="113" xfId="211" applyNumberFormat="1" applyFont="1" applyFill="1" applyBorder="1" applyAlignment="1" applyProtection="1">
      <alignment horizontal="center" vertical="center"/>
    </xf>
    <xf numFmtId="0" fontId="67" fillId="6" borderId="100" xfId="211" applyFont="1" applyFill="1" applyBorder="1" applyAlignment="1" applyProtection="1">
      <alignment horizontal="center" wrapText="1"/>
    </xf>
    <xf numFmtId="0" fontId="67" fillId="6" borderId="99" xfId="211" applyFont="1" applyFill="1" applyBorder="1" applyAlignment="1" applyProtection="1">
      <alignment horizontal="center" wrapText="1"/>
    </xf>
    <xf numFmtId="0" fontId="71" fillId="6" borderId="17" xfId="211" applyFont="1" applyFill="1" applyBorder="1" applyAlignment="1" applyProtection="1">
      <alignment horizontal="center" vertical="center"/>
    </xf>
    <xf numFmtId="3" fontId="10" fillId="6" borderId="52" xfId="211" applyNumberFormat="1" applyFont="1" applyFill="1" applyBorder="1" applyAlignment="1" applyProtection="1">
      <alignment horizontal="center" vertical="center"/>
    </xf>
    <xf numFmtId="3" fontId="10" fillId="6" borderId="65" xfId="211" applyNumberFormat="1" applyFont="1" applyFill="1" applyBorder="1" applyAlignment="1" applyProtection="1">
      <alignment horizontal="center" vertical="center"/>
    </xf>
    <xf numFmtId="3" fontId="67" fillId="6" borderId="52" xfId="211" applyNumberFormat="1" applyFont="1" applyFill="1" applyBorder="1" applyAlignment="1" applyProtection="1">
      <alignment horizontal="center" vertical="center"/>
    </xf>
    <xf numFmtId="3" fontId="67" fillId="6" borderId="65" xfId="211" applyNumberFormat="1" applyFont="1" applyFill="1" applyBorder="1" applyAlignment="1" applyProtection="1">
      <alignment horizontal="center" vertical="center"/>
    </xf>
    <xf numFmtId="0" fontId="71" fillId="6" borderId="19" xfId="211" applyFont="1" applyFill="1" applyBorder="1" applyAlignment="1" applyProtection="1">
      <alignment horizontal="center" vertical="center"/>
    </xf>
    <xf numFmtId="3" fontId="67" fillId="6" borderId="35" xfId="211" applyNumberFormat="1" applyFont="1" applyFill="1" applyBorder="1" applyAlignment="1" applyProtection="1">
      <alignment horizontal="center" vertical="center"/>
    </xf>
    <xf numFmtId="3" fontId="67" fillId="6" borderId="20" xfId="211" applyNumberFormat="1" applyFont="1" applyFill="1" applyBorder="1" applyAlignment="1" applyProtection="1">
      <alignment horizontal="center" vertical="center"/>
    </xf>
    <xf numFmtId="0" fontId="71" fillId="6" borderId="8" xfId="211" applyFont="1" applyFill="1" applyBorder="1" applyAlignment="1" applyProtection="1">
      <alignment horizontal="center" vertical="center"/>
    </xf>
    <xf numFmtId="3" fontId="67" fillId="6" borderId="2" xfId="211" applyNumberFormat="1" applyFont="1" applyFill="1" applyBorder="1" applyAlignment="1" applyProtection="1">
      <alignment horizontal="center" vertical="center"/>
    </xf>
    <xf numFmtId="3" fontId="67" fillId="6" borderId="23" xfId="211" applyNumberFormat="1" applyFont="1" applyFill="1" applyBorder="1" applyAlignment="1" applyProtection="1">
      <alignment horizontal="center" vertical="center"/>
    </xf>
    <xf numFmtId="0" fontId="71" fillId="6" borderId="9" xfId="211" applyFont="1" applyFill="1" applyBorder="1" applyAlignment="1" applyProtection="1">
      <alignment horizontal="center" vertical="center"/>
    </xf>
    <xf numFmtId="3" fontId="67" fillId="6" borderId="1" xfId="211" applyNumberFormat="1" applyFont="1" applyFill="1" applyBorder="1" applyAlignment="1" applyProtection="1">
      <alignment horizontal="center" vertical="center"/>
    </xf>
    <xf numFmtId="3" fontId="67" fillId="6" borderId="25" xfId="211" applyNumberFormat="1" applyFont="1" applyFill="1" applyBorder="1" applyAlignment="1" applyProtection="1">
      <alignment horizontal="center" vertical="center"/>
    </xf>
    <xf numFmtId="3" fontId="67" fillId="0" borderId="115" xfId="211" applyNumberFormat="1" applyFont="1" applyBorder="1" applyAlignment="1" applyProtection="1">
      <alignment horizontal="center" vertical="center"/>
      <protection locked="0"/>
    </xf>
    <xf numFmtId="3" fontId="67" fillId="0" borderId="116" xfId="211" applyNumberFormat="1" applyFont="1" applyBorder="1" applyAlignment="1" applyProtection="1">
      <alignment horizontal="center" vertical="center"/>
      <protection locked="0"/>
    </xf>
    <xf numFmtId="3" fontId="67" fillId="0" borderId="109" xfId="211" applyNumberFormat="1" applyFont="1" applyBorder="1" applyAlignment="1" applyProtection="1">
      <alignment horizontal="center" vertical="center"/>
      <protection locked="0"/>
    </xf>
    <xf numFmtId="3" fontId="67" fillId="0" borderId="110" xfId="211" applyNumberFormat="1" applyFont="1" applyBorder="1" applyAlignment="1" applyProtection="1">
      <alignment horizontal="center" vertical="center"/>
      <protection locked="0"/>
    </xf>
    <xf numFmtId="3" fontId="67" fillId="0" borderId="106" xfId="211" applyNumberFormat="1" applyFont="1" applyBorder="1" applyAlignment="1" applyProtection="1">
      <alignment horizontal="center" vertical="center"/>
      <protection locked="0"/>
    </xf>
    <xf numFmtId="3" fontId="67" fillId="0" borderId="107" xfId="211" applyNumberFormat="1" applyFont="1" applyBorder="1" applyAlignment="1" applyProtection="1">
      <alignment horizontal="center" vertical="center"/>
      <protection locked="0"/>
    </xf>
    <xf numFmtId="3" fontId="67" fillId="0" borderId="112" xfId="211" applyNumberFormat="1" applyFont="1" applyBorder="1" applyAlignment="1" applyProtection="1">
      <alignment horizontal="center" vertical="center"/>
      <protection locked="0"/>
    </xf>
    <xf numFmtId="3" fontId="67" fillId="0" borderId="113" xfId="211" applyNumberFormat="1" applyFont="1" applyBorder="1" applyAlignment="1" applyProtection="1">
      <alignment horizontal="center" vertical="center"/>
      <protection locked="0"/>
    </xf>
    <xf numFmtId="3" fontId="10" fillId="0" borderId="52" xfId="211" applyNumberFormat="1" applyFont="1" applyFill="1" applyBorder="1" applyAlignment="1" applyProtection="1">
      <alignment horizontal="center" vertical="center"/>
      <protection locked="0"/>
    </xf>
    <xf numFmtId="3" fontId="10" fillId="0" borderId="65" xfId="211" applyNumberFormat="1" applyFont="1" applyFill="1" applyBorder="1" applyAlignment="1" applyProtection="1">
      <alignment horizontal="center" vertical="center"/>
      <protection locked="0"/>
    </xf>
    <xf numFmtId="3" fontId="10" fillId="0" borderId="35" xfId="211" applyNumberFormat="1" applyFont="1" applyFill="1" applyBorder="1" applyAlignment="1" applyProtection="1">
      <alignment horizontal="center" vertical="center"/>
      <protection locked="0"/>
    </xf>
    <xf numFmtId="3" fontId="10" fillId="0" borderId="20" xfId="211" applyNumberFormat="1" applyFont="1" applyFill="1" applyBorder="1" applyAlignment="1" applyProtection="1">
      <alignment horizontal="center" vertical="center"/>
      <protection locked="0"/>
    </xf>
    <xf numFmtId="3" fontId="10" fillId="0" borderId="2" xfId="211" applyNumberFormat="1" applyFont="1" applyFill="1" applyBorder="1" applyAlignment="1" applyProtection="1">
      <alignment horizontal="center" vertical="center"/>
      <protection locked="0"/>
    </xf>
    <xf numFmtId="3" fontId="10" fillId="0" borderId="23" xfId="211" applyNumberFormat="1" applyFont="1" applyFill="1" applyBorder="1" applyAlignment="1" applyProtection="1">
      <alignment horizontal="center" vertical="center"/>
      <protection locked="0"/>
    </xf>
    <xf numFmtId="3" fontId="10" fillId="0" borderId="1" xfId="211" applyNumberFormat="1" applyFont="1" applyFill="1" applyBorder="1" applyAlignment="1" applyProtection="1">
      <alignment horizontal="center" vertical="center"/>
      <protection locked="0"/>
    </xf>
    <xf numFmtId="3" fontId="10" fillId="0" borderId="25" xfId="211"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0" xfId="0" applyFont="1" applyFill="1" applyBorder="1" applyAlignment="1" applyProtection="1">
      <alignment horizontal="left"/>
    </xf>
    <xf numFmtId="0" fontId="11" fillId="5" borderId="83" xfId="0" applyFont="1" applyFill="1" applyBorder="1" applyAlignment="1" applyProtection="1">
      <alignment horizontal="center"/>
    </xf>
    <xf numFmtId="0" fontId="11" fillId="5" borderId="84" xfId="0" applyFont="1" applyFill="1" applyBorder="1" applyAlignment="1" applyProtection="1">
      <alignment horizontal="center"/>
    </xf>
    <xf numFmtId="0" fontId="11" fillId="5" borderId="10" xfId="0" applyFont="1" applyFill="1" applyBorder="1" applyAlignment="1" applyProtection="1">
      <alignment horizontal="left" wrapText="1"/>
    </xf>
    <xf numFmtId="3" fontId="12" fillId="5" borderId="81" xfId="0" applyNumberFormat="1" applyFont="1" applyFill="1" applyBorder="1" applyAlignment="1" applyProtection="1">
      <alignment horizontal="center" vertical="center"/>
    </xf>
    <xf numFmtId="3" fontId="12" fillId="5" borderId="82" xfId="0" applyNumberFormat="1" applyFont="1" applyFill="1" applyBorder="1" applyAlignment="1" applyProtection="1">
      <alignment horizontal="center"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center" vertical="center"/>
    </xf>
    <xf numFmtId="0" fontId="11" fillId="6" borderId="9" xfId="0" applyFont="1" applyFill="1" applyBorder="1" applyAlignment="1" applyProtection="1">
      <alignment horizontal="left" vertical="center" wrapText="1"/>
    </xf>
    <xf numFmtId="0" fontId="12" fillId="0" borderId="49" xfId="0" applyFont="1" applyFill="1" applyBorder="1" applyAlignment="1" applyProtection="1">
      <alignment horizontal="center"/>
    </xf>
    <xf numFmtId="0" fontId="12" fillId="0" borderId="0" xfId="0" applyFont="1" applyFill="1" applyBorder="1" applyAlignment="1" applyProtection="1">
      <alignment horizontal="center"/>
    </xf>
    <xf numFmtId="0" fontId="0" fillId="0" borderId="0" xfId="0" applyBorder="1" applyProtection="1"/>
    <xf numFmtId="0" fontId="12" fillId="0" borderId="0" xfId="0" applyFont="1" applyFill="1" applyBorder="1" applyAlignment="1" applyProtection="1">
      <alignment horizontal="left" vertical="center" wrapText="1"/>
    </xf>
    <xf numFmtId="0" fontId="11" fillId="5" borderId="12" xfId="0" applyFont="1" applyFill="1" applyBorder="1" applyAlignment="1" applyProtection="1">
      <alignment horizontal="center"/>
    </xf>
    <xf numFmtId="0" fontId="11" fillId="5" borderId="19" xfId="0" applyFont="1" applyFill="1" applyBorder="1" applyAlignment="1" applyProtection="1">
      <alignment horizontal="center" vertical="center"/>
    </xf>
    <xf numFmtId="0" fontId="11" fillId="5" borderId="19" xfId="0" applyFont="1" applyFill="1" applyBorder="1" applyAlignment="1" applyProtection="1">
      <alignment horizontal="left" vertical="center"/>
    </xf>
    <xf numFmtId="0" fontId="11" fillId="5" borderId="13"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1" fillId="5" borderId="8" xfId="0" applyFont="1" applyFill="1" applyBorder="1" applyAlignment="1" applyProtection="1">
      <alignment horizontal="left" vertical="center" wrapText="1"/>
    </xf>
    <xf numFmtId="0" fontId="11" fillId="5" borderId="8" xfId="0" applyFont="1" applyFill="1" applyBorder="1" applyAlignment="1" applyProtection="1">
      <alignment horizontal="left" vertical="center"/>
    </xf>
    <xf numFmtId="3" fontId="12" fillId="5" borderId="76" xfId="0" applyNumberFormat="1" applyFont="1" applyFill="1" applyBorder="1" applyAlignment="1" applyProtection="1">
      <alignment horizontal="center" vertical="center"/>
    </xf>
    <xf numFmtId="3" fontId="12" fillId="5" borderId="77" xfId="0" applyNumberFormat="1" applyFont="1" applyFill="1" applyBorder="1" applyAlignment="1" applyProtection="1">
      <alignment horizontal="center" vertical="center"/>
    </xf>
    <xf numFmtId="170" fontId="12" fillId="5" borderId="76" xfId="0" applyNumberFormat="1" applyFont="1" applyFill="1" applyBorder="1" applyAlignment="1" applyProtection="1">
      <alignment horizontal="center" vertical="center"/>
    </xf>
    <xf numFmtId="170" fontId="12" fillId="5" borderId="77" xfId="0" applyNumberFormat="1" applyFont="1" applyFill="1" applyBorder="1" applyAlignment="1" applyProtection="1">
      <alignment horizontal="center" vertical="center"/>
    </xf>
    <xf numFmtId="0" fontId="11" fillId="5" borderId="9" xfId="0" applyFont="1" applyFill="1" applyBorder="1" applyAlignment="1" applyProtection="1">
      <alignment horizontal="left" vertical="center" wrapText="1"/>
    </xf>
    <xf numFmtId="0" fontId="6" fillId="5" borderId="17" xfId="0" applyFont="1" applyFill="1" applyBorder="1" applyAlignment="1" applyProtection="1"/>
    <xf numFmtId="0" fontId="11" fillId="5" borderId="51" xfId="0" applyFont="1" applyFill="1" applyBorder="1" applyAlignment="1" applyProtection="1">
      <alignment vertical="top" wrapText="1"/>
    </xf>
    <xf numFmtId="0" fontId="11" fillId="5" borderId="46" xfId="0" applyFont="1" applyFill="1" applyBorder="1" applyAlignment="1" applyProtection="1">
      <alignment vertical="top" wrapText="1"/>
    </xf>
    <xf numFmtId="169" fontId="12" fillId="5" borderId="20" xfId="7" applyNumberFormat="1" applyFont="1" applyFill="1" applyBorder="1" applyAlignment="1" applyProtection="1">
      <alignment horizontal="center" vertical="top" wrapText="1"/>
    </xf>
    <xf numFmtId="169" fontId="12" fillId="5" borderId="24" xfId="7" applyNumberFormat="1" applyFont="1" applyFill="1" applyBorder="1" applyAlignment="1" applyProtection="1">
      <alignment horizontal="center" vertical="top" wrapText="1"/>
    </xf>
    <xf numFmtId="0" fontId="12" fillId="4" borderId="15" xfId="0" applyFont="1" applyFill="1" applyBorder="1" applyAlignment="1" applyProtection="1">
      <alignment horizontal="center" vertical="top" wrapText="1"/>
    </xf>
    <xf numFmtId="169" fontId="12" fillId="4" borderId="21" xfId="7" applyNumberFormat="1" applyFont="1" applyFill="1" applyBorder="1" applyAlignment="1" applyProtection="1">
      <alignment horizontal="center" vertical="top" wrapText="1"/>
    </xf>
    <xf numFmtId="0" fontId="10" fillId="4" borderId="7" xfId="0" applyFont="1" applyFill="1" applyBorder="1" applyAlignment="1" applyProtection="1">
      <alignment horizontal="left" vertical="top" wrapText="1" indent="1"/>
    </xf>
    <xf numFmtId="0" fontId="10" fillId="4" borderId="22" xfId="0" applyFont="1" applyFill="1" applyBorder="1" applyAlignment="1" applyProtection="1">
      <alignment horizontal="left" vertical="top" wrapText="1" indent="1"/>
    </xf>
    <xf numFmtId="0" fontId="11" fillId="0" borderId="51" xfId="0" applyFont="1" applyFill="1" applyBorder="1" applyAlignment="1" applyProtection="1">
      <alignment horizontal="center" vertical="top" wrapText="1"/>
    </xf>
    <xf numFmtId="0" fontId="11" fillId="0" borderId="49" xfId="0" applyFont="1" applyFill="1" applyBorder="1" applyAlignment="1" applyProtection="1">
      <alignment horizontal="center" vertical="top" wrapText="1"/>
    </xf>
    <xf numFmtId="0" fontId="11" fillId="0" borderId="27"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169" fontId="10" fillId="4" borderId="14" xfId="7" quotePrefix="1" applyNumberFormat="1" applyFont="1" applyFill="1" applyBorder="1" applyAlignment="1" applyProtection="1">
      <alignment horizontal="center" vertical="top" wrapText="1"/>
    </xf>
    <xf numFmtId="0" fontId="11" fillId="0" borderId="4" xfId="0" applyFont="1" applyFill="1" applyBorder="1" applyAlignment="1" applyProtection="1">
      <alignment horizontal="center" vertical="top" wrapText="1"/>
    </xf>
    <xf numFmtId="0" fontId="11" fillId="4" borderId="6" xfId="0" applyFont="1" applyFill="1" applyBorder="1" applyAlignment="1" applyProtection="1">
      <alignment vertical="top" wrapText="1"/>
    </xf>
    <xf numFmtId="0" fontId="11" fillId="4" borderId="48" xfId="0" applyFont="1" applyFill="1" applyBorder="1" applyAlignment="1" applyProtection="1">
      <alignment horizontal="right" vertical="top" wrapText="1"/>
    </xf>
    <xf numFmtId="169" fontId="10" fillId="4" borderId="16" xfId="7" quotePrefix="1" applyNumberFormat="1" applyFont="1" applyFill="1" applyBorder="1" applyAlignment="1" applyProtection="1">
      <alignment horizontal="center" vertical="top" wrapText="1"/>
    </xf>
    <xf numFmtId="0" fontId="11" fillId="0" borderId="18" xfId="0" applyFont="1" applyFill="1" applyBorder="1" applyAlignment="1" applyProtection="1">
      <alignment horizontal="center" vertical="top" wrapText="1"/>
    </xf>
    <xf numFmtId="0" fontId="11" fillId="0" borderId="4" xfId="0" applyFont="1" applyFill="1" applyBorder="1" applyAlignment="1" applyProtection="1">
      <alignment horizontal="left" vertical="center" wrapText="1" indent="1"/>
    </xf>
    <xf numFmtId="3" fontId="12" fillId="0" borderId="4" xfId="1" applyNumberFormat="1" applyFont="1" applyFill="1" applyBorder="1" applyAlignment="1" applyProtection="1">
      <alignment horizontal="center" vertical="top" wrapText="1"/>
    </xf>
    <xf numFmtId="3" fontId="10" fillId="0" borderId="4" xfId="1" quotePrefix="1" applyNumberFormat="1" applyFont="1" applyFill="1" applyBorder="1" applyAlignment="1" applyProtection="1">
      <alignment horizontal="center" vertical="top" wrapText="1"/>
    </xf>
    <xf numFmtId="169" fontId="10" fillId="0" borderId="4" xfId="7" quotePrefix="1" applyNumberFormat="1" applyFont="1" applyFill="1" applyBorder="1" applyAlignment="1" applyProtection="1">
      <alignment horizontal="center" vertical="top" wrapText="1"/>
    </xf>
    <xf numFmtId="0" fontId="11" fillId="5" borderId="17" xfId="0" applyFont="1" applyFill="1" applyBorder="1" applyAlignment="1" applyProtection="1">
      <alignment horizontal="center" vertical="top" wrapText="1"/>
    </xf>
    <xf numFmtId="0" fontId="11" fillId="4" borderId="6" xfId="0" applyFont="1" applyFill="1" applyBorder="1" applyAlignment="1" applyProtection="1"/>
    <xf numFmtId="0" fontId="11" fillId="4" borderId="26" xfId="0" applyFont="1" applyFill="1" applyBorder="1" applyAlignment="1" applyProtection="1">
      <alignment horizontal="right"/>
    </xf>
    <xf numFmtId="169" fontId="12" fillId="4" borderId="20" xfId="7" applyNumberFormat="1" applyFont="1" applyFill="1" applyBorder="1" applyAlignment="1" applyProtection="1">
      <alignment horizontal="center" vertical="top" wrapText="1"/>
    </xf>
    <xf numFmtId="0" fontId="11" fillId="0" borderId="28" xfId="0" applyFont="1" applyFill="1" applyBorder="1" applyAlignment="1" applyProtection="1">
      <alignment horizontal="left" vertical="top" wrapText="1"/>
    </xf>
    <xf numFmtId="0" fontId="11" fillId="0" borderId="29" xfId="0" applyFont="1" applyFill="1" applyBorder="1" applyAlignment="1" applyProtection="1">
      <alignment horizontal="left" vertical="top" wrapText="1"/>
    </xf>
    <xf numFmtId="3" fontId="12" fillId="0" borderId="29" xfId="0" applyNumberFormat="1" applyFont="1" applyFill="1" applyBorder="1" applyAlignment="1" applyProtection="1">
      <alignment horizontal="center" vertical="top" wrapText="1"/>
    </xf>
    <xf numFmtId="169" fontId="12" fillId="0" borderId="14" xfId="7" quotePrefix="1" applyNumberFormat="1" applyFont="1" applyFill="1" applyBorder="1" applyAlignment="1" applyProtection="1">
      <alignment horizontal="center" vertical="top" wrapText="1"/>
    </xf>
    <xf numFmtId="0" fontId="7" fillId="0" borderId="0" xfId="0" applyFont="1" applyProtection="1"/>
    <xf numFmtId="0" fontId="6" fillId="4" borderId="17" xfId="0" applyFont="1" applyFill="1" applyBorder="1" applyAlignment="1" applyProtection="1"/>
    <xf numFmtId="0" fontId="11" fillId="4" borderId="11" xfId="0" applyFont="1" applyFill="1" applyBorder="1" applyAlignment="1" applyProtection="1">
      <alignment vertical="top" wrapText="1"/>
    </xf>
    <xf numFmtId="169" fontId="12" fillId="4" borderId="15" xfId="7" applyNumberFormat="1" applyFont="1" applyFill="1" applyBorder="1" applyAlignment="1" applyProtection="1">
      <alignment horizontal="center" vertical="top" wrapText="1"/>
    </xf>
    <xf numFmtId="169" fontId="12" fillId="4" borderId="16" xfId="7" applyNumberFormat="1" applyFont="1" applyFill="1" applyBorder="1" applyAlignment="1" applyProtection="1">
      <alignment horizontal="center" vertical="top" wrapText="1"/>
    </xf>
    <xf numFmtId="169" fontId="12" fillId="4" borderId="14" xfId="7" applyNumberFormat="1" applyFont="1" applyFill="1" applyBorder="1" applyAlignment="1" applyProtection="1">
      <alignment horizontal="center" vertical="top" wrapText="1"/>
    </xf>
    <xf numFmtId="169" fontId="12" fillId="4" borderId="24" xfId="7" applyNumberFormat="1" applyFont="1" applyFill="1" applyBorder="1" applyAlignment="1" applyProtection="1">
      <alignment horizontal="center" vertical="top" wrapText="1"/>
    </xf>
    <xf numFmtId="169" fontId="12" fillId="4" borderId="5" xfId="7" quotePrefix="1" applyNumberFormat="1" applyFont="1" applyFill="1" applyBorder="1" applyAlignment="1" applyProtection="1">
      <alignment horizontal="center" vertical="top" wrapText="1"/>
    </xf>
    <xf numFmtId="0" fontId="11" fillId="4" borderId="13" xfId="0" applyFont="1" applyFill="1" applyBorder="1" applyAlignment="1" applyProtection="1">
      <alignment vertical="top" wrapText="1"/>
    </xf>
    <xf numFmtId="0" fontId="12" fillId="4" borderId="11" xfId="0" applyFont="1" applyFill="1" applyBorder="1" applyAlignment="1" applyProtection="1">
      <alignment vertical="top" wrapText="1"/>
    </xf>
    <xf numFmtId="0" fontId="12" fillId="4" borderId="19" xfId="0" applyFont="1" applyFill="1" applyBorder="1" applyAlignment="1" applyProtection="1">
      <alignment vertical="top" wrapText="1"/>
    </xf>
    <xf numFmtId="0" fontId="12" fillId="4" borderId="8" xfId="0" applyFont="1" applyFill="1" applyBorder="1" applyAlignment="1" applyProtection="1">
      <alignment vertical="top" wrapText="1"/>
    </xf>
    <xf numFmtId="0" fontId="12" fillId="4" borderId="9" xfId="0" applyFont="1" applyFill="1" applyBorder="1" applyAlignment="1" applyProtection="1">
      <alignment vertical="top" wrapText="1"/>
    </xf>
    <xf numFmtId="0" fontId="11" fillId="4" borderId="12" xfId="0" applyFont="1" applyFill="1" applyBorder="1" applyAlignment="1" applyProtection="1">
      <alignment vertical="top" wrapText="1"/>
    </xf>
    <xf numFmtId="0" fontId="11" fillId="4" borderId="46" xfId="0" applyFont="1" applyFill="1" applyBorder="1" applyAlignment="1" applyProtection="1">
      <alignment horizontal="center" vertical="top" wrapText="1"/>
    </xf>
    <xf numFmtId="0" fontId="11" fillId="4" borderId="49" xfId="0" applyFont="1" applyFill="1" applyBorder="1" applyAlignment="1" applyProtection="1">
      <alignment horizontal="center" vertical="top" wrapText="1"/>
    </xf>
    <xf numFmtId="0" fontId="11" fillId="4" borderId="14" xfId="0" applyFont="1" applyFill="1" applyBorder="1" applyAlignment="1" applyProtection="1">
      <alignment horizontal="center" vertical="top" wrapText="1"/>
    </xf>
    <xf numFmtId="0" fontId="11" fillId="4" borderId="29" xfId="0" applyFont="1" applyFill="1" applyBorder="1" applyAlignment="1" applyProtection="1">
      <alignment horizontal="center" vertical="top" wrapText="1"/>
    </xf>
    <xf numFmtId="0" fontId="11" fillId="4" borderId="28" xfId="0" applyFont="1" applyFill="1" applyBorder="1" applyAlignment="1" applyProtection="1">
      <alignment horizontal="left" vertical="top" wrapText="1"/>
    </xf>
    <xf numFmtId="0" fontId="11" fillId="4" borderId="29"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0" fontId="12" fillId="3" borderId="0" xfId="0" applyFont="1" applyFill="1" applyProtection="1"/>
    <xf numFmtId="0" fontId="11" fillId="3" borderId="0" xfId="0" quotePrefix="1" applyFont="1" applyFill="1" applyAlignment="1" applyProtection="1">
      <alignment horizontal="left"/>
    </xf>
    <xf numFmtId="0" fontId="11" fillId="4" borderId="27" xfId="0" applyFont="1" applyFill="1" applyBorder="1" applyAlignment="1" applyProtection="1">
      <alignment vertical="top" wrapText="1"/>
    </xf>
    <xf numFmtId="0" fontId="11" fillId="4" borderId="12" xfId="0" quotePrefix="1" applyFont="1" applyFill="1" applyBorder="1" applyAlignment="1" applyProtection="1">
      <alignment horizontal="left" vertical="top" wrapText="1"/>
    </xf>
    <xf numFmtId="0" fontId="11" fillId="4" borderId="17" xfId="0" quotePrefix="1" applyFont="1" applyFill="1" applyBorder="1" applyAlignment="1" applyProtection="1">
      <alignment horizontal="left" vertical="top" wrapText="1"/>
    </xf>
    <xf numFmtId="0" fontId="11" fillId="4" borderId="5" xfId="0" applyFont="1" applyFill="1" applyBorder="1" applyAlignment="1" applyProtection="1">
      <alignment horizontal="center" vertical="top" wrapText="1"/>
    </xf>
    <xf numFmtId="0" fontId="12" fillId="3" borderId="11" xfId="0" applyFont="1" applyFill="1" applyBorder="1" applyAlignment="1" applyProtection="1">
      <alignment vertical="top" wrapText="1"/>
    </xf>
    <xf numFmtId="168" fontId="12" fillId="4" borderId="14" xfId="4" applyNumberFormat="1" applyFont="1" applyFill="1" applyBorder="1" applyAlignment="1" applyProtection="1">
      <alignment horizontal="center" vertical="top" wrapText="1"/>
    </xf>
    <xf numFmtId="0" fontId="12" fillId="4" borderId="14" xfId="0" applyFont="1" applyFill="1" applyBorder="1" applyAlignment="1" applyProtection="1">
      <alignment vertical="top" wrapText="1"/>
    </xf>
    <xf numFmtId="0" fontId="11" fillId="4" borderId="33" xfId="0" applyFont="1" applyFill="1" applyBorder="1" applyAlignment="1" applyProtection="1">
      <alignment vertical="top" wrapText="1"/>
    </xf>
    <xf numFmtId="0" fontId="12" fillId="4" borderId="34" xfId="0" applyFont="1" applyFill="1" applyBorder="1" applyAlignment="1" applyProtection="1">
      <alignment vertical="top" wrapText="1"/>
    </xf>
    <xf numFmtId="0" fontId="11" fillId="4" borderId="35" xfId="0" applyFont="1" applyFill="1" applyBorder="1" applyAlignment="1" applyProtection="1">
      <alignment vertical="top" wrapText="1"/>
    </xf>
    <xf numFmtId="0" fontId="11" fillId="4" borderId="2" xfId="0" applyFont="1" applyFill="1" applyBorder="1" applyAlignment="1" applyProtection="1">
      <alignment vertical="top" wrapText="1"/>
    </xf>
    <xf numFmtId="0" fontId="11" fillId="4" borderId="2" xfId="0" quotePrefix="1" applyFont="1" applyFill="1" applyBorder="1" applyAlignment="1" applyProtection="1">
      <alignment horizontal="left" vertical="top" wrapText="1"/>
    </xf>
    <xf numFmtId="0" fontId="11" fillId="4" borderId="1" xfId="0" applyFont="1" applyFill="1" applyBorder="1" applyAlignment="1" applyProtection="1">
      <alignment vertical="top" wrapText="1"/>
    </xf>
    <xf numFmtId="0" fontId="75" fillId="6" borderId="13" xfId="0" applyFont="1" applyFill="1" applyBorder="1" applyAlignment="1" applyProtection="1">
      <alignment horizontal="left"/>
    </xf>
    <xf numFmtId="0" fontId="75" fillId="6" borderId="8" xfId="0" applyFont="1" applyFill="1" applyBorder="1" applyAlignment="1" applyProtection="1">
      <alignment horizontal="center" vertical="center"/>
    </xf>
    <xf numFmtId="0" fontId="75" fillId="6" borderId="7" xfId="0" applyFont="1" applyFill="1" applyBorder="1" applyAlignment="1" applyProtection="1">
      <alignment horizontal="left"/>
    </xf>
    <xf numFmtId="0" fontId="75" fillId="6" borderId="47" xfId="0" applyFont="1" applyFill="1" applyBorder="1" applyAlignment="1" applyProtection="1">
      <alignment horizontal="left"/>
    </xf>
    <xf numFmtId="0" fontId="75" fillId="6" borderId="16" xfId="0" applyFont="1" applyFill="1" applyBorder="1" applyAlignment="1" applyProtection="1">
      <alignment horizontal="left"/>
    </xf>
    <xf numFmtId="0" fontId="75" fillId="6" borderId="11" xfId="0" applyFont="1" applyFill="1" applyBorder="1" applyAlignment="1" applyProtection="1">
      <alignment horizontal="center" vertical="center"/>
    </xf>
    <xf numFmtId="0" fontId="12" fillId="0" borderId="0" xfId="0" applyFont="1" applyProtection="1"/>
    <xf numFmtId="0" fontId="0" fillId="0" borderId="0" xfId="0" applyProtection="1"/>
    <xf numFmtId="165" fontId="12" fillId="0" borderId="0" xfId="0" applyNumberFormat="1" applyFont="1" applyAlignment="1" applyProtection="1">
      <alignment horizontal="center"/>
    </xf>
    <xf numFmtId="0" fontId="69" fillId="6" borderId="136" xfId="0" applyFont="1" applyFill="1" applyBorder="1" applyAlignment="1" applyProtection="1">
      <alignment horizontal="center" wrapText="1"/>
    </xf>
    <xf numFmtId="0" fontId="69" fillId="6" borderId="127" xfId="0" applyFont="1" applyFill="1" applyBorder="1" applyAlignment="1" applyProtection="1">
      <alignment horizontal="center" wrapText="1"/>
    </xf>
    <xf numFmtId="165" fontId="69" fillId="6" borderId="140" xfId="0" applyNumberFormat="1" applyFont="1" applyFill="1" applyBorder="1" applyAlignment="1" applyProtection="1">
      <alignment horizontal="center" wrapText="1"/>
    </xf>
    <xf numFmtId="165" fontId="69" fillId="6" borderId="23" xfId="0" applyNumberFormat="1" applyFont="1" applyFill="1" applyBorder="1" applyAlignment="1" applyProtection="1">
      <alignment horizontal="center" wrapText="1"/>
    </xf>
    <xf numFmtId="0" fontId="69" fillId="6" borderId="130" xfId="0" applyFont="1" applyFill="1" applyBorder="1" applyAlignment="1" applyProtection="1">
      <alignment horizontal="center" wrapText="1"/>
    </xf>
    <xf numFmtId="0" fontId="69" fillId="6" borderId="128" xfId="0" applyFont="1" applyFill="1" applyBorder="1" applyAlignment="1" applyProtection="1">
      <alignment horizontal="center" vertical="center"/>
    </xf>
    <xf numFmtId="0" fontId="69" fillId="6" borderId="134" xfId="0" applyFont="1" applyFill="1" applyBorder="1" applyAlignment="1" applyProtection="1">
      <alignment horizontal="left" vertical="center" wrapText="1"/>
    </xf>
    <xf numFmtId="37" fontId="70" fillId="6" borderId="137" xfId="0" applyNumberFormat="1" applyFont="1" applyFill="1" applyBorder="1" applyAlignment="1" applyProtection="1">
      <alignment horizontal="center" vertical="center"/>
    </xf>
    <xf numFmtId="177" fontId="70" fillId="6" borderId="125" xfId="0" applyNumberFormat="1" applyFont="1" applyFill="1" applyBorder="1" applyAlignment="1" applyProtection="1">
      <alignment horizontal="center" vertical="center"/>
    </xf>
    <xf numFmtId="39" fontId="70" fillId="6" borderId="125" xfId="0" applyNumberFormat="1" applyFont="1" applyFill="1" applyBorder="1" applyAlignment="1" applyProtection="1">
      <alignment horizontal="center" vertical="center"/>
    </xf>
    <xf numFmtId="8" fontId="70" fillId="6" borderId="141" xfId="0" applyNumberFormat="1" applyFont="1" applyFill="1" applyBorder="1" applyAlignment="1" applyProtection="1">
      <alignment horizontal="center" vertical="center"/>
    </xf>
    <xf numFmtId="7" fontId="69" fillId="6" borderId="134" xfId="0" applyNumberFormat="1" applyFont="1" applyFill="1" applyBorder="1" applyAlignment="1" applyProtection="1">
      <alignment horizontal="center" vertical="center"/>
    </xf>
    <xf numFmtId="37" fontId="70" fillId="6" borderId="131" xfId="0" applyNumberFormat="1" applyFont="1" applyFill="1" applyBorder="1" applyAlignment="1" applyProtection="1">
      <alignment horizontal="center" vertical="center"/>
    </xf>
    <xf numFmtId="178" fontId="70" fillId="6" borderId="125" xfId="0" applyNumberFormat="1" applyFont="1" applyFill="1" applyBorder="1" applyAlignment="1" applyProtection="1">
      <alignment horizontal="center" vertical="center"/>
    </xf>
    <xf numFmtId="7" fontId="70" fillId="6" borderId="141" xfId="0" applyNumberFormat="1" applyFont="1" applyFill="1" applyBorder="1" applyAlignment="1" applyProtection="1">
      <alignment horizontal="center" vertical="center"/>
    </xf>
    <xf numFmtId="0" fontId="69" fillId="6" borderId="129" xfId="0" applyFont="1" applyFill="1" applyBorder="1" applyAlignment="1" applyProtection="1">
      <alignment horizontal="center" vertical="center"/>
    </xf>
    <xf numFmtId="0" fontId="69" fillId="6" borderId="135" xfId="0" applyFont="1" applyFill="1" applyBorder="1" applyAlignment="1" applyProtection="1">
      <alignment horizontal="left" vertical="center" wrapText="1"/>
    </xf>
    <xf numFmtId="37" fontId="70" fillId="6" borderId="138" xfId="0" applyNumberFormat="1" applyFont="1" applyFill="1" applyBorder="1" applyAlignment="1" applyProtection="1">
      <alignment horizontal="center" vertical="center"/>
    </xf>
    <xf numFmtId="177" fontId="70" fillId="6" borderId="87" xfId="0" applyNumberFormat="1" applyFont="1" applyFill="1" applyBorder="1" applyAlignment="1" applyProtection="1">
      <alignment horizontal="center" vertical="center"/>
    </xf>
    <xf numFmtId="39" fontId="70" fillId="6" borderId="87" xfId="0" applyNumberFormat="1" applyFont="1" applyFill="1" applyBorder="1" applyAlignment="1" applyProtection="1">
      <alignment horizontal="center" vertical="center"/>
    </xf>
    <xf numFmtId="8" fontId="70" fillId="6" borderId="142" xfId="0" applyNumberFormat="1" applyFont="1" applyFill="1" applyBorder="1" applyAlignment="1" applyProtection="1">
      <alignment horizontal="center" vertical="center"/>
    </xf>
    <xf numFmtId="7" fontId="69" fillId="6" borderId="135" xfId="0" applyNumberFormat="1" applyFont="1" applyFill="1" applyBorder="1" applyAlignment="1" applyProtection="1">
      <alignment horizontal="center" vertical="center"/>
    </xf>
    <xf numFmtId="37" fontId="70" fillId="6" borderId="132" xfId="0" applyNumberFormat="1" applyFont="1" applyFill="1" applyBorder="1" applyAlignment="1" applyProtection="1">
      <alignment horizontal="center" vertical="center"/>
    </xf>
    <xf numFmtId="178" fontId="70" fillId="6" borderId="87" xfId="0" applyNumberFormat="1" applyFont="1" applyFill="1" applyBorder="1" applyAlignment="1" applyProtection="1">
      <alignment horizontal="center" vertical="center"/>
    </xf>
    <xf numFmtId="7" fontId="70" fillId="6" borderId="142" xfId="0" applyNumberFormat="1" applyFont="1" applyFill="1" applyBorder="1" applyAlignment="1" applyProtection="1">
      <alignment horizontal="center" vertical="center"/>
    </xf>
    <xf numFmtId="7" fontId="69" fillId="6" borderId="135" xfId="0" applyNumberFormat="1" applyFont="1" applyFill="1" applyBorder="1" applyAlignment="1" applyProtection="1">
      <alignment horizontal="center" vertical="center" wrapText="1"/>
    </xf>
    <xf numFmtId="0" fontId="69" fillId="6" borderId="144" xfId="0" applyFont="1" applyFill="1" applyBorder="1" applyAlignment="1" applyProtection="1">
      <alignment horizontal="center" vertical="center"/>
    </xf>
    <xf numFmtId="0" fontId="69" fillId="6" borderId="145" xfId="0" applyFont="1" applyFill="1" applyBorder="1" applyAlignment="1" applyProtection="1">
      <alignment horizontal="left" vertical="center" wrapText="1"/>
    </xf>
    <xf numFmtId="37" fontId="70" fillId="6" borderId="139" xfId="0" applyNumberFormat="1" applyFont="1" applyFill="1" applyBorder="1" applyAlignment="1" applyProtection="1">
      <alignment horizontal="center" vertical="center"/>
    </xf>
    <xf numFmtId="177" fontId="70" fillId="6" borderId="126" xfId="0" applyNumberFormat="1" applyFont="1" applyFill="1" applyBorder="1" applyAlignment="1" applyProtection="1">
      <alignment horizontal="center" vertical="center"/>
    </xf>
    <xf numFmtId="39" fontId="70" fillId="6" borderId="126" xfId="0" applyNumberFormat="1" applyFont="1" applyFill="1" applyBorder="1" applyAlignment="1" applyProtection="1">
      <alignment horizontal="center" vertical="center"/>
    </xf>
    <xf numFmtId="8" fontId="70" fillId="6" borderId="143" xfId="0" applyNumberFormat="1" applyFont="1" applyFill="1" applyBorder="1" applyAlignment="1" applyProtection="1">
      <alignment horizontal="center" vertical="center"/>
    </xf>
    <xf numFmtId="7" fontId="69" fillId="6" borderId="145" xfId="0" applyNumberFormat="1" applyFont="1" applyFill="1" applyBorder="1" applyAlignment="1" applyProtection="1">
      <alignment horizontal="center" vertical="center"/>
    </xf>
    <xf numFmtId="37" fontId="70" fillId="6" borderId="133" xfId="0" applyNumberFormat="1" applyFont="1" applyFill="1" applyBorder="1" applyAlignment="1" applyProtection="1">
      <alignment horizontal="center" vertical="center"/>
    </xf>
    <xf numFmtId="178" fontId="70" fillId="6" borderId="126" xfId="0" applyNumberFormat="1" applyFont="1" applyFill="1" applyBorder="1" applyAlignment="1" applyProtection="1">
      <alignment horizontal="center" vertical="center"/>
    </xf>
    <xf numFmtId="7" fontId="70" fillId="6" borderId="143" xfId="0" applyNumberFormat="1" applyFont="1" applyFill="1" applyBorder="1" applyAlignment="1" applyProtection="1">
      <alignment horizontal="center" vertical="center"/>
    </xf>
    <xf numFmtId="7" fontId="69" fillId="6" borderId="145" xfId="0" applyNumberFormat="1"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xf>
    <xf numFmtId="0" fontId="73" fillId="6" borderId="25" xfId="0" applyFont="1" applyFill="1" applyBorder="1" applyAlignment="1" applyProtection="1">
      <alignment horizontal="left" vertical="center" wrapText="1"/>
    </xf>
    <xf numFmtId="37" fontId="69" fillId="6" borderId="146" xfId="0" applyNumberFormat="1" applyFont="1" applyFill="1" applyBorder="1" applyAlignment="1" applyProtection="1">
      <alignment horizontal="center" vertical="center"/>
    </xf>
    <xf numFmtId="38" fontId="69" fillId="6" borderId="147" xfId="0" quotePrefix="1" applyNumberFormat="1" applyFont="1" applyFill="1" applyBorder="1" applyAlignment="1" applyProtection="1">
      <alignment horizontal="center" vertical="center"/>
    </xf>
    <xf numFmtId="39" fontId="69" fillId="6" borderId="147" xfId="0" applyNumberFormat="1" applyFont="1" applyFill="1" applyBorder="1" applyAlignment="1" applyProtection="1">
      <alignment horizontal="center" vertical="center"/>
    </xf>
    <xf numFmtId="38" fontId="69" fillId="6" borderId="149" xfId="0" quotePrefix="1" applyNumberFormat="1" applyFont="1" applyFill="1" applyBorder="1" applyAlignment="1" applyProtection="1">
      <alignment horizontal="center" vertical="center"/>
    </xf>
    <xf numFmtId="7" fontId="73" fillId="6" borderId="25" xfId="0" applyNumberFormat="1" applyFont="1" applyFill="1" applyBorder="1" applyAlignment="1" applyProtection="1">
      <alignment horizontal="center" vertical="center"/>
    </xf>
    <xf numFmtId="37" fontId="69" fillId="6" borderId="148" xfId="0" applyNumberFormat="1" applyFont="1" applyFill="1" applyBorder="1" applyAlignment="1" applyProtection="1">
      <alignment horizontal="center" vertical="center"/>
    </xf>
    <xf numFmtId="37" fontId="69" fillId="6" borderId="147" xfId="0" quotePrefix="1" applyNumberFormat="1" applyFont="1" applyFill="1" applyBorder="1" applyAlignment="1" applyProtection="1">
      <alignment horizontal="center" vertical="center"/>
    </xf>
    <xf numFmtId="37" fontId="69" fillId="6" borderId="149" xfId="0" quotePrefix="1" applyNumberFormat="1" applyFont="1" applyFill="1" applyBorder="1" applyAlignment="1" applyProtection="1">
      <alignment horizontal="center" vertical="center"/>
    </xf>
    <xf numFmtId="180" fontId="70" fillId="6" borderId="125" xfId="0" applyNumberFormat="1" applyFont="1" applyFill="1" applyBorder="1" applyAlignment="1" applyProtection="1">
      <alignment horizontal="center" vertical="center"/>
    </xf>
    <xf numFmtId="180" fontId="70" fillId="6" borderId="87" xfId="0" applyNumberFormat="1" applyFont="1" applyFill="1" applyBorder="1" applyAlignment="1" applyProtection="1">
      <alignment horizontal="center" vertical="center"/>
    </xf>
    <xf numFmtId="180" fontId="70" fillId="6" borderId="126" xfId="0" applyNumberFormat="1" applyFont="1" applyFill="1" applyBorder="1" applyAlignment="1" applyProtection="1">
      <alignment horizontal="center" vertical="center"/>
    </xf>
    <xf numFmtId="179" fontId="70" fillId="6" borderId="125" xfId="0" applyNumberFormat="1" applyFont="1" applyFill="1" applyBorder="1" applyAlignment="1" applyProtection="1">
      <alignment horizontal="center" vertical="center"/>
    </xf>
    <xf numFmtId="179" fontId="70" fillId="6" borderId="87" xfId="0" applyNumberFormat="1" applyFont="1" applyFill="1" applyBorder="1" applyAlignment="1" applyProtection="1">
      <alignment horizontal="center" vertical="center"/>
    </xf>
    <xf numFmtId="179" fontId="70" fillId="6" borderId="126" xfId="0" applyNumberFormat="1" applyFont="1" applyFill="1" applyBorder="1" applyAlignment="1" applyProtection="1">
      <alignment horizontal="center" vertical="center"/>
    </xf>
    <xf numFmtId="181" fontId="70" fillId="6" borderId="125" xfId="0" applyNumberFormat="1" applyFont="1" applyFill="1" applyBorder="1" applyAlignment="1" applyProtection="1">
      <alignment horizontal="center" vertical="center"/>
    </xf>
    <xf numFmtId="6" fontId="70" fillId="6" borderId="141" xfId="0" applyNumberFormat="1" applyFont="1" applyFill="1" applyBorder="1" applyAlignment="1" applyProtection="1">
      <alignment horizontal="center" vertical="center"/>
    </xf>
    <xf numFmtId="181" fontId="70" fillId="6" borderId="87" xfId="0" applyNumberFormat="1" applyFont="1" applyFill="1" applyBorder="1" applyAlignment="1" applyProtection="1">
      <alignment horizontal="center" vertical="center"/>
    </xf>
    <xf numFmtId="6" fontId="70" fillId="6" borderId="142" xfId="0" applyNumberFormat="1" applyFont="1" applyFill="1" applyBorder="1" applyAlignment="1" applyProtection="1">
      <alignment horizontal="center" vertical="center"/>
    </xf>
    <xf numFmtId="181" fontId="70" fillId="6" borderId="126" xfId="0" applyNumberFormat="1" applyFont="1" applyFill="1" applyBorder="1" applyAlignment="1" applyProtection="1">
      <alignment horizontal="center" vertical="center"/>
    </xf>
    <xf numFmtId="6" fontId="70" fillId="6" borderId="143"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2" fillId="0" borderId="16" xfId="0" applyFont="1" applyBorder="1" applyAlignment="1" applyProtection="1">
      <alignment horizontal="center" vertical="top" wrapText="1"/>
      <protection locked="0"/>
    </xf>
    <xf numFmtId="0" fontId="12" fillId="0" borderId="15" xfId="0" applyFont="1" applyBorder="1" applyAlignment="1" applyProtection="1">
      <alignment horizontal="center" vertical="top" wrapText="1"/>
      <protection locked="0"/>
    </xf>
    <xf numFmtId="0" fontId="12" fillId="0" borderId="14" xfId="0" applyFont="1" applyBorder="1" applyAlignment="1" applyProtection="1">
      <alignment horizontal="center" vertical="top" wrapText="1"/>
      <protection locked="0"/>
    </xf>
    <xf numFmtId="0" fontId="12" fillId="0" borderId="19" xfId="0"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182" fontId="10" fillId="0" borderId="16" xfId="0" applyNumberFormat="1" applyFont="1" applyBorder="1" applyAlignment="1" applyProtection="1">
      <alignment horizontal="center" vertical="top" wrapText="1"/>
      <protection locked="0"/>
    </xf>
    <xf numFmtId="182" fontId="10" fillId="0" borderId="14" xfId="0" applyNumberFormat="1" applyFont="1" applyBorder="1" applyAlignment="1" applyProtection="1">
      <alignment horizontal="center" vertical="top" wrapText="1"/>
      <protection locked="0"/>
    </xf>
    <xf numFmtId="182" fontId="12" fillId="0" borderId="16" xfId="0" applyNumberFormat="1" applyFont="1" applyBorder="1" applyAlignment="1" applyProtection="1">
      <alignment horizontal="center" vertical="top" wrapText="1"/>
      <protection locked="0"/>
    </xf>
    <xf numFmtId="0" fontId="11" fillId="5" borderId="10" xfId="0" applyFont="1" applyFill="1" applyBorder="1" applyAlignment="1" applyProtection="1">
      <alignment horizontal="center" vertical="center"/>
    </xf>
    <xf numFmtId="0" fontId="67" fillId="0" borderId="0" xfId="211" applyFont="1" applyFill="1"/>
    <xf numFmtId="0" fontId="11" fillId="5" borderId="4" xfId="0" applyFont="1" applyFill="1" applyBorder="1" applyAlignment="1" applyProtection="1">
      <alignment horizontal="center" vertical="top" wrapText="1"/>
    </xf>
    <xf numFmtId="168" fontId="12" fillId="0" borderId="85" xfId="0" applyNumberFormat="1" applyFont="1" applyFill="1" applyBorder="1" applyAlignment="1" applyProtection="1">
      <alignment horizontal="center" vertical="center"/>
      <protection locked="0"/>
    </xf>
    <xf numFmtId="0" fontId="11" fillId="5" borderId="14" xfId="0" applyFont="1" applyFill="1" applyBorder="1" applyAlignment="1" applyProtection="1">
      <alignment horizontal="center" vertical="top" wrapText="1"/>
    </xf>
    <xf numFmtId="0" fontId="75" fillId="6" borderId="51" xfId="0" applyFont="1" applyFill="1" applyBorder="1" applyAlignment="1" applyProtection="1">
      <alignment horizontal="left"/>
    </xf>
    <xf numFmtId="0" fontId="75" fillId="6" borderId="49" xfId="0" applyFont="1" applyFill="1" applyBorder="1" applyAlignment="1" applyProtection="1">
      <alignment horizontal="left"/>
    </xf>
    <xf numFmtId="0" fontId="75" fillId="6" borderId="46" xfId="0" applyFont="1" applyFill="1" applyBorder="1" applyAlignment="1" applyProtection="1">
      <alignment horizontal="left"/>
    </xf>
    <xf numFmtId="0" fontId="75" fillId="6" borderId="7" xfId="0" applyFont="1" applyFill="1" applyBorder="1" applyAlignment="1" applyProtection="1">
      <alignment horizontal="left" vertical="center"/>
    </xf>
    <xf numFmtId="0" fontId="75" fillId="6" borderId="47" xfId="0" applyFont="1" applyFill="1" applyBorder="1" applyAlignment="1" applyProtection="1">
      <alignment horizontal="left" vertical="center"/>
    </xf>
    <xf numFmtId="0" fontId="75" fillId="6" borderId="16" xfId="0" applyFont="1" applyFill="1" applyBorder="1" applyAlignment="1" applyProtection="1">
      <alignment horizontal="left" vertical="center"/>
    </xf>
    <xf numFmtId="3" fontId="67" fillId="64" borderId="33" xfId="211" quotePrefix="1" applyNumberFormat="1" applyFont="1" applyFill="1" applyBorder="1" applyAlignment="1" applyProtection="1">
      <alignment horizontal="center" vertical="center"/>
    </xf>
    <xf numFmtId="3" fontId="67" fillId="64" borderId="62" xfId="211" quotePrefix="1" applyNumberFormat="1" applyFont="1" applyFill="1" applyBorder="1" applyAlignment="1" applyProtection="1">
      <alignment horizontal="center" vertical="center"/>
    </xf>
    <xf numFmtId="3" fontId="67" fillId="64" borderId="34" xfId="211" quotePrefix="1" applyNumberFormat="1" applyFont="1" applyFill="1" applyBorder="1" applyAlignment="1" applyProtection="1">
      <alignment horizontal="center" vertical="center"/>
    </xf>
    <xf numFmtId="3" fontId="67" fillId="64" borderId="104" xfId="211" quotePrefix="1" applyNumberFormat="1" applyFont="1" applyFill="1" applyBorder="1" applyAlignment="1" applyProtection="1">
      <alignment horizontal="center" vertical="center"/>
    </xf>
    <xf numFmtId="3" fontId="10" fillId="64" borderId="35" xfId="211" quotePrefix="1" applyNumberFormat="1" applyFont="1" applyFill="1" applyBorder="1" applyAlignment="1" applyProtection="1">
      <alignment horizontal="center" vertical="center"/>
    </xf>
    <xf numFmtId="3" fontId="10" fillId="64" borderId="20" xfId="211" quotePrefix="1" applyNumberFormat="1" applyFont="1" applyFill="1" applyBorder="1" applyAlignment="1" applyProtection="1">
      <alignment horizontal="center" vertical="center"/>
    </xf>
    <xf numFmtId="3" fontId="67" fillId="64" borderId="60" xfId="211" quotePrefix="1" applyNumberFormat="1" applyFont="1" applyFill="1" applyBorder="1" applyAlignment="1" applyProtection="1">
      <alignment horizontal="center" vertical="center"/>
    </xf>
    <xf numFmtId="3" fontId="10" fillId="64" borderId="2" xfId="211" quotePrefix="1" applyNumberFormat="1" applyFont="1" applyFill="1" applyBorder="1" applyAlignment="1" applyProtection="1">
      <alignment horizontal="center" vertical="center"/>
    </xf>
    <xf numFmtId="3" fontId="10" fillId="64" borderId="23" xfId="211" quotePrefix="1" applyNumberFormat="1" applyFont="1" applyFill="1" applyBorder="1" applyAlignment="1" applyProtection="1">
      <alignment horizontal="center" vertical="center"/>
    </xf>
    <xf numFmtId="3" fontId="67" fillId="64" borderId="47" xfId="211" quotePrefix="1" applyNumberFormat="1" applyFont="1" applyFill="1" applyBorder="1" applyAlignment="1" applyProtection="1">
      <alignment horizontal="center" vertical="center"/>
    </xf>
    <xf numFmtId="3" fontId="10" fillId="64" borderId="1" xfId="211" quotePrefix="1" applyNumberFormat="1" applyFont="1" applyFill="1" applyBorder="1" applyAlignment="1" applyProtection="1">
      <alignment horizontal="center" vertical="center"/>
    </xf>
    <xf numFmtId="3" fontId="10" fillId="64" borderId="25" xfId="211" quotePrefix="1" applyNumberFormat="1" applyFont="1" applyFill="1" applyBorder="1" applyAlignment="1" applyProtection="1">
      <alignment horizontal="center" vertical="center"/>
    </xf>
    <xf numFmtId="3" fontId="67" fillId="64" borderId="31" xfId="211" quotePrefix="1" applyNumberFormat="1" applyFont="1" applyFill="1" applyBorder="1" applyAlignment="1" applyProtection="1">
      <alignment horizontal="center" vertical="center"/>
    </xf>
    <xf numFmtId="0" fontId="11" fillId="5" borderId="153" xfId="0" applyFont="1" applyFill="1" applyBorder="1" applyAlignment="1" applyProtection="1">
      <alignment horizontal="center" vertical="center"/>
    </xf>
    <xf numFmtId="0" fontId="11" fillId="5" borderId="154" xfId="0" applyFont="1" applyFill="1" applyBorder="1" applyAlignment="1" applyProtection="1">
      <alignment horizontal="center" vertical="center"/>
    </xf>
    <xf numFmtId="0" fontId="12" fillId="64" borderId="16" xfId="0" quotePrefix="1" applyFont="1" applyFill="1" applyBorder="1" applyAlignment="1" applyProtection="1">
      <alignment horizontal="center" vertical="top" wrapText="1"/>
    </xf>
    <xf numFmtId="0" fontId="10" fillId="64" borderId="16" xfId="0" quotePrefix="1" applyFont="1" applyFill="1" applyBorder="1" applyAlignment="1" applyProtection="1">
      <alignment horizontal="center" vertical="top" wrapText="1"/>
    </xf>
    <xf numFmtId="0" fontId="12" fillId="64" borderId="14" xfId="0" quotePrefix="1" applyFont="1" applyFill="1" applyBorder="1" applyAlignment="1" applyProtection="1">
      <alignment horizontal="center" vertical="top" wrapText="1"/>
    </xf>
    <xf numFmtId="0" fontId="12" fillId="64" borderId="24" xfId="0" quotePrefix="1" applyFont="1" applyFill="1" applyBorder="1" applyAlignment="1" applyProtection="1">
      <alignment horizontal="center" vertical="top" wrapText="1"/>
    </xf>
    <xf numFmtId="169" fontId="10" fillId="64" borderId="20" xfId="7" quotePrefix="1" applyNumberFormat="1" applyFont="1" applyFill="1" applyBorder="1" applyAlignment="1" applyProtection="1">
      <alignment horizontal="center" vertical="top" wrapText="1"/>
    </xf>
    <xf numFmtId="169" fontId="12" fillId="64" borderId="25" xfId="7" quotePrefix="1" applyNumberFormat="1" applyFont="1" applyFill="1" applyBorder="1" applyAlignment="1" applyProtection="1">
      <alignment horizontal="center" vertical="top" wrapText="1"/>
    </xf>
    <xf numFmtId="169" fontId="12" fillId="64" borderId="23" xfId="7" quotePrefix="1" applyNumberFormat="1" applyFont="1" applyFill="1" applyBorder="1" applyAlignment="1" applyProtection="1">
      <alignment horizontal="center" vertical="top" wrapText="1"/>
    </xf>
    <xf numFmtId="169" fontId="10" fillId="64" borderId="14" xfId="7" quotePrefix="1" applyNumberFormat="1" applyFont="1" applyFill="1" applyBorder="1" applyAlignment="1" applyProtection="1">
      <alignment horizontal="center" vertical="top" wrapText="1"/>
    </xf>
    <xf numFmtId="169" fontId="12" fillId="64" borderId="25" xfId="7" quotePrefix="1" applyNumberFormat="1" applyFont="1" applyFill="1" applyBorder="1" applyAlignment="1" applyProtection="1">
      <alignment horizontal="center" vertical="center" wrapText="1"/>
    </xf>
    <xf numFmtId="37" fontId="70" fillId="64" borderId="155" xfId="0" quotePrefix="1" applyNumberFormat="1" applyFont="1" applyFill="1" applyBorder="1" applyAlignment="1" applyProtection="1">
      <alignment horizontal="center" vertical="center"/>
    </xf>
    <xf numFmtId="179" fontId="70" fillId="64" borderId="156" xfId="0" applyNumberFormat="1" applyFont="1" applyFill="1" applyBorder="1" applyAlignment="1" applyProtection="1">
      <alignment horizontal="center" vertical="center"/>
    </xf>
    <xf numFmtId="39" fontId="70" fillId="64" borderId="156" xfId="0" applyNumberFormat="1" applyFont="1" applyFill="1" applyBorder="1" applyAlignment="1" applyProtection="1">
      <alignment horizontal="center" vertical="center"/>
    </xf>
    <xf numFmtId="8" fontId="70" fillId="64" borderId="156" xfId="0" applyNumberFormat="1" applyFont="1" applyFill="1" applyBorder="1" applyAlignment="1" applyProtection="1">
      <alignment horizontal="center" vertical="center"/>
    </xf>
    <xf numFmtId="7" fontId="69" fillId="64" borderId="156" xfId="0" applyNumberFormat="1" applyFont="1" applyFill="1" applyBorder="1" applyAlignment="1" applyProtection="1">
      <alignment horizontal="center" vertical="center"/>
    </xf>
    <xf numFmtId="37" fontId="70" fillId="64" borderId="156" xfId="0" quotePrefix="1" applyNumberFormat="1" applyFont="1" applyFill="1" applyBorder="1" applyAlignment="1" applyProtection="1">
      <alignment horizontal="center" vertical="center"/>
    </xf>
    <xf numFmtId="7" fontId="69" fillId="64" borderId="157" xfId="0" applyNumberFormat="1" applyFont="1" applyFill="1" applyBorder="1" applyAlignment="1" applyProtection="1">
      <alignment horizontal="center" vertical="center"/>
    </xf>
    <xf numFmtId="37" fontId="70" fillId="64" borderId="27" xfId="0" applyNumberFormat="1" applyFont="1" applyFill="1" applyBorder="1" applyAlignment="1" applyProtection="1">
      <alignment horizontal="center" vertical="center"/>
    </xf>
    <xf numFmtId="179" fontId="70" fillId="64" borderId="0" xfId="0" applyNumberFormat="1" applyFont="1" applyFill="1" applyBorder="1" applyAlignment="1" applyProtection="1">
      <alignment horizontal="center" vertical="center"/>
    </xf>
    <xf numFmtId="39" fontId="70" fillId="64" borderId="0" xfId="0" applyNumberFormat="1" applyFont="1" applyFill="1" applyBorder="1" applyAlignment="1" applyProtection="1">
      <alignment horizontal="center" vertical="center"/>
    </xf>
    <xf numFmtId="8" fontId="70" fillId="64" borderId="0" xfId="0" applyNumberFormat="1" applyFont="1" applyFill="1" applyBorder="1" applyAlignment="1" applyProtection="1">
      <alignment horizontal="center" vertical="center"/>
    </xf>
    <xf numFmtId="7" fontId="69" fillId="64" borderId="0" xfId="0" applyNumberFormat="1" applyFont="1" applyFill="1" applyBorder="1" applyAlignment="1" applyProtection="1">
      <alignment horizontal="center" vertical="center"/>
    </xf>
    <xf numFmtId="37" fontId="70" fillId="64" borderId="0" xfId="0" applyNumberFormat="1" applyFont="1" applyFill="1" applyBorder="1" applyAlignment="1" applyProtection="1">
      <alignment horizontal="center" vertical="center"/>
    </xf>
    <xf numFmtId="7" fontId="69" fillId="64" borderId="18" xfId="0" applyNumberFormat="1" applyFont="1" applyFill="1" applyBorder="1" applyAlignment="1" applyProtection="1">
      <alignment horizontal="center" vertical="center"/>
    </xf>
    <xf numFmtId="37" fontId="70" fillId="64" borderId="158" xfId="0" applyNumberFormat="1" applyFont="1" applyFill="1" applyBorder="1" applyAlignment="1" applyProtection="1">
      <alignment horizontal="center" vertical="center"/>
    </xf>
    <xf numFmtId="179" fontId="70" fillId="64" borderId="56" xfId="0" applyNumberFormat="1" applyFont="1" applyFill="1" applyBorder="1" applyAlignment="1" applyProtection="1">
      <alignment horizontal="center" vertical="center"/>
    </xf>
    <xf numFmtId="39" fontId="70" fillId="64" borderId="56" xfId="0" applyNumberFormat="1" applyFont="1" applyFill="1" applyBorder="1" applyAlignment="1" applyProtection="1">
      <alignment horizontal="center" vertical="center"/>
    </xf>
    <xf numFmtId="8" fontId="70" fillId="64" borderId="56" xfId="0" applyNumberFormat="1" applyFont="1" applyFill="1" applyBorder="1" applyAlignment="1" applyProtection="1">
      <alignment horizontal="center" vertical="center"/>
    </xf>
    <xf numFmtId="7" fontId="69" fillId="64" borderId="56" xfId="0" applyNumberFormat="1" applyFont="1" applyFill="1" applyBorder="1" applyAlignment="1" applyProtection="1">
      <alignment horizontal="center" vertical="center"/>
    </xf>
    <xf numFmtId="37" fontId="70" fillId="64" borderId="56" xfId="0" applyNumberFormat="1" applyFont="1" applyFill="1" applyBorder="1" applyAlignment="1" applyProtection="1">
      <alignment horizontal="center" vertical="center"/>
    </xf>
    <xf numFmtId="7" fontId="69" fillId="64" borderId="159" xfId="0" applyNumberFormat="1" applyFont="1" applyFill="1" applyBorder="1" applyAlignment="1" applyProtection="1">
      <alignment horizontal="center" vertical="center"/>
    </xf>
    <xf numFmtId="37" fontId="70" fillId="64" borderId="160" xfId="0" applyNumberFormat="1" applyFont="1" applyFill="1" applyBorder="1" applyAlignment="1" applyProtection="1">
      <alignment horizontal="center" vertical="center"/>
    </xf>
    <xf numFmtId="179" fontId="70" fillId="64" borderId="161" xfId="0" applyNumberFormat="1" applyFont="1" applyFill="1" applyBorder="1" applyAlignment="1" applyProtection="1">
      <alignment horizontal="center" vertical="center"/>
    </xf>
    <xf numFmtId="39" fontId="70" fillId="64" borderId="161" xfId="0" applyNumberFormat="1" applyFont="1" applyFill="1" applyBorder="1" applyAlignment="1" applyProtection="1">
      <alignment horizontal="center" vertical="center"/>
    </xf>
    <xf numFmtId="8" fontId="70" fillId="64" borderId="161" xfId="0" applyNumberFormat="1" applyFont="1" applyFill="1" applyBorder="1" applyAlignment="1" applyProtection="1">
      <alignment horizontal="center" vertical="center"/>
    </xf>
    <xf numFmtId="7" fontId="69" fillId="64" borderId="161" xfId="0" applyNumberFormat="1" applyFont="1" applyFill="1" applyBorder="1" applyAlignment="1" applyProtection="1">
      <alignment horizontal="center" vertical="center"/>
    </xf>
    <xf numFmtId="37" fontId="70" fillId="64" borderId="161" xfId="0" applyNumberFormat="1" applyFont="1" applyFill="1" applyBorder="1" applyAlignment="1" applyProtection="1">
      <alignment horizontal="center" vertical="center"/>
    </xf>
    <xf numFmtId="7" fontId="69" fillId="64" borderId="162" xfId="0" applyNumberFormat="1" applyFont="1" applyFill="1" applyBorder="1" applyAlignment="1" applyProtection="1">
      <alignment horizontal="center" vertical="center"/>
    </xf>
    <xf numFmtId="0" fontId="12" fillId="0" borderId="17" xfId="0" applyFont="1" applyFill="1" applyBorder="1" applyAlignment="1" applyProtection="1">
      <alignment horizontal="center" vertical="top" wrapText="1"/>
      <protection locked="0"/>
    </xf>
    <xf numFmtId="0" fontId="10" fillId="5" borderId="28" xfId="0" applyFont="1" applyFill="1" applyBorder="1" applyAlignment="1" applyProtection="1">
      <alignment horizontal="left" vertical="top" wrapText="1" indent="1"/>
    </xf>
    <xf numFmtId="0" fontId="11" fillId="0" borderId="49" xfId="0" applyFont="1" applyFill="1" applyBorder="1" applyAlignment="1" applyProtection="1">
      <alignment horizontal="center"/>
    </xf>
    <xf numFmtId="0" fontId="11" fillId="0" borderId="29" xfId="0" applyFont="1" applyFill="1" applyBorder="1" applyAlignment="1" applyProtection="1">
      <alignment horizontal="center"/>
    </xf>
    <xf numFmtId="0" fontId="12" fillId="0" borderId="0" xfId="0" applyFont="1" applyProtection="1">
      <protection locked="0"/>
    </xf>
    <xf numFmtId="3" fontId="67" fillId="6" borderId="4" xfId="211" applyNumberFormat="1" applyFont="1" applyFill="1" applyBorder="1" applyAlignment="1" applyProtection="1">
      <alignment horizontal="center" vertical="center"/>
    </xf>
    <xf numFmtId="0" fontId="11" fillId="5" borderId="46" xfId="0" applyFont="1" applyFill="1" applyBorder="1" applyAlignment="1" applyProtection="1">
      <alignment horizontal="center" vertical="top" wrapText="1"/>
    </xf>
    <xf numFmtId="0" fontId="11" fillId="5" borderId="17" xfId="0" applyFont="1" applyFill="1" applyBorder="1" applyAlignment="1" applyProtection="1">
      <alignment horizontal="center" wrapText="1"/>
    </xf>
    <xf numFmtId="0" fontId="11" fillId="5" borderId="14" xfId="0" applyFont="1" applyFill="1" applyBorder="1" applyAlignment="1" applyProtection="1">
      <alignment horizontal="center" wrapText="1"/>
    </xf>
    <xf numFmtId="0" fontId="7" fillId="0" borderId="0" xfId="0" applyFont="1" applyFill="1" applyBorder="1" applyAlignment="1" applyProtection="1">
      <alignment horizontal="left"/>
    </xf>
    <xf numFmtId="165" fontId="7" fillId="0" borderId="0" xfId="0" applyNumberFormat="1" applyFont="1" applyAlignment="1" applyProtection="1">
      <alignment horizontal="center"/>
    </xf>
    <xf numFmtId="0" fontId="70" fillId="0" borderId="0" xfId="0" applyFont="1" applyProtection="1"/>
    <xf numFmtId="0" fontId="70" fillId="0" borderId="0" xfId="0" applyFont="1" applyFill="1" applyBorder="1" applyAlignment="1" applyProtection="1">
      <alignment horizontal="left"/>
    </xf>
    <xf numFmtId="165" fontId="70" fillId="0" borderId="0" xfId="0" applyNumberFormat="1" applyFont="1" applyAlignment="1" applyProtection="1">
      <alignment horizontal="center"/>
    </xf>
    <xf numFmtId="0" fontId="70" fillId="0" borderId="0" xfId="0" applyFont="1"/>
    <xf numFmtId="0" fontId="6" fillId="0" borderId="0" xfId="0" applyFont="1" applyFill="1" applyBorder="1" applyAlignment="1" applyProtection="1"/>
    <xf numFmtId="0" fontId="7"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top" wrapText="1"/>
      <protection locked="0"/>
    </xf>
    <xf numFmtId="0" fontId="0" fillId="0" borderId="0" xfId="0" applyFill="1"/>
    <xf numFmtId="0" fontId="12" fillId="0" borderId="21" xfId="0" applyFont="1" applyBorder="1" applyAlignment="1" applyProtection="1">
      <alignment horizontal="center" vertical="top" wrapText="1"/>
      <protection locked="0"/>
    </xf>
    <xf numFmtId="0" fontId="12" fillId="0" borderId="14" xfId="0" applyFont="1" applyBorder="1" applyAlignment="1" applyProtection="1">
      <alignment horizontal="center" vertical="top" wrapText="1"/>
      <protection locked="0"/>
    </xf>
    <xf numFmtId="0" fontId="11" fillId="0" borderId="27" xfId="0" applyFont="1" applyFill="1" applyBorder="1" applyAlignment="1" applyProtection="1">
      <alignment horizontal="center" vertical="top" wrapText="1"/>
      <protection locked="0"/>
    </xf>
    <xf numFmtId="0" fontId="11" fillId="0" borderId="18" xfId="0" applyFont="1" applyFill="1" applyBorder="1" applyAlignment="1" applyProtection="1">
      <alignment horizontal="center" vertical="top" wrapText="1"/>
      <protection locked="0"/>
    </xf>
    <xf numFmtId="0" fontId="11" fillId="4" borderId="6" xfId="0" applyFont="1" applyFill="1" applyBorder="1" applyAlignment="1" applyProtection="1">
      <alignment vertical="top" wrapText="1"/>
      <protection locked="0"/>
    </xf>
    <xf numFmtId="0" fontId="11" fillId="4" borderId="48" xfId="0" applyFont="1" applyFill="1" applyBorder="1" applyAlignment="1" applyProtection="1">
      <alignment horizontal="right" vertical="top" wrapText="1"/>
      <protection locked="0"/>
    </xf>
    <xf numFmtId="169" fontId="10" fillId="4" borderId="16" xfId="7" quotePrefix="1" applyNumberFormat="1" applyFont="1" applyFill="1" applyBorder="1" applyAlignment="1" applyProtection="1">
      <alignment horizontal="center" vertical="top" wrapText="1"/>
      <protection locked="0"/>
    </xf>
    <xf numFmtId="169" fontId="10" fillId="4" borderId="14" xfId="7" quotePrefix="1" applyNumberFormat="1" applyFont="1" applyFill="1" applyBorder="1" applyAlignment="1" applyProtection="1">
      <alignment horizontal="center" vertical="top" wrapText="1"/>
      <protection locked="0"/>
    </xf>
    <xf numFmtId="0" fontId="11" fillId="4" borderId="6" xfId="0" applyFont="1" applyFill="1" applyBorder="1" applyAlignment="1" applyProtection="1">
      <protection locked="0"/>
    </xf>
    <xf numFmtId="0" fontId="11" fillId="4" borderId="26" xfId="0" applyFont="1" applyFill="1" applyBorder="1" applyAlignment="1" applyProtection="1">
      <alignment horizontal="right"/>
      <protection locked="0"/>
    </xf>
    <xf numFmtId="169" fontId="10" fillId="64" borderId="20" xfId="7" quotePrefix="1" applyNumberFormat="1" applyFont="1" applyFill="1" applyBorder="1" applyAlignment="1" applyProtection="1">
      <alignment horizontal="center" vertical="top" wrapText="1"/>
      <protection locked="0"/>
    </xf>
    <xf numFmtId="169" fontId="12" fillId="4" borderId="20" xfId="7" applyNumberFormat="1" applyFont="1" applyFill="1" applyBorder="1" applyAlignment="1" applyProtection="1">
      <alignment horizontal="center" vertical="top" wrapText="1"/>
      <protection locked="0"/>
    </xf>
    <xf numFmtId="169" fontId="12" fillId="64" borderId="23" xfId="7" quotePrefix="1" applyNumberFormat="1" applyFont="1" applyFill="1" applyBorder="1" applyAlignment="1" applyProtection="1">
      <alignment horizontal="center" vertical="top" wrapText="1"/>
      <protection locked="0"/>
    </xf>
    <xf numFmtId="169" fontId="12" fillId="64" borderId="25" xfId="7" quotePrefix="1" applyNumberFormat="1" applyFont="1" applyFill="1" applyBorder="1" applyAlignment="1" applyProtection="1">
      <alignment horizontal="center" vertical="top" wrapText="1"/>
      <protection locked="0"/>
    </xf>
    <xf numFmtId="0" fontId="7" fillId="0" borderId="0" xfId="0" applyFont="1" applyProtection="1">
      <protection locked="0"/>
    </xf>
    <xf numFmtId="1" fontId="12" fillId="0" borderId="17" xfId="0" applyNumberFormat="1" applyFont="1" applyBorder="1" applyAlignment="1" applyProtection="1">
      <alignment horizontal="center"/>
      <protection locked="0"/>
    </xf>
    <xf numFmtId="3" fontId="71" fillId="64" borderId="112" xfId="211" quotePrefix="1" applyNumberFormat="1" applyFont="1" applyFill="1" applyBorder="1" applyAlignment="1" applyProtection="1">
      <alignment horizontal="center" vertical="center"/>
    </xf>
    <xf numFmtId="3" fontId="71" fillId="64" borderId="113" xfId="211" quotePrefix="1" applyNumberFormat="1" applyFont="1" applyFill="1" applyBorder="1" applyAlignment="1" applyProtection="1">
      <alignment horizontal="center" vertical="center"/>
    </xf>
    <xf numFmtId="0" fontId="71" fillId="64" borderId="11" xfId="211" quotePrefix="1" applyFont="1" applyFill="1" applyBorder="1" applyAlignment="1" applyProtection="1">
      <alignment horizontal="center" vertical="center"/>
    </xf>
    <xf numFmtId="3" fontId="71" fillId="64" borderId="112" xfId="211" applyNumberFormat="1" applyFont="1" applyFill="1" applyBorder="1" applyAlignment="1" applyProtection="1">
      <alignment horizontal="center" vertical="center"/>
    </xf>
    <xf numFmtId="3" fontId="71" fillId="64" borderId="113" xfId="211" applyNumberFormat="1" applyFont="1" applyFill="1" applyBorder="1" applyAlignment="1" applyProtection="1">
      <alignment horizontal="center" vertical="center"/>
    </xf>
    <xf numFmtId="0" fontId="67" fillId="65" borderId="0" xfId="211" applyFont="1" applyFill="1"/>
    <xf numFmtId="3" fontId="71" fillId="6" borderId="112" xfId="211" applyNumberFormat="1" applyFont="1" applyFill="1" applyBorder="1" applyAlignment="1" applyProtection="1">
      <alignment horizontal="center" vertical="center"/>
    </xf>
    <xf numFmtId="3" fontId="71" fillId="6" borderId="113" xfId="211" applyNumberFormat="1" applyFont="1" applyFill="1" applyBorder="1" applyAlignment="1" applyProtection="1">
      <alignment horizontal="center" vertical="center"/>
    </xf>
    <xf numFmtId="3" fontId="12" fillId="64" borderId="60" xfId="1" applyNumberFormat="1" applyFont="1" applyFill="1" applyBorder="1" applyAlignment="1" applyProtection="1">
      <alignment horizontal="center" vertical="top" wrapText="1"/>
      <protection locked="0"/>
    </xf>
    <xf numFmtId="3" fontId="12" fillId="64" borderId="43" xfId="1" applyNumberFormat="1" applyFont="1" applyFill="1" applyBorder="1" applyAlignment="1" applyProtection="1">
      <alignment horizontal="center" vertical="top" wrapText="1"/>
      <protection locked="0"/>
    </xf>
    <xf numFmtId="169" fontId="12" fillId="64" borderId="21" xfId="7" applyNumberFormat="1" applyFont="1" applyFill="1" applyBorder="1" applyAlignment="1" applyProtection="1">
      <alignment horizontal="center" vertical="top" wrapText="1"/>
    </xf>
    <xf numFmtId="0" fontId="71" fillId="5" borderId="120" xfId="211" applyFont="1" applyFill="1" applyBorder="1" applyAlignment="1" applyProtection="1">
      <alignment horizontal="center" vertical="center"/>
    </xf>
    <xf numFmtId="0" fontId="11" fillId="5" borderId="19" xfId="0" applyFont="1" applyFill="1" applyBorder="1" applyAlignment="1" applyProtection="1">
      <alignment horizontal="left" vertical="center" wrapText="1"/>
    </xf>
    <xf numFmtId="0" fontId="11" fillId="66" borderId="11" xfId="0" applyFont="1" applyFill="1" applyBorder="1" applyAlignment="1" applyProtection="1">
      <alignment vertical="top" wrapText="1"/>
    </xf>
    <xf numFmtId="0" fontId="75" fillId="6" borderId="12" xfId="0" applyFont="1" applyFill="1" applyBorder="1" applyAlignment="1">
      <alignment horizontal="center"/>
    </xf>
    <xf numFmtId="0" fontId="75" fillId="6" borderId="12" xfId="0" applyFont="1" applyFill="1" applyBorder="1"/>
    <xf numFmtId="0" fontId="75" fillId="0" borderId="0" xfId="0" applyFont="1" applyFill="1" applyBorder="1" applyAlignment="1" applyProtection="1">
      <alignment horizontal="center" vertical="center"/>
    </xf>
    <xf numFmtId="0" fontId="75" fillId="0" borderId="0" xfId="0" applyFont="1" applyFill="1" applyBorder="1" applyAlignment="1" applyProtection="1">
      <alignment horizontal="left" vertical="center" wrapText="1"/>
    </xf>
    <xf numFmtId="169" fontId="76" fillId="0" borderId="0" xfId="0" applyNumberFormat="1" applyFont="1" applyFill="1" applyBorder="1" applyAlignment="1" applyProtection="1">
      <alignment horizontal="center" vertical="center"/>
    </xf>
    <xf numFmtId="0" fontId="75" fillId="6" borderId="49" xfId="0" applyFont="1" applyFill="1" applyBorder="1" applyAlignment="1" applyProtection="1">
      <alignment horizontal="left" vertical="center" wrapText="1"/>
    </xf>
    <xf numFmtId="0" fontId="75" fillId="6" borderId="46" xfId="0" applyFont="1" applyFill="1" applyBorder="1" applyAlignment="1" applyProtection="1">
      <alignment horizontal="left" vertical="center" wrapText="1"/>
    </xf>
    <xf numFmtId="0" fontId="73" fillId="0" borderId="0" xfId="0" applyFont="1" applyFill="1" applyBorder="1" applyAlignment="1" applyProtection="1">
      <alignment horizontal="center" vertical="center"/>
    </xf>
    <xf numFmtId="0" fontId="73" fillId="0" borderId="0" xfId="0" applyFont="1" applyFill="1" applyBorder="1" applyAlignment="1" applyProtection="1">
      <alignment horizontal="left" vertical="center" wrapText="1"/>
    </xf>
    <xf numFmtId="37" fontId="69" fillId="0" borderId="0" xfId="0" applyNumberFormat="1" applyFont="1" applyFill="1" applyBorder="1" applyAlignment="1" applyProtection="1">
      <alignment horizontal="center" vertical="center"/>
    </xf>
    <xf numFmtId="38" fontId="69" fillId="0" borderId="0" xfId="0" quotePrefix="1" applyNumberFormat="1" applyFont="1" applyFill="1" applyBorder="1" applyAlignment="1" applyProtection="1">
      <alignment horizontal="center" vertical="center"/>
    </xf>
    <xf numFmtId="39" fontId="69" fillId="0" borderId="0" xfId="0" applyNumberFormat="1" applyFont="1" applyFill="1" applyBorder="1" applyAlignment="1" applyProtection="1">
      <alignment horizontal="center" vertical="center"/>
    </xf>
    <xf numFmtId="7" fontId="73" fillId="0" borderId="0" xfId="0" applyNumberFormat="1" applyFont="1" applyFill="1" applyBorder="1" applyAlignment="1" applyProtection="1">
      <alignment horizontal="center" vertical="center"/>
    </xf>
    <xf numFmtId="37" fontId="69" fillId="0" borderId="0" xfId="0" quotePrefix="1"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0" fillId="0" borderId="0" xfId="0" applyFill="1" applyBorder="1" applyAlignment="1">
      <alignment horizontal="center"/>
    </xf>
    <xf numFmtId="0" fontId="67" fillId="0" borderId="0" xfId="211" applyFont="1" applyFill="1" applyBorder="1" applyAlignment="1" applyProtection="1">
      <alignment vertical="center" wrapText="1"/>
    </xf>
    <xf numFmtId="0" fontId="0" fillId="2" borderId="0" xfId="0" applyFill="1" applyBorder="1"/>
    <xf numFmtId="0" fontId="0" fillId="0" borderId="0" xfId="0" applyFill="1" applyBorder="1"/>
    <xf numFmtId="0" fontId="6" fillId="0" borderId="0" xfId="0" applyFont="1" applyFill="1" applyBorder="1" applyAlignment="1" applyProtection="1">
      <alignment horizontal="center"/>
    </xf>
    <xf numFmtId="0" fontId="6" fillId="0" borderId="49" xfId="0" applyFont="1" applyFill="1" applyBorder="1" applyAlignment="1" applyProtection="1">
      <alignment horizontal="center"/>
    </xf>
    <xf numFmtId="0" fontId="71" fillId="0" borderId="29" xfId="211" applyFont="1" applyBorder="1" applyAlignment="1" applyProtection="1">
      <alignment horizontal="left" vertical="center" wrapText="1"/>
    </xf>
    <xf numFmtId="0" fontId="11" fillId="5" borderId="11" xfId="0" applyFont="1" applyFill="1" applyBorder="1" applyAlignment="1" applyProtection="1">
      <alignment horizontal="center" vertical="center"/>
    </xf>
    <xf numFmtId="0" fontId="11" fillId="5" borderId="11" xfId="0" applyFont="1" applyFill="1" applyBorder="1" applyAlignment="1" applyProtection="1">
      <alignment horizontal="left" vertical="center" wrapText="1"/>
    </xf>
    <xf numFmtId="0" fontId="71" fillId="5" borderId="19" xfId="211" applyFont="1" applyFill="1" applyBorder="1" applyAlignment="1" applyProtection="1">
      <alignment vertical="center" wrapText="1"/>
    </xf>
    <xf numFmtId="0" fontId="12" fillId="0" borderId="49" xfId="0" applyFont="1" applyFill="1" applyBorder="1" applyAlignment="1" applyProtection="1">
      <alignment horizontal="left"/>
    </xf>
    <xf numFmtId="0" fontId="75" fillId="6" borderId="9" xfId="0" applyFont="1" applyFill="1" applyBorder="1" applyAlignment="1" applyProtection="1">
      <alignment horizontal="center" vertical="center"/>
    </xf>
    <xf numFmtId="0" fontId="76" fillId="0" borderId="0" xfId="0" applyFont="1" applyFill="1" applyBorder="1" applyAlignment="1" applyProtection="1">
      <alignment horizontal="center" vertical="center"/>
      <protection locked="0"/>
    </xf>
    <xf numFmtId="0" fontId="77" fillId="0" borderId="0" xfId="210" applyFont="1" applyFill="1" applyBorder="1" applyAlignment="1" applyProtection="1">
      <alignment horizontal="left" vertical="center"/>
      <protection locked="0"/>
    </xf>
    <xf numFmtId="0" fontId="75" fillId="0" borderId="49" xfId="0" applyFont="1" applyFill="1" applyBorder="1" applyAlignment="1" applyProtection="1">
      <alignment horizontal="center" vertical="center"/>
    </xf>
    <xf numFmtId="0" fontId="75" fillId="0" borderId="49" xfId="0" applyFont="1" applyFill="1" applyBorder="1" applyAlignment="1" applyProtection="1">
      <alignment horizontal="left" vertical="center" wrapText="1"/>
    </xf>
    <xf numFmtId="0" fontId="76" fillId="0" borderId="49" xfId="0" applyFont="1" applyFill="1" applyBorder="1" applyAlignment="1" applyProtection="1">
      <alignment horizontal="center" vertical="center"/>
      <protection locked="0"/>
    </xf>
    <xf numFmtId="0" fontId="77" fillId="0" borderId="49" xfId="210" applyFont="1" applyFill="1" applyBorder="1" applyAlignment="1" applyProtection="1">
      <alignment horizontal="left" vertical="center"/>
      <protection locked="0"/>
    </xf>
    <xf numFmtId="0" fontId="82" fillId="0" borderId="0" xfId="0" applyFont="1"/>
    <xf numFmtId="0" fontId="75" fillId="6" borderId="8" xfId="0" applyFont="1" applyFill="1" applyBorder="1" applyAlignment="1">
      <alignment horizontal="center" vertical="center"/>
    </xf>
    <xf numFmtId="0" fontId="75" fillId="6" borderId="9" xfId="0" applyFont="1" applyFill="1" applyBorder="1" applyAlignment="1">
      <alignment horizontal="center" vertical="center"/>
    </xf>
    <xf numFmtId="0" fontId="10" fillId="0" borderId="0" xfId="100" applyAlignment="1" applyProtection="1">
      <alignment vertical="center"/>
      <protection locked="0"/>
    </xf>
    <xf numFmtId="0" fontId="11" fillId="0" borderId="164" xfId="100" applyFont="1" applyBorder="1" applyAlignment="1" applyProtection="1">
      <alignment vertical="center"/>
      <protection locked="0"/>
    </xf>
    <xf numFmtId="0" fontId="11" fillId="0" borderId="164" xfId="100" applyFont="1" applyBorder="1" applyAlignment="1" applyProtection="1">
      <alignment horizontal="center" vertical="center"/>
      <protection locked="0"/>
    </xf>
    <xf numFmtId="0" fontId="10" fillId="0" borderId="56" xfId="100" applyBorder="1" applyAlignment="1" applyProtection="1">
      <alignment horizontal="center" vertical="center"/>
    </xf>
    <xf numFmtId="0" fontId="10" fillId="0" borderId="165" xfId="100" applyBorder="1" applyAlignment="1" applyProtection="1">
      <alignment vertical="center"/>
    </xf>
    <xf numFmtId="2" fontId="10" fillId="0" borderId="165" xfId="100" applyNumberFormat="1" applyBorder="1" applyAlignment="1" applyProtection="1">
      <alignment horizontal="center" vertical="center"/>
    </xf>
    <xf numFmtId="0" fontId="10" fillId="0" borderId="165" xfId="100" applyBorder="1" applyAlignment="1" applyProtection="1">
      <alignment horizontal="center" vertical="center"/>
    </xf>
    <xf numFmtId="0" fontId="10" fillId="0" borderId="156" xfId="100" applyBorder="1" applyAlignment="1" applyProtection="1">
      <alignment vertical="center"/>
    </xf>
    <xf numFmtId="2" fontId="10" fillId="0" borderId="156" xfId="100" applyNumberFormat="1" applyBorder="1" applyAlignment="1" applyProtection="1">
      <alignment horizontal="center" vertical="center"/>
    </xf>
    <xf numFmtId="0" fontId="10" fillId="0" borderId="156" xfId="100" applyBorder="1" applyAlignment="1" applyProtection="1">
      <alignment horizontal="center" vertical="center"/>
    </xf>
    <xf numFmtId="0" fontId="10" fillId="0" borderId="166" xfId="100" applyFont="1" applyBorder="1" applyAlignment="1" applyProtection="1">
      <alignment vertical="center"/>
    </xf>
    <xf numFmtId="2" fontId="10" fillId="0" borderId="166" xfId="100" applyNumberFormat="1" applyBorder="1" applyAlignment="1" applyProtection="1">
      <alignment horizontal="center" vertical="center"/>
    </xf>
    <xf numFmtId="0" fontId="10" fillId="0" borderId="166" xfId="100" applyBorder="1" applyAlignment="1" applyProtection="1">
      <alignment horizontal="center" vertical="center"/>
    </xf>
    <xf numFmtId="0" fontId="10" fillId="0" borderId="166" xfId="100" applyBorder="1" applyAlignment="1" applyProtection="1">
      <alignment vertical="center"/>
    </xf>
    <xf numFmtId="3" fontId="10" fillId="0" borderId="166" xfId="100" applyNumberFormat="1" applyBorder="1" applyAlignment="1" applyProtection="1">
      <alignment horizontal="center" vertical="center"/>
    </xf>
    <xf numFmtId="3" fontId="10" fillId="0" borderId="165" xfId="100" applyNumberFormat="1" applyBorder="1" applyAlignment="1" applyProtection="1">
      <alignment horizontal="center" vertical="center"/>
    </xf>
    <xf numFmtId="3" fontId="10" fillId="0" borderId="156" xfId="100" applyNumberFormat="1" applyBorder="1" applyAlignment="1" applyProtection="1">
      <alignment horizontal="center" vertical="center"/>
    </xf>
    <xf numFmtId="0" fontId="8" fillId="0" borderId="0" xfId="100" applyFont="1" applyAlignment="1" applyProtection="1">
      <alignment vertical="center"/>
      <protection locked="0"/>
    </xf>
    <xf numFmtId="0" fontId="10" fillId="0" borderId="178" xfId="100" applyBorder="1" applyAlignment="1" applyProtection="1">
      <alignment vertical="center"/>
    </xf>
    <xf numFmtId="0" fontId="10" fillId="0" borderId="178" xfId="100" applyBorder="1" applyAlignment="1" applyProtection="1">
      <alignment horizontal="center" vertical="center"/>
    </xf>
    <xf numFmtId="0" fontId="11" fillId="0" borderId="0" xfId="100" applyFont="1" applyAlignment="1" applyProtection="1">
      <alignment vertical="center"/>
      <protection locked="0"/>
    </xf>
    <xf numFmtId="0" fontId="10" fillId="0" borderId="0" xfId="100" applyAlignment="1" applyProtection="1">
      <alignment horizontal="right" vertical="center"/>
      <protection locked="0"/>
    </xf>
    <xf numFmtId="0" fontId="81" fillId="0" borderId="0" xfId="0" applyFont="1" applyFill="1"/>
    <xf numFmtId="0" fontId="11" fillId="0" borderId="0" xfId="0" applyFont="1"/>
    <xf numFmtId="3" fontId="10" fillId="0" borderId="178" xfId="100" applyNumberFormat="1" applyBorder="1" applyAlignment="1" applyProtection="1">
      <alignment horizontal="center" vertical="center"/>
    </xf>
    <xf numFmtId="183" fontId="10" fillId="0" borderId="166" xfId="100" applyNumberFormat="1" applyFill="1" applyBorder="1" applyAlignment="1" applyProtection="1">
      <alignment horizontal="center" vertical="center"/>
    </xf>
    <xf numFmtId="183" fontId="10" fillId="0" borderId="165" xfId="100" applyNumberFormat="1" applyFill="1" applyBorder="1" applyAlignment="1" applyProtection="1">
      <alignment horizontal="center" vertical="center"/>
    </xf>
    <xf numFmtId="183" fontId="10" fillId="0" borderId="156" xfId="100" applyNumberFormat="1" applyFill="1" applyBorder="1" applyAlignment="1" applyProtection="1">
      <alignment horizontal="center" vertical="center"/>
    </xf>
    <xf numFmtId="0" fontId="71" fillId="64" borderId="0" xfId="211" quotePrefix="1" applyFont="1" applyFill="1" applyBorder="1" applyAlignment="1" applyProtection="1">
      <alignment horizontal="center" vertical="center"/>
    </xf>
    <xf numFmtId="3" fontId="71" fillId="64" borderId="0" xfId="211" applyNumberFormat="1" applyFont="1" applyFill="1" applyBorder="1" applyAlignment="1" applyProtection="1">
      <alignment horizontal="center" vertical="center"/>
    </xf>
    <xf numFmtId="0" fontId="71" fillId="64" borderId="0" xfId="211" quotePrefix="1" applyFont="1" applyFill="1" applyBorder="1" applyAlignment="1" applyProtection="1">
      <alignment horizontal="center" vertical="center" wrapText="1"/>
    </xf>
    <xf numFmtId="0" fontId="71" fillId="64" borderId="0" xfId="211" applyFont="1" applyFill="1" applyBorder="1" applyAlignment="1" applyProtection="1">
      <alignment horizontal="center" vertical="center" wrapText="1"/>
    </xf>
    <xf numFmtId="0" fontId="71" fillId="5" borderId="3" xfId="211" applyFont="1" applyFill="1" applyBorder="1" applyAlignment="1" applyProtection="1">
      <alignment horizontal="center" vertical="center"/>
    </xf>
    <xf numFmtId="3" fontId="10" fillId="5" borderId="85" xfId="0" applyNumberFormat="1" applyFont="1" applyFill="1" applyBorder="1" applyAlignment="1" applyProtection="1">
      <alignment horizontal="center"/>
    </xf>
    <xf numFmtId="3" fontId="10" fillId="5" borderId="86" xfId="0" applyNumberFormat="1" applyFont="1" applyFill="1" applyBorder="1" applyAlignment="1" applyProtection="1">
      <alignment horizontal="center"/>
    </xf>
    <xf numFmtId="3" fontId="67" fillId="0" borderId="52" xfId="211" applyNumberFormat="1" applyFont="1" applyFill="1" applyBorder="1" applyAlignment="1" applyProtection="1">
      <alignment horizontal="center" vertical="center"/>
      <protection locked="0"/>
    </xf>
    <xf numFmtId="3" fontId="67" fillId="0" borderId="65" xfId="211" applyNumberFormat="1" applyFont="1" applyFill="1" applyBorder="1" applyAlignment="1" applyProtection="1">
      <alignment horizontal="center" vertical="center"/>
      <protection locked="0"/>
    </xf>
    <xf numFmtId="168" fontId="12" fillId="5" borderId="86" xfId="0" applyNumberFormat="1" applyFont="1" applyFill="1" applyBorder="1" applyAlignment="1" applyProtection="1">
      <alignment horizontal="center" vertical="center"/>
    </xf>
    <xf numFmtId="0" fontId="10" fillId="0" borderId="0" xfId="100" quotePrefix="1" applyAlignment="1" applyProtection="1">
      <alignment vertical="center"/>
      <protection locked="0"/>
    </xf>
    <xf numFmtId="0" fontId="10" fillId="0" borderId="0" xfId="100" quotePrefix="1" applyAlignment="1" applyProtection="1">
      <alignment horizontal="center" vertical="center"/>
      <protection locked="0"/>
    </xf>
    <xf numFmtId="0" fontId="11" fillId="5" borderId="23" xfId="0" applyFont="1" applyFill="1" applyBorder="1" applyAlignment="1">
      <alignment vertical="center"/>
    </xf>
    <xf numFmtId="0" fontId="11" fillId="5" borderId="39" xfId="0" applyFont="1" applyFill="1" applyBorder="1" applyAlignment="1">
      <alignment horizontal="center" vertical="center"/>
    </xf>
    <xf numFmtId="0" fontId="11" fillId="5" borderId="39" xfId="0" applyFont="1" applyFill="1" applyBorder="1" applyAlignment="1">
      <alignment vertical="center"/>
    </xf>
    <xf numFmtId="0" fontId="11" fillId="5" borderId="37" xfId="0" applyFont="1" applyFill="1" applyBorder="1" applyAlignment="1">
      <alignment horizontal="center" vertical="center"/>
    </xf>
    <xf numFmtId="0" fontId="11" fillId="5" borderId="37" xfId="0" applyFont="1" applyFill="1" applyBorder="1" applyAlignment="1">
      <alignment vertical="center"/>
    </xf>
    <xf numFmtId="0" fontId="11" fillId="5" borderId="35" xfId="0" applyFont="1" applyFill="1" applyBorder="1" applyAlignment="1">
      <alignment horizontal="left" vertical="center" indent="1"/>
    </xf>
    <xf numFmtId="0" fontId="11" fillId="5" borderId="2" xfId="0" applyFont="1" applyFill="1" applyBorder="1" applyAlignment="1">
      <alignment horizontal="left" vertical="center" indent="1"/>
    </xf>
    <xf numFmtId="0" fontId="11" fillId="5" borderId="103" xfId="0" applyFont="1" applyFill="1" applyBorder="1" applyAlignment="1">
      <alignment horizontal="left" vertical="center" indent="1"/>
    </xf>
    <xf numFmtId="0" fontId="11" fillId="5" borderId="177" xfId="0" applyFont="1" applyFill="1" applyBorder="1" applyAlignment="1">
      <alignment vertical="center"/>
    </xf>
    <xf numFmtId="0" fontId="7" fillId="0" borderId="0" xfId="0" applyFont="1" applyAlignment="1">
      <alignment vertical="center"/>
    </xf>
    <xf numFmtId="0" fontId="11" fillId="5" borderId="41" xfId="0" applyFont="1" applyFill="1" applyBorder="1" applyAlignment="1">
      <alignment vertical="center"/>
    </xf>
    <xf numFmtId="0" fontId="11" fillId="5" borderId="177" xfId="0" applyFont="1" applyFill="1" applyBorder="1" applyAlignment="1">
      <alignment horizontal="center" vertical="center"/>
    </xf>
    <xf numFmtId="0" fontId="11" fillId="5" borderId="177" xfId="0" applyFont="1" applyFill="1" applyBorder="1" applyAlignment="1">
      <alignment horizontal="right" vertical="center"/>
    </xf>
    <xf numFmtId="0" fontId="11" fillId="5" borderId="180" xfId="0" quotePrefix="1" applyFont="1" applyFill="1" applyBorder="1" applyAlignment="1">
      <alignment horizontal="center" vertical="center"/>
    </xf>
    <xf numFmtId="9" fontId="11" fillId="5" borderId="180" xfId="0" quotePrefix="1" applyNumberFormat="1" applyFont="1" applyFill="1" applyBorder="1" applyAlignment="1">
      <alignment horizontal="center" vertical="center"/>
    </xf>
    <xf numFmtId="0" fontId="8" fillId="5" borderId="0" xfId="0" quotePrefix="1" applyFont="1" applyFill="1" applyBorder="1"/>
    <xf numFmtId="0" fontId="7" fillId="5" borderId="4" xfId="0" applyFont="1" applyFill="1" applyBorder="1"/>
    <xf numFmtId="0" fontId="8" fillId="5" borderId="17" xfId="0" applyFont="1" applyFill="1" applyBorder="1" applyAlignment="1">
      <alignment horizontal="center" vertical="center" wrapText="1"/>
    </xf>
    <xf numFmtId="0" fontId="11" fillId="0" borderId="0" xfId="0" quotePrefix="1" applyFont="1" applyAlignment="1">
      <alignment horizontal="left" wrapText="1"/>
    </xf>
    <xf numFmtId="0" fontId="118" fillId="5" borderId="52" xfId="0" applyFont="1" applyFill="1" applyBorder="1" applyAlignment="1">
      <alignment vertical="center"/>
    </xf>
    <xf numFmtId="0" fontId="118" fillId="5" borderId="64" xfId="0" applyFont="1" applyFill="1" applyBorder="1" applyAlignment="1">
      <alignment vertical="center"/>
    </xf>
    <xf numFmtId="0" fontId="118" fillId="5" borderId="65" xfId="0" applyFont="1" applyFill="1" applyBorder="1" applyAlignment="1">
      <alignment vertical="center"/>
    </xf>
    <xf numFmtId="0" fontId="118" fillId="5" borderId="52" xfId="0" applyFont="1" applyFill="1" applyBorder="1" applyAlignment="1">
      <alignment horizontal="left" vertical="center"/>
    </xf>
    <xf numFmtId="0" fontId="118" fillId="5" borderId="179" xfId="0" applyFont="1" applyFill="1" applyBorder="1" applyAlignment="1">
      <alignment horizontal="center" vertical="center"/>
    </xf>
    <xf numFmtId="0" fontId="118" fillId="5" borderId="64" xfId="0" applyFont="1" applyFill="1" applyBorder="1" applyAlignment="1">
      <alignment horizontal="center" vertical="center"/>
    </xf>
    <xf numFmtId="0" fontId="118" fillId="5" borderId="65" xfId="0" applyFont="1" applyFill="1" applyBorder="1" applyAlignment="1">
      <alignment vertical="center" wrapText="1"/>
    </xf>
    <xf numFmtId="0" fontId="11" fillId="86" borderId="39" xfId="0" applyFont="1" applyFill="1" applyBorder="1" applyAlignment="1" applyProtection="1">
      <alignment horizontal="center" vertical="center"/>
      <protection locked="0"/>
    </xf>
    <xf numFmtId="0" fontId="11" fillId="86" borderId="177" xfId="0" applyFont="1" applyFill="1" applyBorder="1" applyAlignment="1" applyProtection="1">
      <alignment horizontal="center" vertical="center"/>
      <protection locked="0"/>
    </xf>
    <xf numFmtId="0" fontId="11" fillId="86" borderId="37" xfId="0" applyFont="1" applyFill="1" applyBorder="1" applyAlignment="1" applyProtection="1">
      <alignment horizontal="center" vertical="center"/>
      <protection locked="0"/>
    </xf>
    <xf numFmtId="0" fontId="6" fillId="0" borderId="0" xfId="0" applyFont="1" applyProtection="1">
      <protection locked="0"/>
    </xf>
    <xf numFmtId="0" fontId="8" fillId="5" borderId="3" xfId="0" applyFont="1" applyFill="1" applyBorder="1" applyAlignment="1">
      <alignment horizontal="center" vertical="center" wrapText="1"/>
    </xf>
    <xf numFmtId="10" fontId="11" fillId="5" borderId="43" xfId="0" quotePrefix="1" applyNumberFormat="1" applyFont="1" applyFill="1" applyBorder="1" applyAlignment="1">
      <alignment horizontal="center" vertical="center"/>
    </xf>
    <xf numFmtId="0" fontId="118" fillId="5" borderId="64" xfId="0" applyFont="1" applyFill="1" applyBorder="1" applyAlignment="1">
      <alignment horizontal="center" vertical="center" wrapText="1"/>
    </xf>
    <xf numFmtId="0" fontId="121" fillId="0" borderId="0" xfId="0" applyFont="1"/>
    <xf numFmtId="0" fontId="11" fillId="5" borderId="103" xfId="0" applyFont="1" applyFill="1" applyBorder="1" applyAlignment="1">
      <alignment horizontal="left" vertical="center" wrapText="1"/>
    </xf>
    <xf numFmtId="0" fontId="7" fillId="0" borderId="0" xfId="0" applyFont="1" applyAlignment="1">
      <alignment vertical="top"/>
    </xf>
    <xf numFmtId="0" fontId="12" fillId="0" borderId="30" xfId="0" applyFont="1" applyBorder="1" applyAlignment="1" applyProtection="1">
      <alignment horizontal="center" vertical="top" wrapText="1"/>
      <protection locked="0"/>
    </xf>
    <xf numFmtId="0" fontId="12" fillId="0" borderId="24" xfId="0" applyFont="1" applyBorder="1" applyAlignment="1" applyProtection="1">
      <alignment horizontal="center" vertical="top" wrapText="1"/>
      <protection locked="0"/>
    </xf>
    <xf numFmtId="166" fontId="12" fillId="5" borderId="3" xfId="4" applyNumberFormat="1" applyFont="1" applyFill="1" applyBorder="1" applyAlignment="1" applyProtection="1">
      <alignment vertical="top" wrapText="1"/>
    </xf>
    <xf numFmtId="166" fontId="12" fillId="5" borderId="5" xfId="4" applyNumberFormat="1" applyFont="1" applyFill="1" applyBorder="1" applyAlignment="1" applyProtection="1">
      <alignment vertical="top" wrapText="1"/>
    </xf>
    <xf numFmtId="0" fontId="12" fillId="0" borderId="7" xfId="0" applyFont="1" applyBorder="1" applyAlignment="1" applyProtection="1">
      <alignment horizontal="center" vertical="top" wrapText="1"/>
      <protection locked="0"/>
    </xf>
    <xf numFmtId="0" fontId="12" fillId="0" borderId="16" xfId="0" applyFont="1" applyBorder="1" applyAlignment="1" applyProtection="1">
      <alignment horizontal="center" vertical="top" wrapText="1"/>
      <protection locked="0"/>
    </xf>
    <xf numFmtId="0" fontId="11" fillId="5" borderId="3" xfId="0" applyFont="1" applyFill="1" applyBorder="1" applyAlignment="1" applyProtection="1">
      <alignment horizontal="left" vertical="top" wrapText="1"/>
    </xf>
    <xf numFmtId="0" fontId="0" fillId="5" borderId="5" xfId="0" applyFill="1" applyBorder="1" applyAlignment="1">
      <alignment horizontal="left" vertical="top" wrapText="1"/>
    </xf>
    <xf numFmtId="3" fontId="10" fillId="0" borderId="3" xfId="0" applyNumberFormat="1" applyFont="1" applyBorder="1" applyAlignment="1" applyProtection="1">
      <alignment horizontal="center" vertical="center" wrapText="1"/>
      <protection locked="0"/>
    </xf>
    <xf numFmtId="3" fontId="12" fillId="0" borderId="5" xfId="0" applyNumberFormat="1" applyFont="1" applyBorder="1" applyAlignment="1" applyProtection="1">
      <alignment horizontal="center" vertical="center" wrapText="1"/>
      <protection locked="0"/>
    </xf>
    <xf numFmtId="0" fontId="11" fillId="5" borderId="5" xfId="0" applyFont="1" applyFill="1" applyBorder="1" applyAlignment="1" applyProtection="1">
      <alignment horizontal="left" vertical="top" wrapText="1"/>
    </xf>
    <xf numFmtId="0" fontId="12" fillId="0" borderId="3" xfId="0" applyFont="1" applyBorder="1" applyAlignment="1" applyProtection="1">
      <alignment horizontal="center" vertical="top" wrapText="1"/>
      <protection locked="0"/>
    </xf>
    <xf numFmtId="0" fontId="12" fillId="0" borderId="5" xfId="0" applyFont="1" applyBorder="1" applyAlignment="1" applyProtection="1">
      <alignment horizontal="center" vertical="top" wrapText="1"/>
      <protection locked="0"/>
    </xf>
    <xf numFmtId="3" fontId="12" fillId="5" borderId="3" xfId="0" applyNumberFormat="1" applyFont="1" applyFill="1" applyBorder="1" applyAlignment="1" applyProtection="1">
      <alignment horizontal="center" vertical="top" wrapText="1"/>
      <protection locked="0"/>
    </xf>
    <xf numFmtId="3" fontId="12" fillId="5" borderId="5" xfId="0" applyNumberFormat="1" applyFont="1" applyFill="1" applyBorder="1" applyAlignment="1" applyProtection="1">
      <alignment horizontal="center" vertical="top" wrapText="1"/>
      <protection locked="0"/>
    </xf>
    <xf numFmtId="0" fontId="11" fillId="5" borderId="12" xfId="0" applyFont="1" applyFill="1" applyBorder="1" applyAlignment="1" applyProtection="1">
      <alignment vertical="top" wrapText="1"/>
    </xf>
    <xf numFmtId="0" fontId="11" fillId="5" borderId="11" xfId="0" applyFont="1" applyFill="1" applyBorder="1" applyAlignment="1" applyProtection="1">
      <alignment vertical="top" wrapText="1"/>
    </xf>
    <xf numFmtId="0" fontId="12" fillId="0" borderId="6" xfId="0" applyFont="1" applyBorder="1" applyAlignment="1" applyProtection="1">
      <alignment horizontal="center" vertical="top" wrapText="1"/>
      <protection locked="0"/>
    </xf>
    <xf numFmtId="0" fontId="12" fillId="0" borderId="15" xfId="0" applyFont="1" applyBorder="1" applyAlignment="1" applyProtection="1">
      <alignment horizontal="center" vertical="top" wrapText="1"/>
      <protection locked="0"/>
    </xf>
    <xf numFmtId="0" fontId="11" fillId="5" borderId="12" xfId="0" quotePrefix="1" applyFont="1" applyFill="1" applyBorder="1" applyAlignment="1" applyProtection="1">
      <alignment horizontal="right" vertical="top" wrapText="1"/>
    </xf>
    <xf numFmtId="0" fontId="11" fillId="5" borderId="13" xfId="0" quotePrefix="1" applyFont="1" applyFill="1" applyBorder="1" applyAlignment="1" applyProtection="1">
      <alignment horizontal="right" vertical="top" wrapText="1"/>
    </xf>
    <xf numFmtId="0" fontId="11" fillId="5" borderId="11" xfId="0" quotePrefix="1" applyFont="1" applyFill="1" applyBorder="1" applyAlignment="1" applyProtection="1">
      <alignment horizontal="right" vertical="top" wrapText="1"/>
    </xf>
    <xf numFmtId="0" fontId="10" fillId="0" borderId="49" xfId="0" quotePrefix="1" applyFont="1" applyFill="1" applyBorder="1" applyAlignment="1" applyProtection="1">
      <alignment horizontal="left" vertical="top" wrapText="1"/>
    </xf>
    <xf numFmtId="0" fontId="4" fillId="0" borderId="49" xfId="0" applyFont="1" applyFill="1" applyBorder="1" applyAlignment="1">
      <alignment horizontal="left" vertical="top" wrapText="1"/>
    </xf>
    <xf numFmtId="0" fontId="8" fillId="5" borderId="3" xfId="0" applyFont="1" applyFill="1" applyBorder="1" applyAlignment="1" applyProtection="1">
      <alignment horizontal="center" vertical="top" wrapText="1"/>
    </xf>
    <xf numFmtId="0" fontId="8" fillId="5" borderId="4" xfId="0" applyFont="1" applyFill="1" applyBorder="1" applyAlignment="1" applyProtection="1">
      <alignment horizontal="center" vertical="top" wrapText="1"/>
    </xf>
    <xf numFmtId="0" fontId="8" fillId="5" borderId="5" xfId="0" applyFont="1" applyFill="1" applyBorder="1" applyAlignment="1" applyProtection="1">
      <alignment horizontal="center" vertical="top" wrapText="1"/>
    </xf>
    <xf numFmtId="0" fontId="11" fillId="5" borderId="6" xfId="0" quotePrefix="1" applyFont="1" applyFill="1" applyBorder="1" applyAlignment="1" applyProtection="1">
      <alignment horizontal="right" vertical="top" wrapText="1" indent="1"/>
    </xf>
    <xf numFmtId="0" fontId="11" fillId="5" borderId="15" xfId="0" quotePrefix="1" applyFont="1" applyFill="1" applyBorder="1" applyAlignment="1" applyProtection="1">
      <alignment horizontal="right" vertical="top" wrapText="1" indent="1"/>
    </xf>
    <xf numFmtId="0" fontId="11" fillId="5" borderId="7" xfId="0" applyFont="1" applyFill="1" applyBorder="1" applyAlignment="1" applyProtection="1">
      <alignment horizontal="right" vertical="top" wrapText="1" indent="1"/>
    </xf>
    <xf numFmtId="0" fontId="11" fillId="5" borderId="16" xfId="0" applyFont="1" applyFill="1" applyBorder="1" applyAlignment="1" applyProtection="1">
      <alignment horizontal="right" vertical="top" wrapText="1" indent="1"/>
    </xf>
    <xf numFmtId="0" fontId="11" fillId="5" borderId="12" xfId="0" applyFont="1" applyFill="1" applyBorder="1" applyAlignment="1" applyProtection="1">
      <alignment horizontal="left" vertical="top" wrapText="1"/>
    </xf>
    <xf numFmtId="0" fontId="11" fillId="5" borderId="13" xfId="0" applyFont="1" applyFill="1" applyBorder="1" applyAlignment="1" applyProtection="1">
      <alignment horizontal="left" vertical="top" wrapText="1"/>
    </xf>
    <xf numFmtId="0" fontId="11" fillId="5" borderId="11" xfId="0" applyFont="1" applyFill="1" applyBorder="1" applyAlignment="1" applyProtection="1">
      <alignment horizontal="left" vertical="top" wrapText="1"/>
    </xf>
    <xf numFmtId="0" fontId="12" fillId="0" borderId="55" xfId="0" applyFont="1" applyBorder="1" applyAlignment="1" applyProtection="1">
      <alignment horizontal="center" vertical="top" wrapText="1"/>
      <protection locked="0"/>
    </xf>
    <xf numFmtId="0" fontId="12" fillId="0" borderId="21" xfId="0" applyFont="1" applyBorder="1" applyAlignment="1" applyProtection="1">
      <alignment horizontal="center" vertical="top" wrapText="1"/>
      <protection locked="0"/>
    </xf>
    <xf numFmtId="0" fontId="10" fillId="0" borderId="3" xfId="0" applyFont="1" applyFill="1" applyBorder="1" applyAlignment="1" applyProtection="1">
      <alignment horizontal="center" vertical="top" wrapText="1"/>
      <protection locked="0"/>
    </xf>
    <xf numFmtId="0" fontId="12" fillId="0" borderId="5" xfId="0" applyFont="1" applyFill="1" applyBorder="1" applyAlignment="1" applyProtection="1">
      <alignment horizontal="center" vertical="top" wrapText="1"/>
      <protection locked="0"/>
    </xf>
    <xf numFmtId="0" fontId="11" fillId="5" borderId="13" xfId="0" applyFont="1" applyFill="1" applyBorder="1" applyAlignment="1" applyProtection="1">
      <alignment vertical="top" wrapText="1"/>
    </xf>
    <xf numFmtId="12" fontId="10" fillId="0" borderId="3" xfId="0" applyNumberFormat="1" applyFont="1" applyBorder="1" applyAlignment="1" applyProtection="1">
      <alignment horizontal="center" vertical="top" wrapText="1"/>
      <protection locked="0"/>
    </xf>
    <xf numFmtId="0" fontId="12" fillId="0" borderId="3" xfId="0" applyFont="1" applyFill="1" applyBorder="1" applyAlignment="1" applyProtection="1">
      <alignment horizontal="center" vertical="top" wrapText="1"/>
      <protection locked="0"/>
    </xf>
    <xf numFmtId="0" fontId="11" fillId="5" borderId="13" xfId="0" applyFont="1" applyFill="1" applyBorder="1" applyAlignment="1" applyProtection="1">
      <alignment horizontal="right" vertical="top" wrapText="1"/>
    </xf>
    <xf numFmtId="0" fontId="11" fillId="5" borderId="11" xfId="0" applyFont="1" applyFill="1" applyBorder="1" applyAlignment="1" applyProtection="1">
      <alignment horizontal="right" vertical="top" wrapText="1"/>
    </xf>
    <xf numFmtId="0" fontId="11" fillId="5" borderId="3" xfId="0" quotePrefix="1" applyFont="1" applyFill="1" applyBorder="1" applyAlignment="1" applyProtection="1">
      <alignment horizontal="left" wrapText="1"/>
    </xf>
    <xf numFmtId="0" fontId="11" fillId="5" borderId="5" xfId="0" quotePrefix="1" applyFont="1" applyFill="1" applyBorder="1" applyAlignment="1" applyProtection="1">
      <alignment horizontal="left" wrapText="1"/>
    </xf>
    <xf numFmtId="3" fontId="12" fillId="0" borderId="3" xfId="0" applyNumberFormat="1" applyFont="1" applyBorder="1" applyAlignment="1" applyProtection="1">
      <alignment horizontal="center" vertical="center" wrapText="1"/>
      <protection locked="0"/>
    </xf>
    <xf numFmtId="0" fontId="12" fillId="0" borderId="28" xfId="0" applyFont="1" applyBorder="1" applyAlignment="1" applyProtection="1">
      <alignment horizontal="center" vertical="top" wrapText="1"/>
      <protection locked="0"/>
    </xf>
    <xf numFmtId="0" fontId="12" fillId="0" borderId="14" xfId="0" applyFont="1" applyBorder="1" applyAlignment="1" applyProtection="1">
      <alignment horizontal="center" vertical="top" wrapText="1"/>
      <protection locked="0"/>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12" fillId="0" borderId="40" xfId="0" applyFont="1" applyBorder="1" applyAlignment="1" applyProtection="1">
      <alignment horizontal="center" vertical="top" wrapText="1"/>
      <protection locked="0"/>
    </xf>
    <xf numFmtId="0" fontId="12" fillId="0" borderId="42" xfId="0" applyFont="1" applyBorder="1" applyAlignment="1" applyProtection="1">
      <alignment horizontal="center" vertical="top" wrapText="1"/>
      <protection locked="0"/>
    </xf>
    <xf numFmtId="0" fontId="13" fillId="5" borderId="3" xfId="0" applyFont="1" applyFill="1" applyBorder="1" applyAlignment="1" applyProtection="1">
      <alignment horizontal="center" vertical="top" wrapText="1"/>
    </xf>
    <xf numFmtId="0" fontId="13" fillId="5" borderId="4" xfId="0" applyFont="1" applyFill="1" applyBorder="1" applyAlignment="1" applyProtection="1">
      <alignment horizontal="center" vertical="top" wrapText="1"/>
    </xf>
    <xf numFmtId="0" fontId="13" fillId="5" borderId="5" xfId="0" applyFont="1" applyFill="1" applyBorder="1" applyAlignment="1" applyProtection="1">
      <alignment horizontal="center" vertical="top" wrapText="1"/>
    </xf>
    <xf numFmtId="0" fontId="11" fillId="5" borderId="12" xfId="0" applyFont="1" applyFill="1" applyBorder="1" applyAlignment="1" applyProtection="1">
      <alignment horizontal="center" vertical="top" wrapText="1"/>
    </xf>
    <xf numFmtId="0" fontId="11" fillId="5" borderId="13" xfId="0" applyFont="1" applyFill="1" applyBorder="1" applyAlignment="1" applyProtection="1">
      <alignment horizontal="center" vertical="top" wrapText="1"/>
    </xf>
    <xf numFmtId="0" fontId="11" fillId="5" borderId="11" xfId="0" applyFont="1" applyFill="1" applyBorder="1" applyAlignment="1" applyProtection="1">
      <alignment horizontal="center" vertical="top" wrapText="1"/>
    </xf>
    <xf numFmtId="0" fontId="11" fillId="5" borderId="12" xfId="0" applyFont="1" applyFill="1" applyBorder="1" applyAlignment="1" applyProtection="1">
      <alignment horizontal="right" vertical="top" wrapText="1"/>
    </xf>
    <xf numFmtId="0" fontId="11" fillId="5" borderId="28" xfId="0" applyFont="1" applyFill="1" applyBorder="1" applyAlignment="1" applyProtection="1">
      <alignment horizontal="right" vertical="top" wrapText="1" indent="1"/>
    </xf>
    <xf numFmtId="0" fontId="11" fillId="5" borderId="14" xfId="0" applyFont="1" applyFill="1" applyBorder="1" applyAlignment="1" applyProtection="1">
      <alignment horizontal="right" vertical="top" wrapText="1" indent="1"/>
    </xf>
    <xf numFmtId="0" fontId="11" fillId="5" borderId="7" xfId="0" quotePrefix="1" applyFont="1" applyFill="1" applyBorder="1" applyAlignment="1" applyProtection="1">
      <alignment horizontal="right" vertical="top" wrapText="1" indent="1"/>
    </xf>
    <xf numFmtId="0" fontId="13" fillId="5" borderId="3" xfId="0" applyFont="1" applyFill="1" applyBorder="1" applyAlignment="1" applyProtection="1">
      <alignment horizontal="right" vertical="top" wrapText="1"/>
    </xf>
    <xf numFmtId="0" fontId="13" fillId="5" borderId="4" xfId="0" applyFont="1" applyFill="1" applyBorder="1" applyAlignment="1" applyProtection="1">
      <alignment horizontal="right" vertical="top" wrapText="1"/>
    </xf>
    <xf numFmtId="0" fontId="13" fillId="5" borderId="5" xfId="0" applyFont="1" applyFill="1" applyBorder="1" applyAlignment="1" applyProtection="1">
      <alignment horizontal="right"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17" fillId="0" borderId="0" xfId="211" applyFont="1" applyBorder="1" applyAlignment="1" applyProtection="1">
      <alignment horizontal="center" vertical="center" wrapText="1"/>
    </xf>
    <xf numFmtId="0" fontId="71" fillId="6" borderId="33" xfId="211" applyFont="1" applyFill="1" applyBorder="1" applyAlignment="1" applyProtection="1">
      <alignment horizontal="left" wrapText="1"/>
    </xf>
    <xf numFmtId="0" fontId="71" fillId="6" borderId="34" xfId="211" applyFont="1" applyFill="1" applyBorder="1" applyAlignment="1" applyProtection="1">
      <alignment horizontal="left" wrapText="1"/>
    </xf>
    <xf numFmtId="0" fontId="71" fillId="6" borderId="46" xfId="211" applyFont="1" applyFill="1" applyBorder="1" applyAlignment="1" applyProtection="1">
      <alignment horizontal="left" wrapText="1"/>
    </xf>
    <xf numFmtId="0" fontId="71" fillId="6" borderId="14" xfId="211" applyFont="1" applyFill="1" applyBorder="1" applyAlignment="1" applyProtection="1">
      <alignment horizontal="left" wrapText="1"/>
    </xf>
    <xf numFmtId="0" fontId="72" fillId="0" borderId="3" xfId="211" applyFont="1" applyFill="1" applyBorder="1" applyAlignment="1" applyProtection="1">
      <alignment horizontal="center"/>
    </xf>
    <xf numFmtId="0" fontId="72" fillId="0" borderId="4" xfId="211" applyFont="1" applyFill="1" applyBorder="1" applyAlignment="1" applyProtection="1">
      <alignment horizontal="center"/>
    </xf>
    <xf numFmtId="0" fontId="72" fillId="0" borderId="5" xfId="211" applyFont="1" applyFill="1" applyBorder="1" applyAlignment="1" applyProtection="1">
      <alignment horizontal="center"/>
    </xf>
    <xf numFmtId="0" fontId="71" fillId="6" borderId="51" xfId="211" applyFont="1" applyFill="1" applyBorder="1" applyAlignment="1" applyProtection="1">
      <alignment horizontal="left"/>
    </xf>
    <xf numFmtId="0" fontId="71" fillId="6" borderId="46" xfId="211" applyFont="1" applyFill="1" applyBorder="1" applyAlignment="1" applyProtection="1">
      <alignment horizontal="left"/>
    </xf>
    <xf numFmtId="0" fontId="71" fillId="6" borderId="27" xfId="211" applyFont="1" applyFill="1" applyBorder="1" applyAlignment="1" applyProtection="1">
      <alignment horizontal="left"/>
    </xf>
    <xf numFmtId="0" fontId="71" fillId="6" borderId="18" xfId="211" applyFont="1" applyFill="1" applyBorder="1" applyAlignment="1" applyProtection="1">
      <alignment horizontal="left"/>
    </xf>
    <xf numFmtId="0" fontId="71" fillId="6" borderId="28" xfId="211" applyFont="1" applyFill="1" applyBorder="1" applyAlignment="1" applyProtection="1">
      <alignment horizontal="left"/>
    </xf>
    <xf numFmtId="0" fontId="71" fillId="6" borderId="14" xfId="211" applyFont="1" applyFill="1" applyBorder="1" applyAlignment="1" applyProtection="1">
      <alignment horizontal="left"/>
    </xf>
    <xf numFmtId="0" fontId="71" fillId="6" borderId="51" xfId="211" applyFont="1" applyFill="1" applyBorder="1" applyAlignment="1" applyProtection="1">
      <alignment horizontal="left" wrapText="1"/>
    </xf>
    <xf numFmtId="0" fontId="71" fillId="6" borderId="49" xfId="211" applyFont="1" applyFill="1" applyBorder="1" applyAlignment="1" applyProtection="1">
      <alignment horizontal="left" wrapText="1"/>
    </xf>
    <xf numFmtId="0" fontId="71" fillId="6" borderId="28" xfId="211" applyFont="1" applyFill="1" applyBorder="1" applyAlignment="1" applyProtection="1">
      <alignment horizontal="left" wrapText="1"/>
    </xf>
    <xf numFmtId="0" fontId="71" fillId="6" borderId="29" xfId="211" applyFont="1" applyFill="1" applyBorder="1" applyAlignment="1" applyProtection="1">
      <alignment horizontal="left" wrapText="1"/>
    </xf>
    <xf numFmtId="0" fontId="67" fillId="6" borderId="51" xfId="211" applyFont="1" applyFill="1" applyBorder="1" applyAlignment="1" applyProtection="1">
      <alignment horizontal="left" vertical="center" wrapText="1"/>
    </xf>
    <xf numFmtId="0" fontId="67" fillId="6" borderId="49" xfId="211" applyFont="1" applyFill="1" applyBorder="1" applyAlignment="1" applyProtection="1">
      <alignment horizontal="left" vertical="center" wrapText="1"/>
    </xf>
    <xf numFmtId="0" fontId="67" fillId="6" borderId="46" xfId="211" applyFont="1" applyFill="1" applyBorder="1" applyAlignment="1" applyProtection="1">
      <alignment horizontal="left" vertical="center" wrapText="1"/>
    </xf>
    <xf numFmtId="0" fontId="67" fillId="6" borderId="27" xfId="211" applyFont="1" applyFill="1" applyBorder="1" applyAlignment="1" applyProtection="1">
      <alignment horizontal="left" vertical="center" wrapText="1"/>
    </xf>
    <xf numFmtId="0" fontId="67" fillId="6" borderId="0" xfId="211" applyFont="1" applyFill="1" applyBorder="1" applyAlignment="1" applyProtection="1">
      <alignment horizontal="left" vertical="center" wrapText="1"/>
    </xf>
    <xf numFmtId="0" fontId="67" fillId="6" borderId="18" xfId="211" applyFont="1" applyFill="1" applyBorder="1" applyAlignment="1" applyProtection="1">
      <alignment horizontal="left" vertical="center" wrapText="1"/>
    </xf>
    <xf numFmtId="0" fontId="67" fillId="6" borderId="7" xfId="211" applyFont="1" applyFill="1" applyBorder="1" applyAlignment="1" applyProtection="1">
      <alignment horizontal="left" vertical="center" wrapText="1"/>
    </xf>
    <xf numFmtId="0" fontId="67" fillId="6" borderId="47" xfId="211" applyFont="1" applyFill="1" applyBorder="1" applyAlignment="1" applyProtection="1">
      <alignment horizontal="left" vertical="center" wrapText="1"/>
    </xf>
    <xf numFmtId="0" fontId="67" fillId="6" borderId="16" xfId="211" applyFont="1" applyFill="1" applyBorder="1" applyAlignment="1" applyProtection="1">
      <alignment horizontal="left" vertical="center" wrapText="1"/>
    </xf>
    <xf numFmtId="0" fontId="67" fillId="0" borderId="7" xfId="211" applyFont="1" applyBorder="1" applyAlignment="1" applyProtection="1">
      <alignment horizontal="left" vertical="center" wrapText="1"/>
      <protection locked="0"/>
    </xf>
    <xf numFmtId="0" fontId="67" fillId="0" borderId="47" xfId="211" applyFont="1" applyBorder="1" applyAlignment="1" applyProtection="1">
      <alignment horizontal="left" vertical="center" wrapText="1"/>
      <protection locked="0"/>
    </xf>
    <xf numFmtId="0" fontId="67" fillId="0" borderId="16" xfId="211" applyFont="1" applyBorder="1" applyAlignment="1" applyProtection="1">
      <alignment horizontal="left" vertical="center" wrapText="1"/>
      <protection locked="0"/>
    </xf>
    <xf numFmtId="0" fontId="67" fillId="64" borderId="12" xfId="211" quotePrefix="1" applyFont="1" applyFill="1" applyBorder="1" applyAlignment="1" applyProtection="1">
      <alignment horizontal="center" vertical="center"/>
    </xf>
    <xf numFmtId="0" fontId="67" fillId="64" borderId="11" xfId="211" quotePrefix="1" applyFont="1" applyFill="1" applyBorder="1" applyAlignment="1" applyProtection="1">
      <alignment horizontal="center" vertical="center"/>
    </xf>
    <xf numFmtId="1" fontId="67" fillId="0" borderId="60" xfId="211" applyNumberFormat="1" applyFont="1" applyBorder="1" applyAlignment="1" applyProtection="1">
      <alignment horizontal="center" vertical="center"/>
      <protection locked="0"/>
    </xf>
    <xf numFmtId="1" fontId="67" fillId="0" borderId="47" xfId="211" applyNumberFormat="1" applyFont="1" applyBorder="1" applyAlignment="1" applyProtection="1">
      <alignment horizontal="center" vertical="center"/>
      <protection locked="0"/>
    </xf>
    <xf numFmtId="1" fontId="67" fillId="6" borderId="47" xfId="211" applyNumberFormat="1" applyFont="1" applyFill="1" applyBorder="1" applyAlignment="1" applyProtection="1">
      <alignment horizontal="center" vertical="center"/>
    </xf>
    <xf numFmtId="0" fontId="67" fillId="6" borderId="7" xfId="211" applyFont="1" applyFill="1" applyBorder="1" applyAlignment="1" applyProtection="1">
      <alignment horizontal="center" wrapText="1"/>
    </xf>
    <xf numFmtId="0" fontId="67" fillId="6" borderId="16" xfId="211" applyFont="1" applyFill="1" applyBorder="1" applyAlignment="1" applyProtection="1">
      <alignment horizontal="center" wrapText="1"/>
    </xf>
    <xf numFmtId="0" fontId="67" fillId="6" borderId="103" xfId="211" applyFont="1" applyFill="1" applyBorder="1" applyAlignment="1" applyProtection="1">
      <alignment horizontal="center" wrapText="1"/>
    </xf>
    <xf numFmtId="0" fontId="67" fillId="6" borderId="34" xfId="211" applyFont="1" applyFill="1" applyBorder="1" applyAlignment="1" applyProtection="1">
      <alignment horizontal="center" wrapText="1"/>
    </xf>
    <xf numFmtId="0" fontId="67" fillId="6" borderId="41" xfId="211" applyFont="1" applyFill="1" applyBorder="1" applyAlignment="1" applyProtection="1">
      <alignment horizontal="center" wrapText="1"/>
    </xf>
    <xf numFmtId="0" fontId="67" fillId="6" borderId="104" xfId="211" applyFont="1" applyFill="1" applyBorder="1" applyAlignment="1" applyProtection="1">
      <alignment horizontal="center" wrapText="1"/>
    </xf>
    <xf numFmtId="0" fontId="6" fillId="5" borderId="3" xfId="0" applyFont="1" applyFill="1" applyBorder="1" applyAlignment="1" applyProtection="1">
      <alignment horizontal="center"/>
    </xf>
    <xf numFmtId="0" fontId="6" fillId="5" borderId="4" xfId="0" applyFont="1" applyFill="1" applyBorder="1" applyAlignment="1" applyProtection="1">
      <alignment horizontal="center"/>
    </xf>
    <xf numFmtId="0" fontId="6" fillId="5" borderId="5" xfId="0" applyFont="1" applyFill="1" applyBorder="1" applyAlignment="1" applyProtection="1">
      <alignment horizontal="center"/>
    </xf>
    <xf numFmtId="0" fontId="67" fillId="0" borderId="27" xfId="211" applyFont="1" applyBorder="1" applyAlignment="1" applyProtection="1">
      <alignment horizontal="left" vertical="center" wrapText="1"/>
      <protection locked="0"/>
    </xf>
    <xf numFmtId="0" fontId="67" fillId="0" borderId="0" xfId="211" applyFont="1" applyBorder="1" applyAlignment="1" applyProtection="1">
      <alignment horizontal="left" vertical="center" wrapText="1"/>
      <protection locked="0"/>
    </xf>
    <xf numFmtId="0" fontId="67" fillId="0" borderId="18" xfId="211" applyFont="1" applyBorder="1" applyAlignment="1" applyProtection="1">
      <alignment horizontal="left" vertical="center" wrapText="1"/>
      <protection locked="0"/>
    </xf>
    <xf numFmtId="0" fontId="67" fillId="0" borderId="28" xfId="211" applyFont="1" applyBorder="1" applyAlignment="1" applyProtection="1">
      <alignment horizontal="left" vertical="center" wrapText="1"/>
      <protection locked="0"/>
    </xf>
    <xf numFmtId="0" fontId="67" fillId="0" borderId="29" xfId="211" applyFont="1" applyBorder="1" applyAlignment="1" applyProtection="1">
      <alignment horizontal="left" vertical="center" wrapText="1"/>
      <protection locked="0"/>
    </xf>
    <xf numFmtId="0" fontId="67" fillId="0" borderId="14" xfId="211" applyFont="1" applyBorder="1" applyAlignment="1" applyProtection="1">
      <alignment horizontal="left" vertical="center" wrapText="1"/>
      <protection locked="0"/>
    </xf>
    <xf numFmtId="0" fontId="71" fillId="6" borderId="6" xfId="211" applyFont="1" applyFill="1" applyBorder="1" applyAlignment="1" applyProtection="1">
      <alignment horizontal="center" wrapText="1"/>
    </xf>
    <xf numFmtId="0" fontId="71" fillId="6" borderId="48" xfId="211" applyFont="1" applyFill="1" applyBorder="1" applyAlignment="1" applyProtection="1">
      <alignment horizontal="center" wrapText="1"/>
    </xf>
    <xf numFmtId="0" fontId="71" fillId="6" borderId="15" xfId="211" applyFont="1" applyFill="1" applyBorder="1" applyAlignment="1" applyProtection="1">
      <alignment horizontal="center" wrapText="1"/>
    </xf>
    <xf numFmtId="0" fontId="67" fillId="6" borderId="55" xfId="211" applyFont="1" applyFill="1" applyBorder="1" applyAlignment="1" applyProtection="1">
      <alignment horizontal="left" vertical="center" wrapText="1"/>
    </xf>
    <xf numFmtId="0" fontId="71" fillId="6" borderId="12" xfId="211" applyFont="1" applyFill="1" applyBorder="1" applyAlignment="1" applyProtection="1">
      <alignment horizontal="center" wrapText="1"/>
    </xf>
    <xf numFmtId="0" fontId="71" fillId="6" borderId="11" xfId="211" applyFont="1" applyFill="1" applyBorder="1" applyAlignment="1" applyProtection="1">
      <alignment horizontal="center" wrapText="1"/>
    </xf>
    <xf numFmtId="0" fontId="71" fillId="6" borderId="13" xfId="211" applyFont="1" applyFill="1" applyBorder="1" applyAlignment="1" applyProtection="1">
      <alignment horizontal="center" wrapText="1"/>
    </xf>
    <xf numFmtId="0" fontId="71" fillId="5" borderId="3" xfId="211" applyFont="1" applyFill="1" applyBorder="1" applyAlignment="1" applyProtection="1">
      <alignment horizontal="left" vertical="center" wrapText="1"/>
    </xf>
    <xf numFmtId="0" fontId="71" fillId="5" borderId="5" xfId="211" applyFont="1" applyFill="1" applyBorder="1" applyAlignment="1" applyProtection="1">
      <alignment horizontal="left" vertical="center" wrapText="1"/>
    </xf>
    <xf numFmtId="0" fontId="71" fillId="64" borderId="123" xfId="211" quotePrefix="1" applyFont="1" applyFill="1" applyBorder="1" applyAlignment="1" applyProtection="1">
      <alignment horizontal="center" vertical="center" wrapText="1"/>
    </xf>
    <xf numFmtId="0" fontId="71" fillId="64" borderId="122" xfId="211" applyFont="1" applyFill="1" applyBorder="1" applyAlignment="1" applyProtection="1">
      <alignment horizontal="center" vertical="center" wrapText="1"/>
    </xf>
    <xf numFmtId="0" fontId="71" fillId="64" borderId="121" xfId="211" applyFont="1" applyFill="1" applyBorder="1" applyAlignment="1" applyProtection="1">
      <alignment horizontal="center" vertical="center" wrapText="1"/>
    </xf>
    <xf numFmtId="0" fontId="67" fillId="0" borderId="7" xfId="211" applyFont="1" applyFill="1" applyBorder="1" applyAlignment="1" applyProtection="1">
      <alignment horizontal="left" vertical="center" wrapText="1"/>
      <protection locked="0"/>
    </xf>
    <xf numFmtId="0" fontId="67" fillId="0" borderId="101" xfId="211" applyFont="1" applyFill="1" applyBorder="1" applyAlignment="1" applyProtection="1">
      <alignment horizontal="left" vertical="center" wrapText="1"/>
      <protection locked="0"/>
    </xf>
    <xf numFmtId="0" fontId="67" fillId="6" borderId="151" xfId="211" applyFont="1" applyFill="1" applyBorder="1" applyAlignment="1" applyProtection="1">
      <alignment horizontal="left" vertical="center" wrapText="1"/>
    </xf>
    <xf numFmtId="0" fontId="67" fillId="6" borderId="152" xfId="211" applyFont="1" applyFill="1" applyBorder="1" applyAlignment="1" applyProtection="1">
      <alignment horizontal="left" vertical="center" wrapText="1"/>
    </xf>
    <xf numFmtId="0" fontId="67" fillId="5" borderId="3" xfId="211" applyFont="1" applyFill="1" applyBorder="1" applyAlignment="1" applyProtection="1">
      <alignment horizontal="left" vertical="center" wrapText="1"/>
    </xf>
    <xf numFmtId="0" fontId="67" fillId="5" borderId="5" xfId="211" applyFont="1" applyFill="1" applyBorder="1" applyAlignment="1" applyProtection="1">
      <alignment horizontal="left" vertical="center" wrapText="1"/>
    </xf>
    <xf numFmtId="0" fontId="10" fillId="6" borderId="2" xfId="211" applyFont="1" applyFill="1" applyBorder="1" applyAlignment="1" applyProtection="1">
      <alignment horizontal="left" vertical="center"/>
    </xf>
    <xf numFmtId="0" fontId="10" fillId="6" borderId="57" xfId="211" applyFont="1" applyFill="1" applyBorder="1" applyAlignment="1" applyProtection="1">
      <alignment horizontal="left" vertical="center"/>
    </xf>
    <xf numFmtId="0" fontId="10" fillId="6" borderId="52" xfId="211" applyFont="1" applyFill="1" applyBorder="1" applyAlignment="1" applyProtection="1">
      <alignment horizontal="left" vertical="center"/>
    </xf>
    <xf numFmtId="0" fontId="10" fillId="6" borderId="102" xfId="211" applyFont="1" applyFill="1" applyBorder="1" applyAlignment="1" applyProtection="1">
      <alignment horizontal="left" vertical="center"/>
    </xf>
    <xf numFmtId="0" fontId="10" fillId="6" borderId="35" xfId="211" applyFont="1" applyFill="1" applyBorder="1" applyAlignment="1" applyProtection="1">
      <alignment horizontal="left" vertical="center"/>
    </xf>
    <xf numFmtId="0" fontId="10" fillId="6" borderId="61" xfId="211" applyFont="1" applyFill="1" applyBorder="1" applyAlignment="1" applyProtection="1">
      <alignment horizontal="left" vertical="center"/>
    </xf>
    <xf numFmtId="0" fontId="67" fillId="0" borderId="0" xfId="211" quotePrefix="1" applyFont="1" applyAlignment="1">
      <alignment horizontal="left" wrapText="1"/>
    </xf>
    <xf numFmtId="1" fontId="67" fillId="0" borderId="80" xfId="211" applyNumberFormat="1" applyFont="1" applyBorder="1" applyAlignment="1" applyProtection="1">
      <alignment horizontal="center" vertical="center"/>
      <protection locked="0"/>
    </xf>
    <xf numFmtId="0" fontId="71" fillId="64" borderId="28" xfId="211" quotePrefix="1" applyFont="1" applyFill="1" applyBorder="1" applyAlignment="1" applyProtection="1">
      <alignment horizontal="center" vertical="center" wrapText="1"/>
    </xf>
    <xf numFmtId="0" fontId="71" fillId="64" borderId="29" xfId="211" applyFont="1" applyFill="1" applyBorder="1" applyAlignment="1" applyProtection="1">
      <alignment horizontal="center" vertical="center" wrapText="1"/>
    </xf>
    <xf numFmtId="0" fontId="71" fillId="64" borderId="14" xfId="211" applyFont="1" applyFill="1" applyBorder="1" applyAlignment="1" applyProtection="1">
      <alignment horizontal="center" vertical="center" wrapText="1"/>
    </xf>
    <xf numFmtId="0" fontId="71" fillId="64" borderId="51" xfId="211" quotePrefix="1" applyFont="1" applyFill="1" applyBorder="1" applyAlignment="1" applyProtection="1">
      <alignment horizontal="center" vertical="center" wrapText="1"/>
    </xf>
    <xf numFmtId="0" fontId="71" fillId="64" borderId="49" xfId="211" applyFont="1" applyFill="1" applyBorder="1" applyAlignment="1" applyProtection="1">
      <alignment horizontal="center" vertical="center" wrapText="1"/>
    </xf>
    <xf numFmtId="0" fontId="71" fillId="64" borderId="46" xfId="211" applyFont="1" applyFill="1" applyBorder="1" applyAlignment="1" applyProtection="1">
      <alignment horizontal="center" vertical="center" wrapText="1"/>
    </xf>
    <xf numFmtId="0" fontId="10" fillId="6" borderId="1" xfId="211" applyFont="1" applyFill="1" applyBorder="1" applyAlignment="1" applyProtection="1">
      <alignment horizontal="left" vertical="center"/>
    </xf>
    <xf numFmtId="0" fontId="10" fillId="6" borderId="53" xfId="211" applyFont="1" applyFill="1" applyBorder="1" applyAlignment="1" applyProtection="1">
      <alignment horizontal="left" vertical="center"/>
    </xf>
    <xf numFmtId="3" fontId="12" fillId="5" borderId="78" xfId="0" applyNumberFormat="1" applyFont="1" applyFill="1" applyBorder="1" applyAlignment="1" applyProtection="1">
      <alignment horizontal="center" vertical="center"/>
    </xf>
    <xf numFmtId="3" fontId="12" fillId="5" borderId="79" xfId="0" applyNumberFormat="1" applyFont="1" applyFill="1" applyBorder="1" applyAlignment="1" applyProtection="1">
      <alignment horizontal="center" vertical="center"/>
    </xf>
    <xf numFmtId="3" fontId="11" fillId="5" borderId="3" xfId="0" applyNumberFormat="1" applyFont="1" applyFill="1" applyBorder="1" applyAlignment="1" applyProtection="1">
      <alignment horizontal="center" vertical="top"/>
    </xf>
    <xf numFmtId="3" fontId="11" fillId="5" borderId="5" xfId="0" applyNumberFormat="1" applyFont="1" applyFill="1" applyBorder="1" applyAlignment="1" applyProtection="1">
      <alignment horizontal="center" vertical="top"/>
    </xf>
    <xf numFmtId="0" fontId="11" fillId="5" borderId="12" xfId="0" applyFont="1" applyFill="1" applyBorder="1" applyAlignment="1" applyProtection="1">
      <alignment horizontal="left"/>
    </xf>
    <xf numFmtId="0" fontId="11" fillId="5" borderId="11" xfId="0" applyFont="1" applyFill="1" applyBorder="1" applyAlignment="1" applyProtection="1">
      <alignment horizontal="left"/>
    </xf>
    <xf numFmtId="0" fontId="11" fillId="5" borderId="51" xfId="0" applyFont="1" applyFill="1" applyBorder="1" applyAlignment="1" applyProtection="1">
      <alignment horizontal="center"/>
    </xf>
    <xf numFmtId="0" fontId="11" fillId="5" borderId="46" xfId="0" applyFont="1" applyFill="1" applyBorder="1" applyAlignment="1" applyProtection="1">
      <alignment horizontal="center"/>
    </xf>
    <xf numFmtId="0" fontId="6" fillId="0" borderId="3" xfId="0" applyFont="1" applyFill="1" applyBorder="1" applyAlignment="1" applyProtection="1">
      <alignment horizontal="center"/>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11" fillId="5" borderId="12" xfId="0" applyFont="1" applyFill="1" applyBorder="1" applyAlignment="1" applyProtection="1">
      <alignment horizontal="center"/>
    </xf>
    <xf numFmtId="0" fontId="11" fillId="5" borderId="11" xfId="0" applyFont="1" applyFill="1" applyBorder="1" applyAlignment="1" applyProtection="1">
      <alignment horizontal="center"/>
    </xf>
    <xf numFmtId="170" fontId="12" fillId="5" borderId="78" xfId="0" applyNumberFormat="1" applyFont="1" applyFill="1" applyBorder="1" applyAlignment="1" applyProtection="1">
      <alignment horizontal="center" vertical="center"/>
    </xf>
    <xf numFmtId="170" fontId="12" fillId="5" borderId="79" xfId="0" applyNumberFormat="1" applyFont="1" applyFill="1" applyBorder="1" applyAlignment="1" applyProtection="1">
      <alignment horizontal="center" vertical="center"/>
    </xf>
    <xf numFmtId="3" fontId="12" fillId="6" borderId="30" xfId="0" applyNumberFormat="1" applyFont="1" applyFill="1" applyBorder="1" applyAlignment="1" applyProtection="1">
      <alignment horizontal="center" vertical="center"/>
    </xf>
    <xf numFmtId="3" fontId="12" fillId="6" borderId="24"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xf>
    <xf numFmtId="0" fontId="11" fillId="6" borderId="3" xfId="0" applyFont="1" applyFill="1" applyBorder="1" applyAlignment="1" applyProtection="1">
      <alignment horizontal="center" vertical="top" wrapText="1"/>
    </xf>
    <xf numFmtId="0" fontId="11" fillId="6" borderId="4" xfId="0" applyFont="1" applyFill="1" applyBorder="1" applyAlignment="1" applyProtection="1">
      <alignment horizontal="center" vertical="top" wrapText="1"/>
    </xf>
    <xf numFmtId="0" fontId="11" fillId="6" borderId="5" xfId="0" applyFont="1" applyFill="1" applyBorder="1" applyAlignment="1" applyProtection="1">
      <alignment horizontal="center" vertical="top" wrapText="1"/>
    </xf>
    <xf numFmtId="0" fontId="10" fillId="0" borderId="54" xfId="0" applyFont="1" applyFill="1" applyBorder="1" applyAlignment="1" applyProtection="1">
      <alignment horizontal="center" vertical="top" wrapText="1"/>
      <protection locked="0"/>
    </xf>
    <xf numFmtId="0" fontId="12" fillId="0" borderId="48" xfId="0" applyFont="1" applyFill="1" applyBorder="1" applyAlignment="1" applyProtection="1">
      <alignment horizontal="center" vertical="top" wrapText="1"/>
      <protection locked="0"/>
    </xf>
    <xf numFmtId="0" fontId="12" fillId="0" borderId="15" xfId="0" applyFont="1" applyFill="1" applyBorder="1" applyAlignment="1" applyProtection="1">
      <alignment horizontal="center" vertical="top" wrapText="1"/>
      <protection locked="0"/>
    </xf>
    <xf numFmtId="0" fontId="12" fillId="0" borderId="54" xfId="0" applyFont="1" applyFill="1" applyBorder="1" applyAlignment="1" applyProtection="1">
      <alignment horizontal="center" vertical="top" wrapText="1"/>
      <protection locked="0"/>
    </xf>
    <xf numFmtId="0" fontId="10" fillId="4" borderId="55" xfId="0" applyFont="1" applyFill="1" applyBorder="1" applyAlignment="1" applyProtection="1">
      <alignment horizontal="left" vertical="top" wrapText="1" indent="1"/>
      <protection locked="0"/>
    </xf>
    <xf numFmtId="0" fontId="10" fillId="4" borderId="43" xfId="0" applyFont="1" applyFill="1" applyBorder="1" applyAlignment="1" applyProtection="1">
      <alignment horizontal="left" vertical="top" wrapText="1" indent="1"/>
      <protection locked="0"/>
    </xf>
    <xf numFmtId="3" fontId="12" fillId="0" borderId="37" xfId="1" applyNumberFormat="1" applyFont="1" applyFill="1" applyBorder="1" applyAlignment="1" applyProtection="1">
      <alignment horizontal="center" vertical="top" wrapText="1"/>
      <protection locked="0"/>
    </xf>
    <xf numFmtId="3" fontId="10" fillId="4" borderId="57" xfId="1" quotePrefix="1" applyNumberFormat="1" applyFont="1" applyFill="1" applyBorder="1" applyAlignment="1" applyProtection="1">
      <alignment horizontal="center" vertical="top" wrapText="1"/>
      <protection locked="0"/>
    </xf>
    <xf numFmtId="3" fontId="12" fillId="4" borderId="47" xfId="1" applyNumberFormat="1" applyFont="1" applyFill="1" applyBorder="1" applyAlignment="1" applyProtection="1">
      <alignment horizontal="center" vertical="top" wrapText="1"/>
      <protection locked="0"/>
    </xf>
    <xf numFmtId="0" fontId="10" fillId="4" borderId="30" xfId="0" applyFont="1" applyFill="1" applyBorder="1" applyAlignment="1" applyProtection="1">
      <alignment horizontal="left" vertical="center" wrapText="1" indent="1"/>
      <protection locked="0"/>
    </xf>
    <xf numFmtId="0" fontId="10" fillId="4" borderId="45" xfId="0" applyFont="1" applyFill="1" applyBorder="1" applyAlignment="1" applyProtection="1">
      <alignment horizontal="left" vertical="center" wrapText="1" indent="1"/>
      <protection locked="0"/>
    </xf>
    <xf numFmtId="3" fontId="12" fillId="0" borderId="124" xfId="1" applyNumberFormat="1" applyFont="1" applyFill="1" applyBorder="1" applyAlignment="1" applyProtection="1">
      <alignment horizontal="center" vertical="top" wrapText="1"/>
      <protection locked="0"/>
    </xf>
    <xf numFmtId="3" fontId="10" fillId="5" borderId="59" xfId="1" quotePrefix="1" applyNumberFormat="1" applyFont="1" applyFill="1" applyBorder="1" applyAlignment="1" applyProtection="1">
      <alignment horizontal="center" vertical="top" wrapText="1"/>
      <protection locked="0"/>
    </xf>
    <xf numFmtId="3" fontId="12" fillId="5" borderId="29" xfId="1" applyNumberFormat="1" applyFont="1" applyFill="1" applyBorder="1" applyAlignment="1" applyProtection="1">
      <alignment horizontal="center" vertical="top" wrapText="1"/>
      <protection locked="0"/>
    </xf>
    <xf numFmtId="0" fontId="10" fillId="4" borderId="55" xfId="0" applyFont="1" applyFill="1" applyBorder="1" applyAlignment="1" applyProtection="1">
      <alignment horizontal="left" vertical="top" wrapText="1" indent="1"/>
    </xf>
    <xf numFmtId="0" fontId="10" fillId="4" borderId="43" xfId="0" applyFont="1" applyFill="1" applyBorder="1" applyAlignment="1" applyProtection="1">
      <alignment horizontal="left" vertical="top" wrapText="1" indent="1"/>
    </xf>
    <xf numFmtId="3" fontId="10" fillId="4" borderId="57" xfId="1" quotePrefix="1" applyNumberFormat="1" applyFont="1" applyFill="1" applyBorder="1" applyAlignment="1" applyProtection="1">
      <alignment horizontal="center" vertical="top" wrapText="1"/>
    </xf>
    <xf numFmtId="3" fontId="12" fillId="4" borderId="47" xfId="1" applyNumberFormat="1" applyFont="1" applyFill="1" applyBorder="1" applyAlignment="1" applyProtection="1">
      <alignment horizontal="center" vertical="top" wrapText="1"/>
    </xf>
    <xf numFmtId="0" fontId="10" fillId="4" borderId="30" xfId="0" applyFont="1" applyFill="1" applyBorder="1" applyAlignment="1" applyProtection="1">
      <alignment horizontal="left" vertical="center" wrapText="1" indent="1"/>
    </xf>
    <xf numFmtId="0" fontId="10" fillId="4" borderId="45" xfId="0" applyFont="1" applyFill="1" applyBorder="1" applyAlignment="1" applyProtection="1">
      <alignment horizontal="left" vertical="center" wrapText="1" indent="1"/>
    </xf>
    <xf numFmtId="3" fontId="10" fillId="5" borderId="59" xfId="1" quotePrefix="1" applyNumberFormat="1" applyFont="1" applyFill="1" applyBorder="1" applyAlignment="1" applyProtection="1">
      <alignment horizontal="center" vertical="top" wrapText="1"/>
    </xf>
    <xf numFmtId="3" fontId="12" fillId="5" borderId="29" xfId="1" applyNumberFormat="1" applyFont="1" applyFill="1" applyBorder="1" applyAlignment="1" applyProtection="1">
      <alignment horizontal="center" vertical="top" wrapText="1"/>
    </xf>
    <xf numFmtId="0" fontId="10" fillId="5" borderId="7" xfId="0" applyFont="1" applyFill="1" applyBorder="1" applyAlignment="1" applyProtection="1">
      <alignment horizontal="left" vertical="top" wrapText="1" indent="1"/>
    </xf>
    <xf numFmtId="0" fontId="10" fillId="5" borderId="22" xfId="0" applyFont="1" applyFill="1" applyBorder="1" applyAlignment="1" applyProtection="1">
      <alignment horizontal="left" vertical="top" wrapText="1" indent="1"/>
    </xf>
    <xf numFmtId="167" fontId="12" fillId="4" borderId="47" xfId="0" applyNumberFormat="1" applyFont="1" applyFill="1" applyBorder="1" applyAlignment="1" applyProtection="1">
      <alignment horizontal="center" vertical="top" wrapText="1"/>
    </xf>
    <xf numFmtId="167" fontId="12" fillId="4" borderId="22" xfId="0" applyNumberFormat="1" applyFont="1" applyFill="1" applyBorder="1" applyAlignment="1" applyProtection="1">
      <alignment horizontal="center" vertical="top" wrapText="1"/>
    </xf>
    <xf numFmtId="0" fontId="11" fillId="4" borderId="6" xfId="0" applyFont="1" applyFill="1" applyBorder="1" applyAlignment="1" applyProtection="1">
      <alignment vertical="top" wrapText="1"/>
    </xf>
    <xf numFmtId="0" fontId="11" fillId="4" borderId="48" xfId="0" applyFont="1" applyFill="1" applyBorder="1" applyAlignment="1" applyProtection="1">
      <alignment vertical="top" wrapText="1"/>
    </xf>
    <xf numFmtId="0" fontId="12" fillId="4" borderId="48" xfId="0" applyFont="1" applyFill="1" applyBorder="1" applyAlignment="1" applyProtection="1">
      <alignment vertical="top" wrapText="1"/>
    </xf>
    <xf numFmtId="3" fontId="12" fillId="6" borderId="37" xfId="1" applyNumberFormat="1" applyFont="1" applyFill="1" applyBorder="1" applyAlignment="1" applyProtection="1">
      <alignment horizontal="center" vertical="top" wrapText="1"/>
      <protection locked="0"/>
    </xf>
    <xf numFmtId="3" fontId="10" fillId="64" borderId="37" xfId="1" quotePrefix="1" applyNumberFormat="1" applyFont="1" applyFill="1" applyBorder="1" applyAlignment="1" applyProtection="1">
      <alignment horizontal="center" vertical="top" wrapText="1"/>
    </xf>
    <xf numFmtId="3" fontId="12" fillId="64" borderId="37" xfId="1" applyNumberFormat="1" applyFont="1" applyFill="1" applyBorder="1" applyAlignment="1" applyProtection="1">
      <alignment horizontal="center" vertical="top" wrapText="1"/>
    </xf>
    <xf numFmtId="0" fontId="10" fillId="4" borderId="7" xfId="0" applyFont="1" applyFill="1" applyBorder="1" applyAlignment="1" applyProtection="1">
      <alignment horizontal="left" vertical="center" wrapText="1" indent="1"/>
    </xf>
    <xf numFmtId="0" fontId="10" fillId="4" borderId="22" xfId="0" applyFont="1" applyFill="1" applyBorder="1" applyAlignment="1" applyProtection="1">
      <alignment horizontal="left" vertical="center" wrapText="1" indent="1"/>
    </xf>
    <xf numFmtId="3" fontId="12" fillId="65" borderId="57" xfId="1" applyNumberFormat="1" applyFont="1" applyFill="1" applyBorder="1" applyAlignment="1" applyProtection="1">
      <alignment horizontal="center" vertical="top" wrapText="1"/>
      <protection locked="0"/>
    </xf>
    <xf numFmtId="0" fontId="0" fillId="65" borderId="22" xfId="0" applyFill="1" applyBorder="1" applyAlignment="1" applyProtection="1">
      <alignment horizontal="center" vertical="top" wrapText="1"/>
      <protection locked="0"/>
    </xf>
    <xf numFmtId="0" fontId="0" fillId="5" borderId="22" xfId="0" applyFill="1" applyBorder="1" applyAlignment="1">
      <alignment horizontal="left" vertical="top" wrapText="1" indent="1"/>
    </xf>
    <xf numFmtId="0" fontId="11" fillId="0" borderId="48" xfId="0" applyFont="1" applyFill="1" applyBorder="1" applyAlignment="1" applyProtection="1">
      <alignment horizontal="center"/>
      <protection locked="0"/>
    </xf>
    <xf numFmtId="0" fontId="11" fillId="0" borderId="15" xfId="0" applyFont="1" applyFill="1" applyBorder="1" applyAlignment="1" applyProtection="1">
      <alignment horizontal="center"/>
      <protection locked="0"/>
    </xf>
    <xf numFmtId="0" fontId="10" fillId="4" borderId="7" xfId="0" applyFont="1" applyFill="1" applyBorder="1" applyAlignment="1" applyProtection="1">
      <alignment horizontal="left" vertical="top" wrapText="1" indent="1"/>
    </xf>
    <xf numFmtId="0" fontId="10" fillId="4" borderId="22" xfId="0" applyFont="1" applyFill="1" applyBorder="1" applyAlignment="1" applyProtection="1">
      <alignment horizontal="left" vertical="top" wrapText="1" indent="1"/>
    </xf>
    <xf numFmtId="164" fontId="12" fillId="0" borderId="47" xfId="1" applyNumberFormat="1" applyFont="1" applyFill="1" applyBorder="1" applyAlignment="1" applyProtection="1">
      <alignment horizontal="center" vertical="top" wrapText="1"/>
      <protection locked="0"/>
    </xf>
    <xf numFmtId="164" fontId="12" fillId="0" borderId="22" xfId="1" applyNumberFormat="1" applyFont="1" applyFill="1" applyBorder="1" applyAlignment="1" applyProtection="1">
      <alignment horizontal="center" vertical="top" wrapText="1"/>
      <protection locked="0"/>
    </xf>
    <xf numFmtId="164" fontId="12" fillId="3" borderId="47" xfId="1" applyNumberFormat="1" applyFont="1" applyFill="1" applyBorder="1" applyAlignment="1" applyProtection="1">
      <alignment horizontal="center" vertical="top" wrapText="1"/>
      <protection locked="0"/>
    </xf>
    <xf numFmtId="164" fontId="12" fillId="3" borderId="22" xfId="1" applyNumberFormat="1" applyFont="1" applyFill="1" applyBorder="1" applyAlignment="1" applyProtection="1">
      <alignment horizontal="center" vertical="top" wrapText="1"/>
      <protection locked="0"/>
    </xf>
    <xf numFmtId="0" fontId="10" fillId="4" borderId="7" xfId="0" quotePrefix="1" applyFont="1" applyFill="1" applyBorder="1" applyAlignment="1" applyProtection="1">
      <alignment horizontal="left" vertical="top" wrapText="1" indent="1"/>
    </xf>
    <xf numFmtId="3" fontId="12" fillId="4" borderId="47" xfId="0" applyNumberFormat="1" applyFont="1" applyFill="1" applyBorder="1" applyAlignment="1" applyProtection="1">
      <alignment horizontal="center" vertical="top" wrapText="1"/>
    </xf>
    <xf numFmtId="3" fontId="12" fillId="4" borderId="22" xfId="0" applyNumberFormat="1" applyFont="1" applyFill="1" applyBorder="1" applyAlignment="1" applyProtection="1">
      <alignment horizontal="center" vertical="top" wrapText="1"/>
    </xf>
    <xf numFmtId="0" fontId="10" fillId="4" borderId="28" xfId="0" applyFont="1" applyFill="1" applyBorder="1" applyAlignment="1" applyProtection="1">
      <alignment horizontal="left" vertical="top" wrapText="1" indent="1"/>
    </xf>
    <xf numFmtId="0" fontId="10" fillId="4" borderId="44" xfId="0" applyFont="1" applyFill="1" applyBorder="1" applyAlignment="1" applyProtection="1">
      <alignment horizontal="left" vertical="top" wrapText="1" indent="1"/>
    </xf>
    <xf numFmtId="3" fontId="12" fillId="3" borderId="31" xfId="1" applyNumberFormat="1" applyFont="1" applyFill="1" applyBorder="1" applyAlignment="1" applyProtection="1">
      <alignment horizontal="center" vertical="top" wrapText="1"/>
      <protection locked="0"/>
    </xf>
    <xf numFmtId="3" fontId="12" fillId="3" borderId="45" xfId="1" applyNumberFormat="1" applyFont="1" applyFill="1" applyBorder="1" applyAlignment="1" applyProtection="1">
      <alignment horizontal="center" vertical="top" wrapText="1"/>
      <protection locked="0"/>
    </xf>
    <xf numFmtId="3" fontId="10" fillId="64" borderId="29" xfId="1" quotePrefix="1" applyNumberFormat="1" applyFont="1" applyFill="1" applyBorder="1" applyAlignment="1" applyProtection="1">
      <alignment horizontal="center" vertical="top" wrapText="1"/>
    </xf>
    <xf numFmtId="3" fontId="12" fillId="64" borderId="44" xfId="1" applyNumberFormat="1" applyFont="1" applyFill="1" applyBorder="1" applyAlignment="1" applyProtection="1">
      <alignment horizontal="center" vertical="top" wrapText="1"/>
    </xf>
    <xf numFmtId="167" fontId="12" fillId="4" borderId="57" xfId="1" applyNumberFormat="1" applyFont="1" applyFill="1" applyBorder="1" applyAlignment="1" applyProtection="1">
      <alignment horizontal="center" vertical="top" wrapText="1"/>
      <protection locked="0"/>
    </xf>
    <xf numFmtId="167" fontId="12" fillId="4" borderId="22" xfId="1" applyNumberFormat="1" applyFont="1" applyFill="1" applyBorder="1" applyAlignment="1" applyProtection="1">
      <alignment horizontal="center" vertical="top" wrapText="1"/>
      <protection locked="0"/>
    </xf>
    <xf numFmtId="0" fontId="10" fillId="4" borderId="28" xfId="0" applyFont="1" applyFill="1" applyBorder="1" applyAlignment="1" applyProtection="1">
      <alignment horizontal="left" vertical="center" wrapText="1" indent="1"/>
    </xf>
    <xf numFmtId="0" fontId="10" fillId="4" borderId="29" xfId="0" applyFont="1" applyFill="1" applyBorder="1" applyAlignment="1" applyProtection="1">
      <alignment horizontal="left" vertical="center" wrapText="1" indent="1"/>
    </xf>
    <xf numFmtId="9" fontId="12" fillId="5" borderId="59" xfId="1" applyNumberFormat="1" applyFont="1" applyFill="1" applyBorder="1" applyAlignment="1" applyProtection="1">
      <alignment horizontal="center" vertical="top" wrapText="1"/>
    </xf>
    <xf numFmtId="9" fontId="12" fillId="5" borderId="44" xfId="1" applyNumberFormat="1" applyFont="1" applyFill="1" applyBorder="1" applyAlignment="1" applyProtection="1">
      <alignment horizontal="center" vertical="top" wrapText="1"/>
    </xf>
    <xf numFmtId="9" fontId="10" fillId="64" borderId="59" xfId="1" quotePrefix="1" applyNumberFormat="1" applyFont="1" applyFill="1" applyBorder="1" applyAlignment="1" applyProtection="1">
      <alignment horizontal="center" vertical="top" wrapText="1"/>
    </xf>
    <xf numFmtId="9" fontId="12" fillId="64" borderId="44" xfId="1" applyNumberFormat="1" applyFont="1" applyFill="1" applyBorder="1" applyAlignment="1" applyProtection="1">
      <alignment horizontal="center" vertical="top" wrapText="1"/>
    </xf>
    <xf numFmtId="164" fontId="12" fillId="3" borderId="60" xfId="1" applyNumberFormat="1" applyFont="1" applyFill="1" applyBorder="1" applyAlignment="1" applyProtection="1">
      <alignment horizontal="center" vertical="top" wrapText="1"/>
      <protection locked="0"/>
    </xf>
    <xf numFmtId="164" fontId="12" fillId="3" borderId="43" xfId="1" applyNumberFormat="1" applyFont="1" applyFill="1" applyBorder="1" applyAlignment="1" applyProtection="1">
      <alignment horizontal="center" vertical="top" wrapText="1"/>
      <protection locked="0"/>
    </xf>
    <xf numFmtId="167" fontId="12" fillId="4" borderId="60" xfId="1" quotePrefix="1" applyNumberFormat="1" applyFont="1" applyFill="1" applyBorder="1" applyAlignment="1" applyProtection="1">
      <alignment horizontal="center" vertical="top" wrapText="1"/>
    </xf>
    <xf numFmtId="167" fontId="12" fillId="4" borderId="43" xfId="1" applyNumberFormat="1" applyFont="1" applyFill="1" applyBorder="1" applyAlignment="1" applyProtection="1">
      <alignment horizontal="center" vertical="top" wrapText="1"/>
    </xf>
    <xf numFmtId="3" fontId="12" fillId="4" borderId="29" xfId="0" applyNumberFormat="1" applyFont="1" applyFill="1" applyBorder="1" applyAlignment="1" applyProtection="1">
      <alignment horizontal="center" vertical="top" wrapText="1"/>
    </xf>
    <xf numFmtId="3" fontId="12" fillId="4" borderId="44" xfId="0" applyNumberFormat="1" applyFont="1" applyFill="1" applyBorder="1" applyAlignment="1" applyProtection="1">
      <alignment horizontal="center" vertical="top" wrapText="1"/>
    </xf>
    <xf numFmtId="3" fontId="10" fillId="64" borderId="37" xfId="1" quotePrefix="1" applyNumberFormat="1" applyFont="1" applyFill="1" applyBorder="1" applyAlignment="1" applyProtection="1">
      <alignment horizontal="center" vertical="top" wrapText="1"/>
      <protection locked="0"/>
    </xf>
    <xf numFmtId="3" fontId="12" fillId="64" borderId="37" xfId="1"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xf>
    <xf numFmtId="0" fontId="11" fillId="0" borderId="4" xfId="0" applyFont="1" applyFill="1" applyBorder="1" applyAlignment="1" applyProtection="1">
      <alignment horizontal="center" vertical="top" wrapText="1"/>
    </xf>
    <xf numFmtId="0" fontId="11" fillId="0" borderId="5" xfId="0" applyFont="1" applyFill="1" applyBorder="1" applyAlignment="1" applyProtection="1">
      <alignment horizontal="center" vertical="top" wrapText="1"/>
    </xf>
    <xf numFmtId="165" fontId="12" fillId="3" borderId="47" xfId="1" applyNumberFormat="1" applyFont="1" applyFill="1" applyBorder="1" applyAlignment="1" applyProtection="1">
      <alignment horizontal="center" vertical="top" wrapText="1"/>
      <protection locked="0"/>
    </xf>
    <xf numFmtId="165" fontId="12" fillId="3" borderId="22" xfId="1" applyNumberFormat="1" applyFont="1" applyFill="1" applyBorder="1" applyAlignment="1" applyProtection="1">
      <alignment horizontal="center" vertical="top" wrapText="1"/>
      <protection locked="0"/>
    </xf>
    <xf numFmtId="0" fontId="11" fillId="0" borderId="49" xfId="0" applyFont="1" applyFill="1" applyBorder="1" applyAlignment="1" applyProtection="1">
      <alignment horizontal="center" vertical="top" wrapText="1"/>
    </xf>
    <xf numFmtId="167" fontId="12" fillId="3" borderId="47" xfId="1" applyNumberFormat="1" applyFont="1" applyFill="1" applyBorder="1" applyAlignment="1" applyProtection="1">
      <alignment horizontal="center" vertical="top" wrapText="1"/>
      <protection locked="0"/>
    </xf>
    <xf numFmtId="167" fontId="12" fillId="3" borderId="22" xfId="1" applyNumberFormat="1" applyFont="1" applyFill="1" applyBorder="1" applyAlignment="1" applyProtection="1">
      <alignment horizontal="center" vertical="top" wrapText="1"/>
      <protection locked="0"/>
    </xf>
    <xf numFmtId="0" fontId="10" fillId="0" borderId="0" xfId="0" applyFont="1" applyAlignment="1" applyProtection="1">
      <alignment horizontal="left" vertical="top" wrapText="1"/>
    </xf>
    <xf numFmtId="0" fontId="10" fillId="0" borderId="0" xfId="0" applyFont="1" applyAlignment="1" applyProtection="1">
      <alignment horizontal="left" wrapText="1"/>
    </xf>
    <xf numFmtId="0" fontId="10" fillId="0" borderId="0" xfId="0" quotePrefix="1" applyFont="1" applyFill="1" applyAlignment="1" applyProtection="1">
      <alignment horizontal="left" wrapText="1"/>
    </xf>
    <xf numFmtId="0" fontId="10" fillId="0" borderId="0" xfId="0" applyFont="1" applyFill="1" applyAlignment="1" applyProtection="1">
      <alignment horizontal="left" wrapText="1"/>
    </xf>
    <xf numFmtId="0" fontId="10" fillId="0" borderId="0" xfId="0" applyFont="1" applyFill="1" applyAlignment="1" applyProtection="1">
      <alignment horizontal="left" vertical="top" wrapText="1"/>
    </xf>
    <xf numFmtId="0" fontId="11" fillId="5" borderId="6" xfId="0" applyFont="1" applyFill="1" applyBorder="1" applyAlignment="1" applyProtection="1">
      <alignment vertical="top" wrapText="1"/>
    </xf>
    <xf numFmtId="0" fontId="11" fillId="5" borderId="48" xfId="0" applyFont="1" applyFill="1" applyBorder="1" applyAlignment="1" applyProtection="1">
      <alignment vertical="top" wrapText="1"/>
    </xf>
    <xf numFmtId="0" fontId="12" fillId="5" borderId="48" xfId="0" applyFont="1" applyFill="1" applyBorder="1" applyAlignment="1" applyProtection="1">
      <alignment vertical="top" wrapText="1"/>
    </xf>
    <xf numFmtId="3" fontId="12" fillId="3" borderId="57" xfId="1" applyNumberFormat="1" applyFont="1" applyFill="1" applyBorder="1" applyAlignment="1" applyProtection="1">
      <alignment horizontal="center" vertical="top" wrapText="1"/>
      <protection locked="0"/>
    </xf>
    <xf numFmtId="3" fontId="12" fillId="3" borderId="22" xfId="1" applyNumberFormat="1" applyFont="1" applyFill="1" applyBorder="1" applyAlignment="1" applyProtection="1">
      <alignment horizontal="center" vertical="top" wrapText="1"/>
      <protection locked="0"/>
    </xf>
    <xf numFmtId="3" fontId="12" fillId="3" borderId="60" xfId="1" applyNumberFormat="1" applyFont="1" applyFill="1" applyBorder="1" applyAlignment="1" applyProtection="1">
      <alignment horizontal="center" vertical="top" wrapText="1"/>
      <protection locked="0"/>
    </xf>
    <xf numFmtId="3" fontId="12" fillId="3" borderId="43" xfId="1" applyNumberFormat="1" applyFont="1" applyFill="1" applyBorder="1" applyAlignment="1" applyProtection="1">
      <alignment horizontal="center" vertical="top" wrapText="1"/>
      <protection locked="0"/>
    </xf>
    <xf numFmtId="169" fontId="10" fillId="4" borderId="57" xfId="0" applyNumberFormat="1" applyFont="1" applyFill="1" applyBorder="1" applyAlignment="1" applyProtection="1">
      <alignment horizontal="center"/>
    </xf>
    <xf numFmtId="169" fontId="10" fillId="4" borderId="22" xfId="0" applyNumberFormat="1" applyFont="1" applyFill="1" applyBorder="1" applyAlignment="1" applyProtection="1">
      <alignment horizontal="center"/>
    </xf>
    <xf numFmtId="0" fontId="11" fillId="4" borderId="6" xfId="0" applyFont="1" applyFill="1" applyBorder="1" applyProtection="1"/>
    <xf numFmtId="0" fontId="11" fillId="4" borderId="48" xfId="0" applyFont="1" applyFill="1" applyBorder="1" applyProtection="1"/>
    <xf numFmtId="167" fontId="10" fillId="4" borderId="53" xfId="0" applyNumberFormat="1" applyFont="1" applyFill="1" applyBorder="1" applyAlignment="1" applyProtection="1">
      <alignment horizontal="center"/>
    </xf>
    <xf numFmtId="167" fontId="10" fillId="4" borderId="45" xfId="0" applyNumberFormat="1" applyFont="1" applyFill="1" applyBorder="1" applyAlignment="1" applyProtection="1">
      <alignment horizontal="center"/>
    </xf>
    <xf numFmtId="0" fontId="10" fillId="4" borderId="2" xfId="0" applyFont="1" applyFill="1" applyBorder="1" applyAlignment="1" applyProtection="1">
      <alignment horizontal="left" vertical="top" wrapText="1" indent="1"/>
    </xf>
    <xf numFmtId="0" fontId="10" fillId="4" borderId="39" xfId="0" applyFont="1" applyFill="1" applyBorder="1" applyAlignment="1" applyProtection="1">
      <alignment horizontal="left" vertical="top" wrapText="1" indent="1"/>
    </xf>
    <xf numFmtId="9" fontId="12" fillId="4" borderId="39" xfId="7" applyFont="1" applyFill="1" applyBorder="1" applyAlignment="1" applyProtection="1">
      <alignment horizontal="center" vertical="top" wrapText="1"/>
    </xf>
    <xf numFmtId="0" fontId="11" fillId="4" borderId="6" xfId="0" applyFont="1" applyFill="1" applyBorder="1" applyAlignment="1" applyProtection="1">
      <alignment horizontal="left" vertical="top" wrapText="1"/>
    </xf>
    <xf numFmtId="0" fontId="11" fillId="4" borderId="48" xfId="0" applyFont="1" applyFill="1" applyBorder="1" applyAlignment="1" applyProtection="1">
      <alignment horizontal="left" vertical="top" wrapText="1"/>
    </xf>
    <xf numFmtId="0" fontId="11" fillId="4" borderId="15" xfId="0" applyFont="1" applyFill="1" applyBorder="1" applyAlignment="1" applyProtection="1">
      <alignment horizontal="left" vertical="top" wrapText="1"/>
    </xf>
    <xf numFmtId="165" fontId="12" fillId="4" borderId="39" xfId="0" applyNumberFormat="1" applyFont="1" applyFill="1" applyBorder="1" applyAlignment="1" applyProtection="1">
      <alignment horizontal="center" vertical="top" wrapText="1"/>
    </xf>
    <xf numFmtId="165" fontId="12" fillId="3" borderId="39" xfId="0" applyNumberFormat="1" applyFont="1" applyFill="1" applyBorder="1" applyAlignment="1" applyProtection="1">
      <alignment horizontal="center" vertical="top" wrapText="1"/>
      <protection locked="0"/>
    </xf>
    <xf numFmtId="167" fontId="12" fillId="4" borderId="39" xfId="0" applyNumberFormat="1" applyFont="1" applyFill="1" applyBorder="1" applyAlignment="1" applyProtection="1">
      <alignment horizontal="center" vertical="top" wrapText="1"/>
    </xf>
    <xf numFmtId="3" fontId="12" fillId="4" borderId="37" xfId="1" applyNumberFormat="1" applyFont="1" applyFill="1" applyBorder="1" applyAlignment="1" applyProtection="1">
      <alignment horizontal="center" vertical="top" wrapText="1"/>
      <protection locked="0"/>
    </xf>
    <xf numFmtId="0" fontId="10" fillId="4" borderId="30" xfId="0" quotePrefix="1" applyFont="1" applyFill="1" applyBorder="1" applyAlignment="1" applyProtection="1">
      <alignment horizontal="left" vertical="top" wrapText="1" indent="1"/>
    </xf>
    <xf numFmtId="0" fontId="10" fillId="4" borderId="45" xfId="0" applyFont="1" applyFill="1" applyBorder="1" applyAlignment="1" applyProtection="1">
      <alignment horizontal="left" vertical="top" wrapText="1" indent="1"/>
    </xf>
    <xf numFmtId="0" fontId="10" fillId="4" borderId="1" xfId="0" applyFont="1" applyFill="1" applyBorder="1" applyAlignment="1" applyProtection="1">
      <alignment horizontal="left" vertical="top" wrapText="1" indent="1"/>
    </xf>
    <xf numFmtId="0" fontId="10" fillId="4" borderId="38" xfId="0" applyFont="1" applyFill="1" applyBorder="1" applyAlignment="1" applyProtection="1">
      <alignment horizontal="left" vertical="top" wrapText="1" indent="1"/>
    </xf>
    <xf numFmtId="167" fontId="12" fillId="4" borderId="38" xfId="0" applyNumberFormat="1" applyFont="1" applyFill="1" applyBorder="1" applyAlignment="1" applyProtection="1">
      <alignment horizontal="center" vertical="top" wrapText="1"/>
    </xf>
    <xf numFmtId="0" fontId="11" fillId="0" borderId="28" xfId="0" applyFont="1" applyFill="1" applyBorder="1" applyAlignment="1" applyProtection="1">
      <alignment horizontal="center" vertical="top" wrapText="1"/>
    </xf>
    <xf numFmtId="0" fontId="11" fillId="0" borderId="29"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3" fontId="12" fillId="3" borderId="39" xfId="1" applyNumberFormat="1" applyFont="1" applyFill="1" applyBorder="1" applyAlignment="1" applyProtection="1">
      <alignment horizontal="center" vertical="top" wrapText="1"/>
      <protection locked="0"/>
    </xf>
    <xf numFmtId="0" fontId="10" fillId="4" borderId="35" xfId="0" applyFont="1" applyFill="1" applyBorder="1" applyAlignment="1" applyProtection="1">
      <alignment horizontal="left" vertical="top" wrapText="1" indent="1"/>
    </xf>
    <xf numFmtId="0" fontId="10" fillId="4" borderId="37" xfId="0" applyFont="1" applyFill="1" applyBorder="1" applyAlignment="1" applyProtection="1">
      <alignment horizontal="left" vertical="top" wrapText="1" indent="1"/>
    </xf>
    <xf numFmtId="3" fontId="12" fillId="3" borderId="37" xfId="1" applyNumberFormat="1" applyFont="1" applyFill="1" applyBorder="1" applyAlignment="1" applyProtection="1">
      <alignment horizontal="center" vertical="top" wrapText="1"/>
      <protection locked="0"/>
    </xf>
    <xf numFmtId="0" fontId="10" fillId="5" borderId="35" xfId="0" applyFont="1" applyFill="1" applyBorder="1" applyAlignment="1" applyProtection="1">
      <alignment horizontal="left" vertical="top" wrapText="1" indent="1"/>
    </xf>
    <xf numFmtId="0" fontId="10" fillId="5" borderId="37" xfId="0" applyFont="1" applyFill="1" applyBorder="1" applyAlignment="1" applyProtection="1">
      <alignment horizontal="left" vertical="top" wrapText="1" indent="1"/>
    </xf>
    <xf numFmtId="0" fontId="10" fillId="5" borderId="1" xfId="0" applyFont="1" applyFill="1" applyBorder="1" applyAlignment="1" applyProtection="1">
      <alignment horizontal="left" vertical="top" wrapText="1" indent="1"/>
    </xf>
    <xf numFmtId="0" fontId="10" fillId="5" borderId="38" xfId="0" applyFont="1" applyFill="1" applyBorder="1" applyAlignment="1" applyProtection="1">
      <alignment horizontal="left" vertical="top" wrapText="1" indent="1"/>
    </xf>
    <xf numFmtId="3" fontId="12" fillId="3" borderId="38" xfId="1"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horizontal="center" vertical="top" wrapText="1"/>
      <protection locked="0"/>
    </xf>
    <xf numFmtId="0" fontId="10" fillId="4" borderId="7" xfId="0" quotePrefix="1" applyFont="1" applyFill="1" applyBorder="1" applyAlignment="1" applyProtection="1">
      <alignment horizontal="left" vertical="top" wrapText="1" indent="1"/>
      <protection locked="0"/>
    </xf>
    <xf numFmtId="0" fontId="10" fillId="4" borderId="22" xfId="0" applyFont="1" applyFill="1" applyBorder="1" applyAlignment="1" applyProtection="1">
      <alignment horizontal="left" vertical="top" wrapText="1" indent="1"/>
      <protection locked="0"/>
    </xf>
    <xf numFmtId="167" fontId="12" fillId="4" borderId="60" xfId="1" quotePrefix="1" applyNumberFormat="1" applyFont="1" applyFill="1" applyBorder="1" applyAlignment="1" applyProtection="1">
      <alignment horizontal="center" vertical="top" wrapText="1"/>
      <protection locked="0"/>
    </xf>
    <xf numFmtId="167" fontId="12" fillId="4" borderId="43" xfId="1"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4" xfId="0" applyFont="1" applyFill="1" applyBorder="1" applyAlignment="1" applyProtection="1">
      <alignment horizontal="center" vertical="top" wrapText="1"/>
      <protection locked="0"/>
    </xf>
    <xf numFmtId="0" fontId="11" fillId="0" borderId="5" xfId="0" applyFont="1" applyFill="1" applyBorder="1" applyAlignment="1" applyProtection="1">
      <alignment horizontal="center" vertical="top" wrapText="1"/>
      <protection locked="0"/>
    </xf>
    <xf numFmtId="165" fontId="12" fillId="0" borderId="39" xfId="0" applyNumberFormat="1" applyFont="1" applyFill="1" applyBorder="1" applyAlignment="1" applyProtection="1">
      <alignment horizontal="center" vertical="top" wrapText="1"/>
      <protection locked="0"/>
    </xf>
    <xf numFmtId="167" fontId="12" fillId="4" borderId="57" xfId="1" quotePrefix="1" applyNumberFormat="1" applyFont="1" applyFill="1" applyBorder="1" applyAlignment="1" applyProtection="1">
      <alignment horizontal="center" vertical="top" wrapText="1"/>
    </xf>
    <xf numFmtId="167" fontId="12" fillId="4" borderId="22" xfId="1" quotePrefix="1" applyNumberFormat="1" applyFont="1" applyFill="1" applyBorder="1" applyAlignment="1" applyProtection="1">
      <alignment horizontal="center" vertical="top" wrapText="1"/>
    </xf>
    <xf numFmtId="167" fontId="10" fillId="64" borderId="47" xfId="0" quotePrefix="1" applyNumberFormat="1" applyFont="1" applyFill="1" applyBorder="1" applyAlignment="1" applyProtection="1">
      <alignment horizontal="center" vertical="top" wrapText="1"/>
    </xf>
    <xf numFmtId="167" fontId="12" fillId="64" borderId="22" xfId="0" applyNumberFormat="1" applyFont="1" applyFill="1" applyBorder="1" applyAlignment="1" applyProtection="1">
      <alignment horizontal="center" vertical="top" wrapText="1"/>
    </xf>
    <xf numFmtId="0" fontId="11" fillId="5" borderId="51" xfId="0" applyFont="1" applyFill="1" applyBorder="1" applyAlignment="1" applyProtection="1">
      <alignment horizontal="center" vertical="top" wrapText="1"/>
    </xf>
    <xf numFmtId="0" fontId="11" fillId="5" borderId="46" xfId="0" applyFont="1" applyFill="1" applyBorder="1" applyAlignment="1" applyProtection="1">
      <alignment horizontal="center" vertical="top" wrapText="1"/>
    </xf>
    <xf numFmtId="0" fontId="11" fillId="5" borderId="28" xfId="0" applyFont="1" applyFill="1" applyBorder="1" applyAlignment="1" applyProtection="1">
      <alignment horizontal="center" vertical="top" wrapText="1"/>
    </xf>
    <xf numFmtId="0" fontId="11" fillId="5" borderId="14" xfId="0" applyFont="1" applyFill="1" applyBorder="1" applyAlignment="1" applyProtection="1">
      <alignment horizontal="center" vertical="top" wrapText="1"/>
    </xf>
    <xf numFmtId="0" fontId="10" fillId="0" borderId="0" xfId="0" quotePrefix="1" applyFont="1" applyFill="1" applyAlignment="1" applyProtection="1">
      <alignment horizontal="left" vertical="top" wrapText="1"/>
    </xf>
    <xf numFmtId="0" fontId="0" fillId="0" borderId="0" xfId="0" applyFill="1" applyAlignment="1">
      <alignment horizontal="left" vertical="top" wrapText="1"/>
    </xf>
    <xf numFmtId="2" fontId="12" fillId="6" borderId="53" xfId="1" applyNumberFormat="1" applyFont="1" applyFill="1" applyBorder="1" applyAlignment="1" applyProtection="1">
      <alignment horizontal="center" vertical="center" wrapText="1"/>
    </xf>
    <xf numFmtId="2" fontId="12" fillId="6" borderId="45" xfId="1" applyNumberFormat="1" applyFont="1" applyFill="1" applyBorder="1" applyAlignment="1" applyProtection="1">
      <alignment horizontal="center" vertical="center" wrapText="1"/>
    </xf>
    <xf numFmtId="3" fontId="10" fillId="64" borderId="29" xfId="1" quotePrefix="1" applyNumberFormat="1" applyFont="1" applyFill="1" applyBorder="1" applyAlignment="1" applyProtection="1">
      <alignment horizontal="center" vertical="center" wrapText="1"/>
    </xf>
    <xf numFmtId="3" fontId="12" fillId="64" borderId="44" xfId="1" applyNumberFormat="1" applyFont="1" applyFill="1" applyBorder="1" applyAlignment="1" applyProtection="1">
      <alignment horizontal="center" vertical="center" wrapText="1"/>
    </xf>
    <xf numFmtId="9" fontId="12" fillId="6" borderId="37" xfId="1" applyNumberFormat="1" applyFont="1" applyFill="1" applyBorder="1" applyAlignment="1" applyProtection="1">
      <alignment horizontal="center" vertical="top" wrapText="1"/>
    </xf>
    <xf numFmtId="0" fontId="10" fillId="4" borderId="28" xfId="0" applyFont="1" applyFill="1" applyBorder="1" applyAlignment="1" applyProtection="1">
      <alignment horizontal="left" vertical="top" wrapText="1" indent="1"/>
      <protection locked="0"/>
    </xf>
    <xf numFmtId="0" fontId="10" fillId="4" borderId="44" xfId="0" applyFont="1" applyFill="1" applyBorder="1" applyAlignment="1" applyProtection="1">
      <alignment horizontal="left" vertical="top" wrapText="1" indent="1"/>
      <protection locked="0"/>
    </xf>
    <xf numFmtId="3" fontId="12" fillId="4" borderId="29" xfId="0" applyNumberFormat="1" applyFont="1" applyFill="1" applyBorder="1" applyAlignment="1" applyProtection="1">
      <alignment horizontal="center" vertical="top" wrapText="1"/>
      <protection locked="0"/>
    </xf>
    <xf numFmtId="3" fontId="12" fillId="4" borderId="44" xfId="0" applyNumberFormat="1" applyFont="1" applyFill="1" applyBorder="1" applyAlignment="1" applyProtection="1">
      <alignment horizontal="center" vertical="top" wrapText="1"/>
      <protection locked="0"/>
    </xf>
    <xf numFmtId="0" fontId="10" fillId="4" borderId="7" xfId="0" applyFont="1" applyFill="1" applyBorder="1" applyAlignment="1" applyProtection="1">
      <alignment horizontal="left" vertical="top" wrapText="1" indent="1"/>
      <protection locked="0"/>
    </xf>
    <xf numFmtId="3" fontId="12" fillId="4" borderId="47" xfId="0" applyNumberFormat="1" applyFont="1" applyFill="1" applyBorder="1" applyAlignment="1" applyProtection="1">
      <alignment horizontal="center" vertical="top" wrapText="1"/>
      <protection locked="0"/>
    </xf>
    <xf numFmtId="3" fontId="12" fillId="4" borderId="22" xfId="0" applyNumberFormat="1" applyFont="1" applyFill="1" applyBorder="1" applyAlignment="1" applyProtection="1">
      <alignment horizontal="center" vertical="top" wrapText="1"/>
      <protection locked="0"/>
    </xf>
    <xf numFmtId="169" fontId="75" fillId="5" borderId="3" xfId="0" applyNumberFormat="1" applyFont="1" applyFill="1" applyBorder="1" applyAlignment="1" applyProtection="1">
      <alignment horizontal="center" vertical="center"/>
    </xf>
    <xf numFmtId="169" fontId="75" fillId="5" borderId="4" xfId="0" applyNumberFormat="1" applyFont="1" applyFill="1" applyBorder="1" applyAlignment="1" applyProtection="1">
      <alignment horizontal="center" vertical="center"/>
    </xf>
    <xf numFmtId="169" fontId="75" fillId="5" borderId="5" xfId="0" applyNumberFormat="1" applyFont="1" applyFill="1" applyBorder="1" applyAlignment="1" applyProtection="1">
      <alignment horizontal="center" vertical="center"/>
    </xf>
    <xf numFmtId="0" fontId="8" fillId="4" borderId="3" xfId="0" applyFont="1" applyFill="1" applyBorder="1" applyAlignment="1" applyProtection="1">
      <alignment horizontal="center" vertical="top" wrapText="1"/>
    </xf>
    <xf numFmtId="0" fontId="8" fillId="4" borderId="4" xfId="0" applyFont="1" applyFill="1" applyBorder="1" applyAlignment="1" applyProtection="1">
      <alignment horizontal="center" vertical="top" wrapText="1"/>
    </xf>
    <xf numFmtId="0" fontId="8" fillId="4" borderId="5" xfId="0" applyFont="1" applyFill="1" applyBorder="1" applyAlignment="1" applyProtection="1">
      <alignment horizontal="center" vertical="top" wrapText="1"/>
    </xf>
    <xf numFmtId="0" fontId="75" fillId="6" borderId="7" xfId="0" applyFont="1" applyFill="1" applyBorder="1" applyAlignment="1" applyProtection="1">
      <alignment horizontal="left" wrapText="1"/>
    </xf>
    <xf numFmtId="0" fontId="75" fillId="6" borderId="47" xfId="0" applyFont="1" applyFill="1" applyBorder="1" applyAlignment="1" applyProtection="1">
      <alignment horizontal="left" wrapText="1"/>
    </xf>
    <xf numFmtId="0" fontId="75" fillId="6" borderId="16" xfId="0" applyFont="1" applyFill="1" applyBorder="1" applyAlignment="1" applyProtection="1">
      <alignment horizontal="left" wrapText="1"/>
    </xf>
    <xf numFmtId="0" fontId="69" fillId="6" borderId="33" xfId="0" applyFont="1" applyFill="1" applyBorder="1" applyAlignment="1" applyProtection="1">
      <alignment horizontal="center"/>
    </xf>
    <xf numFmtId="0" fontId="69" fillId="6" borderId="35" xfId="0" applyFont="1" applyFill="1" applyBorder="1" applyAlignment="1" applyProtection="1">
      <alignment horizontal="center"/>
    </xf>
    <xf numFmtId="0" fontId="69" fillId="6" borderId="62" xfId="0" applyFont="1" applyFill="1" applyBorder="1" applyAlignment="1" applyProtection="1">
      <alignment horizontal="center"/>
    </xf>
    <xf numFmtId="0" fontId="69" fillId="6" borderId="20" xfId="0" applyFont="1" applyFill="1" applyBorder="1" applyAlignment="1" applyProtection="1">
      <alignment horizontal="center"/>
    </xf>
    <xf numFmtId="0" fontId="73" fillId="6" borderId="6" xfId="0" applyFont="1" applyFill="1" applyBorder="1" applyAlignment="1" applyProtection="1">
      <alignment horizontal="center" wrapText="1"/>
    </xf>
    <xf numFmtId="0" fontId="73" fillId="6" borderId="48" xfId="0" applyFont="1" applyFill="1" applyBorder="1" applyAlignment="1" applyProtection="1">
      <alignment horizontal="center" wrapText="1"/>
    </xf>
    <xf numFmtId="0" fontId="73" fillId="6" borderId="15" xfId="0" applyFont="1" applyFill="1" applyBorder="1" applyAlignment="1" applyProtection="1">
      <alignment horizontal="center" wrapText="1"/>
    </xf>
    <xf numFmtId="168" fontId="76" fillId="6" borderId="7" xfId="0" applyNumberFormat="1" applyFont="1" applyFill="1" applyBorder="1" applyAlignment="1" applyProtection="1">
      <alignment horizontal="center"/>
    </xf>
    <xf numFmtId="168" fontId="76" fillId="6" borderId="150" xfId="0" applyNumberFormat="1" applyFont="1" applyFill="1" applyBorder="1" applyAlignment="1" applyProtection="1">
      <alignment horizontal="center"/>
    </xf>
    <xf numFmtId="169" fontId="76" fillId="6" borderId="7" xfId="0" applyNumberFormat="1" applyFont="1" applyFill="1" applyBorder="1" applyAlignment="1" applyProtection="1">
      <alignment horizontal="center"/>
    </xf>
    <xf numFmtId="169" fontId="76" fillId="6" borderId="150" xfId="0" applyNumberFormat="1" applyFont="1" applyFill="1" applyBorder="1" applyAlignment="1" applyProtection="1">
      <alignment horizontal="center"/>
    </xf>
    <xf numFmtId="168" fontId="76" fillId="6" borderId="47" xfId="0" applyNumberFormat="1" applyFont="1" applyFill="1" applyBorder="1" applyAlignment="1" applyProtection="1">
      <alignment horizontal="center"/>
    </xf>
    <xf numFmtId="168" fontId="76" fillId="6" borderId="16" xfId="0" applyNumberFormat="1" applyFont="1" applyFill="1" applyBorder="1" applyAlignment="1" applyProtection="1">
      <alignment horizontal="center"/>
    </xf>
    <xf numFmtId="169" fontId="76" fillId="6" borderId="47" xfId="0" applyNumberFormat="1" applyFont="1" applyFill="1" applyBorder="1" applyAlignment="1" applyProtection="1">
      <alignment horizontal="center"/>
    </xf>
    <xf numFmtId="169" fontId="76" fillId="6" borderId="16" xfId="0" applyNumberFormat="1" applyFont="1" applyFill="1" applyBorder="1" applyAlignment="1" applyProtection="1">
      <alignment horizont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79" fillId="64" borderId="3" xfId="0" applyFont="1" applyFill="1" applyBorder="1" applyAlignment="1" applyProtection="1">
      <alignment horizontal="center"/>
    </xf>
    <xf numFmtId="0" fontId="79" fillId="64" borderId="4" xfId="0" applyFont="1" applyFill="1" applyBorder="1" applyAlignment="1" applyProtection="1">
      <alignment horizontal="center"/>
    </xf>
    <xf numFmtId="0" fontId="79" fillId="64" borderId="5" xfId="0" applyFont="1" applyFill="1" applyBorder="1" applyAlignment="1" applyProtection="1">
      <alignment horizontal="center"/>
    </xf>
    <xf numFmtId="0" fontId="6" fillId="0" borderId="0" xfId="0" applyFont="1" applyFill="1" applyBorder="1" applyAlignment="1" applyProtection="1">
      <alignment horizontal="center"/>
    </xf>
    <xf numFmtId="169" fontId="76" fillId="6" borderId="28" xfId="0" applyNumberFormat="1" applyFont="1" applyFill="1" applyBorder="1" applyAlignment="1" applyProtection="1">
      <alignment horizontal="center" vertical="center"/>
    </xf>
    <xf numFmtId="169" fontId="76" fillId="6" borderId="29" xfId="0" applyNumberFormat="1" applyFont="1" applyFill="1" applyBorder="1" applyAlignment="1" applyProtection="1">
      <alignment horizontal="center" vertical="center"/>
    </xf>
    <xf numFmtId="169" fontId="76" fillId="6" borderId="14" xfId="0" applyNumberFormat="1" applyFont="1" applyFill="1" applyBorder="1" applyAlignment="1" applyProtection="1">
      <alignment horizontal="center" vertical="center"/>
    </xf>
    <xf numFmtId="0" fontId="75" fillId="6" borderId="30" xfId="0" applyFont="1" applyFill="1" applyBorder="1" applyAlignment="1" applyProtection="1">
      <alignment horizontal="left" vertical="center" wrapText="1"/>
    </xf>
    <xf numFmtId="0" fontId="75" fillId="6" borderId="31" xfId="0" applyFont="1" applyFill="1" applyBorder="1" applyAlignment="1" applyProtection="1">
      <alignment horizontal="left" vertical="center" wrapText="1"/>
    </xf>
    <xf numFmtId="0" fontId="75" fillId="6" borderId="24" xfId="0" applyFont="1" applyFill="1" applyBorder="1" applyAlignment="1" applyProtection="1">
      <alignment horizontal="left" vertical="center" wrapText="1"/>
    </xf>
    <xf numFmtId="168" fontId="75" fillId="6" borderId="47" xfId="0" applyNumberFormat="1" applyFont="1" applyFill="1" applyBorder="1" applyAlignment="1" applyProtection="1">
      <alignment horizontal="center" wrapText="1"/>
    </xf>
    <xf numFmtId="168" fontId="75" fillId="6" borderId="16" xfId="0" applyNumberFormat="1" applyFont="1" applyFill="1" applyBorder="1" applyAlignment="1" applyProtection="1">
      <alignment horizontal="center" wrapText="1"/>
    </xf>
    <xf numFmtId="0" fontId="75" fillId="6" borderId="51" xfId="0" applyFont="1" applyFill="1" applyBorder="1" applyAlignment="1" applyProtection="1">
      <alignment horizontal="left"/>
    </xf>
    <xf numFmtId="0" fontId="75" fillId="6" borderId="49" xfId="0" applyFont="1" applyFill="1" applyBorder="1" applyAlignment="1" applyProtection="1">
      <alignment horizontal="left"/>
    </xf>
    <xf numFmtId="0" fontId="75" fillId="6" borderId="46" xfId="0" applyFont="1" applyFill="1" applyBorder="1" applyAlignment="1" applyProtection="1">
      <alignment horizontal="left"/>
    </xf>
    <xf numFmtId="0" fontId="75" fillId="6" borderId="7" xfId="0" applyFont="1" applyFill="1" applyBorder="1" applyAlignment="1" applyProtection="1">
      <alignment horizontal="left" vertical="center" wrapText="1"/>
    </xf>
    <xf numFmtId="0" fontId="75" fillId="6" borderId="47" xfId="0" applyFont="1" applyFill="1" applyBorder="1" applyAlignment="1" applyProtection="1">
      <alignment horizontal="left" vertical="center" wrapText="1"/>
    </xf>
    <xf numFmtId="0" fontId="75" fillId="6" borderId="16" xfId="0" applyFont="1" applyFill="1" applyBorder="1" applyAlignment="1" applyProtection="1">
      <alignment horizontal="left" vertical="center" wrapText="1"/>
    </xf>
    <xf numFmtId="0" fontId="75" fillId="6" borderId="7" xfId="0" applyFont="1" applyFill="1" applyBorder="1" applyAlignment="1" applyProtection="1">
      <alignment horizontal="left" vertical="center"/>
    </xf>
    <xf numFmtId="0" fontId="75" fillId="6" borderId="47" xfId="0" applyFont="1" applyFill="1" applyBorder="1" applyAlignment="1" applyProtection="1">
      <alignment horizontal="left" vertical="center"/>
    </xf>
    <xf numFmtId="0" fontId="75" fillId="6" borderId="16" xfId="0" applyFont="1" applyFill="1" applyBorder="1" applyAlignment="1" applyProtection="1">
      <alignment horizontal="left" vertical="center"/>
    </xf>
    <xf numFmtId="0" fontId="75" fillId="6" borderId="28" xfId="0" applyFont="1" applyFill="1" applyBorder="1" applyAlignment="1" applyProtection="1">
      <alignment horizontal="left" vertical="center" wrapText="1"/>
    </xf>
    <xf numFmtId="0" fontId="75" fillId="6" borderId="29" xfId="0" applyFont="1" applyFill="1" applyBorder="1" applyAlignment="1" applyProtection="1">
      <alignment horizontal="left" vertical="center" wrapText="1"/>
    </xf>
    <xf numFmtId="0" fontId="75" fillId="6" borderId="14" xfId="0" applyFont="1" applyFill="1" applyBorder="1" applyAlignment="1" applyProtection="1">
      <alignment horizontal="left" vertical="center" wrapText="1"/>
    </xf>
    <xf numFmtId="0" fontId="75" fillId="6" borderId="6" xfId="0" applyFont="1" applyFill="1" applyBorder="1" applyAlignment="1" applyProtection="1">
      <alignment horizontal="center"/>
    </xf>
    <xf numFmtId="0" fontId="75" fillId="6" borderId="48" xfId="0" applyFont="1" applyFill="1" applyBorder="1" applyAlignment="1" applyProtection="1">
      <alignment horizontal="center"/>
    </xf>
    <xf numFmtId="0" fontId="75" fillId="6" borderId="15" xfId="0" applyFont="1" applyFill="1" applyBorder="1" applyAlignment="1" applyProtection="1">
      <alignment horizontal="center"/>
    </xf>
    <xf numFmtId="0" fontId="76" fillId="0" borderId="7" xfId="0" applyFont="1" applyFill="1" applyBorder="1" applyAlignment="1" applyProtection="1">
      <alignment horizontal="center" vertical="center"/>
      <protection locked="0"/>
    </xf>
    <xf numFmtId="0" fontId="76" fillId="0" borderId="47" xfId="0" applyFont="1" applyFill="1" applyBorder="1" applyAlignment="1" applyProtection="1">
      <alignment horizontal="center" vertical="center"/>
      <protection locked="0"/>
    </xf>
    <xf numFmtId="0" fontId="76" fillId="0" borderId="16" xfId="0" applyFont="1" applyFill="1" applyBorder="1" applyAlignment="1" applyProtection="1">
      <alignment horizontal="center" vertical="center"/>
      <protection locked="0"/>
    </xf>
    <xf numFmtId="168" fontId="75" fillId="6" borderId="7" xfId="0" applyNumberFormat="1" applyFont="1" applyFill="1" applyBorder="1" applyAlignment="1" applyProtection="1">
      <alignment horizontal="center" wrapText="1"/>
    </xf>
    <xf numFmtId="168" fontId="75" fillId="6" borderId="150" xfId="0" applyNumberFormat="1" applyFont="1" applyFill="1" applyBorder="1" applyAlignment="1" applyProtection="1">
      <alignment horizontal="center" wrapText="1"/>
    </xf>
    <xf numFmtId="0" fontId="75" fillId="6" borderId="2" xfId="0" applyFont="1" applyFill="1" applyBorder="1" applyAlignment="1">
      <alignment horizontal="left" vertical="center"/>
    </xf>
    <xf numFmtId="0" fontId="75" fillId="6" borderId="39" xfId="0" applyFont="1" applyFill="1" applyBorder="1" applyAlignment="1">
      <alignment horizontal="left" vertical="center"/>
    </xf>
    <xf numFmtId="0" fontId="75" fillId="6" borderId="23" xfId="0" applyFont="1" applyFill="1" applyBorder="1" applyAlignment="1">
      <alignment horizontal="left" vertical="center"/>
    </xf>
    <xf numFmtId="0" fontId="75" fillId="6" borderId="33" xfId="0" applyFont="1" applyFill="1" applyBorder="1" applyAlignment="1">
      <alignment horizontal="left"/>
    </xf>
    <xf numFmtId="0" fontId="75" fillId="6" borderId="58" xfId="0" applyFont="1" applyFill="1" applyBorder="1" applyAlignment="1">
      <alignment horizontal="left"/>
    </xf>
    <xf numFmtId="0" fontId="75" fillId="6" borderId="62" xfId="0" applyFont="1" applyFill="1" applyBorder="1" applyAlignment="1">
      <alignment horizontal="left"/>
    </xf>
    <xf numFmtId="3" fontId="76" fillId="0" borderId="22" xfId="0" applyNumberFormat="1" applyFont="1" applyFill="1" applyBorder="1" applyAlignment="1" applyProtection="1">
      <alignment horizontal="center" vertical="center"/>
      <protection locked="0"/>
    </xf>
    <xf numFmtId="3" fontId="76" fillId="0" borderId="39" xfId="0" applyNumberFormat="1" applyFont="1" applyFill="1" applyBorder="1" applyAlignment="1" applyProtection="1">
      <alignment horizontal="center" vertical="center"/>
      <protection locked="0"/>
    </xf>
    <xf numFmtId="3" fontId="76" fillId="0" borderId="57" xfId="0" applyNumberFormat="1" applyFont="1" applyFill="1" applyBorder="1" applyAlignment="1" applyProtection="1">
      <alignment horizontal="center" vertical="center"/>
      <protection locked="0"/>
    </xf>
    <xf numFmtId="169" fontId="76" fillId="0" borderId="22" xfId="0" applyNumberFormat="1" applyFont="1" applyFill="1" applyBorder="1" applyAlignment="1" applyProtection="1">
      <alignment horizontal="center" vertical="center"/>
      <protection locked="0"/>
    </xf>
    <xf numFmtId="169" fontId="76" fillId="0" borderId="39" xfId="0" applyNumberFormat="1" applyFont="1" applyFill="1" applyBorder="1" applyAlignment="1" applyProtection="1">
      <alignment horizontal="center" vertical="center"/>
      <protection locked="0"/>
    </xf>
    <xf numFmtId="169" fontId="76" fillId="0" borderId="57" xfId="0" applyNumberFormat="1" applyFont="1" applyFill="1" applyBorder="1" applyAlignment="1" applyProtection="1">
      <alignment horizontal="center" vertical="center"/>
      <protection locked="0"/>
    </xf>
    <xf numFmtId="0" fontId="76" fillId="5" borderId="22" xfId="0" applyFont="1" applyFill="1" applyBorder="1" applyAlignment="1">
      <alignment horizontal="center" vertical="center"/>
    </xf>
    <xf numFmtId="0" fontId="76" fillId="5" borderId="39" xfId="0" applyFont="1" applyFill="1" applyBorder="1" applyAlignment="1">
      <alignment horizontal="center" vertical="center"/>
    </xf>
    <xf numFmtId="0" fontId="76" fillId="5" borderId="57" xfId="0" applyFont="1" applyFill="1" applyBorder="1" applyAlignment="1">
      <alignment horizontal="center" vertical="center"/>
    </xf>
    <xf numFmtId="3" fontId="76" fillId="5" borderId="22" xfId="0" applyNumberFormat="1" applyFont="1" applyFill="1" applyBorder="1" applyAlignment="1">
      <alignment horizontal="center" vertical="center"/>
    </xf>
    <xf numFmtId="3" fontId="76" fillId="5" borderId="39" xfId="0" applyNumberFormat="1" applyFont="1" applyFill="1" applyBorder="1" applyAlignment="1">
      <alignment horizontal="center" vertical="center"/>
    </xf>
    <xf numFmtId="3" fontId="76" fillId="5" borderId="57" xfId="0" applyNumberFormat="1" applyFont="1" applyFill="1" applyBorder="1" applyAlignment="1">
      <alignment horizontal="center" vertical="center"/>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6" fillId="4" borderId="5" xfId="0" applyFont="1" applyFill="1" applyBorder="1" applyAlignment="1" applyProtection="1">
      <alignment horizontal="center"/>
    </xf>
    <xf numFmtId="0" fontId="76" fillId="0" borderId="30" xfId="0" applyFont="1" applyFill="1" applyBorder="1" applyAlignment="1" applyProtection="1">
      <alignment horizontal="center" vertical="center"/>
      <protection locked="0"/>
    </xf>
    <xf numFmtId="0" fontId="76" fillId="0" borderId="31" xfId="0" applyFont="1" applyFill="1" applyBorder="1" applyAlignment="1" applyProtection="1">
      <alignment horizontal="center" vertical="center"/>
      <protection locked="0"/>
    </xf>
    <xf numFmtId="0" fontId="76" fillId="0" borderId="24" xfId="0" applyFont="1" applyFill="1" applyBorder="1" applyAlignment="1" applyProtection="1">
      <alignment horizontal="center" vertical="center"/>
      <protection locked="0"/>
    </xf>
    <xf numFmtId="0" fontId="68" fillId="6" borderId="101" xfId="210" applyFill="1" applyBorder="1" applyAlignment="1" applyProtection="1">
      <alignment horizontal="left" vertical="center"/>
      <protection locked="0"/>
    </xf>
    <xf numFmtId="0" fontId="68" fillId="6" borderId="80" xfId="210" applyFill="1" applyBorder="1" applyAlignment="1" applyProtection="1">
      <alignment horizontal="left" vertical="center"/>
      <protection locked="0"/>
    </xf>
    <xf numFmtId="0" fontId="68" fillId="6" borderId="163" xfId="210" applyFill="1" applyBorder="1" applyAlignment="1" applyProtection="1">
      <alignment horizontal="left" vertical="center"/>
      <protection locked="0"/>
    </xf>
    <xf numFmtId="0" fontId="68" fillId="6" borderId="27" xfId="210" applyFill="1" applyBorder="1" applyAlignment="1" applyProtection="1">
      <alignment horizontal="left" vertical="center"/>
      <protection locked="0"/>
    </xf>
    <xf numFmtId="0" fontId="68" fillId="6" borderId="0" xfId="210" applyFill="1" applyBorder="1" applyAlignment="1" applyProtection="1">
      <alignment horizontal="left" vertical="center"/>
      <protection locked="0"/>
    </xf>
    <xf numFmtId="0" fontId="68" fillId="6" borderId="18" xfId="210" applyFill="1" applyBorder="1" applyAlignment="1" applyProtection="1">
      <alignment horizontal="left" vertical="center"/>
      <protection locked="0"/>
    </xf>
    <xf numFmtId="0" fontId="68" fillId="6" borderId="28" xfId="210" applyFill="1" applyBorder="1" applyAlignment="1" applyProtection="1">
      <alignment horizontal="left" vertical="center"/>
      <protection locked="0"/>
    </xf>
    <xf numFmtId="0" fontId="68" fillId="6" borderId="29" xfId="210" applyFill="1" applyBorder="1" applyAlignment="1" applyProtection="1">
      <alignment horizontal="left" vertical="center"/>
      <protection locked="0"/>
    </xf>
    <xf numFmtId="0" fontId="68" fillId="6" borderId="14" xfId="210" applyFill="1" applyBorder="1" applyAlignment="1" applyProtection="1">
      <alignment horizontal="left" vertical="center"/>
      <protection locked="0"/>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75" fillId="6" borderId="1" xfId="0" applyFont="1" applyFill="1" applyBorder="1" applyAlignment="1">
      <alignment horizontal="left" vertical="center"/>
    </xf>
    <xf numFmtId="0" fontId="75" fillId="6" borderId="38" xfId="0" applyFont="1" applyFill="1" applyBorder="1" applyAlignment="1">
      <alignment horizontal="left" vertical="center"/>
    </xf>
    <xf numFmtId="0" fontId="75" fillId="6" borderId="25" xfId="0" applyFont="1" applyFill="1" applyBorder="1" applyAlignment="1">
      <alignment horizontal="left" vertical="center"/>
    </xf>
    <xf numFmtId="9" fontId="76" fillId="5" borderId="22" xfId="7" applyFont="1" applyFill="1" applyBorder="1" applyAlignment="1">
      <alignment horizontal="center" vertical="center"/>
    </xf>
    <xf numFmtId="9" fontId="76" fillId="5" borderId="39" xfId="7" applyFont="1" applyFill="1" applyBorder="1" applyAlignment="1">
      <alignment horizontal="center" vertical="center"/>
    </xf>
    <xf numFmtId="9" fontId="76" fillId="5" borderId="57" xfId="7" applyFont="1" applyFill="1" applyBorder="1" applyAlignment="1">
      <alignment horizontal="center" vertical="center"/>
    </xf>
    <xf numFmtId="3" fontId="76" fillId="5" borderId="45" xfId="0" applyNumberFormat="1" applyFont="1" applyFill="1" applyBorder="1" applyAlignment="1">
      <alignment horizontal="center" vertical="center"/>
    </xf>
    <xf numFmtId="3" fontId="76" fillId="5" borderId="38" xfId="0" applyNumberFormat="1" applyFont="1" applyFill="1" applyBorder="1" applyAlignment="1">
      <alignment horizontal="center" vertical="center"/>
    </xf>
    <xf numFmtId="3" fontId="76" fillId="5" borderId="53" xfId="0" applyNumberFormat="1" applyFont="1" applyFill="1" applyBorder="1" applyAlignment="1">
      <alignment horizontal="center" vertical="center"/>
    </xf>
    <xf numFmtId="0" fontId="75" fillId="6" borderId="2" xfId="0" applyFont="1" applyFill="1" applyBorder="1" applyAlignment="1">
      <alignment horizontal="left" vertical="center" wrapText="1"/>
    </xf>
    <xf numFmtId="0" fontId="75" fillId="6" borderId="39" xfId="0" applyFont="1" applyFill="1" applyBorder="1" applyAlignment="1">
      <alignment horizontal="left" vertical="center" wrapText="1"/>
    </xf>
    <xf numFmtId="0" fontId="75" fillId="6" borderId="23" xfId="0" applyFont="1" applyFill="1" applyBorder="1" applyAlignment="1">
      <alignment horizontal="left" vertical="center" wrapText="1"/>
    </xf>
    <xf numFmtId="0" fontId="75" fillId="6" borderId="7" xfId="0" applyFont="1" applyFill="1" applyBorder="1" applyAlignment="1">
      <alignment horizontal="left" vertical="center" wrapText="1"/>
    </xf>
    <xf numFmtId="0" fontId="75" fillId="6" borderId="47" xfId="0" applyFont="1" applyFill="1" applyBorder="1" applyAlignment="1">
      <alignment horizontal="left" vertical="center" wrapText="1"/>
    </xf>
    <xf numFmtId="0" fontId="75" fillId="6" borderId="16" xfId="0" applyFont="1" applyFill="1" applyBorder="1" applyAlignment="1">
      <alignment horizontal="left" vertical="center" wrapText="1"/>
    </xf>
    <xf numFmtId="165" fontId="76" fillId="5" borderId="47" xfId="0" applyNumberFormat="1" applyFont="1" applyFill="1" applyBorder="1" applyAlignment="1">
      <alignment horizontal="center" vertical="center"/>
    </xf>
    <xf numFmtId="168" fontId="10" fillId="0" borderId="3" xfId="4" quotePrefix="1" applyNumberFormat="1" applyFont="1" applyFill="1" applyBorder="1" applyAlignment="1" applyProtection="1">
      <alignment horizontal="center" vertical="center" wrapText="1"/>
      <protection locked="0"/>
    </xf>
    <xf numFmtId="168" fontId="12" fillId="0" borderId="5" xfId="4" applyNumberFormat="1" applyFont="1" applyFill="1" applyBorder="1" applyAlignment="1" applyProtection="1">
      <alignment horizontal="center" vertical="center" wrapText="1"/>
      <protection locked="0"/>
    </xf>
    <xf numFmtId="0" fontId="11" fillId="4" borderId="3" xfId="0" quotePrefix="1" applyFont="1" applyFill="1" applyBorder="1" applyAlignment="1" applyProtection="1">
      <alignment horizontal="left" vertical="top" wrapText="1"/>
    </xf>
    <xf numFmtId="0" fontId="11" fillId="4" borderId="5" xfId="0" applyFont="1" applyFill="1" applyBorder="1" applyAlignment="1" applyProtection="1">
      <alignment vertical="top" wrapText="1"/>
    </xf>
    <xf numFmtId="169" fontId="12" fillId="4" borderId="3" xfId="7" applyNumberFormat="1" applyFont="1" applyFill="1" applyBorder="1" applyAlignment="1" applyProtection="1">
      <alignment horizontal="center" wrapText="1"/>
    </xf>
    <xf numFmtId="169" fontId="12" fillId="4" borderId="5" xfId="7" applyNumberFormat="1" applyFont="1" applyFill="1" applyBorder="1" applyAlignment="1" applyProtection="1">
      <alignment horizontal="center" wrapText="1"/>
    </xf>
    <xf numFmtId="0" fontId="12" fillId="3" borderId="57" xfId="0" applyFont="1" applyFill="1" applyBorder="1" applyAlignment="1" applyProtection="1">
      <alignment horizontal="center" vertical="top" wrapText="1"/>
      <protection locked="0"/>
    </xf>
    <xf numFmtId="0" fontId="12" fillId="3" borderId="16" xfId="0" applyFont="1" applyFill="1" applyBorder="1" applyAlignment="1" applyProtection="1">
      <alignment horizontal="center" vertical="top" wrapText="1"/>
      <protection locked="0"/>
    </xf>
    <xf numFmtId="0" fontId="11" fillId="4" borderId="46"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4" borderId="51" xfId="0" applyFont="1" applyFill="1" applyBorder="1" applyAlignment="1" applyProtection="1">
      <alignment horizontal="center" vertical="top" wrapText="1"/>
    </xf>
    <xf numFmtId="0" fontId="11" fillId="4" borderId="28" xfId="0" applyFont="1" applyFill="1" applyBorder="1" applyAlignment="1" applyProtection="1">
      <alignment horizontal="center" vertical="top" wrapText="1"/>
    </xf>
    <xf numFmtId="0" fontId="12" fillId="3" borderId="7" xfId="0" applyFont="1" applyFill="1" applyBorder="1" applyAlignment="1" applyProtection="1">
      <alignment horizontal="center" vertical="top" wrapText="1"/>
      <protection locked="0"/>
    </xf>
    <xf numFmtId="0" fontId="11" fillId="4" borderId="28" xfId="0" applyFont="1" applyFill="1" applyBorder="1" applyAlignment="1" applyProtection="1">
      <alignment vertical="top" wrapText="1"/>
    </xf>
    <xf numFmtId="0" fontId="11" fillId="4" borderId="29" xfId="0" applyFont="1" applyFill="1" applyBorder="1" applyAlignment="1" applyProtection="1">
      <alignment vertical="top" wrapText="1"/>
    </xf>
    <xf numFmtId="0" fontId="11" fillId="4" borderId="12"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51" xfId="0" quotePrefix="1" applyFont="1" applyFill="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11" fillId="66" borderId="3" xfId="0" quotePrefix="1" applyFont="1" applyFill="1" applyBorder="1" applyAlignment="1" applyProtection="1">
      <alignment horizontal="left" vertical="top" wrapText="1"/>
    </xf>
    <xf numFmtId="0" fontId="11" fillId="66" borderId="4" xfId="0" applyFont="1" applyFill="1" applyBorder="1" applyAlignment="1" applyProtection="1">
      <alignment vertical="top" wrapText="1"/>
    </xf>
    <xf numFmtId="0" fontId="11" fillId="66" borderId="5" xfId="0" applyFont="1" applyFill="1" applyBorder="1" applyAlignment="1" applyProtection="1">
      <alignment vertical="top" wrapText="1"/>
    </xf>
    <xf numFmtId="168" fontId="12" fillId="0" borderId="3" xfId="4" applyNumberFormat="1" applyFont="1" applyFill="1" applyBorder="1" applyAlignment="1" applyProtection="1">
      <alignment horizontal="center" vertical="center" wrapText="1"/>
      <protection locked="0"/>
    </xf>
    <xf numFmtId="49" fontId="10" fillId="3" borderId="7" xfId="0" applyNumberFormat="1" applyFont="1" applyFill="1" applyBorder="1" applyAlignment="1" applyProtection="1">
      <alignment vertical="top" wrapText="1"/>
      <protection locked="0"/>
    </xf>
    <xf numFmtId="49" fontId="12" fillId="3" borderId="47" xfId="0" applyNumberFormat="1" applyFont="1" applyFill="1" applyBorder="1" applyAlignment="1" applyProtection="1">
      <alignment vertical="top" wrapText="1"/>
      <protection locked="0"/>
    </xf>
    <xf numFmtId="168" fontId="12" fillId="3" borderId="7" xfId="4" applyNumberFormat="1" applyFont="1" applyFill="1" applyBorder="1" applyAlignment="1" applyProtection="1">
      <alignment horizontal="center" vertical="top" wrapText="1"/>
      <protection locked="0"/>
    </xf>
    <xf numFmtId="168" fontId="12" fillId="3" borderId="16" xfId="4" applyNumberFormat="1" applyFont="1" applyFill="1" applyBorder="1" applyAlignment="1" applyProtection="1">
      <alignment horizontal="center" vertical="top" wrapText="1"/>
      <protection locked="0"/>
    </xf>
    <xf numFmtId="49" fontId="10" fillId="3" borderId="28" xfId="0" applyNumberFormat="1" applyFont="1" applyFill="1" applyBorder="1" applyAlignment="1" applyProtection="1">
      <alignment vertical="top" wrapText="1"/>
      <protection locked="0"/>
    </xf>
    <xf numFmtId="49" fontId="12" fillId="3" borderId="29" xfId="0" applyNumberFormat="1" applyFont="1" applyFill="1" applyBorder="1" applyAlignment="1" applyProtection="1">
      <alignment vertical="top" wrapText="1"/>
      <protection locked="0"/>
    </xf>
    <xf numFmtId="168" fontId="12" fillId="3" borderId="28" xfId="4" applyNumberFormat="1" applyFont="1" applyFill="1" applyBorder="1" applyAlignment="1" applyProtection="1">
      <alignment horizontal="center" vertical="top" wrapText="1"/>
      <protection locked="0"/>
    </xf>
    <xf numFmtId="168" fontId="12" fillId="3" borderId="14" xfId="4" applyNumberFormat="1" applyFont="1" applyFill="1" applyBorder="1" applyAlignment="1" applyProtection="1">
      <alignment horizontal="center" vertical="top" wrapText="1"/>
      <protection locked="0"/>
    </xf>
    <xf numFmtId="0" fontId="10" fillId="3" borderId="6" xfId="0" applyFont="1" applyFill="1" applyBorder="1" applyAlignment="1" applyProtection="1">
      <alignment vertical="top" wrapText="1"/>
      <protection locked="0"/>
    </xf>
    <xf numFmtId="0" fontId="12" fillId="3" borderId="48" xfId="0" applyFont="1" applyFill="1" applyBorder="1" applyAlignment="1" applyProtection="1">
      <alignment vertical="top" wrapText="1"/>
      <protection locked="0"/>
    </xf>
    <xf numFmtId="168" fontId="12" fillId="3" borderId="6" xfId="4" applyNumberFormat="1" applyFont="1" applyFill="1" applyBorder="1" applyAlignment="1" applyProtection="1">
      <alignment horizontal="center" vertical="top" wrapText="1"/>
      <protection locked="0"/>
    </xf>
    <xf numFmtId="168" fontId="12" fillId="3" borderId="15" xfId="4" applyNumberFormat="1" applyFont="1" applyFill="1" applyBorder="1" applyAlignment="1" applyProtection="1">
      <alignment horizontal="center" vertical="top" wrapText="1"/>
      <protection locked="0"/>
    </xf>
    <xf numFmtId="0" fontId="11" fillId="4" borderId="12" xfId="0" applyFont="1" applyFill="1" applyBorder="1" applyAlignment="1" applyProtection="1">
      <alignment horizontal="center" vertical="top" wrapText="1"/>
    </xf>
    <xf numFmtId="0" fontId="11" fillId="4" borderId="11" xfId="0" applyFont="1" applyFill="1" applyBorder="1" applyAlignment="1" applyProtection="1">
      <alignment horizontal="center" vertical="top" wrapText="1"/>
    </xf>
    <xf numFmtId="0" fontId="12" fillId="3" borderId="2" xfId="0" applyFont="1" applyFill="1" applyBorder="1" applyAlignment="1" applyProtection="1">
      <alignment horizontal="left" vertical="top" wrapText="1"/>
      <protection locked="0"/>
    </xf>
    <xf numFmtId="0" fontId="12" fillId="3" borderId="39" xfId="0" applyFont="1" applyFill="1" applyBorder="1" applyAlignment="1" applyProtection="1">
      <alignment horizontal="left" vertical="top" wrapText="1"/>
      <protection locked="0"/>
    </xf>
    <xf numFmtId="0" fontId="12" fillId="3" borderId="23" xfId="0" applyFont="1" applyFill="1" applyBorder="1" applyAlignment="1" applyProtection="1">
      <alignment horizontal="left" vertical="top" wrapText="1"/>
      <protection locked="0"/>
    </xf>
    <xf numFmtId="0" fontId="12" fillId="3" borderId="29" xfId="0" applyFont="1" applyFill="1" applyBorder="1" applyAlignment="1" applyProtection="1">
      <alignment horizontal="center"/>
    </xf>
    <xf numFmtId="3" fontId="12" fillId="3" borderId="6" xfId="4" applyNumberFormat="1" applyFont="1" applyFill="1" applyBorder="1" applyAlignment="1" applyProtection="1">
      <alignment horizontal="center" vertical="top" wrapText="1"/>
      <protection locked="0"/>
    </xf>
    <xf numFmtId="3" fontId="12" fillId="3" borderId="15" xfId="4" applyNumberFormat="1" applyFont="1" applyFill="1" applyBorder="1" applyAlignment="1" applyProtection="1">
      <alignment horizontal="center" vertical="top" wrapText="1"/>
      <protection locked="0"/>
    </xf>
    <xf numFmtId="3" fontId="12" fillId="3" borderId="7" xfId="4" applyNumberFormat="1" applyFont="1" applyFill="1" applyBorder="1" applyAlignment="1" applyProtection="1">
      <alignment horizontal="center" vertical="top" wrapText="1"/>
      <protection locked="0"/>
    </xf>
    <xf numFmtId="3" fontId="12" fillId="3" borderId="16" xfId="4"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horizontal="left" vertical="top" wrapText="1"/>
      <protection locked="0"/>
    </xf>
    <xf numFmtId="0" fontId="12" fillId="3" borderId="38" xfId="0" applyFont="1" applyFill="1" applyBorder="1" applyAlignment="1" applyProtection="1">
      <alignment horizontal="left" vertical="top" wrapText="1"/>
      <protection locked="0"/>
    </xf>
    <xf numFmtId="0" fontId="12" fillId="3" borderId="25" xfId="0" applyFont="1" applyFill="1" applyBorder="1" applyAlignment="1" applyProtection="1">
      <alignment horizontal="left" vertical="top" wrapText="1"/>
      <protection locked="0"/>
    </xf>
    <xf numFmtId="0" fontId="12" fillId="3" borderId="40" xfId="0" applyFont="1" applyFill="1" applyBorder="1" applyAlignment="1" applyProtection="1">
      <alignment horizontal="left" vertical="top" wrapText="1"/>
      <protection locked="0"/>
    </xf>
    <xf numFmtId="0" fontId="12" fillId="3" borderId="36" xfId="0" applyFont="1" applyFill="1" applyBorder="1" applyAlignment="1" applyProtection="1">
      <alignment horizontal="left" vertical="top" wrapText="1"/>
      <protection locked="0"/>
    </xf>
    <xf numFmtId="0" fontId="12" fillId="3" borderId="42" xfId="0" applyFont="1" applyFill="1" applyBorder="1" applyAlignment="1" applyProtection="1">
      <alignment horizontal="left" vertical="top" wrapText="1"/>
      <protection locked="0"/>
    </xf>
    <xf numFmtId="0" fontId="11" fillId="4" borderId="52" xfId="0" applyFont="1" applyFill="1" applyBorder="1" applyAlignment="1" applyProtection="1">
      <alignment horizontal="left" vertical="top" wrapText="1"/>
    </xf>
    <xf numFmtId="0" fontId="11" fillId="4" borderId="64" xfId="0" applyFont="1" applyFill="1" applyBorder="1" applyAlignment="1" applyProtection="1">
      <alignment horizontal="left" vertical="top" wrapText="1"/>
    </xf>
    <xf numFmtId="0" fontId="11" fillId="4" borderId="65" xfId="0" applyFont="1" applyFill="1" applyBorder="1" applyAlignment="1" applyProtection="1">
      <alignment horizontal="left" vertical="top" wrapText="1"/>
    </xf>
    <xf numFmtId="0" fontId="11" fillId="4" borderId="51" xfId="0" applyFont="1" applyFill="1" applyBorder="1" applyAlignment="1" applyProtection="1">
      <alignment horizontal="left" vertical="top" wrapText="1"/>
    </xf>
    <xf numFmtId="0" fontId="11" fillId="4" borderId="49" xfId="0" applyFont="1" applyFill="1" applyBorder="1" applyAlignment="1" applyProtection="1">
      <alignment horizontal="left" vertical="top" wrapText="1"/>
    </xf>
    <xf numFmtId="0" fontId="11" fillId="4" borderId="28" xfId="0" quotePrefix="1" applyFont="1" applyFill="1" applyBorder="1" applyAlignment="1" applyProtection="1">
      <alignment horizontal="left" vertical="top" wrapText="1"/>
    </xf>
    <xf numFmtId="0" fontId="11" fillId="4" borderId="29" xfId="0" applyFont="1" applyFill="1" applyBorder="1" applyAlignment="1" applyProtection="1">
      <alignment horizontal="left" vertical="top" wrapText="1"/>
    </xf>
    <xf numFmtId="0" fontId="11" fillId="4" borderId="3" xfId="0" applyFont="1" applyFill="1" applyBorder="1" applyAlignment="1" applyProtection="1">
      <alignment horizontal="left" vertical="top" wrapText="1"/>
    </xf>
    <xf numFmtId="0" fontId="11" fillId="4" borderId="4" xfId="0" applyFont="1" applyFill="1" applyBorder="1" applyAlignment="1" applyProtection="1">
      <alignment horizontal="left" vertical="top" wrapText="1"/>
    </xf>
    <xf numFmtId="0" fontId="11" fillId="4" borderId="5" xfId="0" applyFont="1" applyFill="1" applyBorder="1" applyAlignment="1" applyProtection="1">
      <alignment horizontal="left" vertical="top" wrapText="1"/>
    </xf>
    <xf numFmtId="0" fontId="11" fillId="4" borderId="17" xfId="0" applyFont="1" applyFill="1" applyBorder="1" applyAlignment="1" applyProtection="1">
      <alignment horizontal="left" vertical="top" wrapText="1"/>
    </xf>
    <xf numFmtId="0" fontId="11" fillId="4" borderId="12" xfId="0" quotePrefix="1" applyFont="1" applyFill="1" applyBorder="1" applyAlignment="1" applyProtection="1">
      <alignment horizontal="center" vertical="center" wrapText="1"/>
    </xf>
    <xf numFmtId="0" fontId="11" fillId="6" borderId="51" xfId="0" applyFont="1" applyFill="1" applyBorder="1" applyAlignment="1" applyProtection="1">
      <alignment horizontal="center" vertical="center" wrapText="1"/>
    </xf>
    <xf numFmtId="0" fontId="11" fillId="6" borderId="49" xfId="0" applyFont="1" applyFill="1" applyBorder="1" applyAlignment="1" applyProtection="1">
      <alignment horizontal="center" vertical="center" wrapText="1"/>
    </xf>
    <xf numFmtId="0" fontId="11" fillId="6" borderId="46" xfId="0" applyFont="1" applyFill="1" applyBorder="1" applyAlignment="1" applyProtection="1">
      <alignment horizontal="center" vertical="center" wrapText="1"/>
    </xf>
    <xf numFmtId="0" fontId="11" fillId="6" borderId="28" xfId="0" applyFont="1" applyFill="1" applyBorder="1" applyAlignment="1" applyProtection="1">
      <alignment horizontal="center" vertical="center" wrapText="1"/>
    </xf>
    <xf numFmtId="0" fontId="11" fillId="6" borderId="29"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168" fontId="12" fillId="4" borderId="3" xfId="4" applyNumberFormat="1" applyFont="1" applyFill="1" applyBorder="1" applyAlignment="1" applyProtection="1">
      <alignment horizontal="center" vertical="top" wrapText="1"/>
    </xf>
    <xf numFmtId="168" fontId="12" fillId="4" borderId="5" xfId="4" applyNumberFormat="1" applyFont="1" applyFill="1" applyBorder="1" applyAlignment="1" applyProtection="1">
      <alignment horizontal="center" vertical="top" wrapText="1"/>
    </xf>
    <xf numFmtId="49" fontId="10" fillId="3" borderId="30" xfId="0" applyNumberFormat="1" applyFont="1" applyFill="1" applyBorder="1" applyAlignment="1" applyProtection="1">
      <alignment horizontal="left" vertical="top" wrapText="1"/>
      <protection locked="0"/>
    </xf>
    <xf numFmtId="49" fontId="12" fillId="3" borderId="24" xfId="0" applyNumberFormat="1" applyFont="1" applyFill="1" applyBorder="1" applyAlignment="1" applyProtection="1">
      <alignment horizontal="left" vertical="top" wrapText="1"/>
      <protection locked="0"/>
    </xf>
    <xf numFmtId="0" fontId="11" fillId="4" borderId="46"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49" fontId="10" fillId="3" borderId="6" xfId="0" applyNumberFormat="1" applyFont="1" applyFill="1" applyBorder="1" applyAlignment="1" applyProtection="1">
      <alignment horizontal="left" vertical="top" wrapText="1"/>
      <protection locked="0"/>
    </xf>
    <xf numFmtId="49" fontId="12" fillId="3" borderId="15" xfId="0" applyNumberFormat="1" applyFont="1" applyFill="1" applyBorder="1" applyAlignment="1" applyProtection="1">
      <alignment horizontal="left" vertical="top" wrapText="1"/>
      <protection locked="0"/>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0" fontId="12" fillId="4" borderId="3" xfId="0" applyFont="1" applyFill="1" applyBorder="1" applyAlignment="1" applyProtection="1">
      <alignment horizontal="center" vertical="top" wrapText="1"/>
    </xf>
    <xf numFmtId="0" fontId="12" fillId="4" borderId="4" xfId="0" applyFont="1" applyFill="1" applyBorder="1" applyAlignment="1" applyProtection="1">
      <alignment horizontal="center" vertical="top" wrapText="1"/>
    </xf>
    <xf numFmtId="0" fontId="12" fillId="4" borderId="5" xfId="0" applyFont="1" applyFill="1" applyBorder="1" applyAlignment="1" applyProtection="1">
      <alignment horizontal="center" vertical="top" wrapText="1"/>
    </xf>
    <xf numFmtId="49" fontId="10" fillId="3" borderId="7" xfId="0" applyNumberFormat="1" applyFont="1" applyFill="1" applyBorder="1" applyAlignment="1" applyProtection="1">
      <alignment horizontal="left" vertical="top" wrapText="1"/>
      <protection locked="0"/>
    </xf>
    <xf numFmtId="49" fontId="12" fillId="3" borderId="16" xfId="0" applyNumberFormat="1" applyFont="1" applyFill="1" applyBorder="1" applyAlignment="1" applyProtection="1">
      <alignment horizontal="left" vertical="top" wrapText="1"/>
      <protection locked="0"/>
    </xf>
    <xf numFmtId="49" fontId="10" fillId="3" borderId="40" xfId="0" applyNumberFormat="1" applyFont="1" applyFill="1" applyBorder="1" applyAlignment="1" applyProtection="1">
      <alignment vertical="top" wrapText="1"/>
      <protection locked="0"/>
    </xf>
    <xf numFmtId="49" fontId="12" fillId="3" borderId="54" xfId="0" applyNumberFormat="1" applyFont="1" applyFill="1" applyBorder="1" applyAlignment="1" applyProtection="1">
      <alignment vertical="top" wrapText="1"/>
      <protection locked="0"/>
    </xf>
    <xf numFmtId="0" fontId="11" fillId="4" borderId="51" xfId="0" applyFont="1" applyFill="1" applyBorder="1" applyAlignment="1" applyProtection="1">
      <alignment vertical="top" wrapText="1"/>
    </xf>
    <xf numFmtId="0" fontId="11" fillId="4" borderId="49" xfId="0" applyFont="1" applyFill="1" applyBorder="1" applyAlignment="1" applyProtection="1">
      <alignment vertical="top" wrapText="1"/>
    </xf>
    <xf numFmtId="0" fontId="10" fillId="3" borderId="40" xfId="0" applyFont="1" applyFill="1" applyBorder="1" applyAlignment="1" applyProtection="1">
      <alignment vertical="top" wrapText="1"/>
      <protection locked="0"/>
    </xf>
    <xf numFmtId="0" fontId="12" fillId="3" borderId="54" xfId="0" applyFont="1" applyFill="1" applyBorder="1" applyAlignment="1" applyProtection="1">
      <alignment vertical="top" wrapText="1"/>
      <protection locked="0"/>
    </xf>
    <xf numFmtId="0" fontId="11" fillId="4" borderId="3" xfId="0" applyFont="1" applyFill="1" applyBorder="1" applyAlignment="1" applyProtection="1">
      <alignment vertical="top" wrapText="1"/>
    </xf>
    <xf numFmtId="0" fontId="12" fillId="3" borderId="3" xfId="0" applyFont="1" applyFill="1" applyBorder="1" applyAlignment="1" applyProtection="1">
      <alignment horizontal="center"/>
    </xf>
    <xf numFmtId="0" fontId="12" fillId="3" borderId="4" xfId="0" applyFont="1" applyFill="1" applyBorder="1" applyAlignment="1" applyProtection="1">
      <alignment horizontal="center"/>
    </xf>
    <xf numFmtId="0" fontId="12" fillId="3" borderId="5" xfId="0" applyFont="1" applyFill="1" applyBorder="1" applyAlignment="1" applyProtection="1">
      <alignment horizontal="center"/>
    </xf>
    <xf numFmtId="0" fontId="11" fillId="4" borderId="5" xfId="0" quotePrefix="1" applyFont="1" applyFill="1" applyBorder="1" applyAlignment="1" applyProtection="1">
      <alignment horizontal="left" vertical="top" wrapText="1"/>
    </xf>
    <xf numFmtId="0" fontId="12" fillId="3" borderId="47"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0" fontId="12" fillId="3" borderId="15" xfId="0" applyFont="1" applyFill="1" applyBorder="1" applyAlignment="1" applyProtection="1">
      <alignment horizontal="center" vertical="top" wrapText="1"/>
      <protection locked="0"/>
    </xf>
    <xf numFmtId="0" fontId="12" fillId="3" borderId="48" xfId="0" applyFont="1" applyFill="1" applyBorder="1" applyAlignment="1" applyProtection="1">
      <alignment horizontal="center" vertical="top" wrapText="1"/>
      <protection locked="0"/>
    </xf>
    <xf numFmtId="0" fontId="11" fillId="4" borderId="3" xfId="0"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0" fontId="11" fillId="4" borderId="4" xfId="0" applyFont="1" applyFill="1" applyBorder="1" applyAlignment="1" applyProtection="1">
      <alignment horizontal="center" vertical="top" wrapText="1"/>
    </xf>
    <xf numFmtId="0" fontId="11" fillId="4" borderId="46" xfId="0" applyFont="1" applyFill="1" applyBorder="1" applyAlignment="1" applyProtection="1">
      <alignment vertical="top" wrapText="1"/>
    </xf>
    <xf numFmtId="0" fontId="10" fillId="4" borderId="28" xfId="0" quotePrefix="1" applyFont="1" applyFill="1" applyBorder="1" applyAlignment="1" applyProtection="1">
      <alignment horizontal="left" vertical="top" wrapText="1"/>
    </xf>
    <xf numFmtId="0" fontId="12" fillId="4" borderId="29" xfId="0" applyFont="1" applyFill="1" applyBorder="1" applyAlignment="1" applyProtection="1">
      <alignment vertical="top" wrapText="1"/>
    </xf>
    <xf numFmtId="0" fontId="12" fillId="4" borderId="14" xfId="0" applyFont="1" applyFill="1" applyBorder="1" applyAlignment="1" applyProtection="1">
      <alignment vertical="top" wrapText="1"/>
    </xf>
    <xf numFmtId="0" fontId="12" fillId="3" borderId="30" xfId="0" applyFont="1" applyFill="1" applyBorder="1" applyAlignment="1" applyProtection="1">
      <alignment horizontal="center" vertical="top" wrapText="1"/>
      <protection locked="0"/>
    </xf>
    <xf numFmtId="0" fontId="12" fillId="3" borderId="24" xfId="0" applyFont="1" applyFill="1" applyBorder="1" applyAlignment="1" applyProtection="1">
      <alignment horizontal="center" vertical="top" wrapText="1"/>
      <protection locked="0"/>
    </xf>
    <xf numFmtId="0" fontId="12" fillId="3" borderId="31" xfId="0" applyFont="1" applyFill="1" applyBorder="1" applyAlignment="1" applyProtection="1">
      <alignment horizontal="center" vertical="top" wrapText="1"/>
      <protection locked="0"/>
    </xf>
    <xf numFmtId="0" fontId="11" fillId="4" borderId="33" xfId="0" applyFont="1" applyFill="1" applyBorder="1" applyAlignment="1" applyProtection="1">
      <alignment horizontal="left" vertical="top" wrapText="1"/>
    </xf>
    <xf numFmtId="0" fontId="11" fillId="4" borderId="58" xfId="0" applyFont="1" applyFill="1" applyBorder="1" applyAlignment="1" applyProtection="1">
      <alignment horizontal="left" vertical="top" wrapText="1"/>
    </xf>
    <xf numFmtId="0" fontId="11" fillId="4" borderId="62"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protection locked="0"/>
    </xf>
    <xf numFmtId="0" fontId="12" fillId="3" borderId="48"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1" fillId="3" borderId="0" xfId="0" quotePrefix="1"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11" fillId="3" borderId="0" xfId="0" quotePrefix="1"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1" fillId="4" borderId="66" xfId="0" applyFont="1" applyFill="1" applyBorder="1" applyAlignment="1" applyProtection="1">
      <alignment horizontal="left" vertical="top" wrapText="1"/>
    </xf>
    <xf numFmtId="0" fontId="11" fillId="4" borderId="28" xfId="0" applyFont="1" applyFill="1" applyBorder="1" applyAlignment="1" applyProtection="1">
      <alignment horizontal="left" vertical="top" wrapText="1"/>
    </xf>
    <xf numFmtId="0" fontId="11" fillId="4" borderId="44" xfId="0" applyFont="1" applyFill="1" applyBorder="1" applyAlignment="1" applyProtection="1">
      <alignment horizontal="left" vertical="top" wrapText="1"/>
    </xf>
    <xf numFmtId="0" fontId="12" fillId="4" borderId="28" xfId="0" applyFont="1" applyFill="1" applyBorder="1" applyAlignment="1" applyProtection="1">
      <alignment horizontal="center"/>
    </xf>
    <xf numFmtId="0" fontId="12" fillId="4" borderId="14" xfId="0" applyFont="1" applyFill="1" applyBorder="1" applyAlignment="1" applyProtection="1">
      <alignment horizontal="center"/>
    </xf>
    <xf numFmtId="0" fontId="12" fillId="3" borderId="7" xfId="0" applyFont="1" applyFill="1" applyBorder="1" applyAlignment="1" applyProtection="1">
      <alignment horizontal="center"/>
      <protection locked="0"/>
    </xf>
    <xf numFmtId="0" fontId="12" fillId="3" borderId="16" xfId="0" applyFon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12" fillId="3" borderId="63" xfId="0" applyFont="1" applyFill="1" applyBorder="1" applyAlignment="1" applyProtection="1">
      <alignment horizontal="center"/>
      <protection locked="0"/>
    </xf>
    <xf numFmtId="0" fontId="12" fillId="3" borderId="50" xfId="0" applyFont="1" applyFill="1" applyBorder="1" applyAlignment="1" applyProtection="1">
      <alignment horizontal="center"/>
      <protection locked="0"/>
    </xf>
    <xf numFmtId="0" fontId="11" fillId="4" borderId="26" xfId="0" applyFont="1" applyFill="1" applyBorder="1" applyAlignment="1" applyProtection="1">
      <alignment horizontal="left" vertical="top" wrapText="1"/>
    </xf>
    <xf numFmtId="0" fontId="11" fillId="4" borderId="7" xfId="0" applyFont="1" applyFill="1" applyBorder="1" applyAlignment="1" applyProtection="1">
      <alignment horizontal="left" vertical="top" wrapText="1"/>
    </xf>
    <xf numFmtId="0" fontId="11" fillId="4" borderId="22" xfId="0" applyFont="1" applyFill="1" applyBorder="1" applyAlignment="1" applyProtection="1">
      <alignment horizontal="left" vertical="top" wrapText="1"/>
    </xf>
    <xf numFmtId="169" fontId="12" fillId="0" borderId="54" xfId="7" applyNumberFormat="1" applyFont="1" applyFill="1" applyBorder="1" applyAlignment="1" applyProtection="1">
      <alignment horizontal="center" vertical="top" wrapText="1"/>
      <protection locked="0"/>
    </xf>
    <xf numFmtId="169" fontId="12" fillId="0" borderId="15" xfId="7" applyNumberFormat="1" applyFont="1" applyFill="1" applyBorder="1" applyAlignment="1" applyProtection="1">
      <alignment horizontal="center" vertical="top" wrapText="1"/>
      <protection locked="0"/>
    </xf>
    <xf numFmtId="0" fontId="11" fillId="4" borderId="30" xfId="0" applyFont="1" applyFill="1" applyBorder="1" applyAlignment="1" applyProtection="1">
      <alignment horizontal="left" vertical="top" wrapText="1"/>
    </xf>
    <xf numFmtId="0" fontId="11" fillId="4" borderId="45" xfId="0" applyFont="1" applyFill="1" applyBorder="1" applyAlignment="1" applyProtection="1">
      <alignment horizontal="left" vertical="top" wrapText="1"/>
    </xf>
    <xf numFmtId="170" fontId="12" fillId="3" borderId="57" xfId="0" applyNumberFormat="1" applyFont="1" applyFill="1" applyBorder="1" applyAlignment="1" applyProtection="1">
      <alignment horizontal="center" vertical="top" wrapText="1"/>
      <protection locked="0"/>
    </xf>
    <xf numFmtId="170" fontId="12" fillId="3" borderId="16" xfId="0" applyNumberFormat="1" applyFont="1" applyFill="1" applyBorder="1" applyAlignment="1" applyProtection="1">
      <alignment horizontal="center" vertical="top" wrapText="1"/>
      <protection locked="0"/>
    </xf>
    <xf numFmtId="3" fontId="12" fillId="3" borderId="53" xfId="0" applyNumberFormat="1" applyFont="1" applyFill="1" applyBorder="1" applyAlignment="1" applyProtection="1">
      <alignment horizontal="center" vertical="top" wrapText="1"/>
      <protection locked="0"/>
    </xf>
    <xf numFmtId="3" fontId="12" fillId="3" borderId="24" xfId="0" applyNumberFormat="1" applyFont="1" applyFill="1" applyBorder="1" applyAlignment="1" applyProtection="1">
      <alignment horizontal="center" vertical="top" wrapText="1"/>
      <protection locked="0"/>
    </xf>
    <xf numFmtId="0" fontId="12" fillId="4" borderId="57" xfId="0" applyFont="1" applyFill="1" applyBorder="1" applyAlignment="1" applyProtection="1">
      <alignment horizontal="center" vertical="top" wrapText="1"/>
    </xf>
    <xf numFmtId="0" fontId="12" fillId="4" borderId="16" xfId="0" applyFont="1" applyFill="1" applyBorder="1" applyAlignment="1" applyProtection="1">
      <alignment horizontal="center" vertical="top" wrapText="1"/>
    </xf>
    <xf numFmtId="3" fontId="12" fillId="3" borderId="57" xfId="0" applyNumberFormat="1" applyFont="1" applyFill="1" applyBorder="1" applyAlignment="1" applyProtection="1">
      <alignment horizontal="center" vertical="top" wrapText="1"/>
      <protection locked="0"/>
    </xf>
    <xf numFmtId="3" fontId="12" fillId="3" borderId="16" xfId="0" applyNumberFormat="1" applyFont="1" applyFill="1" applyBorder="1" applyAlignment="1" applyProtection="1">
      <alignment horizontal="center" vertical="top" wrapText="1"/>
      <protection locked="0"/>
    </xf>
    <xf numFmtId="0" fontId="11" fillId="4" borderId="49"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top" wrapText="1"/>
    </xf>
    <xf numFmtId="0" fontId="12" fillId="3" borderId="6" xfId="0" applyFont="1" applyFill="1" applyBorder="1" applyAlignment="1" applyProtection="1">
      <alignment horizontal="center"/>
      <protection locked="0"/>
    </xf>
    <xf numFmtId="0" fontId="12" fillId="3" borderId="15" xfId="0" applyFont="1" applyFill="1" applyBorder="1" applyAlignment="1" applyProtection="1">
      <alignment horizontal="center"/>
      <protection locked="0"/>
    </xf>
    <xf numFmtId="168" fontId="12" fillId="0" borderId="3" xfId="0" applyNumberFormat="1" applyFont="1" applyFill="1" applyBorder="1" applyAlignment="1" applyProtection="1">
      <alignment horizontal="center" vertical="center"/>
      <protection locked="0"/>
    </xf>
    <xf numFmtId="168" fontId="12" fillId="0" borderId="5" xfId="0" applyNumberFormat="1" applyFont="1" applyFill="1" applyBorder="1" applyAlignment="1" applyProtection="1">
      <alignment horizontal="center" vertical="center"/>
      <protection locked="0"/>
    </xf>
    <xf numFmtId="0" fontId="122" fillId="0" borderId="0" xfId="0" quotePrefix="1" applyFont="1" applyAlignment="1">
      <alignment horizontal="left" vertical="center" wrapText="1"/>
    </xf>
    <xf numFmtId="0" fontId="11" fillId="5" borderId="62" xfId="0" applyFont="1" applyFill="1" applyBorder="1" applyAlignment="1">
      <alignment horizontal="left" vertical="center" wrapText="1"/>
    </xf>
    <xf numFmtId="0" fontId="11" fillId="5" borderId="9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41" xfId="0" applyFont="1" applyFill="1" applyBorder="1" applyAlignment="1">
      <alignment vertical="center" wrapText="1"/>
    </xf>
    <xf numFmtId="0" fontId="11" fillId="5" borderId="104" xfId="0" applyFont="1" applyFill="1" applyBorder="1" applyAlignment="1">
      <alignment vertical="center" wrapText="1"/>
    </xf>
    <xf numFmtId="0" fontId="119" fillId="5" borderId="51" xfId="0" applyFont="1" applyFill="1" applyBorder="1" applyAlignment="1">
      <alignment horizontal="center"/>
    </xf>
    <xf numFmtId="0" fontId="119" fillId="5" borderId="49" xfId="0" applyFont="1" applyFill="1" applyBorder="1" applyAlignment="1">
      <alignment horizontal="center"/>
    </xf>
    <xf numFmtId="0" fontId="119" fillId="5" borderId="46" xfId="0" applyFont="1" applyFill="1" applyBorder="1" applyAlignment="1">
      <alignment horizontal="center"/>
    </xf>
    <xf numFmtId="0" fontId="118" fillId="5" borderId="3" xfId="0" applyFont="1" applyFill="1" applyBorder="1" applyAlignment="1">
      <alignment horizontal="left" vertical="center" wrapText="1"/>
    </xf>
    <xf numFmtId="0" fontId="118" fillId="5" borderId="4" xfId="0" applyFont="1" applyFill="1" applyBorder="1" applyAlignment="1">
      <alignment horizontal="left" vertical="center" wrapText="1"/>
    </xf>
    <xf numFmtId="0" fontId="118" fillId="5" borderId="5" xfId="0" applyFont="1" applyFill="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1" fillId="5" borderId="51" xfId="0" applyFont="1" applyFill="1" applyBorder="1" applyAlignment="1">
      <alignment vertical="center" wrapText="1"/>
    </xf>
    <xf numFmtId="0" fontId="11" fillId="5" borderId="49" xfId="0" applyFont="1" applyFill="1" applyBorder="1" applyAlignment="1">
      <alignment vertical="center" wrapText="1"/>
    </xf>
    <xf numFmtId="0" fontId="11" fillId="5" borderId="28" xfId="0" applyFont="1" applyFill="1" applyBorder="1" applyAlignment="1">
      <alignment vertical="center" wrapText="1"/>
    </xf>
    <xf numFmtId="0" fontId="11" fillId="5" borderId="29" xfId="0" applyFont="1" applyFill="1" applyBorder="1" applyAlignment="1">
      <alignment vertical="center" wrapText="1"/>
    </xf>
    <xf numFmtId="0" fontId="11" fillId="86" borderId="62" xfId="0" applyFont="1" applyFill="1" applyBorder="1" applyAlignment="1" applyProtection="1">
      <alignment horizontal="center" vertical="center"/>
      <protection locked="0"/>
    </xf>
    <xf numFmtId="0" fontId="11" fillId="86" borderId="104" xfId="0" applyFont="1" applyFill="1" applyBorder="1" applyAlignment="1" applyProtection="1">
      <alignment horizontal="center" vertical="center"/>
      <protection locked="0"/>
    </xf>
    <xf numFmtId="0" fontId="11" fillId="5" borderId="62" xfId="0" applyFont="1" applyFill="1" applyBorder="1" applyAlignment="1">
      <alignment vertical="center" wrapText="1"/>
    </xf>
    <xf numFmtId="0" fontId="11" fillId="5" borderId="99" xfId="0" applyFont="1" applyFill="1" applyBorder="1" applyAlignment="1">
      <alignment vertical="center" wrapText="1"/>
    </xf>
    <xf numFmtId="0" fontId="11" fillId="5" borderId="20" xfId="0" applyFont="1" applyFill="1" applyBorder="1" applyAlignment="1">
      <alignment vertical="center" wrapText="1"/>
    </xf>
    <xf numFmtId="0" fontId="120" fillId="0" borderId="0" xfId="210" quotePrefix="1" applyFont="1" applyAlignment="1" applyProtection="1">
      <alignment horizontal="center"/>
      <protection locked="0"/>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5" borderId="5" xfId="0" applyFont="1" applyFill="1" applyBorder="1" applyAlignment="1">
      <alignment horizontal="center" wrapText="1"/>
    </xf>
    <xf numFmtId="0" fontId="8" fillId="5" borderId="3" xfId="0" applyFont="1" applyFill="1" applyBorder="1" applyAlignment="1">
      <alignment horizontal="left" wrapText="1"/>
    </xf>
    <xf numFmtId="0" fontId="8" fillId="5" borderId="4" xfId="0" applyFont="1" applyFill="1" applyBorder="1" applyAlignment="1">
      <alignment horizontal="left" wrapText="1"/>
    </xf>
    <xf numFmtId="0" fontId="8" fillId="5" borderId="5" xfId="0" applyFont="1" applyFill="1" applyBorder="1" applyAlignment="1">
      <alignment horizontal="left" wrapText="1"/>
    </xf>
  </cellXfs>
  <cellStyles count="7024">
    <cellStyle name="_ENPFinancialModel PBConsult 01-02-09 iii" xfId="212"/>
    <cellStyle name="_ENPFinancialModel PBConsult 01-02-09 iii 10" xfId="213"/>
    <cellStyle name="_ENPFinancialModel PBConsult 01-02-09 iii 11" xfId="214"/>
    <cellStyle name="_ENPFinancialModel PBConsult 01-02-09 iii 12" xfId="215"/>
    <cellStyle name="_ENPFinancialModel PBConsult 01-02-09 iii 13" xfId="216"/>
    <cellStyle name="_ENPFinancialModel PBConsult 01-02-09 iii 14" xfId="217"/>
    <cellStyle name="_ENPFinancialModel PBConsult 01-02-09 iii 15" xfId="218"/>
    <cellStyle name="_ENPFinancialModel PBConsult 01-02-09 iii 16" xfId="219"/>
    <cellStyle name="_ENPFinancialModel PBConsult 01-02-09 iii 17" xfId="220"/>
    <cellStyle name="_ENPFinancialModel PBConsult 01-02-09 iii 18" xfId="221"/>
    <cellStyle name="_ENPFinancialModel PBConsult 01-02-09 iii 19" xfId="222"/>
    <cellStyle name="_ENPFinancialModel PBConsult 01-02-09 iii 2" xfId="223"/>
    <cellStyle name="_ENPFinancialModel PBConsult 01-02-09 iii 20" xfId="224"/>
    <cellStyle name="_ENPFinancialModel PBConsult 01-02-09 iii 21" xfId="225"/>
    <cellStyle name="_ENPFinancialModel PBConsult 01-02-09 iii 22" xfId="226"/>
    <cellStyle name="_ENPFinancialModel PBConsult 01-02-09 iii 23" xfId="227"/>
    <cellStyle name="_ENPFinancialModel PBConsult 01-02-09 iii 24" xfId="228"/>
    <cellStyle name="_ENPFinancialModel PBConsult 01-02-09 iii 3" xfId="229"/>
    <cellStyle name="_ENPFinancialModel PBConsult 01-02-09 iii 4" xfId="230"/>
    <cellStyle name="_ENPFinancialModel PBConsult 01-02-09 iii 5" xfId="231"/>
    <cellStyle name="_ENPFinancialModel PBConsult 01-02-09 iii 6" xfId="232"/>
    <cellStyle name="_ENPFinancialModel PBConsult 01-02-09 iii 7" xfId="233"/>
    <cellStyle name="_ENPFinancialModel PBConsult 01-02-09 iii 8" xfId="234"/>
    <cellStyle name="_ENPFinancialModel PBConsult 01-02-09 iii 9" xfId="235"/>
    <cellStyle name="_IDB Puerto Cortes FinModel Feb 26_09 DF" xfId="236"/>
    <cellStyle name="_IDB Puerto Cortés FinModel PBConsult 02-9-09" xfId="237"/>
    <cellStyle name="_Project Harbour MLA Model Jan 26 2007(1)" xfId="238"/>
    <cellStyle name="=C:\WINNT35\SYSTEM32\COMMAND.COM" xfId="239"/>
    <cellStyle name="20% - Accent1" xfId="26" builtinId="30" customBuiltin="1"/>
    <cellStyle name="20% - Accent1 2" xfId="56"/>
    <cellStyle name="20% - Accent1 2 10" xfId="240"/>
    <cellStyle name="20% - Accent1 2 11" xfId="241"/>
    <cellStyle name="20% - Accent1 2 12" xfId="242"/>
    <cellStyle name="20% - Accent1 2 13" xfId="243"/>
    <cellStyle name="20% - Accent1 2 14" xfId="244"/>
    <cellStyle name="20% - Accent1 2 15" xfId="245"/>
    <cellStyle name="20% - Accent1 2 16" xfId="246"/>
    <cellStyle name="20% - Accent1 2 17" xfId="247"/>
    <cellStyle name="20% - Accent1 2 18" xfId="248"/>
    <cellStyle name="20% - Accent1 2 19" xfId="249"/>
    <cellStyle name="20% - Accent1 2 2" xfId="250"/>
    <cellStyle name="20% - Accent1 2 2 2" xfId="251"/>
    <cellStyle name="20% - Accent1 2 2 2 2" xfId="252"/>
    <cellStyle name="20% - Accent1 2 2 2 3" xfId="253"/>
    <cellStyle name="20% - Accent1 2 2 2 4" xfId="254"/>
    <cellStyle name="20% - Accent1 2 2 3" xfId="255"/>
    <cellStyle name="20% - Accent1 2 2 3 2" xfId="256"/>
    <cellStyle name="20% - Accent1 2 2 3 3" xfId="257"/>
    <cellStyle name="20% - Accent1 2 2 4" xfId="258"/>
    <cellStyle name="20% - Accent1 2 3" xfId="259"/>
    <cellStyle name="20% - Accent1 2 3 2" xfId="260"/>
    <cellStyle name="20% - Accent1 2 3 3" xfId="261"/>
    <cellStyle name="20% - Accent1 2 4" xfId="262"/>
    <cellStyle name="20% - Accent1 2 5" xfId="263"/>
    <cellStyle name="20% - Accent1 2 6" xfId="264"/>
    <cellStyle name="20% - Accent1 2 7" xfId="265"/>
    <cellStyle name="20% - Accent1 2 8" xfId="266"/>
    <cellStyle name="20% - Accent1 2 9" xfId="267"/>
    <cellStyle name="20% - Accent1 3" xfId="268"/>
    <cellStyle name="20% - Accent1 3 2" xfId="269"/>
    <cellStyle name="20% - Accent1 3 3" xfId="270"/>
    <cellStyle name="20% - Accent1 4" xfId="271"/>
    <cellStyle name="20% - Accent2" xfId="30" builtinId="34" customBuiltin="1"/>
    <cellStyle name="20% - Accent2 2" xfId="57"/>
    <cellStyle name="20% - Accent2 2 10" xfId="272"/>
    <cellStyle name="20% - Accent2 2 11" xfId="273"/>
    <cellStyle name="20% - Accent2 2 12" xfId="274"/>
    <cellStyle name="20% - Accent2 2 13" xfId="275"/>
    <cellStyle name="20% - Accent2 2 14" xfId="276"/>
    <cellStyle name="20% - Accent2 2 15" xfId="277"/>
    <cellStyle name="20% - Accent2 2 16" xfId="278"/>
    <cellStyle name="20% - Accent2 2 17" xfId="279"/>
    <cellStyle name="20% - Accent2 2 18" xfId="280"/>
    <cellStyle name="20% - Accent2 2 19" xfId="281"/>
    <cellStyle name="20% - Accent2 2 2" xfId="282"/>
    <cellStyle name="20% - Accent2 2 2 2" xfId="283"/>
    <cellStyle name="20% - Accent2 2 2 2 2" xfId="284"/>
    <cellStyle name="20% - Accent2 2 2 2 3" xfId="285"/>
    <cellStyle name="20% - Accent2 2 2 2 4" xfId="286"/>
    <cellStyle name="20% - Accent2 2 2 3" xfId="287"/>
    <cellStyle name="20% - Accent2 2 2 3 2" xfId="288"/>
    <cellStyle name="20% - Accent2 2 2 3 3" xfId="289"/>
    <cellStyle name="20% - Accent2 2 2 4" xfId="290"/>
    <cellStyle name="20% - Accent2 2 3" xfId="291"/>
    <cellStyle name="20% - Accent2 2 3 2" xfId="292"/>
    <cellStyle name="20% - Accent2 2 3 3" xfId="293"/>
    <cellStyle name="20% - Accent2 2 4" xfId="294"/>
    <cellStyle name="20% - Accent2 2 5" xfId="295"/>
    <cellStyle name="20% - Accent2 2 6" xfId="296"/>
    <cellStyle name="20% - Accent2 2 7" xfId="297"/>
    <cellStyle name="20% - Accent2 2 8" xfId="298"/>
    <cellStyle name="20% - Accent2 2 9" xfId="299"/>
    <cellStyle name="20% - Accent2 3" xfId="300"/>
    <cellStyle name="20% - Accent2 3 2" xfId="301"/>
    <cellStyle name="20% - Accent2 3 3" xfId="302"/>
    <cellStyle name="20% - Accent2 4" xfId="303"/>
    <cellStyle name="20% - Accent3" xfId="34" builtinId="38" customBuiltin="1"/>
    <cellStyle name="20% - Accent3 2" xfId="58"/>
    <cellStyle name="20% - Accent3 2 10" xfId="304"/>
    <cellStyle name="20% - Accent3 2 11" xfId="305"/>
    <cellStyle name="20% - Accent3 2 12" xfId="306"/>
    <cellStyle name="20% - Accent3 2 13" xfId="307"/>
    <cellStyle name="20% - Accent3 2 14" xfId="308"/>
    <cellStyle name="20% - Accent3 2 15" xfId="309"/>
    <cellStyle name="20% - Accent3 2 16" xfId="310"/>
    <cellStyle name="20% - Accent3 2 17" xfId="311"/>
    <cellStyle name="20% - Accent3 2 18" xfId="312"/>
    <cellStyle name="20% - Accent3 2 19" xfId="313"/>
    <cellStyle name="20% - Accent3 2 2" xfId="314"/>
    <cellStyle name="20% - Accent3 2 2 2" xfId="315"/>
    <cellStyle name="20% - Accent3 2 2 2 2" xfId="316"/>
    <cellStyle name="20% - Accent3 2 2 2 3" xfId="317"/>
    <cellStyle name="20% - Accent3 2 2 2 4" xfId="318"/>
    <cellStyle name="20% - Accent3 2 2 3" xfId="319"/>
    <cellStyle name="20% - Accent3 2 2 3 2" xfId="320"/>
    <cellStyle name="20% - Accent3 2 2 3 3" xfId="321"/>
    <cellStyle name="20% - Accent3 2 2 4" xfId="322"/>
    <cellStyle name="20% - Accent3 2 3" xfId="323"/>
    <cellStyle name="20% - Accent3 2 3 2" xfId="324"/>
    <cellStyle name="20% - Accent3 2 3 3" xfId="325"/>
    <cellStyle name="20% - Accent3 2 4" xfId="326"/>
    <cellStyle name="20% - Accent3 2 5" xfId="327"/>
    <cellStyle name="20% - Accent3 2 6" xfId="328"/>
    <cellStyle name="20% - Accent3 2 7" xfId="329"/>
    <cellStyle name="20% - Accent3 2 8" xfId="330"/>
    <cellStyle name="20% - Accent3 2 9" xfId="331"/>
    <cellStyle name="20% - Accent3 3" xfId="332"/>
    <cellStyle name="20% - Accent3 3 2" xfId="333"/>
    <cellStyle name="20% - Accent3 3 3" xfId="334"/>
    <cellStyle name="20% - Accent3 4" xfId="335"/>
    <cellStyle name="20% - Accent4" xfId="38" builtinId="42" customBuiltin="1"/>
    <cellStyle name="20% - Accent4 2" xfId="59"/>
    <cellStyle name="20% - Accent4 2 10" xfId="336"/>
    <cellStyle name="20% - Accent4 2 11" xfId="337"/>
    <cellStyle name="20% - Accent4 2 12" xfId="338"/>
    <cellStyle name="20% - Accent4 2 13" xfId="339"/>
    <cellStyle name="20% - Accent4 2 14" xfId="340"/>
    <cellStyle name="20% - Accent4 2 15" xfId="341"/>
    <cellStyle name="20% - Accent4 2 16" xfId="342"/>
    <cellStyle name="20% - Accent4 2 17" xfId="343"/>
    <cellStyle name="20% - Accent4 2 18" xfId="344"/>
    <cellStyle name="20% - Accent4 2 19" xfId="345"/>
    <cellStyle name="20% - Accent4 2 2" xfId="346"/>
    <cellStyle name="20% - Accent4 2 2 2" xfId="347"/>
    <cellStyle name="20% - Accent4 2 2 2 2" xfId="348"/>
    <cellStyle name="20% - Accent4 2 2 2 3" xfId="349"/>
    <cellStyle name="20% - Accent4 2 2 2 4" xfId="350"/>
    <cellStyle name="20% - Accent4 2 2 3" xfId="351"/>
    <cellStyle name="20% - Accent4 2 2 3 2" xfId="352"/>
    <cellStyle name="20% - Accent4 2 2 3 3" xfId="353"/>
    <cellStyle name="20% - Accent4 2 2 4" xfId="354"/>
    <cellStyle name="20% - Accent4 2 3" xfId="355"/>
    <cellStyle name="20% - Accent4 2 3 2" xfId="356"/>
    <cellStyle name="20% - Accent4 2 3 3" xfId="357"/>
    <cellStyle name="20% - Accent4 2 4" xfId="358"/>
    <cellStyle name="20% - Accent4 2 5" xfId="359"/>
    <cellStyle name="20% - Accent4 2 6" xfId="360"/>
    <cellStyle name="20% - Accent4 2 7" xfId="361"/>
    <cellStyle name="20% - Accent4 2 8" xfId="362"/>
    <cellStyle name="20% - Accent4 2 9" xfId="363"/>
    <cellStyle name="20% - Accent4 3" xfId="364"/>
    <cellStyle name="20% - Accent4 3 2" xfId="365"/>
    <cellStyle name="20% - Accent4 3 3" xfId="366"/>
    <cellStyle name="20% - Accent4 4" xfId="367"/>
    <cellStyle name="20% - Accent5" xfId="42" builtinId="46" customBuiltin="1"/>
    <cellStyle name="20% - Accent5 2" xfId="60"/>
    <cellStyle name="20% - Accent5 2 10" xfId="368"/>
    <cellStyle name="20% - Accent5 2 11" xfId="369"/>
    <cellStyle name="20% - Accent5 2 12" xfId="370"/>
    <cellStyle name="20% - Accent5 2 13" xfId="371"/>
    <cellStyle name="20% - Accent5 2 14" xfId="372"/>
    <cellStyle name="20% - Accent5 2 15" xfId="373"/>
    <cellStyle name="20% - Accent5 2 16" xfId="374"/>
    <cellStyle name="20% - Accent5 2 17" xfId="375"/>
    <cellStyle name="20% - Accent5 2 18" xfId="376"/>
    <cellStyle name="20% - Accent5 2 19" xfId="377"/>
    <cellStyle name="20% - Accent5 2 2" xfId="378"/>
    <cellStyle name="20% - Accent5 2 2 2" xfId="379"/>
    <cellStyle name="20% - Accent5 2 2 2 2" xfId="380"/>
    <cellStyle name="20% - Accent5 2 2 2 3" xfId="381"/>
    <cellStyle name="20% - Accent5 2 2 2 4" xfId="382"/>
    <cellStyle name="20% - Accent5 2 2 3" xfId="383"/>
    <cellStyle name="20% - Accent5 2 2 3 2" xfId="384"/>
    <cellStyle name="20% - Accent5 2 2 3 3" xfId="385"/>
    <cellStyle name="20% - Accent5 2 2 4" xfId="386"/>
    <cellStyle name="20% - Accent5 2 3" xfId="387"/>
    <cellStyle name="20% - Accent5 2 3 2" xfId="388"/>
    <cellStyle name="20% - Accent5 2 3 3" xfId="389"/>
    <cellStyle name="20% - Accent5 2 4" xfId="390"/>
    <cellStyle name="20% - Accent5 2 5" xfId="391"/>
    <cellStyle name="20% - Accent5 2 6" xfId="392"/>
    <cellStyle name="20% - Accent5 2 7" xfId="393"/>
    <cellStyle name="20% - Accent5 2 8" xfId="394"/>
    <cellStyle name="20% - Accent5 2 9" xfId="395"/>
    <cellStyle name="20% - Accent5 3" xfId="396"/>
    <cellStyle name="20% - Accent5 3 2" xfId="397"/>
    <cellStyle name="20% - Accent5 3 3" xfId="398"/>
    <cellStyle name="20% - Accent5 4" xfId="399"/>
    <cellStyle name="20% - Accent6" xfId="46" builtinId="50" customBuiltin="1"/>
    <cellStyle name="20% - Accent6 2" xfId="61"/>
    <cellStyle name="20% - Accent6 2 10" xfId="400"/>
    <cellStyle name="20% - Accent6 2 11" xfId="401"/>
    <cellStyle name="20% - Accent6 2 12" xfId="402"/>
    <cellStyle name="20% - Accent6 2 13" xfId="403"/>
    <cellStyle name="20% - Accent6 2 14" xfId="404"/>
    <cellStyle name="20% - Accent6 2 15" xfId="405"/>
    <cellStyle name="20% - Accent6 2 16" xfId="406"/>
    <cellStyle name="20% - Accent6 2 17" xfId="407"/>
    <cellStyle name="20% - Accent6 2 18" xfId="408"/>
    <cellStyle name="20% - Accent6 2 19" xfId="409"/>
    <cellStyle name="20% - Accent6 2 2" xfId="410"/>
    <cellStyle name="20% - Accent6 2 2 2" xfId="411"/>
    <cellStyle name="20% - Accent6 2 2 2 2" xfId="412"/>
    <cellStyle name="20% - Accent6 2 2 2 3" xfId="413"/>
    <cellStyle name="20% - Accent6 2 2 2 4" xfId="414"/>
    <cellStyle name="20% - Accent6 2 2 3" xfId="415"/>
    <cellStyle name="20% - Accent6 2 2 3 2" xfId="416"/>
    <cellStyle name="20% - Accent6 2 2 3 3" xfId="417"/>
    <cellStyle name="20% - Accent6 2 2 4" xfId="418"/>
    <cellStyle name="20% - Accent6 2 3" xfId="419"/>
    <cellStyle name="20% - Accent6 2 3 2" xfId="420"/>
    <cellStyle name="20% - Accent6 2 3 3" xfId="421"/>
    <cellStyle name="20% - Accent6 2 4" xfId="422"/>
    <cellStyle name="20% - Accent6 2 5" xfId="423"/>
    <cellStyle name="20% - Accent6 2 6" xfId="424"/>
    <cellStyle name="20% - Accent6 2 7" xfId="425"/>
    <cellStyle name="20% - Accent6 2 8" xfId="426"/>
    <cellStyle name="20% - Accent6 2 9" xfId="427"/>
    <cellStyle name="20% - Accent6 3" xfId="428"/>
    <cellStyle name="20% - Accent6 3 2" xfId="429"/>
    <cellStyle name="20% - Accent6 3 3" xfId="430"/>
    <cellStyle name="20% - Accent6 4" xfId="431"/>
    <cellStyle name="20% - Énfasis1" xfId="432"/>
    <cellStyle name="20% - Énfasis2" xfId="433"/>
    <cellStyle name="20% - Énfasis3" xfId="434"/>
    <cellStyle name="20% - Énfasis4" xfId="435"/>
    <cellStyle name="20% - Énfasis5" xfId="436"/>
    <cellStyle name="20% - Énfasis6" xfId="437"/>
    <cellStyle name="2x indented GHG Textfiels" xfId="62"/>
    <cellStyle name="40% - Accent1" xfId="27" builtinId="31" customBuiltin="1"/>
    <cellStyle name="40% - Accent1 2" xfId="63"/>
    <cellStyle name="40% - Accent1 2 10" xfId="438"/>
    <cellStyle name="40% - Accent1 2 11" xfId="439"/>
    <cellStyle name="40% - Accent1 2 12" xfId="440"/>
    <cellStyle name="40% - Accent1 2 13" xfId="441"/>
    <cellStyle name="40% - Accent1 2 14" xfId="442"/>
    <cellStyle name="40% - Accent1 2 15" xfId="443"/>
    <cellStyle name="40% - Accent1 2 16" xfId="444"/>
    <cellStyle name="40% - Accent1 2 17" xfId="445"/>
    <cellStyle name="40% - Accent1 2 18" xfId="446"/>
    <cellStyle name="40% - Accent1 2 19" xfId="447"/>
    <cellStyle name="40% - Accent1 2 2" xfId="448"/>
    <cellStyle name="40% - Accent1 2 2 2" xfId="449"/>
    <cellStyle name="40% - Accent1 2 2 2 2" xfId="450"/>
    <cellStyle name="40% - Accent1 2 2 2 3" xfId="451"/>
    <cellStyle name="40% - Accent1 2 2 2 4" xfId="452"/>
    <cellStyle name="40% - Accent1 2 2 3" xfId="453"/>
    <cellStyle name="40% - Accent1 2 2 3 2" xfId="454"/>
    <cellStyle name="40% - Accent1 2 2 3 3" xfId="455"/>
    <cellStyle name="40% - Accent1 2 2 4" xfId="456"/>
    <cellStyle name="40% - Accent1 2 3" xfId="457"/>
    <cellStyle name="40% - Accent1 2 3 2" xfId="458"/>
    <cellStyle name="40% - Accent1 2 3 3" xfId="459"/>
    <cellStyle name="40% - Accent1 2 4" xfId="460"/>
    <cellStyle name="40% - Accent1 2 5" xfId="461"/>
    <cellStyle name="40% - Accent1 2 6" xfId="462"/>
    <cellStyle name="40% - Accent1 2 7" xfId="463"/>
    <cellStyle name="40% - Accent1 2 8" xfId="464"/>
    <cellStyle name="40% - Accent1 2 9" xfId="465"/>
    <cellStyle name="40% - Accent1 3" xfId="466"/>
    <cellStyle name="40% - Accent1 3 2" xfId="467"/>
    <cellStyle name="40% - Accent1 3 3" xfId="468"/>
    <cellStyle name="40% - Accent1 4" xfId="469"/>
    <cellStyle name="40% - Accent2" xfId="31" builtinId="35" customBuiltin="1"/>
    <cellStyle name="40% - Accent2 2" xfId="64"/>
    <cellStyle name="40% - Accent2 2 10" xfId="470"/>
    <cellStyle name="40% - Accent2 2 11" xfId="471"/>
    <cellStyle name="40% - Accent2 2 12" xfId="472"/>
    <cellStyle name="40% - Accent2 2 13" xfId="473"/>
    <cellStyle name="40% - Accent2 2 14" xfId="474"/>
    <cellStyle name="40% - Accent2 2 15" xfId="475"/>
    <cellStyle name="40% - Accent2 2 16" xfId="476"/>
    <cellStyle name="40% - Accent2 2 17" xfId="477"/>
    <cellStyle name="40% - Accent2 2 18" xfId="478"/>
    <cellStyle name="40% - Accent2 2 19" xfId="479"/>
    <cellStyle name="40% - Accent2 2 2" xfId="480"/>
    <cellStyle name="40% - Accent2 2 2 2" xfId="481"/>
    <cellStyle name="40% - Accent2 2 2 2 2" xfId="482"/>
    <cellStyle name="40% - Accent2 2 2 2 3" xfId="483"/>
    <cellStyle name="40% - Accent2 2 2 2 4" xfId="484"/>
    <cellStyle name="40% - Accent2 2 2 3" xfId="485"/>
    <cellStyle name="40% - Accent2 2 2 3 2" xfId="486"/>
    <cellStyle name="40% - Accent2 2 2 3 3" xfId="487"/>
    <cellStyle name="40% - Accent2 2 2 4" xfId="488"/>
    <cellStyle name="40% - Accent2 2 3" xfId="489"/>
    <cellStyle name="40% - Accent2 2 3 2" xfId="490"/>
    <cellStyle name="40% - Accent2 2 3 3" xfId="491"/>
    <cellStyle name="40% - Accent2 2 4" xfId="492"/>
    <cellStyle name="40% - Accent2 2 5" xfId="493"/>
    <cellStyle name="40% - Accent2 2 6" xfId="494"/>
    <cellStyle name="40% - Accent2 2 7" xfId="495"/>
    <cellStyle name="40% - Accent2 2 8" xfId="496"/>
    <cellStyle name="40% - Accent2 2 9" xfId="497"/>
    <cellStyle name="40% - Accent2 3" xfId="498"/>
    <cellStyle name="40% - Accent2 3 2" xfId="499"/>
    <cellStyle name="40% - Accent2 3 3" xfId="500"/>
    <cellStyle name="40% - Accent2 4" xfId="501"/>
    <cellStyle name="40% - Accent3" xfId="35" builtinId="39" customBuiltin="1"/>
    <cellStyle name="40% - Accent3 2" xfId="65"/>
    <cellStyle name="40% - Accent3 2 10" xfId="502"/>
    <cellStyle name="40% - Accent3 2 11" xfId="503"/>
    <cellStyle name="40% - Accent3 2 12" xfId="504"/>
    <cellStyle name="40% - Accent3 2 13" xfId="505"/>
    <cellStyle name="40% - Accent3 2 14" xfId="506"/>
    <cellStyle name="40% - Accent3 2 15" xfId="507"/>
    <cellStyle name="40% - Accent3 2 16" xfId="508"/>
    <cellStyle name="40% - Accent3 2 17" xfId="509"/>
    <cellStyle name="40% - Accent3 2 18" xfId="510"/>
    <cellStyle name="40% - Accent3 2 19" xfId="511"/>
    <cellStyle name="40% - Accent3 2 2" xfId="512"/>
    <cellStyle name="40% - Accent3 2 2 2" xfId="513"/>
    <cellStyle name="40% - Accent3 2 2 2 2" xfId="514"/>
    <cellStyle name="40% - Accent3 2 2 2 3" xfId="515"/>
    <cellStyle name="40% - Accent3 2 2 2 4" xfId="516"/>
    <cellStyle name="40% - Accent3 2 2 3" xfId="517"/>
    <cellStyle name="40% - Accent3 2 2 3 2" xfId="518"/>
    <cellStyle name="40% - Accent3 2 2 3 3" xfId="519"/>
    <cellStyle name="40% - Accent3 2 2 4" xfId="520"/>
    <cellStyle name="40% - Accent3 2 3" xfId="521"/>
    <cellStyle name="40% - Accent3 2 3 2" xfId="522"/>
    <cellStyle name="40% - Accent3 2 3 3" xfId="523"/>
    <cellStyle name="40% - Accent3 2 4" xfId="524"/>
    <cellStyle name="40% - Accent3 2 5" xfId="525"/>
    <cellStyle name="40% - Accent3 2 6" xfId="526"/>
    <cellStyle name="40% - Accent3 2 7" xfId="527"/>
    <cellStyle name="40% - Accent3 2 8" xfId="528"/>
    <cellStyle name="40% - Accent3 2 9" xfId="529"/>
    <cellStyle name="40% - Accent3 3" xfId="530"/>
    <cellStyle name="40% - Accent3 3 2" xfId="531"/>
    <cellStyle name="40% - Accent3 3 3" xfId="532"/>
    <cellStyle name="40% - Accent3 4" xfId="533"/>
    <cellStyle name="40% - Accent4" xfId="39" builtinId="43" customBuiltin="1"/>
    <cellStyle name="40% - Accent4 2" xfId="66"/>
    <cellStyle name="40% - Accent4 2 10" xfId="534"/>
    <cellStyle name="40% - Accent4 2 11" xfId="535"/>
    <cellStyle name="40% - Accent4 2 12" xfId="536"/>
    <cellStyle name="40% - Accent4 2 13" xfId="537"/>
    <cellStyle name="40% - Accent4 2 14" xfId="538"/>
    <cellStyle name="40% - Accent4 2 15" xfId="539"/>
    <cellStyle name="40% - Accent4 2 16" xfId="540"/>
    <cellStyle name="40% - Accent4 2 17" xfId="541"/>
    <cellStyle name="40% - Accent4 2 18" xfId="542"/>
    <cellStyle name="40% - Accent4 2 19" xfId="543"/>
    <cellStyle name="40% - Accent4 2 2" xfId="544"/>
    <cellStyle name="40% - Accent4 2 2 2" xfId="545"/>
    <cellStyle name="40% - Accent4 2 2 2 2" xfId="546"/>
    <cellStyle name="40% - Accent4 2 2 2 3" xfId="547"/>
    <cellStyle name="40% - Accent4 2 2 2 4" xfId="548"/>
    <cellStyle name="40% - Accent4 2 2 3" xfId="549"/>
    <cellStyle name="40% - Accent4 2 2 3 2" xfId="550"/>
    <cellStyle name="40% - Accent4 2 2 3 3" xfId="551"/>
    <cellStyle name="40% - Accent4 2 2 4" xfId="552"/>
    <cellStyle name="40% - Accent4 2 3" xfId="553"/>
    <cellStyle name="40% - Accent4 2 3 2" xfId="554"/>
    <cellStyle name="40% - Accent4 2 3 3" xfId="555"/>
    <cellStyle name="40% - Accent4 2 4" xfId="556"/>
    <cellStyle name="40% - Accent4 2 5" xfId="557"/>
    <cellStyle name="40% - Accent4 2 6" xfId="558"/>
    <cellStyle name="40% - Accent4 2 7" xfId="559"/>
    <cellStyle name="40% - Accent4 2 8" xfId="560"/>
    <cellStyle name="40% - Accent4 2 9" xfId="561"/>
    <cellStyle name="40% - Accent4 3" xfId="562"/>
    <cellStyle name="40% - Accent4 3 2" xfId="563"/>
    <cellStyle name="40% - Accent4 3 3" xfId="564"/>
    <cellStyle name="40% - Accent4 4" xfId="565"/>
    <cellStyle name="40% - Accent5" xfId="43" builtinId="47" customBuiltin="1"/>
    <cellStyle name="40% - Accent5 2" xfId="67"/>
    <cellStyle name="40% - Accent5 2 10" xfId="566"/>
    <cellStyle name="40% - Accent5 2 11" xfId="567"/>
    <cellStyle name="40% - Accent5 2 12" xfId="568"/>
    <cellStyle name="40% - Accent5 2 13" xfId="569"/>
    <cellStyle name="40% - Accent5 2 14" xfId="570"/>
    <cellStyle name="40% - Accent5 2 15" xfId="571"/>
    <cellStyle name="40% - Accent5 2 16" xfId="572"/>
    <cellStyle name="40% - Accent5 2 17" xfId="573"/>
    <cellStyle name="40% - Accent5 2 18" xfId="574"/>
    <cellStyle name="40% - Accent5 2 19" xfId="575"/>
    <cellStyle name="40% - Accent5 2 2" xfId="576"/>
    <cellStyle name="40% - Accent5 2 2 2" xfId="577"/>
    <cellStyle name="40% - Accent5 2 2 2 2" xfId="578"/>
    <cellStyle name="40% - Accent5 2 2 2 3" xfId="579"/>
    <cellStyle name="40% - Accent5 2 2 2 4" xfId="580"/>
    <cellStyle name="40% - Accent5 2 2 3" xfId="581"/>
    <cellStyle name="40% - Accent5 2 2 3 2" xfId="582"/>
    <cellStyle name="40% - Accent5 2 2 3 3" xfId="583"/>
    <cellStyle name="40% - Accent5 2 2 4" xfId="584"/>
    <cellStyle name="40% - Accent5 2 3" xfId="585"/>
    <cellStyle name="40% - Accent5 2 3 2" xfId="586"/>
    <cellStyle name="40% - Accent5 2 3 3" xfId="587"/>
    <cellStyle name="40% - Accent5 2 4" xfId="588"/>
    <cellStyle name="40% - Accent5 2 5" xfId="589"/>
    <cellStyle name="40% - Accent5 2 6" xfId="590"/>
    <cellStyle name="40% - Accent5 2 7" xfId="591"/>
    <cellStyle name="40% - Accent5 2 8" xfId="592"/>
    <cellStyle name="40% - Accent5 2 9" xfId="593"/>
    <cellStyle name="40% - Accent5 3" xfId="594"/>
    <cellStyle name="40% - Accent5 3 2" xfId="595"/>
    <cellStyle name="40% - Accent5 3 3" xfId="596"/>
    <cellStyle name="40% - Accent5 4" xfId="597"/>
    <cellStyle name="40% - Accent6" xfId="47" builtinId="51" customBuiltin="1"/>
    <cellStyle name="40% - Accent6 2" xfId="68"/>
    <cellStyle name="40% - Accent6 2 10" xfId="598"/>
    <cellStyle name="40% - Accent6 2 11" xfId="599"/>
    <cellStyle name="40% - Accent6 2 12" xfId="600"/>
    <cellStyle name="40% - Accent6 2 13" xfId="601"/>
    <cellStyle name="40% - Accent6 2 14" xfId="602"/>
    <cellStyle name="40% - Accent6 2 15" xfId="603"/>
    <cellStyle name="40% - Accent6 2 16" xfId="604"/>
    <cellStyle name="40% - Accent6 2 17" xfId="605"/>
    <cellStyle name="40% - Accent6 2 18" xfId="606"/>
    <cellStyle name="40% - Accent6 2 19" xfId="607"/>
    <cellStyle name="40% - Accent6 2 2" xfId="608"/>
    <cellStyle name="40% - Accent6 2 2 2" xfId="609"/>
    <cellStyle name="40% - Accent6 2 2 2 2" xfId="610"/>
    <cellStyle name="40% - Accent6 2 2 2 3" xfId="611"/>
    <cellStyle name="40% - Accent6 2 2 2 4" xfId="612"/>
    <cellStyle name="40% - Accent6 2 2 3" xfId="613"/>
    <cellStyle name="40% - Accent6 2 2 3 2" xfId="614"/>
    <cellStyle name="40% - Accent6 2 2 3 3" xfId="615"/>
    <cellStyle name="40% - Accent6 2 2 4" xfId="616"/>
    <cellStyle name="40% - Accent6 2 3" xfId="617"/>
    <cellStyle name="40% - Accent6 2 3 2" xfId="618"/>
    <cellStyle name="40% - Accent6 2 3 3" xfId="619"/>
    <cellStyle name="40% - Accent6 2 4" xfId="620"/>
    <cellStyle name="40% - Accent6 2 5" xfId="621"/>
    <cellStyle name="40% - Accent6 2 6" xfId="622"/>
    <cellStyle name="40% - Accent6 2 7" xfId="623"/>
    <cellStyle name="40% - Accent6 2 8" xfId="624"/>
    <cellStyle name="40% - Accent6 2 9" xfId="625"/>
    <cellStyle name="40% - Accent6 3" xfId="626"/>
    <cellStyle name="40% - Accent6 3 2" xfId="627"/>
    <cellStyle name="40% - Accent6 3 3" xfId="628"/>
    <cellStyle name="40% - Accent6 4" xfId="629"/>
    <cellStyle name="40% - Énfasis1" xfId="630"/>
    <cellStyle name="40% - Énfasis2" xfId="631"/>
    <cellStyle name="40% - Énfasis3" xfId="632"/>
    <cellStyle name="40% - Énfasis4" xfId="633"/>
    <cellStyle name="40% - Énfasis5" xfId="634"/>
    <cellStyle name="40% - Énfasis6" xfId="635"/>
    <cellStyle name="5x indented GHG Textfiels" xfId="69"/>
    <cellStyle name="60% - Accent1" xfId="28" builtinId="32" customBuiltin="1"/>
    <cellStyle name="60% - Accent1 2" xfId="70"/>
    <cellStyle name="60% - Accent1 2 10" xfId="636"/>
    <cellStyle name="60% - Accent1 2 11" xfId="637"/>
    <cellStyle name="60% - Accent1 2 12" xfId="638"/>
    <cellStyle name="60% - Accent1 2 13" xfId="639"/>
    <cellStyle name="60% - Accent1 2 14" xfId="640"/>
    <cellStyle name="60% - Accent1 2 15" xfId="641"/>
    <cellStyle name="60% - Accent1 2 16" xfId="642"/>
    <cellStyle name="60% - Accent1 2 17" xfId="643"/>
    <cellStyle name="60% - Accent1 2 2" xfId="644"/>
    <cellStyle name="60% - Accent1 2 2 2" xfId="645"/>
    <cellStyle name="60% - Accent1 2 2 2 2" xfId="646"/>
    <cellStyle name="60% - Accent1 2 2 2 3" xfId="647"/>
    <cellStyle name="60% - Accent1 2 2 3" xfId="648"/>
    <cellStyle name="60% - Accent1 2 2 4" xfId="649"/>
    <cellStyle name="60% - Accent1 2 3" xfId="650"/>
    <cellStyle name="60% - Accent1 2 4" xfId="651"/>
    <cellStyle name="60% - Accent1 2 5" xfId="652"/>
    <cellStyle name="60% - Accent1 2 6" xfId="653"/>
    <cellStyle name="60% - Accent1 2 7" xfId="654"/>
    <cellStyle name="60% - Accent1 2 8" xfId="655"/>
    <cellStyle name="60% - Accent1 2 9" xfId="656"/>
    <cellStyle name="60% - Accent1 3" xfId="657"/>
    <cellStyle name="60% - Accent1 3 2" xfId="658"/>
    <cellStyle name="60% - Accent1 3 3" xfId="659"/>
    <cellStyle name="60% - Accent1 4" xfId="660"/>
    <cellStyle name="60% - Accent2" xfId="32" builtinId="36" customBuiltin="1"/>
    <cellStyle name="60% - Accent2 2" xfId="71"/>
    <cellStyle name="60% - Accent2 2 10" xfId="661"/>
    <cellStyle name="60% - Accent2 2 11" xfId="662"/>
    <cellStyle name="60% - Accent2 2 12" xfId="663"/>
    <cellStyle name="60% - Accent2 2 13" xfId="664"/>
    <cellStyle name="60% - Accent2 2 14" xfId="665"/>
    <cellStyle name="60% - Accent2 2 15" xfId="666"/>
    <cellStyle name="60% - Accent2 2 16" xfId="667"/>
    <cellStyle name="60% - Accent2 2 17" xfId="668"/>
    <cellStyle name="60% - Accent2 2 2" xfId="669"/>
    <cellStyle name="60% - Accent2 2 2 2" xfId="670"/>
    <cellStyle name="60% - Accent2 2 2 2 2" xfId="671"/>
    <cellStyle name="60% - Accent2 2 2 2 3" xfId="672"/>
    <cellStyle name="60% - Accent2 2 2 3" xfId="673"/>
    <cellStyle name="60% - Accent2 2 2 4" xfId="674"/>
    <cellStyle name="60% - Accent2 2 3" xfId="675"/>
    <cellStyle name="60% - Accent2 2 4" xfId="676"/>
    <cellStyle name="60% - Accent2 2 5" xfId="677"/>
    <cellStyle name="60% - Accent2 2 6" xfId="678"/>
    <cellStyle name="60% - Accent2 2 7" xfId="679"/>
    <cellStyle name="60% - Accent2 2 8" xfId="680"/>
    <cellStyle name="60% - Accent2 2 9" xfId="681"/>
    <cellStyle name="60% - Accent2 3" xfId="682"/>
    <cellStyle name="60% - Accent2 3 2" xfId="683"/>
    <cellStyle name="60% - Accent2 3 3" xfId="684"/>
    <cellStyle name="60% - Accent2 4" xfId="685"/>
    <cellStyle name="60% - Accent3" xfId="36" builtinId="40" customBuiltin="1"/>
    <cellStyle name="60% - Accent3 2" xfId="72"/>
    <cellStyle name="60% - Accent3 2 10" xfId="686"/>
    <cellStyle name="60% - Accent3 2 11" xfId="687"/>
    <cellStyle name="60% - Accent3 2 12" xfId="688"/>
    <cellStyle name="60% - Accent3 2 13" xfId="689"/>
    <cellStyle name="60% - Accent3 2 14" xfId="690"/>
    <cellStyle name="60% - Accent3 2 15" xfId="691"/>
    <cellStyle name="60% - Accent3 2 16" xfId="692"/>
    <cellStyle name="60% - Accent3 2 17" xfId="693"/>
    <cellStyle name="60% - Accent3 2 2" xfId="694"/>
    <cellStyle name="60% - Accent3 2 2 2" xfId="695"/>
    <cellStyle name="60% - Accent3 2 2 2 2" xfId="696"/>
    <cellStyle name="60% - Accent3 2 2 2 3" xfId="697"/>
    <cellStyle name="60% - Accent3 2 2 3" xfId="698"/>
    <cellStyle name="60% - Accent3 2 2 4" xfId="699"/>
    <cellStyle name="60% - Accent3 2 3" xfId="700"/>
    <cellStyle name="60% - Accent3 2 4" xfId="701"/>
    <cellStyle name="60% - Accent3 2 5" xfId="702"/>
    <cellStyle name="60% - Accent3 2 6" xfId="703"/>
    <cellStyle name="60% - Accent3 2 7" xfId="704"/>
    <cellStyle name="60% - Accent3 2 8" xfId="705"/>
    <cellStyle name="60% - Accent3 2 9" xfId="706"/>
    <cellStyle name="60% - Accent3 3" xfId="707"/>
    <cellStyle name="60% - Accent3 3 2" xfId="708"/>
    <cellStyle name="60% - Accent3 3 3" xfId="709"/>
    <cellStyle name="60% - Accent3 4" xfId="710"/>
    <cellStyle name="60% - Accent4" xfId="40" builtinId="44" customBuiltin="1"/>
    <cellStyle name="60% - Accent4 2" xfId="73"/>
    <cellStyle name="60% - Accent4 2 10" xfId="711"/>
    <cellStyle name="60% - Accent4 2 11" xfId="712"/>
    <cellStyle name="60% - Accent4 2 12" xfId="713"/>
    <cellStyle name="60% - Accent4 2 13" xfId="714"/>
    <cellStyle name="60% - Accent4 2 14" xfId="715"/>
    <cellStyle name="60% - Accent4 2 15" xfId="716"/>
    <cellStyle name="60% - Accent4 2 16" xfId="717"/>
    <cellStyle name="60% - Accent4 2 17" xfId="718"/>
    <cellStyle name="60% - Accent4 2 2" xfId="719"/>
    <cellStyle name="60% - Accent4 2 2 2" xfId="720"/>
    <cellStyle name="60% - Accent4 2 2 2 2" xfId="721"/>
    <cellStyle name="60% - Accent4 2 2 2 3" xfId="722"/>
    <cellStyle name="60% - Accent4 2 2 3" xfId="723"/>
    <cellStyle name="60% - Accent4 2 2 4" xfId="724"/>
    <cellStyle name="60% - Accent4 2 3" xfId="725"/>
    <cellStyle name="60% - Accent4 2 4" xfId="726"/>
    <cellStyle name="60% - Accent4 2 5" xfId="727"/>
    <cellStyle name="60% - Accent4 2 6" xfId="728"/>
    <cellStyle name="60% - Accent4 2 7" xfId="729"/>
    <cellStyle name="60% - Accent4 2 8" xfId="730"/>
    <cellStyle name="60% - Accent4 2 9" xfId="731"/>
    <cellStyle name="60% - Accent4 3" xfId="732"/>
    <cellStyle name="60% - Accent4 3 2" xfId="733"/>
    <cellStyle name="60% - Accent4 3 3" xfId="734"/>
    <cellStyle name="60% - Accent4 4" xfId="735"/>
    <cellStyle name="60% - Accent5" xfId="44" builtinId="48" customBuiltin="1"/>
    <cellStyle name="60% - Accent5 2" xfId="74"/>
    <cellStyle name="60% - Accent5 2 10" xfId="736"/>
    <cellStyle name="60% - Accent5 2 11" xfId="737"/>
    <cellStyle name="60% - Accent5 2 12" xfId="738"/>
    <cellStyle name="60% - Accent5 2 13" xfId="739"/>
    <cellStyle name="60% - Accent5 2 14" xfId="740"/>
    <cellStyle name="60% - Accent5 2 15" xfId="741"/>
    <cellStyle name="60% - Accent5 2 16" xfId="742"/>
    <cellStyle name="60% - Accent5 2 17" xfId="743"/>
    <cellStyle name="60% - Accent5 2 2" xfId="744"/>
    <cellStyle name="60% - Accent5 2 2 2" xfId="745"/>
    <cellStyle name="60% - Accent5 2 2 2 2" xfId="746"/>
    <cellStyle name="60% - Accent5 2 2 2 3" xfId="747"/>
    <cellStyle name="60% - Accent5 2 2 3" xfId="748"/>
    <cellStyle name="60% - Accent5 2 2 4" xfId="749"/>
    <cellStyle name="60% - Accent5 2 3" xfId="750"/>
    <cellStyle name="60% - Accent5 2 4" xfId="751"/>
    <cellStyle name="60% - Accent5 2 5" xfId="752"/>
    <cellStyle name="60% - Accent5 2 6" xfId="753"/>
    <cellStyle name="60% - Accent5 2 7" xfId="754"/>
    <cellStyle name="60% - Accent5 2 8" xfId="755"/>
    <cellStyle name="60% - Accent5 2 9" xfId="756"/>
    <cellStyle name="60% - Accent5 3" xfId="757"/>
    <cellStyle name="60% - Accent5 3 2" xfId="758"/>
    <cellStyle name="60% - Accent5 3 3" xfId="759"/>
    <cellStyle name="60% - Accent5 4" xfId="760"/>
    <cellStyle name="60% - Accent6" xfId="48" builtinId="52" customBuiltin="1"/>
    <cellStyle name="60% - Accent6 2" xfId="75"/>
    <cellStyle name="60% - Accent6 2 10" xfId="761"/>
    <cellStyle name="60% - Accent6 2 11" xfId="762"/>
    <cellStyle name="60% - Accent6 2 12" xfId="763"/>
    <cellStyle name="60% - Accent6 2 13" xfId="764"/>
    <cellStyle name="60% - Accent6 2 14" xfId="765"/>
    <cellStyle name="60% - Accent6 2 15" xfId="766"/>
    <cellStyle name="60% - Accent6 2 16" xfId="767"/>
    <cellStyle name="60% - Accent6 2 17" xfId="768"/>
    <cellStyle name="60% - Accent6 2 2" xfId="769"/>
    <cellStyle name="60% - Accent6 2 2 2" xfId="770"/>
    <cellStyle name="60% - Accent6 2 2 2 2" xfId="771"/>
    <cellStyle name="60% - Accent6 2 2 2 3" xfId="772"/>
    <cellStyle name="60% - Accent6 2 2 3" xfId="773"/>
    <cellStyle name="60% - Accent6 2 2 4" xfId="774"/>
    <cellStyle name="60% - Accent6 2 3" xfId="775"/>
    <cellStyle name="60% - Accent6 2 4" xfId="776"/>
    <cellStyle name="60% - Accent6 2 5" xfId="777"/>
    <cellStyle name="60% - Accent6 2 6" xfId="778"/>
    <cellStyle name="60% - Accent6 2 7" xfId="779"/>
    <cellStyle name="60% - Accent6 2 8" xfId="780"/>
    <cellStyle name="60% - Accent6 2 9" xfId="781"/>
    <cellStyle name="60% - Accent6 3" xfId="782"/>
    <cellStyle name="60% - Accent6 3 2" xfId="783"/>
    <cellStyle name="60% - Accent6 3 3" xfId="784"/>
    <cellStyle name="60% - Accent6 4" xfId="785"/>
    <cellStyle name="60% - Énfasis1" xfId="786"/>
    <cellStyle name="60% - Énfasis2" xfId="787"/>
    <cellStyle name="60% - Énfasis3" xfId="788"/>
    <cellStyle name="60% - Énfasis4" xfId="789"/>
    <cellStyle name="60% - Énfasis5" xfId="790"/>
    <cellStyle name="60% - Énfasis6" xfId="791"/>
    <cellStyle name="Accent1" xfId="25" builtinId="29" customBuiltin="1"/>
    <cellStyle name="Accent1 2" xfId="76"/>
    <cellStyle name="Accent1 2 10" xfId="792"/>
    <cellStyle name="Accent1 2 11" xfId="793"/>
    <cellStyle name="Accent1 2 12" xfId="794"/>
    <cellStyle name="Accent1 2 13" xfId="795"/>
    <cellStyle name="Accent1 2 14" xfId="796"/>
    <cellStyle name="Accent1 2 15" xfId="797"/>
    <cellStyle name="Accent1 2 16" xfId="798"/>
    <cellStyle name="Accent1 2 17" xfId="799"/>
    <cellStyle name="Accent1 2 2" xfId="800"/>
    <cellStyle name="Accent1 2 2 2" xfId="801"/>
    <cellStyle name="Accent1 2 2 2 2" xfId="802"/>
    <cellStyle name="Accent1 2 2 2 3" xfId="803"/>
    <cellStyle name="Accent1 2 2 3" xfId="804"/>
    <cellStyle name="Accent1 2 2 4" xfId="805"/>
    <cellStyle name="Accent1 2 3" xfId="806"/>
    <cellStyle name="Accent1 2 4" xfId="807"/>
    <cellStyle name="Accent1 2 5" xfId="808"/>
    <cellStyle name="Accent1 2 6" xfId="809"/>
    <cellStyle name="Accent1 2 7" xfId="810"/>
    <cellStyle name="Accent1 2 8" xfId="811"/>
    <cellStyle name="Accent1 2 9" xfId="812"/>
    <cellStyle name="Accent1 3" xfId="813"/>
    <cellStyle name="Accent1 3 2" xfId="814"/>
    <cellStyle name="Accent1 3 3" xfId="815"/>
    <cellStyle name="Accent1 4" xfId="816"/>
    <cellStyle name="Accent2" xfId="29" builtinId="33" customBuiltin="1"/>
    <cellStyle name="Accent2 2" xfId="77"/>
    <cellStyle name="Accent2 2 10" xfId="817"/>
    <cellStyle name="Accent2 2 11" xfId="818"/>
    <cellStyle name="Accent2 2 12" xfId="819"/>
    <cellStyle name="Accent2 2 13" xfId="820"/>
    <cellStyle name="Accent2 2 14" xfId="821"/>
    <cellStyle name="Accent2 2 15" xfId="822"/>
    <cellStyle name="Accent2 2 16" xfId="823"/>
    <cellStyle name="Accent2 2 17" xfId="824"/>
    <cellStyle name="Accent2 2 2" xfId="825"/>
    <cellStyle name="Accent2 2 2 2" xfId="826"/>
    <cellStyle name="Accent2 2 2 2 2" xfId="827"/>
    <cellStyle name="Accent2 2 2 2 3" xfId="828"/>
    <cellStyle name="Accent2 2 2 3" xfId="829"/>
    <cellStyle name="Accent2 2 2 4" xfId="830"/>
    <cellStyle name="Accent2 2 3" xfId="831"/>
    <cellStyle name="Accent2 2 4" xfId="832"/>
    <cellStyle name="Accent2 2 5" xfId="833"/>
    <cellStyle name="Accent2 2 6" xfId="834"/>
    <cellStyle name="Accent2 2 7" xfId="835"/>
    <cellStyle name="Accent2 2 8" xfId="836"/>
    <cellStyle name="Accent2 2 9" xfId="837"/>
    <cellStyle name="Accent2 3" xfId="838"/>
    <cellStyle name="Accent2 3 2" xfId="839"/>
    <cellStyle name="Accent2 3 3" xfId="840"/>
    <cellStyle name="Accent2 4" xfId="841"/>
    <cellStyle name="Accent3" xfId="33" builtinId="37" customBuiltin="1"/>
    <cellStyle name="Accent3 2" xfId="78"/>
    <cellStyle name="Accent3 2 10" xfId="842"/>
    <cellStyle name="Accent3 2 11" xfId="843"/>
    <cellStyle name="Accent3 2 12" xfId="844"/>
    <cellStyle name="Accent3 2 13" xfId="845"/>
    <cellStyle name="Accent3 2 14" xfId="846"/>
    <cellStyle name="Accent3 2 15" xfId="847"/>
    <cellStyle name="Accent3 2 16" xfId="848"/>
    <cellStyle name="Accent3 2 17" xfId="849"/>
    <cellStyle name="Accent3 2 2" xfId="850"/>
    <cellStyle name="Accent3 2 2 2" xfId="851"/>
    <cellStyle name="Accent3 2 2 2 2" xfId="852"/>
    <cellStyle name="Accent3 2 2 2 3" xfId="853"/>
    <cellStyle name="Accent3 2 2 3" xfId="854"/>
    <cellStyle name="Accent3 2 2 4" xfId="855"/>
    <cellStyle name="Accent3 2 3" xfId="856"/>
    <cellStyle name="Accent3 2 4" xfId="857"/>
    <cellStyle name="Accent3 2 5" xfId="858"/>
    <cellStyle name="Accent3 2 6" xfId="859"/>
    <cellStyle name="Accent3 2 7" xfId="860"/>
    <cellStyle name="Accent3 2 8" xfId="861"/>
    <cellStyle name="Accent3 2 9" xfId="862"/>
    <cellStyle name="Accent3 3" xfId="863"/>
    <cellStyle name="Accent3 3 2" xfId="864"/>
    <cellStyle name="Accent3 3 3" xfId="865"/>
    <cellStyle name="Accent3 4" xfId="866"/>
    <cellStyle name="Accent4" xfId="37" builtinId="41" customBuiltin="1"/>
    <cellStyle name="Accent4 2" xfId="79"/>
    <cellStyle name="Accent4 2 10" xfId="867"/>
    <cellStyle name="Accent4 2 11" xfId="868"/>
    <cellStyle name="Accent4 2 12" xfId="869"/>
    <cellStyle name="Accent4 2 13" xfId="870"/>
    <cellStyle name="Accent4 2 14" xfId="871"/>
    <cellStyle name="Accent4 2 15" xfId="872"/>
    <cellStyle name="Accent4 2 16" xfId="873"/>
    <cellStyle name="Accent4 2 17" xfId="874"/>
    <cellStyle name="Accent4 2 2" xfId="875"/>
    <cellStyle name="Accent4 2 2 2" xfId="876"/>
    <cellStyle name="Accent4 2 2 2 2" xfId="877"/>
    <cellStyle name="Accent4 2 2 2 3" xfId="878"/>
    <cellStyle name="Accent4 2 2 3" xfId="879"/>
    <cellStyle name="Accent4 2 2 4" xfId="880"/>
    <cellStyle name="Accent4 2 3" xfId="881"/>
    <cellStyle name="Accent4 2 4" xfId="882"/>
    <cellStyle name="Accent4 2 5" xfId="883"/>
    <cellStyle name="Accent4 2 6" xfId="884"/>
    <cellStyle name="Accent4 2 7" xfId="885"/>
    <cellStyle name="Accent4 2 8" xfId="886"/>
    <cellStyle name="Accent4 2 9" xfId="887"/>
    <cellStyle name="Accent4 3" xfId="888"/>
    <cellStyle name="Accent4 3 2" xfId="889"/>
    <cellStyle name="Accent4 3 3" xfId="890"/>
    <cellStyle name="Accent4 4" xfId="891"/>
    <cellStyle name="Accent5" xfId="41" builtinId="45" customBuiltin="1"/>
    <cellStyle name="Accent5 2" xfId="80"/>
    <cellStyle name="Accent5 2 10" xfId="892"/>
    <cellStyle name="Accent5 2 11" xfId="893"/>
    <cellStyle name="Accent5 2 12" xfId="894"/>
    <cellStyle name="Accent5 2 13" xfId="895"/>
    <cellStyle name="Accent5 2 14" xfId="896"/>
    <cellStyle name="Accent5 2 15" xfId="897"/>
    <cellStyle name="Accent5 2 16" xfId="898"/>
    <cellStyle name="Accent5 2 17" xfId="899"/>
    <cellStyle name="Accent5 2 2" xfId="900"/>
    <cellStyle name="Accent5 2 2 2" xfId="901"/>
    <cellStyle name="Accent5 2 2 2 2" xfId="902"/>
    <cellStyle name="Accent5 2 2 2 3" xfId="903"/>
    <cellStyle name="Accent5 2 2 3" xfId="904"/>
    <cellStyle name="Accent5 2 2 4" xfId="905"/>
    <cellStyle name="Accent5 2 3" xfId="906"/>
    <cellStyle name="Accent5 2 4" xfId="907"/>
    <cellStyle name="Accent5 2 5" xfId="908"/>
    <cellStyle name="Accent5 2 6" xfId="909"/>
    <cellStyle name="Accent5 2 7" xfId="910"/>
    <cellStyle name="Accent5 2 8" xfId="911"/>
    <cellStyle name="Accent5 2 9" xfId="912"/>
    <cellStyle name="Accent5 3" xfId="913"/>
    <cellStyle name="Accent5 3 2" xfId="914"/>
    <cellStyle name="Accent5 3 3" xfId="915"/>
    <cellStyle name="Accent5 4" xfId="916"/>
    <cellStyle name="Accent6" xfId="45" builtinId="49" customBuiltin="1"/>
    <cellStyle name="Accent6 2" xfId="81"/>
    <cellStyle name="Accent6 2 10" xfId="917"/>
    <cellStyle name="Accent6 2 11" xfId="918"/>
    <cellStyle name="Accent6 2 12" xfId="919"/>
    <cellStyle name="Accent6 2 13" xfId="920"/>
    <cellStyle name="Accent6 2 14" xfId="921"/>
    <cellStyle name="Accent6 2 15" xfId="922"/>
    <cellStyle name="Accent6 2 16" xfId="923"/>
    <cellStyle name="Accent6 2 17" xfId="924"/>
    <cellStyle name="Accent6 2 2" xfId="925"/>
    <cellStyle name="Accent6 2 2 2" xfId="926"/>
    <cellStyle name="Accent6 2 2 2 2" xfId="927"/>
    <cellStyle name="Accent6 2 2 2 3" xfId="928"/>
    <cellStyle name="Accent6 2 2 3" xfId="929"/>
    <cellStyle name="Accent6 2 2 4" xfId="930"/>
    <cellStyle name="Accent6 2 3" xfId="931"/>
    <cellStyle name="Accent6 2 4" xfId="932"/>
    <cellStyle name="Accent6 2 5" xfId="933"/>
    <cellStyle name="Accent6 2 6" xfId="934"/>
    <cellStyle name="Accent6 2 7" xfId="935"/>
    <cellStyle name="Accent6 2 8" xfId="936"/>
    <cellStyle name="Accent6 2 9" xfId="937"/>
    <cellStyle name="Accent6 3" xfId="938"/>
    <cellStyle name="Accent6 3 2" xfId="939"/>
    <cellStyle name="Accent6 3 3" xfId="940"/>
    <cellStyle name="Accent6 4" xfId="941"/>
    <cellStyle name="Adjustable" xfId="942"/>
    <cellStyle name="Adjustable 10" xfId="943"/>
    <cellStyle name="Adjustable 11" xfId="944"/>
    <cellStyle name="Adjustable 12" xfId="945"/>
    <cellStyle name="Adjustable 13" xfId="946"/>
    <cellStyle name="Adjustable 14" xfId="947"/>
    <cellStyle name="Adjustable 15" xfId="948"/>
    <cellStyle name="Adjustable 16" xfId="949"/>
    <cellStyle name="Adjustable 17" xfId="950"/>
    <cellStyle name="Adjustable 18" xfId="951"/>
    <cellStyle name="Adjustable 19" xfId="952"/>
    <cellStyle name="Adjustable 2" xfId="953"/>
    <cellStyle name="Adjustable 20" xfId="954"/>
    <cellStyle name="Adjustable 21" xfId="955"/>
    <cellStyle name="Adjustable 22" xfId="956"/>
    <cellStyle name="Adjustable 23" xfId="957"/>
    <cellStyle name="Adjustable 24" xfId="958"/>
    <cellStyle name="Adjustable 3" xfId="959"/>
    <cellStyle name="Adjustable 4" xfId="960"/>
    <cellStyle name="Adjustable 5" xfId="961"/>
    <cellStyle name="Adjustable 6" xfId="962"/>
    <cellStyle name="Adjustable 7" xfId="963"/>
    <cellStyle name="Adjustable 8" xfId="964"/>
    <cellStyle name="Adjustable 9" xfId="965"/>
    <cellStyle name="Andre's Title" xfId="966"/>
    <cellStyle name="Arial 11" xfId="967"/>
    <cellStyle name="Bad" xfId="15" builtinId="27" customBuiltin="1"/>
    <cellStyle name="Bad 2" xfId="82"/>
    <cellStyle name="Bad 2 10" xfId="968"/>
    <cellStyle name="Bad 2 11" xfId="969"/>
    <cellStyle name="Bad 2 12" xfId="970"/>
    <cellStyle name="Bad 2 13" xfId="971"/>
    <cellStyle name="Bad 2 14" xfId="972"/>
    <cellStyle name="Bad 2 15" xfId="973"/>
    <cellStyle name="Bad 2 16" xfId="974"/>
    <cellStyle name="Bad 2 17" xfId="975"/>
    <cellStyle name="Bad 2 2" xfId="976"/>
    <cellStyle name="Bad 2 2 2" xfId="977"/>
    <cellStyle name="Bad 2 2 2 2" xfId="978"/>
    <cellStyle name="Bad 2 2 2 3" xfId="979"/>
    <cellStyle name="Bad 2 2 3" xfId="980"/>
    <cellStyle name="Bad 2 2 4" xfId="981"/>
    <cellStyle name="Bad 2 3" xfId="982"/>
    <cellStyle name="Bad 2 4" xfId="983"/>
    <cellStyle name="Bad 2 5" xfId="984"/>
    <cellStyle name="Bad 2 6" xfId="985"/>
    <cellStyle name="Bad 2 7" xfId="986"/>
    <cellStyle name="Bad 2 8" xfId="987"/>
    <cellStyle name="Bad 2 9" xfId="988"/>
    <cellStyle name="Bad 3" xfId="989"/>
    <cellStyle name="Bad 3 2" xfId="990"/>
    <cellStyle name="Bad 3 3" xfId="991"/>
    <cellStyle name="Bad 4" xfId="992"/>
    <cellStyle name="Best" xfId="993"/>
    <cellStyle name="Best 10" xfId="994"/>
    <cellStyle name="Best 11" xfId="995"/>
    <cellStyle name="Best 12" xfId="996"/>
    <cellStyle name="Best 13" xfId="997"/>
    <cellStyle name="Best 14" xfId="998"/>
    <cellStyle name="Best 15" xfId="999"/>
    <cellStyle name="Best 16" xfId="1000"/>
    <cellStyle name="Best 17" xfId="1001"/>
    <cellStyle name="Best 18" xfId="1002"/>
    <cellStyle name="Best 19" xfId="1003"/>
    <cellStyle name="Best 2" xfId="1004"/>
    <cellStyle name="Best 20" xfId="1005"/>
    <cellStyle name="Best 21" xfId="1006"/>
    <cellStyle name="Best 22" xfId="1007"/>
    <cellStyle name="Best 23" xfId="1008"/>
    <cellStyle name="Best 24" xfId="1009"/>
    <cellStyle name="Best 3" xfId="1010"/>
    <cellStyle name="Best 4" xfId="1011"/>
    <cellStyle name="Best 5" xfId="1012"/>
    <cellStyle name="Best 6" xfId="1013"/>
    <cellStyle name="Best 7" xfId="1014"/>
    <cellStyle name="Best 8" xfId="1015"/>
    <cellStyle name="Best 9" xfId="1016"/>
    <cellStyle name="black &amp; red with no decimal" xfId="1017"/>
    <cellStyle name="black &amp; red with no decimal 10" xfId="1018"/>
    <cellStyle name="black &amp; red with no decimal 10 2" xfId="1019"/>
    <cellStyle name="black &amp; red with no decimal 10 3" xfId="1020"/>
    <cellStyle name="black &amp; red with no decimal 11" xfId="1021"/>
    <cellStyle name="black &amp; red with no decimal 11 2" xfId="1022"/>
    <cellStyle name="black &amp; red with no decimal 11 3" xfId="1023"/>
    <cellStyle name="black &amp; red with no decimal 12" xfId="1024"/>
    <cellStyle name="black &amp; red with no decimal 13" xfId="1025"/>
    <cellStyle name="black &amp; red with no decimal 14" xfId="1026"/>
    <cellStyle name="black &amp; red with no decimal 15" xfId="1027"/>
    <cellStyle name="black &amp; red with no decimal 16" xfId="1028"/>
    <cellStyle name="black &amp; red with no decimal 17" xfId="1029"/>
    <cellStyle name="black &amp; red with no decimal 18" xfId="1030"/>
    <cellStyle name="black &amp; red with no decimal 19" xfId="1031"/>
    <cellStyle name="black &amp; red with no decimal 2" xfId="1032"/>
    <cellStyle name="black &amp; red with no decimal 2 10" xfId="1033"/>
    <cellStyle name="black &amp; red with no decimal 2 11" xfId="1034"/>
    <cellStyle name="black &amp; red with no decimal 2 12" xfId="1035"/>
    <cellStyle name="black &amp; red with no decimal 2 13" xfId="1036"/>
    <cellStyle name="black &amp; red with no decimal 2 14" xfId="1037"/>
    <cellStyle name="black &amp; red with no decimal 2 15" xfId="1038"/>
    <cellStyle name="black &amp; red with no decimal 2 16" xfId="1039"/>
    <cellStyle name="black &amp; red with no decimal 2 2" xfId="1040"/>
    <cellStyle name="black &amp; red with no decimal 2 2 2" xfId="1041"/>
    <cellStyle name="black &amp; red with no decimal 2 2 3" xfId="1042"/>
    <cellStyle name="black &amp; red with no decimal 2 3" xfId="1043"/>
    <cellStyle name="black &amp; red with no decimal 2 3 2" xfId="1044"/>
    <cellStyle name="black &amp; red with no decimal 2 3 3" xfId="1045"/>
    <cellStyle name="black &amp; red with no decimal 2 4" xfId="1046"/>
    <cellStyle name="black &amp; red with no decimal 2 5" xfId="1047"/>
    <cellStyle name="black &amp; red with no decimal 2 6" xfId="1048"/>
    <cellStyle name="black &amp; red with no decimal 2 7" xfId="1049"/>
    <cellStyle name="black &amp; red with no decimal 2 8" xfId="1050"/>
    <cellStyle name="black &amp; red with no decimal 2 9" xfId="1051"/>
    <cellStyle name="black &amp; red with no decimal 20" xfId="1052"/>
    <cellStyle name="black &amp; red with no decimal 21" xfId="1053"/>
    <cellStyle name="black &amp; red with no decimal 22" xfId="1054"/>
    <cellStyle name="black &amp; red with no decimal 23" xfId="1055"/>
    <cellStyle name="black &amp; red with no decimal 24" xfId="1056"/>
    <cellStyle name="black &amp; red with no decimal 3" xfId="1057"/>
    <cellStyle name="black &amp; red with no decimal 3 10" xfId="1058"/>
    <cellStyle name="black &amp; red with no decimal 3 11" xfId="1059"/>
    <cellStyle name="black &amp; red with no decimal 3 12" xfId="1060"/>
    <cellStyle name="black &amp; red with no decimal 3 13" xfId="1061"/>
    <cellStyle name="black &amp; red with no decimal 3 14" xfId="1062"/>
    <cellStyle name="black &amp; red with no decimal 3 15" xfId="1063"/>
    <cellStyle name="black &amp; red with no decimal 3 16" xfId="1064"/>
    <cellStyle name="black &amp; red with no decimal 3 2" xfId="1065"/>
    <cellStyle name="black &amp; red with no decimal 3 2 2" xfId="1066"/>
    <cellStyle name="black &amp; red with no decimal 3 2 3" xfId="1067"/>
    <cellStyle name="black &amp; red with no decimal 3 3" xfId="1068"/>
    <cellStyle name="black &amp; red with no decimal 3 3 2" xfId="1069"/>
    <cellStyle name="black &amp; red with no decimal 3 3 3" xfId="1070"/>
    <cellStyle name="black &amp; red with no decimal 3 4" xfId="1071"/>
    <cellStyle name="black &amp; red with no decimal 3 5" xfId="1072"/>
    <cellStyle name="black &amp; red with no decimal 3 6" xfId="1073"/>
    <cellStyle name="black &amp; red with no decimal 3 7" xfId="1074"/>
    <cellStyle name="black &amp; red with no decimal 3 8" xfId="1075"/>
    <cellStyle name="black &amp; red with no decimal 3 9" xfId="1076"/>
    <cellStyle name="black &amp; red with no decimal 4" xfId="1077"/>
    <cellStyle name="black &amp; red with no decimal 4 10" xfId="1078"/>
    <cellStyle name="black &amp; red with no decimal 4 11" xfId="1079"/>
    <cellStyle name="black &amp; red with no decimal 4 12" xfId="1080"/>
    <cellStyle name="black &amp; red with no decimal 4 13" xfId="1081"/>
    <cellStyle name="black &amp; red with no decimal 4 14" xfId="1082"/>
    <cellStyle name="black &amp; red with no decimal 4 15" xfId="1083"/>
    <cellStyle name="black &amp; red with no decimal 4 16" xfId="1084"/>
    <cellStyle name="black &amp; red with no decimal 4 2" xfId="1085"/>
    <cellStyle name="black &amp; red with no decimal 4 2 2" xfId="1086"/>
    <cellStyle name="black &amp; red with no decimal 4 2 3" xfId="1087"/>
    <cellStyle name="black &amp; red with no decimal 4 3" xfId="1088"/>
    <cellStyle name="black &amp; red with no decimal 4 3 2" xfId="1089"/>
    <cellStyle name="black &amp; red with no decimal 4 3 3" xfId="1090"/>
    <cellStyle name="black &amp; red with no decimal 4 4" xfId="1091"/>
    <cellStyle name="black &amp; red with no decimal 4 5" xfId="1092"/>
    <cellStyle name="black &amp; red with no decimal 4 6" xfId="1093"/>
    <cellStyle name="black &amp; red with no decimal 4 7" xfId="1094"/>
    <cellStyle name="black &amp; red with no decimal 4 8" xfId="1095"/>
    <cellStyle name="black &amp; red with no decimal 4 9" xfId="1096"/>
    <cellStyle name="black &amp; red with no decimal 5" xfId="1097"/>
    <cellStyle name="black &amp; red with no decimal 5 10" xfId="1098"/>
    <cellStyle name="black &amp; red with no decimal 5 11" xfId="1099"/>
    <cellStyle name="black &amp; red with no decimal 5 12" xfId="1100"/>
    <cellStyle name="black &amp; red with no decimal 5 13" xfId="1101"/>
    <cellStyle name="black &amp; red with no decimal 5 14" xfId="1102"/>
    <cellStyle name="black &amp; red with no decimal 5 15" xfId="1103"/>
    <cellStyle name="black &amp; red with no decimal 5 16" xfId="1104"/>
    <cellStyle name="black &amp; red with no decimal 5 2" xfId="1105"/>
    <cellStyle name="black &amp; red with no decimal 5 2 2" xfId="1106"/>
    <cellStyle name="black &amp; red with no decimal 5 2 3" xfId="1107"/>
    <cellStyle name="black &amp; red with no decimal 5 3" xfId="1108"/>
    <cellStyle name="black &amp; red with no decimal 5 3 2" xfId="1109"/>
    <cellStyle name="black &amp; red with no decimal 5 3 3" xfId="1110"/>
    <cellStyle name="black &amp; red with no decimal 5 4" xfId="1111"/>
    <cellStyle name="black &amp; red with no decimal 5 5" xfId="1112"/>
    <cellStyle name="black &amp; red with no decimal 5 6" xfId="1113"/>
    <cellStyle name="black &amp; red with no decimal 5 7" xfId="1114"/>
    <cellStyle name="black &amp; red with no decimal 5 8" xfId="1115"/>
    <cellStyle name="black &amp; red with no decimal 5 9" xfId="1116"/>
    <cellStyle name="black &amp; red with no decimal 6" xfId="1117"/>
    <cellStyle name="black &amp; red with no decimal 6 10" xfId="1118"/>
    <cellStyle name="black &amp; red with no decimal 6 11" xfId="1119"/>
    <cellStyle name="black &amp; red with no decimal 6 12" xfId="1120"/>
    <cellStyle name="black &amp; red with no decimal 6 13" xfId="1121"/>
    <cellStyle name="black &amp; red with no decimal 6 14" xfId="1122"/>
    <cellStyle name="black &amp; red with no decimal 6 15" xfId="1123"/>
    <cellStyle name="black &amp; red with no decimal 6 16" xfId="1124"/>
    <cellStyle name="black &amp; red with no decimal 6 2" xfId="1125"/>
    <cellStyle name="black &amp; red with no decimal 6 2 2" xfId="1126"/>
    <cellStyle name="black &amp; red with no decimal 6 2 3" xfId="1127"/>
    <cellStyle name="black &amp; red with no decimal 6 3" xfId="1128"/>
    <cellStyle name="black &amp; red with no decimal 6 3 2" xfId="1129"/>
    <cellStyle name="black &amp; red with no decimal 6 3 3" xfId="1130"/>
    <cellStyle name="black &amp; red with no decimal 6 4" xfId="1131"/>
    <cellStyle name="black &amp; red with no decimal 6 5" xfId="1132"/>
    <cellStyle name="black &amp; red with no decimal 6 6" xfId="1133"/>
    <cellStyle name="black &amp; red with no decimal 6 7" xfId="1134"/>
    <cellStyle name="black &amp; red with no decimal 6 8" xfId="1135"/>
    <cellStyle name="black &amp; red with no decimal 6 9" xfId="1136"/>
    <cellStyle name="black &amp; red with no decimal 7" xfId="1137"/>
    <cellStyle name="black &amp; red with no decimal 7 10" xfId="1138"/>
    <cellStyle name="black &amp; red with no decimal 7 11" xfId="1139"/>
    <cellStyle name="black &amp; red with no decimal 7 12" xfId="1140"/>
    <cellStyle name="black &amp; red with no decimal 7 13" xfId="1141"/>
    <cellStyle name="black &amp; red with no decimal 7 14" xfId="1142"/>
    <cellStyle name="black &amp; red with no decimal 7 15" xfId="1143"/>
    <cellStyle name="black &amp; red with no decimal 7 16" xfId="1144"/>
    <cellStyle name="black &amp; red with no decimal 7 2" xfId="1145"/>
    <cellStyle name="black &amp; red with no decimal 7 2 2" xfId="1146"/>
    <cellStyle name="black &amp; red with no decimal 7 2 3" xfId="1147"/>
    <cellStyle name="black &amp; red with no decimal 7 3" xfId="1148"/>
    <cellStyle name="black &amp; red with no decimal 7 3 2" xfId="1149"/>
    <cellStyle name="black &amp; red with no decimal 7 3 3" xfId="1150"/>
    <cellStyle name="black &amp; red with no decimal 7 4" xfId="1151"/>
    <cellStyle name="black &amp; red with no decimal 7 5" xfId="1152"/>
    <cellStyle name="black &amp; red with no decimal 7 6" xfId="1153"/>
    <cellStyle name="black &amp; red with no decimal 7 7" xfId="1154"/>
    <cellStyle name="black &amp; red with no decimal 7 8" xfId="1155"/>
    <cellStyle name="black &amp; red with no decimal 7 9" xfId="1156"/>
    <cellStyle name="black &amp; red with no decimal 8" xfId="1157"/>
    <cellStyle name="black &amp; red with no decimal 8 2" xfId="1158"/>
    <cellStyle name="black &amp; red with no decimal 8 3" xfId="1159"/>
    <cellStyle name="black &amp; red with no decimal 9" xfId="1160"/>
    <cellStyle name="black &amp; red with no decimal 9 2" xfId="1161"/>
    <cellStyle name="black &amp; red with no decimal 9 3" xfId="1162"/>
    <cellStyle name="Blue" xfId="1163"/>
    <cellStyle name="Blue Heading" xfId="1164"/>
    <cellStyle name="Blue Heading 2" xfId="1165"/>
    <cellStyle name="Blue Heading 3" xfId="1166"/>
    <cellStyle name="Blue Heading 4" xfId="1167"/>
    <cellStyle name="Blue Heading 5" xfId="1168"/>
    <cellStyle name="Blue Heading 6" xfId="1169"/>
    <cellStyle name="Blue Heading 7" xfId="1170"/>
    <cellStyle name="Blue Heading 8" xfId="1171"/>
    <cellStyle name="Bold GHG Numbers (0.00)" xfId="83"/>
    <cellStyle name="Bottom Green Total Heading" xfId="1172"/>
    <cellStyle name="brakcomma" xfId="1173"/>
    <cellStyle name="brakcomma 10" xfId="1174"/>
    <cellStyle name="brakcomma 11" xfId="1175"/>
    <cellStyle name="brakcomma 12" xfId="1176"/>
    <cellStyle name="brakcomma 13" xfId="1177"/>
    <cellStyle name="brakcomma 14" xfId="1178"/>
    <cellStyle name="brakcomma 15" xfId="1179"/>
    <cellStyle name="brakcomma 16" xfId="1180"/>
    <cellStyle name="brakcomma 17" xfId="1181"/>
    <cellStyle name="brakcomma 18" xfId="1182"/>
    <cellStyle name="brakcomma 19" xfId="1183"/>
    <cellStyle name="brakcomma 2" xfId="1184"/>
    <cellStyle name="brakcomma 20" xfId="1185"/>
    <cellStyle name="brakcomma 21" xfId="1186"/>
    <cellStyle name="brakcomma 22" xfId="1187"/>
    <cellStyle name="brakcomma 23" xfId="1188"/>
    <cellStyle name="brakcomma 24" xfId="1189"/>
    <cellStyle name="brakcomma 3" xfId="1190"/>
    <cellStyle name="brakcomma 4" xfId="1191"/>
    <cellStyle name="brakcomma 5" xfId="1192"/>
    <cellStyle name="brakcomma 6" xfId="1193"/>
    <cellStyle name="brakcomma 7" xfId="1194"/>
    <cellStyle name="brakcomma 8" xfId="1195"/>
    <cellStyle name="brakcomma 9" xfId="1196"/>
    <cellStyle name="Buena" xfId="1197"/>
    <cellStyle name="Business Description" xfId="1198"/>
    <cellStyle name="bwcomma" xfId="1199"/>
    <cellStyle name="bwcomma 10" xfId="1200"/>
    <cellStyle name="bwcomma 11" xfId="1201"/>
    <cellStyle name="bwcomma 12" xfId="1202"/>
    <cellStyle name="bwcomma 13" xfId="1203"/>
    <cellStyle name="bwcomma 14" xfId="1204"/>
    <cellStyle name="bwcomma 15" xfId="1205"/>
    <cellStyle name="bwcomma 16" xfId="1206"/>
    <cellStyle name="bwcomma 17" xfId="1207"/>
    <cellStyle name="bwcomma 18" xfId="1208"/>
    <cellStyle name="bwcomma 19" xfId="1209"/>
    <cellStyle name="bwcomma 2" xfId="1210"/>
    <cellStyle name="bwcomma 20" xfId="1211"/>
    <cellStyle name="bwcomma 21" xfId="1212"/>
    <cellStyle name="bwcomma 22" xfId="1213"/>
    <cellStyle name="bwcomma 23" xfId="1214"/>
    <cellStyle name="bwcomma 24" xfId="1215"/>
    <cellStyle name="bwcomma 3" xfId="1216"/>
    <cellStyle name="bwcomma 4" xfId="1217"/>
    <cellStyle name="bwcomma 5" xfId="1218"/>
    <cellStyle name="bwcomma 6" xfId="1219"/>
    <cellStyle name="bwcomma 7" xfId="1220"/>
    <cellStyle name="bwcomma 8" xfId="1221"/>
    <cellStyle name="bwcomma 9" xfId="1222"/>
    <cellStyle name="Calculation" xfId="19" builtinId="22" customBuiltin="1"/>
    <cellStyle name="Calculation 2" xfId="84"/>
    <cellStyle name="Calculation 2 10" xfId="1223"/>
    <cellStyle name="Calculation 2 10 2" xfId="1224"/>
    <cellStyle name="Calculation 2 11" xfId="1225"/>
    <cellStyle name="Calculation 2 11 2" xfId="1226"/>
    <cellStyle name="Calculation 2 12" xfId="1227"/>
    <cellStyle name="Calculation 2 12 2" xfId="1228"/>
    <cellStyle name="Calculation 2 13" xfId="1229"/>
    <cellStyle name="Calculation 2 13 2" xfId="1230"/>
    <cellStyle name="Calculation 2 14" xfId="1231"/>
    <cellStyle name="Calculation 2 14 2" xfId="1232"/>
    <cellStyle name="Calculation 2 15" xfId="1233"/>
    <cellStyle name="Calculation 2 15 2" xfId="1234"/>
    <cellStyle name="Calculation 2 16" xfId="1235"/>
    <cellStyle name="Calculation 2 16 2" xfId="1236"/>
    <cellStyle name="Calculation 2 17" xfId="1237"/>
    <cellStyle name="Calculation 2 2" xfId="1238"/>
    <cellStyle name="Calculation 2 2 2" xfId="1239"/>
    <cellStyle name="Calculation 2 2 2 2" xfId="1240"/>
    <cellStyle name="Calculation 2 2 2 3" xfId="1241"/>
    <cellStyle name="Calculation 2 2 3" xfId="1242"/>
    <cellStyle name="Calculation 2 2 4" xfId="1243"/>
    <cellStyle name="Calculation 2 2 4 2" xfId="1244"/>
    <cellStyle name="Calculation 2 2 5" xfId="1245"/>
    <cellStyle name="Calculation 2 2 5 2" xfId="1246"/>
    <cellStyle name="Calculation 2 2 6" xfId="1247"/>
    <cellStyle name="Calculation 2 3" xfId="1248"/>
    <cellStyle name="Calculation 2 4" xfId="1249"/>
    <cellStyle name="Calculation 2 4 2" xfId="1250"/>
    <cellStyle name="Calculation 2 4 2 2" xfId="1251"/>
    <cellStyle name="Calculation 2 4 3" xfId="1252"/>
    <cellStyle name="Calculation 2 4 3 2" xfId="1253"/>
    <cellStyle name="Calculation 2 4 4" xfId="1254"/>
    <cellStyle name="Calculation 2 5" xfId="1255"/>
    <cellStyle name="Calculation 2 5 2" xfId="1256"/>
    <cellStyle name="Calculation 2 6" xfId="1257"/>
    <cellStyle name="Calculation 2 6 2" xfId="1258"/>
    <cellStyle name="Calculation 2 7" xfId="1259"/>
    <cellStyle name="Calculation 2 7 2" xfId="1260"/>
    <cellStyle name="Calculation 2 8" xfId="1261"/>
    <cellStyle name="Calculation 2 8 2" xfId="1262"/>
    <cellStyle name="Calculation 2 9" xfId="1263"/>
    <cellStyle name="Calculation 2 9 2" xfId="1264"/>
    <cellStyle name="Calculation 3" xfId="1265"/>
    <cellStyle name="Calculation 3 2" xfId="1266"/>
    <cellStyle name="Calculation 3 2 2" xfId="1267"/>
    <cellStyle name="Calculation 3 2 2 2" xfId="1268"/>
    <cellStyle name="Calculation 3 2 3" xfId="1269"/>
    <cellStyle name="Calculation 3 2 3 2" xfId="1270"/>
    <cellStyle name="Calculation 3 2 4" xfId="1271"/>
    <cellStyle name="Calculation 3 3" xfId="1272"/>
    <cellStyle name="Calculation 3 3 2" xfId="1273"/>
    <cellStyle name="Calculation 3 3 2 2" xfId="1274"/>
    <cellStyle name="Calculation 3 3 3" xfId="1275"/>
    <cellStyle name="Calculation 3 3 3 2" xfId="1276"/>
    <cellStyle name="Calculation 3 3 4" xfId="1277"/>
    <cellStyle name="Calculation 3 4" xfId="1278"/>
    <cellStyle name="Calculation 3 4 2" xfId="1279"/>
    <cellStyle name="Calculation 3 5" xfId="1280"/>
    <cellStyle name="Calculation 3 5 2" xfId="1281"/>
    <cellStyle name="Calculation 3 6" xfId="1282"/>
    <cellStyle name="Calculation 4" xfId="1283"/>
    <cellStyle name="Calculation 4 2" xfId="1284"/>
    <cellStyle name="Calculation 4 2 2" xfId="1285"/>
    <cellStyle name="Calculation 4 2 2 2" xfId="1286"/>
    <cellStyle name="Calculation 4 2 3" xfId="1287"/>
    <cellStyle name="Calculation 4 2 3 2" xfId="1288"/>
    <cellStyle name="Calculation 4 2 4" xfId="1289"/>
    <cellStyle name="Calculation 4 3" xfId="1290"/>
    <cellStyle name="Calculation 4 3 2" xfId="1291"/>
    <cellStyle name="Calculation 4 3 2 2" xfId="1292"/>
    <cellStyle name="Calculation 4 3 3" xfId="1293"/>
    <cellStyle name="Calculation 4 3 3 2" xfId="1294"/>
    <cellStyle name="Calculation 4 3 4" xfId="1295"/>
    <cellStyle name="Calculation 4 4" xfId="1296"/>
    <cellStyle name="Calculation 4 4 2" xfId="1297"/>
    <cellStyle name="Calculation 4 5" xfId="1298"/>
    <cellStyle name="Calculation 4 5 2" xfId="1299"/>
    <cellStyle name="Calculation 5" xfId="1300"/>
    <cellStyle name="Calculation 5 2" xfId="1301"/>
    <cellStyle name="Calculation 5 2 2" xfId="1302"/>
    <cellStyle name="Calculation 5 3" xfId="1303"/>
    <cellStyle name="Calculation 5 3 2" xfId="1304"/>
    <cellStyle name="Calculation 5 4" xfId="1305"/>
    <cellStyle name="Calculation 6" xfId="1306"/>
    <cellStyle name="Calculation 6 2" xfId="1307"/>
    <cellStyle name="Calculation 7" xfId="1308"/>
    <cellStyle name="Calculation 7 2" xfId="1309"/>
    <cellStyle name="Calculation 8" xfId="1310"/>
    <cellStyle name="Cálculo" xfId="1311"/>
    <cellStyle name="Cálculo 10" xfId="1312"/>
    <cellStyle name="Cálculo 10 2" xfId="1313"/>
    <cellStyle name="Cálculo 11" xfId="1314"/>
    <cellStyle name="Cálculo 11 2" xfId="1315"/>
    <cellStyle name="Cálculo 12" xfId="1316"/>
    <cellStyle name="Cálculo 12 2" xfId="1317"/>
    <cellStyle name="Cálculo 13" xfId="1318"/>
    <cellStyle name="Cálculo 13 2" xfId="1319"/>
    <cellStyle name="Cálculo 14" xfId="1320"/>
    <cellStyle name="Cálculo 14 2" xfId="1321"/>
    <cellStyle name="Cálculo 15" xfId="1322"/>
    <cellStyle name="Cálculo 15 2" xfId="1323"/>
    <cellStyle name="Cálculo 16" xfId="1324"/>
    <cellStyle name="Cálculo 16 2" xfId="1325"/>
    <cellStyle name="Cálculo 17" xfId="1326"/>
    <cellStyle name="Cálculo 17 2" xfId="1327"/>
    <cellStyle name="Cálculo 18" xfId="1328"/>
    <cellStyle name="Cálculo 18 2" xfId="1329"/>
    <cellStyle name="Cálculo 19" xfId="1330"/>
    <cellStyle name="Cálculo 19 2" xfId="1331"/>
    <cellStyle name="Cálculo 2" xfId="1332"/>
    <cellStyle name="Cálculo 2 10" xfId="1333"/>
    <cellStyle name="Cálculo 2 10 2" xfId="1334"/>
    <cellStyle name="Cálculo 2 11" xfId="1335"/>
    <cellStyle name="Cálculo 2 11 2" xfId="1336"/>
    <cellStyle name="Cálculo 2 12" xfId="1337"/>
    <cellStyle name="Cálculo 2 12 2" xfId="1338"/>
    <cellStyle name="Cálculo 2 13" xfId="1339"/>
    <cellStyle name="Cálculo 2 13 2" xfId="1340"/>
    <cellStyle name="Cálculo 2 14" xfId="1341"/>
    <cellStyle name="Cálculo 2 14 2" xfId="1342"/>
    <cellStyle name="Cálculo 2 15" xfId="1343"/>
    <cellStyle name="Cálculo 2 15 2" xfId="1344"/>
    <cellStyle name="Cálculo 2 16" xfId="1345"/>
    <cellStyle name="Cálculo 2 16 2" xfId="1346"/>
    <cellStyle name="Cálculo 2 17" xfId="1347"/>
    <cellStyle name="Cálculo 2 2" xfId="1348"/>
    <cellStyle name="Cálculo 2 2 10" xfId="1349"/>
    <cellStyle name="Cálculo 2 2 10 2" xfId="1350"/>
    <cellStyle name="Cálculo 2 2 11" xfId="1351"/>
    <cellStyle name="Cálculo 2 2 11 2" xfId="1352"/>
    <cellStyle name="Cálculo 2 2 12" xfId="1353"/>
    <cellStyle name="Cálculo 2 2 12 2" xfId="1354"/>
    <cellStyle name="Cálculo 2 2 13" xfId="1355"/>
    <cellStyle name="Cálculo 2 2 13 2" xfId="1356"/>
    <cellStyle name="Cálculo 2 2 14" xfId="1357"/>
    <cellStyle name="Cálculo 2 2 14 2" xfId="1358"/>
    <cellStyle name="Cálculo 2 2 15" xfId="1359"/>
    <cellStyle name="Cálculo 2 2 2" xfId="1360"/>
    <cellStyle name="Cálculo 2 2 2 2" xfId="1361"/>
    <cellStyle name="Cálculo 2 2 3" xfId="1362"/>
    <cellStyle name="Cálculo 2 2 3 2" xfId="1363"/>
    <cellStyle name="Cálculo 2 2 4" xfId="1364"/>
    <cellStyle name="Cálculo 2 2 4 2" xfId="1365"/>
    <cellStyle name="Cálculo 2 2 5" xfId="1366"/>
    <cellStyle name="Cálculo 2 2 5 2" xfId="1367"/>
    <cellStyle name="Cálculo 2 2 6" xfId="1368"/>
    <cellStyle name="Cálculo 2 2 6 2" xfId="1369"/>
    <cellStyle name="Cálculo 2 2 7" xfId="1370"/>
    <cellStyle name="Cálculo 2 2 7 2" xfId="1371"/>
    <cellStyle name="Cálculo 2 2 8" xfId="1372"/>
    <cellStyle name="Cálculo 2 2 8 2" xfId="1373"/>
    <cellStyle name="Cálculo 2 2 9" xfId="1374"/>
    <cellStyle name="Cálculo 2 2 9 2" xfId="1375"/>
    <cellStyle name="Cálculo 2 3" xfId="1376"/>
    <cellStyle name="Cálculo 2 3 2" xfId="1377"/>
    <cellStyle name="Cálculo 2 3 2 2" xfId="1378"/>
    <cellStyle name="Cálculo 2 3 3" xfId="1379"/>
    <cellStyle name="Cálculo 2 3 3 2" xfId="1380"/>
    <cellStyle name="Cálculo 2 3 4" xfId="1381"/>
    <cellStyle name="Cálculo 2 4" xfId="1382"/>
    <cellStyle name="Cálculo 2 4 2" xfId="1383"/>
    <cellStyle name="Cálculo 2 5" xfId="1384"/>
    <cellStyle name="Cálculo 2 5 2" xfId="1385"/>
    <cellStyle name="Cálculo 2 6" xfId="1386"/>
    <cellStyle name="Cálculo 2 6 2" xfId="1387"/>
    <cellStyle name="Cálculo 2 7" xfId="1388"/>
    <cellStyle name="Cálculo 2 7 2" xfId="1389"/>
    <cellStyle name="Cálculo 2 8" xfId="1390"/>
    <cellStyle name="Cálculo 2 8 2" xfId="1391"/>
    <cellStyle name="Cálculo 2 9" xfId="1392"/>
    <cellStyle name="Cálculo 2 9 2" xfId="1393"/>
    <cellStyle name="Cálculo 20" xfId="1394"/>
    <cellStyle name="Cálculo 20 2" xfId="1395"/>
    <cellStyle name="Cálculo 21" xfId="1396"/>
    <cellStyle name="Cálculo 21 2" xfId="1397"/>
    <cellStyle name="Cálculo 22" xfId="1398"/>
    <cellStyle name="Cálculo 22 2" xfId="1399"/>
    <cellStyle name="Cálculo 3" xfId="1400"/>
    <cellStyle name="Cálculo 3 10" xfId="1401"/>
    <cellStyle name="Cálculo 3 10 2" xfId="1402"/>
    <cellStyle name="Cálculo 3 11" xfId="1403"/>
    <cellStyle name="Cálculo 3 11 2" xfId="1404"/>
    <cellStyle name="Cálculo 3 12" xfId="1405"/>
    <cellStyle name="Cálculo 3 12 2" xfId="1406"/>
    <cellStyle name="Cálculo 3 13" xfId="1407"/>
    <cellStyle name="Cálculo 3 13 2" xfId="1408"/>
    <cellStyle name="Cálculo 3 14" xfId="1409"/>
    <cellStyle name="Cálculo 3 14 2" xfId="1410"/>
    <cellStyle name="Cálculo 3 15" xfId="1411"/>
    <cellStyle name="Cálculo 3 15 2" xfId="1412"/>
    <cellStyle name="Cálculo 3 16" xfId="1413"/>
    <cellStyle name="Cálculo 3 16 2" xfId="1414"/>
    <cellStyle name="Cálculo 3 17" xfId="1415"/>
    <cellStyle name="Cálculo 3 2" xfId="1416"/>
    <cellStyle name="Cálculo 3 2 10" xfId="1417"/>
    <cellStyle name="Cálculo 3 2 10 2" xfId="1418"/>
    <cellStyle name="Cálculo 3 2 11" xfId="1419"/>
    <cellStyle name="Cálculo 3 2 11 2" xfId="1420"/>
    <cellStyle name="Cálculo 3 2 12" xfId="1421"/>
    <cellStyle name="Cálculo 3 2 12 2" xfId="1422"/>
    <cellStyle name="Cálculo 3 2 13" xfId="1423"/>
    <cellStyle name="Cálculo 3 2 13 2" xfId="1424"/>
    <cellStyle name="Cálculo 3 2 14" xfId="1425"/>
    <cellStyle name="Cálculo 3 2 14 2" xfId="1426"/>
    <cellStyle name="Cálculo 3 2 15" xfId="1427"/>
    <cellStyle name="Cálculo 3 2 2" xfId="1428"/>
    <cellStyle name="Cálculo 3 2 2 2" xfId="1429"/>
    <cellStyle name="Cálculo 3 2 3" xfId="1430"/>
    <cellStyle name="Cálculo 3 2 3 2" xfId="1431"/>
    <cellStyle name="Cálculo 3 2 4" xfId="1432"/>
    <cellStyle name="Cálculo 3 2 4 2" xfId="1433"/>
    <cellStyle name="Cálculo 3 2 5" xfId="1434"/>
    <cellStyle name="Cálculo 3 2 5 2" xfId="1435"/>
    <cellStyle name="Cálculo 3 2 6" xfId="1436"/>
    <cellStyle name="Cálculo 3 2 6 2" xfId="1437"/>
    <cellStyle name="Cálculo 3 2 7" xfId="1438"/>
    <cellStyle name="Cálculo 3 2 7 2" xfId="1439"/>
    <cellStyle name="Cálculo 3 2 8" xfId="1440"/>
    <cellStyle name="Cálculo 3 2 8 2" xfId="1441"/>
    <cellStyle name="Cálculo 3 2 9" xfId="1442"/>
    <cellStyle name="Cálculo 3 2 9 2" xfId="1443"/>
    <cellStyle name="Cálculo 3 3" xfId="1444"/>
    <cellStyle name="Cálculo 3 3 2" xfId="1445"/>
    <cellStyle name="Cálculo 3 3 2 2" xfId="1446"/>
    <cellStyle name="Cálculo 3 3 3" xfId="1447"/>
    <cellStyle name="Cálculo 3 3 3 2" xfId="1448"/>
    <cellStyle name="Cálculo 3 3 4" xfId="1449"/>
    <cellStyle name="Cálculo 3 4" xfId="1450"/>
    <cellStyle name="Cálculo 3 4 2" xfId="1451"/>
    <cellStyle name="Cálculo 3 5" xfId="1452"/>
    <cellStyle name="Cálculo 3 5 2" xfId="1453"/>
    <cellStyle name="Cálculo 3 6" xfId="1454"/>
    <cellStyle name="Cálculo 3 6 2" xfId="1455"/>
    <cellStyle name="Cálculo 3 7" xfId="1456"/>
    <cellStyle name="Cálculo 3 7 2" xfId="1457"/>
    <cellStyle name="Cálculo 3 8" xfId="1458"/>
    <cellStyle name="Cálculo 3 8 2" xfId="1459"/>
    <cellStyle name="Cálculo 3 9" xfId="1460"/>
    <cellStyle name="Cálculo 3 9 2" xfId="1461"/>
    <cellStyle name="Cálculo 4" xfId="1462"/>
    <cellStyle name="Cálculo 4 10" xfId="1463"/>
    <cellStyle name="Cálculo 4 10 2" xfId="1464"/>
    <cellStyle name="Cálculo 4 11" xfId="1465"/>
    <cellStyle name="Cálculo 4 11 2" xfId="1466"/>
    <cellStyle name="Cálculo 4 12" xfId="1467"/>
    <cellStyle name="Cálculo 4 12 2" xfId="1468"/>
    <cellStyle name="Cálculo 4 13" xfId="1469"/>
    <cellStyle name="Cálculo 4 13 2" xfId="1470"/>
    <cellStyle name="Cálculo 4 14" xfId="1471"/>
    <cellStyle name="Cálculo 4 14 2" xfId="1472"/>
    <cellStyle name="Cálculo 4 15" xfId="1473"/>
    <cellStyle name="Cálculo 4 15 2" xfId="1474"/>
    <cellStyle name="Cálculo 4 16" xfId="1475"/>
    <cellStyle name="Cálculo 4 16 2" xfId="1476"/>
    <cellStyle name="Cálculo 4 17" xfId="1477"/>
    <cellStyle name="Cálculo 4 2" xfId="1478"/>
    <cellStyle name="Cálculo 4 2 10" xfId="1479"/>
    <cellStyle name="Cálculo 4 2 10 2" xfId="1480"/>
    <cellStyle name="Cálculo 4 2 11" xfId="1481"/>
    <cellStyle name="Cálculo 4 2 11 2" xfId="1482"/>
    <cellStyle name="Cálculo 4 2 12" xfId="1483"/>
    <cellStyle name="Cálculo 4 2 12 2" xfId="1484"/>
    <cellStyle name="Cálculo 4 2 13" xfId="1485"/>
    <cellStyle name="Cálculo 4 2 13 2" xfId="1486"/>
    <cellStyle name="Cálculo 4 2 14" xfId="1487"/>
    <cellStyle name="Cálculo 4 2 14 2" xfId="1488"/>
    <cellStyle name="Cálculo 4 2 15" xfId="1489"/>
    <cellStyle name="Cálculo 4 2 2" xfId="1490"/>
    <cellStyle name="Cálculo 4 2 2 2" xfId="1491"/>
    <cellStyle name="Cálculo 4 2 3" xfId="1492"/>
    <cellStyle name="Cálculo 4 2 3 2" xfId="1493"/>
    <cellStyle name="Cálculo 4 2 4" xfId="1494"/>
    <cellStyle name="Cálculo 4 2 4 2" xfId="1495"/>
    <cellStyle name="Cálculo 4 2 5" xfId="1496"/>
    <cellStyle name="Cálculo 4 2 5 2" xfId="1497"/>
    <cellStyle name="Cálculo 4 2 6" xfId="1498"/>
    <cellStyle name="Cálculo 4 2 6 2" xfId="1499"/>
    <cellStyle name="Cálculo 4 2 7" xfId="1500"/>
    <cellStyle name="Cálculo 4 2 7 2" xfId="1501"/>
    <cellStyle name="Cálculo 4 2 8" xfId="1502"/>
    <cellStyle name="Cálculo 4 2 8 2" xfId="1503"/>
    <cellStyle name="Cálculo 4 2 9" xfId="1504"/>
    <cellStyle name="Cálculo 4 2 9 2" xfId="1505"/>
    <cellStyle name="Cálculo 4 3" xfId="1506"/>
    <cellStyle name="Cálculo 4 3 2" xfId="1507"/>
    <cellStyle name="Cálculo 4 3 2 2" xfId="1508"/>
    <cellStyle name="Cálculo 4 3 3" xfId="1509"/>
    <cellStyle name="Cálculo 4 3 3 2" xfId="1510"/>
    <cellStyle name="Cálculo 4 3 4" xfId="1511"/>
    <cellStyle name="Cálculo 4 4" xfId="1512"/>
    <cellStyle name="Cálculo 4 4 2" xfId="1513"/>
    <cellStyle name="Cálculo 4 5" xfId="1514"/>
    <cellStyle name="Cálculo 4 5 2" xfId="1515"/>
    <cellStyle name="Cálculo 4 6" xfId="1516"/>
    <cellStyle name="Cálculo 4 6 2" xfId="1517"/>
    <cellStyle name="Cálculo 4 7" xfId="1518"/>
    <cellStyle name="Cálculo 4 7 2" xfId="1519"/>
    <cellStyle name="Cálculo 4 8" xfId="1520"/>
    <cellStyle name="Cálculo 4 8 2" xfId="1521"/>
    <cellStyle name="Cálculo 4 9" xfId="1522"/>
    <cellStyle name="Cálculo 4 9 2" xfId="1523"/>
    <cellStyle name="Cálculo 5" xfId="1524"/>
    <cellStyle name="Cálculo 5 10" xfId="1525"/>
    <cellStyle name="Cálculo 5 10 2" xfId="1526"/>
    <cellStyle name="Cálculo 5 11" xfId="1527"/>
    <cellStyle name="Cálculo 5 11 2" xfId="1528"/>
    <cellStyle name="Cálculo 5 12" xfId="1529"/>
    <cellStyle name="Cálculo 5 12 2" xfId="1530"/>
    <cellStyle name="Cálculo 5 13" xfId="1531"/>
    <cellStyle name="Cálculo 5 13 2" xfId="1532"/>
    <cellStyle name="Cálculo 5 14" xfId="1533"/>
    <cellStyle name="Cálculo 5 14 2" xfId="1534"/>
    <cellStyle name="Cálculo 5 15" xfId="1535"/>
    <cellStyle name="Cálculo 5 15 2" xfId="1536"/>
    <cellStyle name="Cálculo 5 16" xfId="1537"/>
    <cellStyle name="Cálculo 5 16 2" xfId="1538"/>
    <cellStyle name="Cálculo 5 17" xfId="1539"/>
    <cellStyle name="Cálculo 5 2" xfId="1540"/>
    <cellStyle name="Cálculo 5 2 10" xfId="1541"/>
    <cellStyle name="Cálculo 5 2 10 2" xfId="1542"/>
    <cellStyle name="Cálculo 5 2 11" xfId="1543"/>
    <cellStyle name="Cálculo 5 2 11 2" xfId="1544"/>
    <cellStyle name="Cálculo 5 2 12" xfId="1545"/>
    <cellStyle name="Cálculo 5 2 12 2" xfId="1546"/>
    <cellStyle name="Cálculo 5 2 13" xfId="1547"/>
    <cellStyle name="Cálculo 5 2 13 2" xfId="1548"/>
    <cellStyle name="Cálculo 5 2 14" xfId="1549"/>
    <cellStyle name="Cálculo 5 2 14 2" xfId="1550"/>
    <cellStyle name="Cálculo 5 2 15" xfId="1551"/>
    <cellStyle name="Cálculo 5 2 2" xfId="1552"/>
    <cellStyle name="Cálculo 5 2 2 2" xfId="1553"/>
    <cellStyle name="Cálculo 5 2 3" xfId="1554"/>
    <cellStyle name="Cálculo 5 2 3 2" xfId="1555"/>
    <cellStyle name="Cálculo 5 2 4" xfId="1556"/>
    <cellStyle name="Cálculo 5 2 4 2" xfId="1557"/>
    <cellStyle name="Cálculo 5 2 5" xfId="1558"/>
    <cellStyle name="Cálculo 5 2 5 2" xfId="1559"/>
    <cellStyle name="Cálculo 5 2 6" xfId="1560"/>
    <cellStyle name="Cálculo 5 2 6 2" xfId="1561"/>
    <cellStyle name="Cálculo 5 2 7" xfId="1562"/>
    <cellStyle name="Cálculo 5 2 7 2" xfId="1563"/>
    <cellStyle name="Cálculo 5 2 8" xfId="1564"/>
    <cellStyle name="Cálculo 5 2 8 2" xfId="1565"/>
    <cellStyle name="Cálculo 5 2 9" xfId="1566"/>
    <cellStyle name="Cálculo 5 2 9 2" xfId="1567"/>
    <cellStyle name="Cálculo 5 3" xfId="1568"/>
    <cellStyle name="Cálculo 5 3 2" xfId="1569"/>
    <cellStyle name="Cálculo 5 3 2 2" xfId="1570"/>
    <cellStyle name="Cálculo 5 3 3" xfId="1571"/>
    <cellStyle name="Cálculo 5 3 3 2" xfId="1572"/>
    <cellStyle name="Cálculo 5 3 4" xfId="1573"/>
    <cellStyle name="Cálculo 5 4" xfId="1574"/>
    <cellStyle name="Cálculo 5 4 2" xfId="1575"/>
    <cellStyle name="Cálculo 5 5" xfId="1576"/>
    <cellStyle name="Cálculo 5 5 2" xfId="1577"/>
    <cellStyle name="Cálculo 5 6" xfId="1578"/>
    <cellStyle name="Cálculo 5 6 2" xfId="1579"/>
    <cellStyle name="Cálculo 5 7" xfId="1580"/>
    <cellStyle name="Cálculo 5 7 2" xfId="1581"/>
    <cellStyle name="Cálculo 5 8" xfId="1582"/>
    <cellStyle name="Cálculo 5 8 2" xfId="1583"/>
    <cellStyle name="Cálculo 5 9" xfId="1584"/>
    <cellStyle name="Cálculo 5 9 2" xfId="1585"/>
    <cellStyle name="Cálculo 6" xfId="1586"/>
    <cellStyle name="Cálculo 6 10" xfId="1587"/>
    <cellStyle name="Cálculo 6 10 2" xfId="1588"/>
    <cellStyle name="Cálculo 6 11" xfId="1589"/>
    <cellStyle name="Cálculo 6 11 2" xfId="1590"/>
    <cellStyle name="Cálculo 6 12" xfId="1591"/>
    <cellStyle name="Cálculo 6 12 2" xfId="1592"/>
    <cellStyle name="Cálculo 6 13" xfId="1593"/>
    <cellStyle name="Cálculo 6 13 2" xfId="1594"/>
    <cellStyle name="Cálculo 6 14" xfId="1595"/>
    <cellStyle name="Cálculo 6 14 2" xfId="1596"/>
    <cellStyle name="Cálculo 6 15" xfId="1597"/>
    <cellStyle name="Cálculo 6 15 2" xfId="1598"/>
    <cellStyle name="Cálculo 6 16" xfId="1599"/>
    <cellStyle name="Cálculo 6 16 2" xfId="1600"/>
    <cellStyle name="Cálculo 6 17" xfId="1601"/>
    <cellStyle name="Cálculo 6 2" xfId="1602"/>
    <cellStyle name="Cálculo 6 2 2" xfId="1603"/>
    <cellStyle name="Cálculo 6 2 2 2" xfId="1604"/>
    <cellStyle name="Cálculo 6 2 3" xfId="1605"/>
    <cellStyle name="Cálculo 6 2 3 2" xfId="1606"/>
    <cellStyle name="Cálculo 6 2 4" xfId="1607"/>
    <cellStyle name="Cálculo 6 3" xfId="1608"/>
    <cellStyle name="Cálculo 6 3 2" xfId="1609"/>
    <cellStyle name="Cálculo 6 3 2 2" xfId="1610"/>
    <cellStyle name="Cálculo 6 3 3" xfId="1611"/>
    <cellStyle name="Cálculo 6 3 3 2" xfId="1612"/>
    <cellStyle name="Cálculo 6 3 4" xfId="1613"/>
    <cellStyle name="Cálculo 6 4" xfId="1614"/>
    <cellStyle name="Cálculo 6 4 2" xfId="1615"/>
    <cellStyle name="Cálculo 6 5" xfId="1616"/>
    <cellStyle name="Cálculo 6 5 2" xfId="1617"/>
    <cellStyle name="Cálculo 6 6" xfId="1618"/>
    <cellStyle name="Cálculo 6 6 2" xfId="1619"/>
    <cellStyle name="Cálculo 6 7" xfId="1620"/>
    <cellStyle name="Cálculo 6 7 2" xfId="1621"/>
    <cellStyle name="Cálculo 6 8" xfId="1622"/>
    <cellStyle name="Cálculo 6 8 2" xfId="1623"/>
    <cellStyle name="Cálculo 6 9" xfId="1624"/>
    <cellStyle name="Cálculo 6 9 2" xfId="1625"/>
    <cellStyle name="Cálculo 7" xfId="1626"/>
    <cellStyle name="Cálculo 7 10" xfId="1627"/>
    <cellStyle name="Cálculo 7 10 2" xfId="1628"/>
    <cellStyle name="Cálculo 7 11" xfId="1629"/>
    <cellStyle name="Cálculo 7 11 2" xfId="1630"/>
    <cellStyle name="Cálculo 7 12" xfId="1631"/>
    <cellStyle name="Cálculo 7 12 2" xfId="1632"/>
    <cellStyle name="Cálculo 7 13" xfId="1633"/>
    <cellStyle name="Cálculo 7 13 2" xfId="1634"/>
    <cellStyle name="Cálculo 7 14" xfId="1635"/>
    <cellStyle name="Cálculo 7 14 2" xfId="1636"/>
    <cellStyle name="Cálculo 7 15" xfId="1637"/>
    <cellStyle name="Cálculo 7 15 2" xfId="1638"/>
    <cellStyle name="Cálculo 7 16" xfId="1639"/>
    <cellStyle name="Cálculo 7 16 2" xfId="1640"/>
    <cellStyle name="Cálculo 7 2" xfId="1641"/>
    <cellStyle name="Cálculo 7 2 2" xfId="1642"/>
    <cellStyle name="Cálculo 7 2 2 2" xfId="1643"/>
    <cellStyle name="Cálculo 7 2 3" xfId="1644"/>
    <cellStyle name="Cálculo 7 2 3 2" xfId="1645"/>
    <cellStyle name="Cálculo 7 2 4" xfId="1646"/>
    <cellStyle name="Cálculo 7 3" xfId="1647"/>
    <cellStyle name="Cálculo 7 3 2" xfId="1648"/>
    <cellStyle name="Cálculo 7 3 2 2" xfId="1649"/>
    <cellStyle name="Cálculo 7 3 3" xfId="1650"/>
    <cellStyle name="Cálculo 7 3 3 2" xfId="1651"/>
    <cellStyle name="Cálculo 7 3 4" xfId="1652"/>
    <cellStyle name="Cálculo 7 4" xfId="1653"/>
    <cellStyle name="Cálculo 7 4 2" xfId="1654"/>
    <cellStyle name="Cálculo 7 5" xfId="1655"/>
    <cellStyle name="Cálculo 7 5 2" xfId="1656"/>
    <cellStyle name="Cálculo 7 6" xfId="1657"/>
    <cellStyle name="Cálculo 7 6 2" xfId="1658"/>
    <cellStyle name="Cálculo 7 7" xfId="1659"/>
    <cellStyle name="Cálculo 7 7 2" xfId="1660"/>
    <cellStyle name="Cálculo 7 8" xfId="1661"/>
    <cellStyle name="Cálculo 7 8 2" xfId="1662"/>
    <cellStyle name="Cálculo 7 9" xfId="1663"/>
    <cellStyle name="Cálculo 7 9 2" xfId="1664"/>
    <cellStyle name="Cálculo 8" xfId="1665"/>
    <cellStyle name="Cálculo 8 2" xfId="1666"/>
    <cellStyle name="Cálculo 8 2 2" xfId="1667"/>
    <cellStyle name="Cálculo 8 3" xfId="1668"/>
    <cellStyle name="Cálculo 8 3 2" xfId="1669"/>
    <cellStyle name="Cálculo 8 4" xfId="1670"/>
    <cellStyle name="Cálculo 9" xfId="1671"/>
    <cellStyle name="Cálculo 9 2" xfId="1672"/>
    <cellStyle name="Cálculo 9 2 2" xfId="1673"/>
    <cellStyle name="Cálculo 9 3" xfId="1674"/>
    <cellStyle name="Cálculo 9 3 2" xfId="1675"/>
    <cellStyle name="Cálculo 9 4" xfId="1676"/>
    <cellStyle name="Celda de comprobación" xfId="1677"/>
    <cellStyle name="Celda vinculada" xfId="1678"/>
    <cellStyle name="Check Cell" xfId="21" builtinId="23" customBuiltin="1"/>
    <cellStyle name="Check Cell 2" xfId="85"/>
    <cellStyle name="Check Cell 2 10" xfId="1679"/>
    <cellStyle name="Check Cell 2 11" xfId="1680"/>
    <cellStyle name="Check Cell 2 12" xfId="1681"/>
    <cellStyle name="Check Cell 2 13" xfId="1682"/>
    <cellStyle name="Check Cell 2 14" xfId="1683"/>
    <cellStyle name="Check Cell 2 15" xfId="1684"/>
    <cellStyle name="Check Cell 2 16" xfId="1685"/>
    <cellStyle name="Check Cell 2 17" xfId="1686"/>
    <cellStyle name="Check Cell 2 2" xfId="1687"/>
    <cellStyle name="Check Cell 2 2 2" xfId="1688"/>
    <cellStyle name="Check Cell 2 2 2 2" xfId="1689"/>
    <cellStyle name="Check Cell 2 2 2 3" xfId="1690"/>
    <cellStyle name="Check Cell 2 2 3" xfId="1691"/>
    <cellStyle name="Check Cell 2 2 4" xfId="1692"/>
    <cellStyle name="Check Cell 2 3" xfId="1693"/>
    <cellStyle name="Check Cell 2 4" xfId="1694"/>
    <cellStyle name="Check Cell 2 5" xfId="1695"/>
    <cellStyle name="Check Cell 2 6" xfId="1696"/>
    <cellStyle name="Check Cell 2 7" xfId="1697"/>
    <cellStyle name="Check Cell 2 8" xfId="1698"/>
    <cellStyle name="Check Cell 2 9" xfId="1699"/>
    <cellStyle name="Check Cell 3" xfId="1700"/>
    <cellStyle name="Check Cell 3 2" xfId="1701"/>
    <cellStyle name="Check Cell 3 3" xfId="1702"/>
    <cellStyle name="Check Cell 4" xfId="1703"/>
    <cellStyle name="Co. Names" xfId="1704"/>
    <cellStyle name="Co. Names - Bold" xfId="1705"/>
    <cellStyle name="Co. Names 10" xfId="1706"/>
    <cellStyle name="Co. Names 11" xfId="1707"/>
    <cellStyle name="Co. Names 12" xfId="1708"/>
    <cellStyle name="Co. Names 13" xfId="1709"/>
    <cellStyle name="Co. Names 14" xfId="1710"/>
    <cellStyle name="Co. Names 15" xfId="1711"/>
    <cellStyle name="Co. Names 16" xfId="1712"/>
    <cellStyle name="Co. Names 17" xfId="1713"/>
    <cellStyle name="Co. Names 18" xfId="1714"/>
    <cellStyle name="Co. Names 19" xfId="1715"/>
    <cellStyle name="Co. Names 2" xfId="1716"/>
    <cellStyle name="Co. Names 20" xfId="1717"/>
    <cellStyle name="Co. Names 21" xfId="1718"/>
    <cellStyle name="Co. Names 22" xfId="1719"/>
    <cellStyle name="Co. Names 23" xfId="1720"/>
    <cellStyle name="Co. Names 24" xfId="1721"/>
    <cellStyle name="Co. Names 3" xfId="1722"/>
    <cellStyle name="Co. Names 4" xfId="1723"/>
    <cellStyle name="Co. Names 5" xfId="1724"/>
    <cellStyle name="Co. Names 6" xfId="1725"/>
    <cellStyle name="Co. Names 7" xfId="1726"/>
    <cellStyle name="Co. Names 8" xfId="1727"/>
    <cellStyle name="Co. Names 9" xfId="1728"/>
    <cellStyle name="Co. Names_Break-Up" xfId="1729"/>
    <cellStyle name="COL HEADINGS" xfId="1730"/>
    <cellStyle name="Column heading" xfId="139"/>
    <cellStyle name="Comma" xfId="1" builtinId="3"/>
    <cellStyle name="Comma ,0" xfId="1731"/>
    <cellStyle name="Comma [0] 2" xfId="1732"/>
    <cellStyle name="Comma 0" xfId="1733"/>
    <cellStyle name="Comma 10" xfId="1734"/>
    <cellStyle name="Comma 10 2" xfId="1735"/>
    <cellStyle name="Comma 10 2 10" xfId="1736"/>
    <cellStyle name="Comma 10 2 11" xfId="1737"/>
    <cellStyle name="Comma 10 2 12" xfId="1738"/>
    <cellStyle name="Comma 10 2 13" xfId="1739"/>
    <cellStyle name="Comma 10 2 14" xfId="1740"/>
    <cellStyle name="Comma 10 2 15" xfId="1741"/>
    <cellStyle name="Comma 10 2 16" xfId="1742"/>
    <cellStyle name="Comma 10 2 2" xfId="1743"/>
    <cellStyle name="Comma 10 2 3" xfId="1744"/>
    <cellStyle name="Comma 10 2 4" xfId="1745"/>
    <cellStyle name="Comma 10 2 5" xfId="1746"/>
    <cellStyle name="Comma 10 2 6" xfId="1747"/>
    <cellStyle name="Comma 10 2 7" xfId="1748"/>
    <cellStyle name="Comma 10 2 8" xfId="1749"/>
    <cellStyle name="Comma 10 2 9" xfId="1750"/>
    <cellStyle name="Comma 10 3" xfId="1751"/>
    <cellStyle name="Comma 10 3 10" xfId="1752"/>
    <cellStyle name="Comma 10 3 11" xfId="1753"/>
    <cellStyle name="Comma 10 3 12" xfId="1754"/>
    <cellStyle name="Comma 10 3 13" xfId="1755"/>
    <cellStyle name="Comma 10 3 14" xfId="1756"/>
    <cellStyle name="Comma 10 3 15" xfId="1757"/>
    <cellStyle name="Comma 10 3 16" xfId="1758"/>
    <cellStyle name="Comma 10 3 2" xfId="1759"/>
    <cellStyle name="Comma 10 3 3" xfId="1760"/>
    <cellStyle name="Comma 10 3 4" xfId="1761"/>
    <cellStyle name="Comma 10 3 5" xfId="1762"/>
    <cellStyle name="Comma 10 3 6" xfId="1763"/>
    <cellStyle name="Comma 10 3 7" xfId="1764"/>
    <cellStyle name="Comma 10 3 8" xfId="1765"/>
    <cellStyle name="Comma 10 3 9" xfId="1766"/>
    <cellStyle name="Comma 10 4" xfId="1767"/>
    <cellStyle name="Comma 10 4 10" xfId="1768"/>
    <cellStyle name="Comma 10 4 11" xfId="1769"/>
    <cellStyle name="Comma 10 4 12" xfId="1770"/>
    <cellStyle name="Comma 10 4 13" xfId="1771"/>
    <cellStyle name="Comma 10 4 14" xfId="1772"/>
    <cellStyle name="Comma 10 4 15" xfId="1773"/>
    <cellStyle name="Comma 10 4 16" xfId="1774"/>
    <cellStyle name="Comma 10 4 2" xfId="1775"/>
    <cellStyle name="Comma 10 4 3" xfId="1776"/>
    <cellStyle name="Comma 10 4 4" xfId="1777"/>
    <cellStyle name="Comma 10 4 5" xfId="1778"/>
    <cellStyle name="Comma 10 4 6" xfId="1779"/>
    <cellStyle name="Comma 10 4 7" xfId="1780"/>
    <cellStyle name="Comma 10 4 8" xfId="1781"/>
    <cellStyle name="Comma 10 4 9" xfId="1782"/>
    <cellStyle name="Comma 10 5" xfId="1783"/>
    <cellStyle name="Comma 10 5 10" xfId="1784"/>
    <cellStyle name="Comma 10 5 11" xfId="1785"/>
    <cellStyle name="Comma 10 5 12" xfId="1786"/>
    <cellStyle name="Comma 10 5 13" xfId="1787"/>
    <cellStyle name="Comma 10 5 14" xfId="1788"/>
    <cellStyle name="Comma 10 5 15" xfId="1789"/>
    <cellStyle name="Comma 10 5 16" xfId="1790"/>
    <cellStyle name="Comma 10 5 2" xfId="1791"/>
    <cellStyle name="Comma 10 5 3" xfId="1792"/>
    <cellStyle name="Comma 10 5 4" xfId="1793"/>
    <cellStyle name="Comma 10 5 5" xfId="1794"/>
    <cellStyle name="Comma 10 5 6" xfId="1795"/>
    <cellStyle name="Comma 10 5 7" xfId="1796"/>
    <cellStyle name="Comma 10 5 8" xfId="1797"/>
    <cellStyle name="Comma 10 5 9" xfId="1798"/>
    <cellStyle name="Comma 10 6" xfId="1799"/>
    <cellStyle name="Comma 10 6 10" xfId="1800"/>
    <cellStyle name="Comma 10 6 11" xfId="1801"/>
    <cellStyle name="Comma 10 6 12" xfId="1802"/>
    <cellStyle name="Comma 10 6 13" xfId="1803"/>
    <cellStyle name="Comma 10 6 14" xfId="1804"/>
    <cellStyle name="Comma 10 6 15" xfId="1805"/>
    <cellStyle name="Comma 10 6 16" xfId="1806"/>
    <cellStyle name="Comma 10 6 2" xfId="1807"/>
    <cellStyle name="Comma 10 6 3" xfId="1808"/>
    <cellStyle name="Comma 10 6 4" xfId="1809"/>
    <cellStyle name="Comma 10 6 5" xfId="1810"/>
    <cellStyle name="Comma 10 6 6" xfId="1811"/>
    <cellStyle name="Comma 10 6 7" xfId="1812"/>
    <cellStyle name="Comma 10 6 8" xfId="1813"/>
    <cellStyle name="Comma 10 6 9" xfId="1814"/>
    <cellStyle name="Comma 10 7" xfId="1815"/>
    <cellStyle name="Comma 10 7 10" xfId="1816"/>
    <cellStyle name="Comma 10 7 11" xfId="1817"/>
    <cellStyle name="Comma 10 7 12" xfId="1818"/>
    <cellStyle name="Comma 10 7 13" xfId="1819"/>
    <cellStyle name="Comma 10 7 14" xfId="1820"/>
    <cellStyle name="Comma 10 7 15" xfId="1821"/>
    <cellStyle name="Comma 10 7 16" xfId="1822"/>
    <cellStyle name="Comma 10 7 2" xfId="1823"/>
    <cellStyle name="Comma 10 7 3" xfId="1824"/>
    <cellStyle name="Comma 10 7 4" xfId="1825"/>
    <cellStyle name="Comma 10 7 5" xfId="1826"/>
    <cellStyle name="Comma 10 7 6" xfId="1827"/>
    <cellStyle name="Comma 10 7 7" xfId="1828"/>
    <cellStyle name="Comma 10 7 8" xfId="1829"/>
    <cellStyle name="Comma 10 7 9" xfId="1830"/>
    <cellStyle name="Comma 10 8" xfId="1831"/>
    <cellStyle name="Comma 11" xfId="1832"/>
    <cellStyle name="Comma 11 2" xfId="1833"/>
    <cellStyle name="Comma 11 2 10" xfId="1834"/>
    <cellStyle name="Comma 11 2 11" xfId="1835"/>
    <cellStyle name="Comma 11 2 12" xfId="1836"/>
    <cellStyle name="Comma 11 2 13" xfId="1837"/>
    <cellStyle name="Comma 11 2 14" xfId="1838"/>
    <cellStyle name="Comma 11 2 15" xfId="1839"/>
    <cellStyle name="Comma 11 2 16" xfId="1840"/>
    <cellStyle name="Comma 11 2 2" xfId="1841"/>
    <cellStyle name="Comma 11 2 3" xfId="1842"/>
    <cellStyle name="Comma 11 2 4" xfId="1843"/>
    <cellStyle name="Comma 11 2 5" xfId="1844"/>
    <cellStyle name="Comma 11 2 6" xfId="1845"/>
    <cellStyle name="Comma 11 2 7" xfId="1846"/>
    <cellStyle name="Comma 11 2 8" xfId="1847"/>
    <cellStyle name="Comma 11 2 9" xfId="1848"/>
    <cellStyle name="Comma 11 3" xfId="1849"/>
    <cellStyle name="Comma 11 3 10" xfId="1850"/>
    <cellStyle name="Comma 11 3 11" xfId="1851"/>
    <cellStyle name="Comma 11 3 12" xfId="1852"/>
    <cellStyle name="Comma 11 3 13" xfId="1853"/>
    <cellStyle name="Comma 11 3 14" xfId="1854"/>
    <cellStyle name="Comma 11 3 15" xfId="1855"/>
    <cellStyle name="Comma 11 3 16" xfId="1856"/>
    <cellStyle name="Comma 11 3 2" xfId="1857"/>
    <cellStyle name="Comma 11 3 3" xfId="1858"/>
    <cellStyle name="Comma 11 3 4" xfId="1859"/>
    <cellStyle name="Comma 11 3 5" xfId="1860"/>
    <cellStyle name="Comma 11 3 6" xfId="1861"/>
    <cellStyle name="Comma 11 3 7" xfId="1862"/>
    <cellStyle name="Comma 11 3 8" xfId="1863"/>
    <cellStyle name="Comma 11 3 9" xfId="1864"/>
    <cellStyle name="Comma 11 4" xfId="1865"/>
    <cellStyle name="Comma 11 4 10" xfId="1866"/>
    <cellStyle name="Comma 11 4 11" xfId="1867"/>
    <cellStyle name="Comma 11 4 12" xfId="1868"/>
    <cellStyle name="Comma 11 4 13" xfId="1869"/>
    <cellStyle name="Comma 11 4 14" xfId="1870"/>
    <cellStyle name="Comma 11 4 15" xfId="1871"/>
    <cellStyle name="Comma 11 4 16" xfId="1872"/>
    <cellStyle name="Comma 11 4 2" xfId="1873"/>
    <cellStyle name="Comma 11 4 3" xfId="1874"/>
    <cellStyle name="Comma 11 4 4" xfId="1875"/>
    <cellStyle name="Comma 11 4 5" xfId="1876"/>
    <cellStyle name="Comma 11 4 6" xfId="1877"/>
    <cellStyle name="Comma 11 4 7" xfId="1878"/>
    <cellStyle name="Comma 11 4 8" xfId="1879"/>
    <cellStyle name="Comma 11 4 9" xfId="1880"/>
    <cellStyle name="Comma 11 5" xfId="1881"/>
    <cellStyle name="Comma 11 5 10" xfId="1882"/>
    <cellStyle name="Comma 11 5 11" xfId="1883"/>
    <cellStyle name="Comma 11 5 12" xfId="1884"/>
    <cellStyle name="Comma 11 5 13" xfId="1885"/>
    <cellStyle name="Comma 11 5 14" xfId="1886"/>
    <cellStyle name="Comma 11 5 15" xfId="1887"/>
    <cellStyle name="Comma 11 5 16" xfId="1888"/>
    <cellStyle name="Comma 11 5 2" xfId="1889"/>
    <cellStyle name="Comma 11 5 3" xfId="1890"/>
    <cellStyle name="Comma 11 5 4" xfId="1891"/>
    <cellStyle name="Comma 11 5 5" xfId="1892"/>
    <cellStyle name="Comma 11 5 6" xfId="1893"/>
    <cellStyle name="Comma 11 5 7" xfId="1894"/>
    <cellStyle name="Comma 11 5 8" xfId="1895"/>
    <cellStyle name="Comma 11 5 9" xfId="1896"/>
    <cellStyle name="Comma 11 6" xfId="1897"/>
    <cellStyle name="Comma 11 6 10" xfId="1898"/>
    <cellStyle name="Comma 11 6 11" xfId="1899"/>
    <cellStyle name="Comma 11 6 12" xfId="1900"/>
    <cellStyle name="Comma 11 6 13" xfId="1901"/>
    <cellStyle name="Comma 11 6 14" xfId="1902"/>
    <cellStyle name="Comma 11 6 15" xfId="1903"/>
    <cellStyle name="Comma 11 6 16" xfId="1904"/>
    <cellStyle name="Comma 11 6 2" xfId="1905"/>
    <cellStyle name="Comma 11 6 3" xfId="1906"/>
    <cellStyle name="Comma 11 6 4" xfId="1907"/>
    <cellStyle name="Comma 11 6 5" xfId="1908"/>
    <cellStyle name="Comma 11 6 6" xfId="1909"/>
    <cellStyle name="Comma 11 6 7" xfId="1910"/>
    <cellStyle name="Comma 11 6 8" xfId="1911"/>
    <cellStyle name="Comma 11 6 9" xfId="1912"/>
    <cellStyle name="Comma 11 7" xfId="1913"/>
    <cellStyle name="Comma 11 7 10" xfId="1914"/>
    <cellStyle name="Comma 11 7 11" xfId="1915"/>
    <cellStyle name="Comma 11 7 12" xfId="1916"/>
    <cellStyle name="Comma 11 7 13" xfId="1917"/>
    <cellStyle name="Comma 11 7 14" xfId="1918"/>
    <cellStyle name="Comma 11 7 15" xfId="1919"/>
    <cellStyle name="Comma 11 7 16" xfId="1920"/>
    <cellStyle name="Comma 11 7 2" xfId="1921"/>
    <cellStyle name="Comma 11 7 3" xfId="1922"/>
    <cellStyle name="Comma 11 7 4" xfId="1923"/>
    <cellStyle name="Comma 11 7 5" xfId="1924"/>
    <cellStyle name="Comma 11 7 6" xfId="1925"/>
    <cellStyle name="Comma 11 7 7" xfId="1926"/>
    <cellStyle name="Comma 11 7 8" xfId="1927"/>
    <cellStyle name="Comma 11 7 9" xfId="1928"/>
    <cellStyle name="Comma 11 8" xfId="1929"/>
    <cellStyle name="Comma 12" xfId="1930"/>
    <cellStyle name="Comma 12 10" xfId="1931"/>
    <cellStyle name="Comma 12 11" xfId="1932"/>
    <cellStyle name="Comma 12 12" xfId="1933"/>
    <cellStyle name="Comma 12 13" xfId="1934"/>
    <cellStyle name="Comma 12 14" xfId="1935"/>
    <cellStyle name="Comma 12 15" xfId="1936"/>
    <cellStyle name="Comma 12 16" xfId="1937"/>
    <cellStyle name="Comma 12 17" xfId="1938"/>
    <cellStyle name="Comma 12 18" xfId="1939"/>
    <cellStyle name="Comma 12 19" xfId="1940"/>
    <cellStyle name="Comma 12 2" xfId="1941"/>
    <cellStyle name="Comma 12 20" xfId="1942"/>
    <cellStyle name="Comma 12 21" xfId="1943"/>
    <cellStyle name="Comma 12 22" xfId="1944"/>
    <cellStyle name="Comma 12 23" xfId="1945"/>
    <cellStyle name="Comma 12 24" xfId="1946"/>
    <cellStyle name="Comma 12 25" xfId="1947"/>
    <cellStyle name="Comma 12 3" xfId="1948"/>
    <cellStyle name="Comma 12 4" xfId="1949"/>
    <cellStyle name="Comma 12 5" xfId="1950"/>
    <cellStyle name="Comma 12 6" xfId="1951"/>
    <cellStyle name="Comma 12 7" xfId="1952"/>
    <cellStyle name="Comma 12 8" xfId="1953"/>
    <cellStyle name="Comma 12 9" xfId="1954"/>
    <cellStyle name="Comma 13" xfId="1955"/>
    <cellStyle name="Comma 13 2" xfId="1956"/>
    <cellStyle name="Comma 13 3" xfId="1957"/>
    <cellStyle name="Comma 14 2" xfId="1958"/>
    <cellStyle name="Comma 14 3" xfId="1959"/>
    <cellStyle name="Comma 2" xfId="2"/>
    <cellStyle name="Comma 2 10" xfId="1960"/>
    <cellStyle name="Comma 2 11" xfId="1961"/>
    <cellStyle name="Comma 2 11 2" xfId="1962"/>
    <cellStyle name="Comma 2 11 2 2" xfId="1963"/>
    <cellStyle name="Comma 2 11 2 3" xfId="1964"/>
    <cellStyle name="Comma 2 11 3" xfId="1965"/>
    <cellStyle name="Comma 2 11 4" xfId="1966"/>
    <cellStyle name="Comma 2 11 5" xfId="1967"/>
    <cellStyle name="Comma 2 12" xfId="1968"/>
    <cellStyle name="Comma 2 12 2" xfId="1969"/>
    <cellStyle name="Comma 2 12 2 2" xfId="1970"/>
    <cellStyle name="Comma 2 12 2 3" xfId="1971"/>
    <cellStyle name="Comma 2 12 3" xfId="1972"/>
    <cellStyle name="Comma 2 13" xfId="1973"/>
    <cellStyle name="Comma 2 14" xfId="1974"/>
    <cellStyle name="Comma 2 15" xfId="1975"/>
    <cellStyle name="Comma 2 16" xfId="1976"/>
    <cellStyle name="Comma 2 17" xfId="1977"/>
    <cellStyle name="Comma 2 18" xfId="1978"/>
    <cellStyle name="Comma 2 19" xfId="1979"/>
    <cellStyle name="Comma 2 2" xfId="86"/>
    <cellStyle name="Comma 2 2 10" xfId="1980"/>
    <cellStyle name="Comma 2 2 11" xfId="1981"/>
    <cellStyle name="Comma 2 2 12" xfId="1982"/>
    <cellStyle name="Comma 2 2 13" xfId="1983"/>
    <cellStyle name="Comma 2 2 14" xfId="1984"/>
    <cellStyle name="Comma 2 2 15" xfId="1985"/>
    <cellStyle name="Comma 2 2 16" xfId="1986"/>
    <cellStyle name="Comma 2 2 17" xfId="1987"/>
    <cellStyle name="Comma 2 2 18" xfId="1988"/>
    <cellStyle name="Comma 2 2 19" xfId="1989"/>
    <cellStyle name="Comma 2 2 2" xfId="1990"/>
    <cellStyle name="Comma 2 2 2 10" xfId="1991"/>
    <cellStyle name="Comma 2 2 2 11" xfId="1992"/>
    <cellStyle name="Comma 2 2 2 12" xfId="1993"/>
    <cellStyle name="Comma 2 2 2 13" xfId="1994"/>
    <cellStyle name="Comma 2 2 2 14" xfId="1995"/>
    <cellStyle name="Comma 2 2 2 15" xfId="1996"/>
    <cellStyle name="Comma 2 2 2 16" xfId="1997"/>
    <cellStyle name="Comma 2 2 2 17" xfId="1998"/>
    <cellStyle name="Comma 2 2 2 18" xfId="1999"/>
    <cellStyle name="Comma 2 2 2 19" xfId="2000"/>
    <cellStyle name="Comma 2 2 2 2" xfId="2001"/>
    <cellStyle name="Comma 2 2 2 20" xfId="2002"/>
    <cellStyle name="Comma 2 2 2 21" xfId="2003"/>
    <cellStyle name="Comma 2 2 2 22" xfId="2004"/>
    <cellStyle name="Comma 2 2 2 23" xfId="2005"/>
    <cellStyle name="Comma 2 2 2 24" xfId="2006"/>
    <cellStyle name="Comma 2 2 2 25" xfId="2007"/>
    <cellStyle name="Comma 2 2 2 26" xfId="2008"/>
    <cellStyle name="Comma 2 2 2 27" xfId="2009"/>
    <cellStyle name="Comma 2 2 2 28" xfId="2010"/>
    <cellStyle name="Comma 2 2 2 29" xfId="2011"/>
    <cellStyle name="Comma 2 2 2 3" xfId="2012"/>
    <cellStyle name="Comma 2 2 2 30" xfId="2013"/>
    <cellStyle name="Comma 2 2 2 31" xfId="2014"/>
    <cellStyle name="Comma 2 2 2 32" xfId="2015"/>
    <cellStyle name="Comma 2 2 2 33" xfId="2016"/>
    <cellStyle name="Comma 2 2 2 34" xfId="2017"/>
    <cellStyle name="Comma 2 2 2 35" xfId="2018"/>
    <cellStyle name="Comma 2 2 2 36" xfId="2019"/>
    <cellStyle name="Comma 2 2 2 37" xfId="2020"/>
    <cellStyle name="Comma 2 2 2 38" xfId="2021"/>
    <cellStyle name="Comma 2 2 2 39" xfId="2022"/>
    <cellStyle name="Comma 2 2 2 4" xfId="2023"/>
    <cellStyle name="Comma 2 2 2 40" xfId="2024"/>
    <cellStyle name="Comma 2 2 2 41" xfId="2025"/>
    <cellStyle name="Comma 2 2 2 42" xfId="2026"/>
    <cellStyle name="Comma 2 2 2 43" xfId="2027"/>
    <cellStyle name="Comma 2 2 2 44" xfId="2028"/>
    <cellStyle name="Comma 2 2 2 45" xfId="2029"/>
    <cellStyle name="Comma 2 2 2 5" xfId="2030"/>
    <cellStyle name="Comma 2 2 2 6" xfId="2031"/>
    <cellStyle name="Comma 2 2 2 7" xfId="2032"/>
    <cellStyle name="Comma 2 2 2 8" xfId="2033"/>
    <cellStyle name="Comma 2 2 2 9" xfId="2034"/>
    <cellStyle name="Comma 2 2 20" xfId="2035"/>
    <cellStyle name="Comma 2 2 21" xfId="2036"/>
    <cellStyle name="Comma 2 2 22" xfId="2037"/>
    <cellStyle name="Comma 2 2 23" xfId="2038"/>
    <cellStyle name="Comma 2 2 3" xfId="2039"/>
    <cellStyle name="Comma 2 2 3 2" xfId="2040"/>
    <cellStyle name="Comma 2 2 3 2 2" xfId="2041"/>
    <cellStyle name="Comma 2 2 3 2 3" xfId="2042"/>
    <cellStyle name="Comma 2 2 3 3" xfId="2043"/>
    <cellStyle name="Comma 2 2 4" xfId="2044"/>
    <cellStyle name="Comma 2 2 4 2" xfId="2045"/>
    <cellStyle name="Comma 2 2 4 2 2" xfId="2046"/>
    <cellStyle name="Comma 2 2 4 2 3" xfId="2047"/>
    <cellStyle name="Comma 2 2 4 3" xfId="2048"/>
    <cellStyle name="Comma 2 2 5" xfId="2049"/>
    <cellStyle name="Comma 2 2 6" xfId="2050"/>
    <cellStyle name="Comma 2 2 7" xfId="2051"/>
    <cellStyle name="Comma 2 2 8" xfId="2052"/>
    <cellStyle name="Comma 2 2 9" xfId="2053"/>
    <cellStyle name="Comma 2 20" xfId="2054"/>
    <cellStyle name="Comma 2 21" xfId="2055"/>
    <cellStyle name="Comma 2 22" xfId="2056"/>
    <cellStyle name="Comma 2 23" xfId="2057"/>
    <cellStyle name="Comma 2 24" xfId="2058"/>
    <cellStyle name="Comma 2 25" xfId="2059"/>
    <cellStyle name="Comma 2 26" xfId="2060"/>
    <cellStyle name="Comma 2 3" xfId="54"/>
    <cellStyle name="Comma 2 3 10" xfId="2061"/>
    <cellStyle name="Comma 2 3 11" xfId="2062"/>
    <cellStyle name="Comma 2 3 12" xfId="2063"/>
    <cellStyle name="Comma 2 3 13" xfId="2064"/>
    <cellStyle name="Comma 2 3 14" xfId="2065"/>
    <cellStyle name="Comma 2 3 15" xfId="2066"/>
    <cellStyle name="Comma 2 3 16" xfId="2067"/>
    <cellStyle name="Comma 2 3 17" xfId="2068"/>
    <cellStyle name="Comma 2 3 18" xfId="2069"/>
    <cellStyle name="Comma 2 3 19" xfId="2070"/>
    <cellStyle name="Comma 2 3 2" xfId="2071"/>
    <cellStyle name="Comma 2 3 20" xfId="2072"/>
    <cellStyle name="Comma 2 3 3" xfId="2073"/>
    <cellStyle name="Comma 2 3 4" xfId="2074"/>
    <cellStyle name="Comma 2 3 5" xfId="2075"/>
    <cellStyle name="Comma 2 3 6" xfId="2076"/>
    <cellStyle name="Comma 2 3 7" xfId="2077"/>
    <cellStyle name="Comma 2 3 8" xfId="2078"/>
    <cellStyle name="Comma 2 3 9" xfId="2079"/>
    <cellStyle name="Comma 2 4" xfId="2080"/>
    <cellStyle name="Comma 2 4 10" xfId="2081"/>
    <cellStyle name="Comma 2 4 11" xfId="2082"/>
    <cellStyle name="Comma 2 4 12" xfId="2083"/>
    <cellStyle name="Comma 2 4 13" xfId="2084"/>
    <cellStyle name="Comma 2 4 14" xfId="2085"/>
    <cellStyle name="Comma 2 4 15" xfId="2086"/>
    <cellStyle name="Comma 2 4 16" xfId="2087"/>
    <cellStyle name="Comma 2 4 17" xfId="2088"/>
    <cellStyle name="Comma 2 4 18" xfId="2089"/>
    <cellStyle name="Comma 2 4 19" xfId="2090"/>
    <cellStyle name="Comma 2 4 2" xfId="2091"/>
    <cellStyle name="Comma 2 4 3" xfId="2092"/>
    <cellStyle name="Comma 2 4 4" xfId="2093"/>
    <cellStyle name="Comma 2 4 5" xfId="2094"/>
    <cellStyle name="Comma 2 4 6" xfId="2095"/>
    <cellStyle name="Comma 2 4 7" xfId="2096"/>
    <cellStyle name="Comma 2 4 8" xfId="2097"/>
    <cellStyle name="Comma 2 4 9" xfId="2098"/>
    <cellStyle name="Comma 2 5" xfId="2099"/>
    <cellStyle name="Comma 2 5 10" xfId="2100"/>
    <cellStyle name="Comma 2 5 11" xfId="2101"/>
    <cellStyle name="Comma 2 5 12" xfId="2102"/>
    <cellStyle name="Comma 2 5 13" xfId="2103"/>
    <cellStyle name="Comma 2 5 14" xfId="2104"/>
    <cellStyle name="Comma 2 5 15" xfId="2105"/>
    <cellStyle name="Comma 2 5 16" xfId="2106"/>
    <cellStyle name="Comma 2 5 17" xfId="2107"/>
    <cellStyle name="Comma 2 5 18" xfId="2108"/>
    <cellStyle name="Comma 2 5 19" xfId="2109"/>
    <cellStyle name="Comma 2 5 2" xfId="2110"/>
    <cellStyle name="Comma 2 5 3" xfId="2111"/>
    <cellStyle name="Comma 2 5 4" xfId="2112"/>
    <cellStyle name="Comma 2 5 5" xfId="2113"/>
    <cellStyle name="Comma 2 5 6" xfId="2114"/>
    <cellStyle name="Comma 2 5 7" xfId="2115"/>
    <cellStyle name="Comma 2 5 8" xfId="2116"/>
    <cellStyle name="Comma 2 5 9" xfId="2117"/>
    <cellStyle name="Comma 2 6" xfId="2118"/>
    <cellStyle name="Comma 2 6 10" xfId="2119"/>
    <cellStyle name="Comma 2 6 11" xfId="2120"/>
    <cellStyle name="Comma 2 6 12" xfId="2121"/>
    <cellStyle name="Comma 2 6 13" xfId="2122"/>
    <cellStyle name="Comma 2 6 14" xfId="2123"/>
    <cellStyle name="Comma 2 6 15" xfId="2124"/>
    <cellStyle name="Comma 2 6 16" xfId="2125"/>
    <cellStyle name="Comma 2 6 17" xfId="2126"/>
    <cellStyle name="Comma 2 6 18" xfId="2127"/>
    <cellStyle name="Comma 2 6 19" xfId="2128"/>
    <cellStyle name="Comma 2 6 2" xfId="2129"/>
    <cellStyle name="Comma 2 6 20" xfId="2130"/>
    <cellStyle name="Comma 2 6 21" xfId="2131"/>
    <cellStyle name="Comma 2 6 22" xfId="2132"/>
    <cellStyle name="Comma 2 6 23" xfId="2133"/>
    <cellStyle name="Comma 2 6 24" xfId="2134"/>
    <cellStyle name="Comma 2 6 25" xfId="2135"/>
    <cellStyle name="Comma 2 6 26" xfId="2136"/>
    <cellStyle name="Comma 2 6 27" xfId="2137"/>
    <cellStyle name="Comma 2 6 28" xfId="2138"/>
    <cellStyle name="Comma 2 6 29" xfId="2139"/>
    <cellStyle name="Comma 2 6 3" xfId="2140"/>
    <cellStyle name="Comma 2 6 30" xfId="2141"/>
    <cellStyle name="Comma 2 6 31" xfId="2142"/>
    <cellStyle name="Comma 2 6 32" xfId="2143"/>
    <cellStyle name="Comma 2 6 33" xfId="2144"/>
    <cellStyle name="Comma 2 6 34" xfId="2145"/>
    <cellStyle name="Comma 2 6 35" xfId="2146"/>
    <cellStyle name="Comma 2 6 36" xfId="2147"/>
    <cellStyle name="Comma 2 6 37" xfId="2148"/>
    <cellStyle name="Comma 2 6 38" xfId="2149"/>
    <cellStyle name="Comma 2 6 39" xfId="2150"/>
    <cellStyle name="Comma 2 6 4" xfId="2151"/>
    <cellStyle name="Comma 2 6 40" xfId="2152"/>
    <cellStyle name="Comma 2 6 41" xfId="2153"/>
    <cellStyle name="Comma 2 6 42" xfId="2154"/>
    <cellStyle name="Comma 2 6 43" xfId="2155"/>
    <cellStyle name="Comma 2 6 44" xfId="2156"/>
    <cellStyle name="Comma 2 6 45" xfId="2157"/>
    <cellStyle name="Comma 2 6 5" xfId="2158"/>
    <cellStyle name="Comma 2 6 6" xfId="2159"/>
    <cellStyle name="Comma 2 6 7" xfId="2160"/>
    <cellStyle name="Comma 2 6 8" xfId="2161"/>
    <cellStyle name="Comma 2 6 9" xfId="2162"/>
    <cellStyle name="Comma 2 7" xfId="2163"/>
    <cellStyle name="Comma 2 8" xfId="2164"/>
    <cellStyle name="Comma 2 9" xfId="2165"/>
    <cellStyle name="Comma 3" xfId="3"/>
    <cellStyle name="Comma 3 10" xfId="2166"/>
    <cellStyle name="Comma 3 11" xfId="2167"/>
    <cellStyle name="Comma 3 12" xfId="2168"/>
    <cellStyle name="Comma 3 13" xfId="2169"/>
    <cellStyle name="Comma 3 14" xfId="2170"/>
    <cellStyle name="Comma 3 15" xfId="2171"/>
    <cellStyle name="Comma 3 16" xfId="2172"/>
    <cellStyle name="Comma 3 17" xfId="2173"/>
    <cellStyle name="Comma 3 18" xfId="2174"/>
    <cellStyle name="Comma 3 19" xfId="2175"/>
    <cellStyle name="Comma 3 2" xfId="138"/>
    <cellStyle name="Comma 3 2 2" xfId="2176"/>
    <cellStyle name="Comma 3 20" xfId="2177"/>
    <cellStyle name="Comma 3 21" xfId="2178"/>
    <cellStyle name="Comma 3 3" xfId="87"/>
    <cellStyle name="Comma 3 4" xfId="2179"/>
    <cellStyle name="Comma 3 5" xfId="2180"/>
    <cellStyle name="Comma 3 6" xfId="2181"/>
    <cellStyle name="Comma 3 7" xfId="2182"/>
    <cellStyle name="Comma 3 8" xfId="2183"/>
    <cellStyle name="Comma 3 9" xfId="2184"/>
    <cellStyle name="Comma 4" xfId="88"/>
    <cellStyle name="Comma 4 10" xfId="2185"/>
    <cellStyle name="Comma 4 11" xfId="2186"/>
    <cellStyle name="Comma 4 12" xfId="2187"/>
    <cellStyle name="Comma 4 13" xfId="2188"/>
    <cellStyle name="Comma 4 14" xfId="2189"/>
    <cellStyle name="Comma 4 15" xfId="2190"/>
    <cellStyle name="Comma 4 16" xfId="2191"/>
    <cellStyle name="Comma 4 17" xfId="2192"/>
    <cellStyle name="Comma 4 18" xfId="2193"/>
    <cellStyle name="Comma 4 19" xfId="2194"/>
    <cellStyle name="Comma 4 2" xfId="2195"/>
    <cellStyle name="Comma 4 2 10" xfId="2196"/>
    <cellStyle name="Comma 4 2 11" xfId="2197"/>
    <cellStyle name="Comma 4 2 12" xfId="2198"/>
    <cellStyle name="Comma 4 2 13" xfId="2199"/>
    <cellStyle name="Comma 4 2 14" xfId="2200"/>
    <cellStyle name="Comma 4 2 15" xfId="2201"/>
    <cellStyle name="Comma 4 2 16" xfId="2202"/>
    <cellStyle name="Comma 4 2 17" xfId="2203"/>
    <cellStyle name="Comma 4 2 18" xfId="2204"/>
    <cellStyle name="Comma 4 2 19" xfId="2205"/>
    <cellStyle name="Comma 4 2 2" xfId="2206"/>
    <cellStyle name="Comma 4 2 20" xfId="2207"/>
    <cellStyle name="Comma 4 2 21" xfId="2208"/>
    <cellStyle name="Comma 4 2 22" xfId="2209"/>
    <cellStyle name="Comma 4 2 23" xfId="2210"/>
    <cellStyle name="Comma 4 2 24" xfId="2211"/>
    <cellStyle name="Comma 4 2 25" xfId="2212"/>
    <cellStyle name="Comma 4 2 26" xfId="2213"/>
    <cellStyle name="Comma 4 2 27" xfId="2214"/>
    <cellStyle name="Comma 4 2 28" xfId="2215"/>
    <cellStyle name="Comma 4 2 29" xfId="2216"/>
    <cellStyle name="Comma 4 2 3" xfId="2217"/>
    <cellStyle name="Comma 4 2 30" xfId="2218"/>
    <cellStyle name="Comma 4 2 31" xfId="2219"/>
    <cellStyle name="Comma 4 2 32" xfId="2220"/>
    <cellStyle name="Comma 4 2 33" xfId="2221"/>
    <cellStyle name="Comma 4 2 34" xfId="2222"/>
    <cellStyle name="Comma 4 2 35" xfId="2223"/>
    <cellStyle name="Comma 4 2 36" xfId="2224"/>
    <cellStyle name="Comma 4 2 37" xfId="2225"/>
    <cellStyle name="Comma 4 2 38" xfId="2226"/>
    <cellStyle name="Comma 4 2 39" xfId="2227"/>
    <cellStyle name="Comma 4 2 4" xfId="2228"/>
    <cellStyle name="Comma 4 2 40" xfId="2229"/>
    <cellStyle name="Comma 4 2 41" xfId="2230"/>
    <cellStyle name="Comma 4 2 42" xfId="2231"/>
    <cellStyle name="Comma 4 2 43" xfId="2232"/>
    <cellStyle name="Comma 4 2 5" xfId="2233"/>
    <cellStyle name="Comma 4 2 6" xfId="2234"/>
    <cellStyle name="Comma 4 2 7" xfId="2235"/>
    <cellStyle name="Comma 4 2 8" xfId="2236"/>
    <cellStyle name="Comma 4 2 9" xfId="2237"/>
    <cellStyle name="Comma 4 20" xfId="2238"/>
    <cellStyle name="Comma 4 21" xfId="2239"/>
    <cellStyle name="Comma 4 22" xfId="2240"/>
    <cellStyle name="Comma 4 23" xfId="2241"/>
    <cellStyle name="Comma 4 3" xfId="2242"/>
    <cellStyle name="Comma 4 3 10" xfId="2243"/>
    <cellStyle name="Comma 4 3 11" xfId="2244"/>
    <cellStyle name="Comma 4 3 12" xfId="2245"/>
    <cellStyle name="Comma 4 3 13" xfId="2246"/>
    <cellStyle name="Comma 4 3 14" xfId="2247"/>
    <cellStyle name="Comma 4 3 15" xfId="2248"/>
    <cellStyle name="Comma 4 3 16" xfId="2249"/>
    <cellStyle name="Comma 4 3 17" xfId="2250"/>
    <cellStyle name="Comma 4 3 18" xfId="2251"/>
    <cellStyle name="Comma 4 3 19" xfId="2252"/>
    <cellStyle name="Comma 4 3 2" xfId="2253"/>
    <cellStyle name="Comma 4 3 20" xfId="2254"/>
    <cellStyle name="Comma 4 3 21" xfId="2255"/>
    <cellStyle name="Comma 4 3 22" xfId="2256"/>
    <cellStyle name="Comma 4 3 23" xfId="2257"/>
    <cellStyle name="Comma 4 3 24" xfId="2258"/>
    <cellStyle name="Comma 4 3 25" xfId="2259"/>
    <cellStyle name="Comma 4 3 26" xfId="2260"/>
    <cellStyle name="Comma 4 3 27" xfId="2261"/>
    <cellStyle name="Comma 4 3 28" xfId="2262"/>
    <cellStyle name="Comma 4 3 29" xfId="2263"/>
    <cellStyle name="Comma 4 3 3" xfId="2264"/>
    <cellStyle name="Comma 4 3 30" xfId="2265"/>
    <cellStyle name="Comma 4 3 31" xfId="2266"/>
    <cellStyle name="Comma 4 3 32" xfId="2267"/>
    <cellStyle name="Comma 4 3 33" xfId="2268"/>
    <cellStyle name="Comma 4 3 34" xfId="2269"/>
    <cellStyle name="Comma 4 3 35" xfId="2270"/>
    <cellStyle name="Comma 4 3 36" xfId="2271"/>
    <cellStyle name="Comma 4 3 37" xfId="2272"/>
    <cellStyle name="Comma 4 3 38" xfId="2273"/>
    <cellStyle name="Comma 4 3 39" xfId="2274"/>
    <cellStyle name="Comma 4 3 4" xfId="2275"/>
    <cellStyle name="Comma 4 3 40" xfId="2276"/>
    <cellStyle name="Comma 4 3 41" xfId="2277"/>
    <cellStyle name="Comma 4 3 42" xfId="2278"/>
    <cellStyle name="Comma 4 3 43" xfId="2279"/>
    <cellStyle name="Comma 4 3 5" xfId="2280"/>
    <cellStyle name="Comma 4 3 6" xfId="2281"/>
    <cellStyle name="Comma 4 3 7" xfId="2282"/>
    <cellStyle name="Comma 4 3 8" xfId="2283"/>
    <cellStyle name="Comma 4 3 9" xfId="2284"/>
    <cellStyle name="Comma 4 4" xfId="2285"/>
    <cellStyle name="Comma 4 5" xfId="2286"/>
    <cellStyle name="Comma 4 6" xfId="2287"/>
    <cellStyle name="Comma 4 7" xfId="2288"/>
    <cellStyle name="Comma 4 8" xfId="2289"/>
    <cellStyle name="Comma 4 9" xfId="2290"/>
    <cellStyle name="Comma 5" xfId="50"/>
    <cellStyle name="Comma 5 10" xfId="2291"/>
    <cellStyle name="Comma 5 11" xfId="2292"/>
    <cellStyle name="Comma 5 12" xfId="2293"/>
    <cellStyle name="Comma 5 13" xfId="2294"/>
    <cellStyle name="Comma 5 14" xfId="2295"/>
    <cellStyle name="Comma 5 15" xfId="2296"/>
    <cellStyle name="Comma 5 16" xfId="2297"/>
    <cellStyle name="Comma 5 17" xfId="2298"/>
    <cellStyle name="Comma 5 18" xfId="2299"/>
    <cellStyle name="Comma 5 19" xfId="2300"/>
    <cellStyle name="Comma 5 2" xfId="2301"/>
    <cellStyle name="Comma 5 2 10" xfId="2302"/>
    <cellStyle name="Comma 5 2 11" xfId="2303"/>
    <cellStyle name="Comma 5 2 12" xfId="2304"/>
    <cellStyle name="Comma 5 2 13" xfId="2305"/>
    <cellStyle name="Comma 5 2 14" xfId="2306"/>
    <cellStyle name="Comma 5 2 15" xfId="2307"/>
    <cellStyle name="Comma 5 2 16" xfId="2308"/>
    <cellStyle name="Comma 5 2 17" xfId="2309"/>
    <cellStyle name="Comma 5 2 18" xfId="2310"/>
    <cellStyle name="Comma 5 2 19" xfId="2311"/>
    <cellStyle name="Comma 5 2 2" xfId="2312"/>
    <cellStyle name="Comma 5 2 3" xfId="2313"/>
    <cellStyle name="Comma 5 2 4" xfId="2314"/>
    <cellStyle name="Comma 5 2 5" xfId="2315"/>
    <cellStyle name="Comma 5 2 6" xfId="2316"/>
    <cellStyle name="Comma 5 2 7" xfId="2317"/>
    <cellStyle name="Comma 5 2 8" xfId="2318"/>
    <cellStyle name="Comma 5 2 9" xfId="2319"/>
    <cellStyle name="Comma 5 20" xfId="2320"/>
    <cellStyle name="Comma 5 21" xfId="2321"/>
    <cellStyle name="Comma 5 22" xfId="2322"/>
    <cellStyle name="Comma 5 3" xfId="2323"/>
    <cellStyle name="Comma 5 4" xfId="2324"/>
    <cellStyle name="Comma 5 5" xfId="2325"/>
    <cellStyle name="Comma 5 6" xfId="2326"/>
    <cellStyle name="Comma 5 7" xfId="2327"/>
    <cellStyle name="Comma 5 8" xfId="2328"/>
    <cellStyle name="Comma 5 9" xfId="2329"/>
    <cellStyle name="Comma 6" xfId="2330"/>
    <cellStyle name="Comma 6 10" xfId="2331"/>
    <cellStyle name="Comma 6 11" xfId="2332"/>
    <cellStyle name="Comma 6 12" xfId="2333"/>
    <cellStyle name="Comma 6 13" xfId="2334"/>
    <cellStyle name="Comma 6 14" xfId="2335"/>
    <cellStyle name="Comma 6 15" xfId="2336"/>
    <cellStyle name="Comma 6 16" xfId="2337"/>
    <cellStyle name="Comma 6 17" xfId="2338"/>
    <cellStyle name="Comma 6 18" xfId="2339"/>
    <cellStyle name="Comma 6 19" xfId="2340"/>
    <cellStyle name="Comma 6 2" xfId="2341"/>
    <cellStyle name="Comma 6 2 10" xfId="2342"/>
    <cellStyle name="Comma 6 2 11" xfId="2343"/>
    <cellStyle name="Comma 6 2 12" xfId="2344"/>
    <cellStyle name="Comma 6 2 13" xfId="2345"/>
    <cellStyle name="Comma 6 2 14" xfId="2346"/>
    <cellStyle name="Comma 6 2 15" xfId="2347"/>
    <cellStyle name="Comma 6 2 16" xfId="2348"/>
    <cellStyle name="Comma 6 2 17" xfId="2349"/>
    <cellStyle name="Comma 6 2 18" xfId="2350"/>
    <cellStyle name="Comma 6 2 19" xfId="2351"/>
    <cellStyle name="Comma 6 2 2" xfId="2352"/>
    <cellStyle name="Comma 6 2 3" xfId="2353"/>
    <cellStyle name="Comma 6 2 4" xfId="2354"/>
    <cellStyle name="Comma 6 2 5" xfId="2355"/>
    <cellStyle name="Comma 6 2 6" xfId="2356"/>
    <cellStyle name="Comma 6 2 7" xfId="2357"/>
    <cellStyle name="Comma 6 2 8" xfId="2358"/>
    <cellStyle name="Comma 6 2 9" xfId="2359"/>
    <cellStyle name="Comma 6 20" xfId="2360"/>
    <cellStyle name="Comma 6 21" xfId="2361"/>
    <cellStyle name="Comma 6 22" xfId="2362"/>
    <cellStyle name="Comma 6 3" xfId="2363"/>
    <cellStyle name="Comma 6 4" xfId="2364"/>
    <cellStyle name="Comma 6 5" xfId="2365"/>
    <cellStyle name="Comma 6 6" xfId="2366"/>
    <cellStyle name="Comma 6 7" xfId="2367"/>
    <cellStyle name="Comma 6 8" xfId="2368"/>
    <cellStyle name="Comma 6 9" xfId="2369"/>
    <cellStyle name="Comma 7" xfId="2370"/>
    <cellStyle name="Comma 7 2" xfId="2371"/>
    <cellStyle name="Comma 7 3" xfId="2372"/>
    <cellStyle name="Comma 8" xfId="2373"/>
    <cellStyle name="Comma 8 2" xfId="2374"/>
    <cellStyle name="Comma 8 3" xfId="2375"/>
    <cellStyle name="Comma 9" xfId="2376"/>
    <cellStyle name="Comma 9 2" xfId="2377"/>
    <cellStyle name="Comma 9 3" xfId="2378"/>
    <cellStyle name="Comma0" xfId="140"/>
    <cellStyle name="Comment" xfId="2379"/>
    <cellStyle name="Comment 10" xfId="2380"/>
    <cellStyle name="Comment 11" xfId="2381"/>
    <cellStyle name="Comment 12" xfId="2382"/>
    <cellStyle name="Comment 13" xfId="2383"/>
    <cellStyle name="Comment 14" xfId="2384"/>
    <cellStyle name="Comment 15" xfId="2385"/>
    <cellStyle name="Comment 16" xfId="2386"/>
    <cellStyle name="Comment 17" xfId="2387"/>
    <cellStyle name="Comment 18" xfId="2388"/>
    <cellStyle name="Comment 19" xfId="2389"/>
    <cellStyle name="Comment 2" xfId="2390"/>
    <cellStyle name="Comment 20" xfId="2391"/>
    <cellStyle name="Comment 21" xfId="2392"/>
    <cellStyle name="Comment 22" xfId="2393"/>
    <cellStyle name="Comment 23" xfId="2394"/>
    <cellStyle name="Comment 24" xfId="2395"/>
    <cellStyle name="Comment 3" xfId="2396"/>
    <cellStyle name="Comment 4" xfId="2397"/>
    <cellStyle name="Comment 5" xfId="2398"/>
    <cellStyle name="Comment 6" xfId="2399"/>
    <cellStyle name="Comment 7" xfId="2400"/>
    <cellStyle name="Comment 8" xfId="2401"/>
    <cellStyle name="Comment 9" xfId="2402"/>
    <cellStyle name="Corner heading" xfId="141"/>
    <cellStyle name="Currency" xfId="4" builtinId="4"/>
    <cellStyle name="Currency [2]" xfId="2403"/>
    <cellStyle name="Currency [2] 10" xfId="2404"/>
    <cellStyle name="Currency [2] 11" xfId="2405"/>
    <cellStyle name="Currency [2] 12" xfId="2406"/>
    <cellStyle name="Currency [2] 13" xfId="2407"/>
    <cellStyle name="Currency [2] 14" xfId="2408"/>
    <cellStyle name="Currency [2] 15" xfId="2409"/>
    <cellStyle name="Currency [2] 16" xfId="2410"/>
    <cellStyle name="Currency [2] 17" xfId="2411"/>
    <cellStyle name="Currency [2] 18" xfId="2412"/>
    <cellStyle name="Currency [2] 19" xfId="2413"/>
    <cellStyle name="Currency [2] 2" xfId="2414"/>
    <cellStyle name="Currency [2] 2 10" xfId="2415"/>
    <cellStyle name="Currency [2] 2 11" xfId="2416"/>
    <cellStyle name="Currency [2] 2 12" xfId="2417"/>
    <cellStyle name="Currency [2] 2 13" xfId="2418"/>
    <cellStyle name="Currency [2] 2 14" xfId="2419"/>
    <cellStyle name="Currency [2] 2 15" xfId="2420"/>
    <cellStyle name="Currency [2] 2 16" xfId="2421"/>
    <cellStyle name="Currency [2] 2 17" xfId="2422"/>
    <cellStyle name="Currency [2] 2 2" xfId="2423"/>
    <cellStyle name="Currency [2] 2 2 10" xfId="2424"/>
    <cellStyle name="Currency [2] 2 2 11" xfId="2425"/>
    <cellStyle name="Currency [2] 2 2 12" xfId="2426"/>
    <cellStyle name="Currency [2] 2 2 13" xfId="2427"/>
    <cellStyle name="Currency [2] 2 2 14" xfId="2428"/>
    <cellStyle name="Currency [2] 2 2 2" xfId="2429"/>
    <cellStyle name="Currency [2] 2 2 3" xfId="2430"/>
    <cellStyle name="Currency [2] 2 2 4" xfId="2431"/>
    <cellStyle name="Currency [2] 2 2 5" xfId="2432"/>
    <cellStyle name="Currency [2] 2 2 6" xfId="2433"/>
    <cellStyle name="Currency [2] 2 2 7" xfId="2434"/>
    <cellStyle name="Currency [2] 2 2 8" xfId="2435"/>
    <cellStyle name="Currency [2] 2 2 9" xfId="2436"/>
    <cellStyle name="Currency [2] 2 3" xfId="2437"/>
    <cellStyle name="Currency [2] 2 3 2" xfId="2438"/>
    <cellStyle name="Currency [2] 2 3 3" xfId="2439"/>
    <cellStyle name="Currency [2] 2 4" xfId="2440"/>
    <cellStyle name="Currency [2] 2 5" xfId="2441"/>
    <cellStyle name="Currency [2] 2 6" xfId="2442"/>
    <cellStyle name="Currency [2] 2 7" xfId="2443"/>
    <cellStyle name="Currency [2] 2 8" xfId="2444"/>
    <cellStyle name="Currency [2] 2 9" xfId="2445"/>
    <cellStyle name="Currency [2] 20" xfId="2446"/>
    <cellStyle name="Currency [2] 21" xfId="2447"/>
    <cellStyle name="Currency [2] 3" xfId="2448"/>
    <cellStyle name="Currency [2] 3 10" xfId="2449"/>
    <cellStyle name="Currency [2] 3 11" xfId="2450"/>
    <cellStyle name="Currency [2] 3 12" xfId="2451"/>
    <cellStyle name="Currency [2] 3 13" xfId="2452"/>
    <cellStyle name="Currency [2] 3 14" xfId="2453"/>
    <cellStyle name="Currency [2] 3 15" xfId="2454"/>
    <cellStyle name="Currency [2] 3 16" xfId="2455"/>
    <cellStyle name="Currency [2] 3 17" xfId="2456"/>
    <cellStyle name="Currency [2] 3 2" xfId="2457"/>
    <cellStyle name="Currency [2] 3 2 10" xfId="2458"/>
    <cellStyle name="Currency [2] 3 2 11" xfId="2459"/>
    <cellStyle name="Currency [2] 3 2 12" xfId="2460"/>
    <cellStyle name="Currency [2] 3 2 13" xfId="2461"/>
    <cellStyle name="Currency [2] 3 2 14" xfId="2462"/>
    <cellStyle name="Currency [2] 3 2 2" xfId="2463"/>
    <cellStyle name="Currency [2] 3 2 3" xfId="2464"/>
    <cellStyle name="Currency [2] 3 2 4" xfId="2465"/>
    <cellStyle name="Currency [2] 3 2 5" xfId="2466"/>
    <cellStyle name="Currency [2] 3 2 6" xfId="2467"/>
    <cellStyle name="Currency [2] 3 2 7" xfId="2468"/>
    <cellStyle name="Currency [2] 3 2 8" xfId="2469"/>
    <cellStyle name="Currency [2] 3 2 9" xfId="2470"/>
    <cellStyle name="Currency [2] 3 3" xfId="2471"/>
    <cellStyle name="Currency [2] 3 3 2" xfId="2472"/>
    <cellStyle name="Currency [2] 3 3 3" xfId="2473"/>
    <cellStyle name="Currency [2] 3 4" xfId="2474"/>
    <cellStyle name="Currency [2] 3 5" xfId="2475"/>
    <cellStyle name="Currency [2] 3 6" xfId="2476"/>
    <cellStyle name="Currency [2] 3 7" xfId="2477"/>
    <cellStyle name="Currency [2] 3 8" xfId="2478"/>
    <cellStyle name="Currency [2] 3 9" xfId="2479"/>
    <cellStyle name="Currency [2] 4" xfId="2480"/>
    <cellStyle name="Currency [2] 4 10" xfId="2481"/>
    <cellStyle name="Currency [2] 4 11" xfId="2482"/>
    <cellStyle name="Currency [2] 4 12" xfId="2483"/>
    <cellStyle name="Currency [2] 4 13" xfId="2484"/>
    <cellStyle name="Currency [2] 4 14" xfId="2485"/>
    <cellStyle name="Currency [2] 4 15" xfId="2486"/>
    <cellStyle name="Currency [2] 4 16" xfId="2487"/>
    <cellStyle name="Currency [2] 4 17" xfId="2488"/>
    <cellStyle name="Currency [2] 4 2" xfId="2489"/>
    <cellStyle name="Currency [2] 4 2 10" xfId="2490"/>
    <cellStyle name="Currency [2] 4 2 11" xfId="2491"/>
    <cellStyle name="Currency [2] 4 2 12" xfId="2492"/>
    <cellStyle name="Currency [2] 4 2 13" xfId="2493"/>
    <cellStyle name="Currency [2] 4 2 14" xfId="2494"/>
    <cellStyle name="Currency [2] 4 2 2" xfId="2495"/>
    <cellStyle name="Currency [2] 4 2 3" xfId="2496"/>
    <cellStyle name="Currency [2] 4 2 4" xfId="2497"/>
    <cellStyle name="Currency [2] 4 2 5" xfId="2498"/>
    <cellStyle name="Currency [2] 4 2 6" xfId="2499"/>
    <cellStyle name="Currency [2] 4 2 7" xfId="2500"/>
    <cellStyle name="Currency [2] 4 2 8" xfId="2501"/>
    <cellStyle name="Currency [2] 4 2 9" xfId="2502"/>
    <cellStyle name="Currency [2] 4 3" xfId="2503"/>
    <cellStyle name="Currency [2] 4 3 2" xfId="2504"/>
    <cellStyle name="Currency [2] 4 3 3" xfId="2505"/>
    <cellStyle name="Currency [2] 4 4" xfId="2506"/>
    <cellStyle name="Currency [2] 4 5" xfId="2507"/>
    <cellStyle name="Currency [2] 4 6" xfId="2508"/>
    <cellStyle name="Currency [2] 4 7" xfId="2509"/>
    <cellStyle name="Currency [2] 4 8" xfId="2510"/>
    <cellStyle name="Currency [2] 4 9" xfId="2511"/>
    <cellStyle name="Currency [2] 5" xfId="2512"/>
    <cellStyle name="Currency [2] 5 10" xfId="2513"/>
    <cellStyle name="Currency [2] 5 11" xfId="2514"/>
    <cellStyle name="Currency [2] 5 12" xfId="2515"/>
    <cellStyle name="Currency [2] 5 13" xfId="2516"/>
    <cellStyle name="Currency [2] 5 14" xfId="2517"/>
    <cellStyle name="Currency [2] 5 15" xfId="2518"/>
    <cellStyle name="Currency [2] 5 16" xfId="2519"/>
    <cellStyle name="Currency [2] 5 17" xfId="2520"/>
    <cellStyle name="Currency [2] 5 2" xfId="2521"/>
    <cellStyle name="Currency [2] 5 2 2" xfId="2522"/>
    <cellStyle name="Currency [2] 5 2 3" xfId="2523"/>
    <cellStyle name="Currency [2] 5 3" xfId="2524"/>
    <cellStyle name="Currency [2] 5 3 2" xfId="2525"/>
    <cellStyle name="Currency [2] 5 3 3" xfId="2526"/>
    <cellStyle name="Currency [2] 5 4" xfId="2527"/>
    <cellStyle name="Currency [2] 5 5" xfId="2528"/>
    <cellStyle name="Currency [2] 5 6" xfId="2529"/>
    <cellStyle name="Currency [2] 5 7" xfId="2530"/>
    <cellStyle name="Currency [2] 5 8" xfId="2531"/>
    <cellStyle name="Currency [2] 5 9" xfId="2532"/>
    <cellStyle name="Currency [2] 6" xfId="2533"/>
    <cellStyle name="Currency [2] 6 10" xfId="2534"/>
    <cellStyle name="Currency [2] 6 11" xfId="2535"/>
    <cellStyle name="Currency [2] 6 12" xfId="2536"/>
    <cellStyle name="Currency [2] 6 13" xfId="2537"/>
    <cellStyle name="Currency [2] 6 14" xfId="2538"/>
    <cellStyle name="Currency [2] 6 15" xfId="2539"/>
    <cellStyle name="Currency [2] 6 16" xfId="2540"/>
    <cellStyle name="Currency [2] 6 2" xfId="2541"/>
    <cellStyle name="Currency [2] 6 2 2" xfId="2542"/>
    <cellStyle name="Currency [2] 6 2 3" xfId="2543"/>
    <cellStyle name="Currency [2] 6 3" xfId="2544"/>
    <cellStyle name="Currency [2] 6 3 2" xfId="2545"/>
    <cellStyle name="Currency [2] 6 3 3" xfId="2546"/>
    <cellStyle name="Currency [2] 6 4" xfId="2547"/>
    <cellStyle name="Currency [2] 6 5" xfId="2548"/>
    <cellStyle name="Currency [2] 6 6" xfId="2549"/>
    <cellStyle name="Currency [2] 6 7" xfId="2550"/>
    <cellStyle name="Currency [2] 6 8" xfId="2551"/>
    <cellStyle name="Currency [2] 6 9" xfId="2552"/>
    <cellStyle name="Currency [2] 7" xfId="2553"/>
    <cellStyle name="Currency [2] 7 2" xfId="2554"/>
    <cellStyle name="Currency [2] 7 3" xfId="2555"/>
    <cellStyle name="Currency [2] 8" xfId="2556"/>
    <cellStyle name="Currency [2] 8 2" xfId="2557"/>
    <cellStyle name="Currency [2] 8 3" xfId="2558"/>
    <cellStyle name="Currency [2] 9" xfId="2559"/>
    <cellStyle name="Currency 0" xfId="2560"/>
    <cellStyle name="Currency 10" xfId="2561"/>
    <cellStyle name="Currency 10 2" xfId="2562"/>
    <cellStyle name="Currency 11" xfId="2563"/>
    <cellStyle name="Currency 12" xfId="2564"/>
    <cellStyle name="Currency 13" xfId="2565"/>
    <cellStyle name="Currency 14" xfId="2566"/>
    <cellStyle name="Currency 15" xfId="2567"/>
    <cellStyle name="Currency 16" xfId="2568"/>
    <cellStyle name="Currency 17" xfId="2569"/>
    <cellStyle name="Currency 18" xfId="2570"/>
    <cellStyle name="Currency 2" xfId="51"/>
    <cellStyle name="Currency 2 10" xfId="2571"/>
    <cellStyle name="Currency 2 10 2" xfId="2572"/>
    <cellStyle name="Currency 2 10 2 2" xfId="2573"/>
    <cellStyle name="Currency 2 10 2 3" xfId="2574"/>
    <cellStyle name="Currency 2 10 3" xfId="2575"/>
    <cellStyle name="Currency 2 11" xfId="2576"/>
    <cellStyle name="Currency 2 12" xfId="2577"/>
    <cellStyle name="Currency 2 13" xfId="2578"/>
    <cellStyle name="Currency 2 14" xfId="2579"/>
    <cellStyle name="Currency 2 15" xfId="2580"/>
    <cellStyle name="Currency 2 16" xfId="2581"/>
    <cellStyle name="Currency 2 17" xfId="2582"/>
    <cellStyle name="Currency 2 18" xfId="2583"/>
    <cellStyle name="Currency 2 19" xfId="2584"/>
    <cellStyle name="Currency 2 2" xfId="2585"/>
    <cellStyle name="Currency 2 2 10" xfId="2586"/>
    <cellStyle name="Currency 2 2 11" xfId="2587"/>
    <cellStyle name="Currency 2 2 12" xfId="2588"/>
    <cellStyle name="Currency 2 2 13" xfId="2589"/>
    <cellStyle name="Currency 2 2 14" xfId="2590"/>
    <cellStyle name="Currency 2 2 15" xfId="2591"/>
    <cellStyle name="Currency 2 2 16" xfId="2592"/>
    <cellStyle name="Currency 2 2 17" xfId="2593"/>
    <cellStyle name="Currency 2 2 18" xfId="2594"/>
    <cellStyle name="Currency 2 2 19" xfId="2595"/>
    <cellStyle name="Currency 2 2 2" xfId="2596"/>
    <cellStyle name="Currency 2 2 2 2" xfId="2597"/>
    <cellStyle name="Currency 2 2 2 2 2" xfId="2598"/>
    <cellStyle name="Currency 2 2 2 2 3" xfId="2599"/>
    <cellStyle name="Currency 2 2 2 3" xfId="2600"/>
    <cellStyle name="Currency 2 2 2 4" xfId="2601"/>
    <cellStyle name="Currency 2 2 2 5" xfId="2602"/>
    <cellStyle name="Currency 2 2 20" xfId="2603"/>
    <cellStyle name="Currency 2 2 3" xfId="2604"/>
    <cellStyle name="Currency 2 2 4" xfId="2605"/>
    <cellStyle name="Currency 2 2 4 2" xfId="2606"/>
    <cellStyle name="Currency 2 2 4 2 2" xfId="2607"/>
    <cellStyle name="Currency 2 2 4 2 3" xfId="2608"/>
    <cellStyle name="Currency 2 2 4 3" xfId="2609"/>
    <cellStyle name="Currency 2 2 5" xfId="2610"/>
    <cellStyle name="Currency 2 2 6" xfId="2611"/>
    <cellStyle name="Currency 2 2 7" xfId="2612"/>
    <cellStyle name="Currency 2 2 8" xfId="2613"/>
    <cellStyle name="Currency 2 2 9" xfId="2614"/>
    <cellStyle name="Currency 2 20" xfId="2615"/>
    <cellStyle name="Currency 2 21" xfId="2616"/>
    <cellStyle name="Currency 2 22" xfId="2617"/>
    <cellStyle name="Currency 2 23" xfId="2618"/>
    <cellStyle name="Currency 2 24" xfId="2619"/>
    <cellStyle name="Currency 2 25" xfId="2620"/>
    <cellStyle name="Currency 2 26" xfId="2621"/>
    <cellStyle name="Currency 2 27" xfId="2622"/>
    <cellStyle name="Currency 2 28" xfId="2623"/>
    <cellStyle name="Currency 2 29" xfId="2624"/>
    <cellStyle name="Currency 2 3" xfId="2625"/>
    <cellStyle name="Currency 2 3 10" xfId="2626"/>
    <cellStyle name="Currency 2 3 11" xfId="2627"/>
    <cellStyle name="Currency 2 3 12" xfId="2628"/>
    <cellStyle name="Currency 2 3 13" xfId="2629"/>
    <cellStyle name="Currency 2 3 14" xfId="2630"/>
    <cellStyle name="Currency 2 3 15" xfId="2631"/>
    <cellStyle name="Currency 2 3 16" xfId="2632"/>
    <cellStyle name="Currency 2 3 17" xfId="2633"/>
    <cellStyle name="Currency 2 3 18" xfId="2634"/>
    <cellStyle name="Currency 2 3 19" xfId="2635"/>
    <cellStyle name="Currency 2 3 2" xfId="2636"/>
    <cellStyle name="Currency 2 3 20" xfId="2637"/>
    <cellStyle name="Currency 2 3 3" xfId="2638"/>
    <cellStyle name="Currency 2 3 4" xfId="2639"/>
    <cellStyle name="Currency 2 3 5" xfId="2640"/>
    <cellStyle name="Currency 2 3 6" xfId="2641"/>
    <cellStyle name="Currency 2 3 7" xfId="2642"/>
    <cellStyle name="Currency 2 3 8" xfId="2643"/>
    <cellStyle name="Currency 2 3 9" xfId="2644"/>
    <cellStyle name="Currency 2 30" xfId="2645"/>
    <cellStyle name="Currency 2 31" xfId="2646"/>
    <cellStyle name="Currency 2 32" xfId="2647"/>
    <cellStyle name="Currency 2 33" xfId="2648"/>
    <cellStyle name="Currency 2 34" xfId="2649"/>
    <cellStyle name="Currency 2 35" xfId="2650"/>
    <cellStyle name="Currency 2 36" xfId="2651"/>
    <cellStyle name="Currency 2 37" xfId="2652"/>
    <cellStyle name="Currency 2 38" xfId="2653"/>
    <cellStyle name="Currency 2 39" xfId="2654"/>
    <cellStyle name="Currency 2 4" xfId="2655"/>
    <cellStyle name="Currency 2 4 10" xfId="2656"/>
    <cellStyle name="Currency 2 4 11" xfId="2657"/>
    <cellStyle name="Currency 2 4 12" xfId="2658"/>
    <cellStyle name="Currency 2 4 13" xfId="2659"/>
    <cellStyle name="Currency 2 4 14" xfId="2660"/>
    <cellStyle name="Currency 2 4 15" xfId="2661"/>
    <cellStyle name="Currency 2 4 16" xfId="2662"/>
    <cellStyle name="Currency 2 4 17" xfId="2663"/>
    <cellStyle name="Currency 2 4 18" xfId="2664"/>
    <cellStyle name="Currency 2 4 19" xfId="2665"/>
    <cellStyle name="Currency 2 4 2" xfId="2666"/>
    <cellStyle name="Currency 2 4 20" xfId="2667"/>
    <cellStyle name="Currency 2 4 3" xfId="2668"/>
    <cellStyle name="Currency 2 4 4" xfId="2669"/>
    <cellStyle name="Currency 2 4 5" xfId="2670"/>
    <cellStyle name="Currency 2 4 6" xfId="2671"/>
    <cellStyle name="Currency 2 4 7" xfId="2672"/>
    <cellStyle name="Currency 2 4 8" xfId="2673"/>
    <cellStyle name="Currency 2 4 9" xfId="2674"/>
    <cellStyle name="Currency 2 40" xfId="2675"/>
    <cellStyle name="Currency 2 41" xfId="2676"/>
    <cellStyle name="Currency 2 42" xfId="2677"/>
    <cellStyle name="Currency 2 43" xfId="2678"/>
    <cellStyle name="Currency 2 44" xfId="2679"/>
    <cellStyle name="Currency 2 45" xfId="2680"/>
    <cellStyle name="Currency 2 46" xfId="2681"/>
    <cellStyle name="Currency 2 47" xfId="2682"/>
    <cellStyle name="Currency 2 48" xfId="2683"/>
    <cellStyle name="Currency 2 49" xfId="2684"/>
    <cellStyle name="Currency 2 5" xfId="2685"/>
    <cellStyle name="Currency 2 5 10" xfId="2686"/>
    <cellStyle name="Currency 2 5 11" xfId="2687"/>
    <cellStyle name="Currency 2 5 12" xfId="2688"/>
    <cellStyle name="Currency 2 5 13" xfId="2689"/>
    <cellStyle name="Currency 2 5 14" xfId="2690"/>
    <cellStyle name="Currency 2 5 15" xfId="2691"/>
    <cellStyle name="Currency 2 5 16" xfId="2692"/>
    <cellStyle name="Currency 2 5 17" xfId="2693"/>
    <cellStyle name="Currency 2 5 18" xfId="2694"/>
    <cellStyle name="Currency 2 5 19" xfId="2695"/>
    <cellStyle name="Currency 2 5 2" xfId="2696"/>
    <cellStyle name="Currency 2 5 3" xfId="2697"/>
    <cellStyle name="Currency 2 5 4" xfId="2698"/>
    <cellStyle name="Currency 2 5 5" xfId="2699"/>
    <cellStyle name="Currency 2 5 6" xfId="2700"/>
    <cellStyle name="Currency 2 5 7" xfId="2701"/>
    <cellStyle name="Currency 2 5 8" xfId="2702"/>
    <cellStyle name="Currency 2 5 9" xfId="2703"/>
    <cellStyle name="Currency 2 50" xfId="2704"/>
    <cellStyle name="Currency 2 51" xfId="2705"/>
    <cellStyle name="Currency 2 52" xfId="2706"/>
    <cellStyle name="Currency 2 53" xfId="2707"/>
    <cellStyle name="Currency 2 54" xfId="2708"/>
    <cellStyle name="Currency 2 55" xfId="2709"/>
    <cellStyle name="Currency 2 56" xfId="2710"/>
    <cellStyle name="Currency 2 57" xfId="2711"/>
    <cellStyle name="Currency 2 58" xfId="2712"/>
    <cellStyle name="Currency 2 59" xfId="2713"/>
    <cellStyle name="Currency 2 6" xfId="2714"/>
    <cellStyle name="Currency 2 6 2" xfId="2715"/>
    <cellStyle name="Currency 2 6 2 2" xfId="2716"/>
    <cellStyle name="Currency 2 6 2 3" xfId="2717"/>
    <cellStyle name="Currency 2 6 3" xfId="2718"/>
    <cellStyle name="Currency 2 60" xfId="2719"/>
    <cellStyle name="Currency 2 61" xfId="2720"/>
    <cellStyle name="Currency 2 62" xfId="2721"/>
    <cellStyle name="Currency 2 63" xfId="2722"/>
    <cellStyle name="Currency 2 64" xfId="2723"/>
    <cellStyle name="Currency 2 65" xfId="2724"/>
    <cellStyle name="Currency 2 66" xfId="2725"/>
    <cellStyle name="Currency 2 67" xfId="2726"/>
    <cellStyle name="Currency 2 68" xfId="2727"/>
    <cellStyle name="Currency 2 69" xfId="2728"/>
    <cellStyle name="Currency 2 7" xfId="2729"/>
    <cellStyle name="Currency 2 70" xfId="2730"/>
    <cellStyle name="Currency 2 71" xfId="2731"/>
    <cellStyle name="Currency 2 72" xfId="2732"/>
    <cellStyle name="Currency 2 73" xfId="2733"/>
    <cellStyle name="Currency 2 74" xfId="2734"/>
    <cellStyle name="Currency 2 75" xfId="2735"/>
    <cellStyle name="Currency 2 8" xfId="2736"/>
    <cellStyle name="Currency 2 9" xfId="2737"/>
    <cellStyle name="Currency 20" xfId="2738"/>
    <cellStyle name="Currency 3" xfId="2739"/>
    <cellStyle name="Currency 3 10" xfId="2740"/>
    <cellStyle name="Currency 3 10 10" xfId="2741"/>
    <cellStyle name="Currency 3 10 11" xfId="2742"/>
    <cellStyle name="Currency 3 10 12" xfId="2743"/>
    <cellStyle name="Currency 3 10 13" xfId="2744"/>
    <cellStyle name="Currency 3 10 14" xfId="2745"/>
    <cellStyle name="Currency 3 10 15" xfId="2746"/>
    <cellStyle name="Currency 3 10 16" xfId="2747"/>
    <cellStyle name="Currency 3 10 17" xfId="2748"/>
    <cellStyle name="Currency 3 10 18" xfId="2749"/>
    <cellStyle name="Currency 3 10 2" xfId="2750"/>
    <cellStyle name="Currency 3 10 3" xfId="2751"/>
    <cellStyle name="Currency 3 10 4" xfId="2752"/>
    <cellStyle name="Currency 3 10 5" xfId="2753"/>
    <cellStyle name="Currency 3 10 6" xfId="2754"/>
    <cellStyle name="Currency 3 10 7" xfId="2755"/>
    <cellStyle name="Currency 3 10 8" xfId="2756"/>
    <cellStyle name="Currency 3 10 9" xfId="2757"/>
    <cellStyle name="Currency 3 11" xfId="2758"/>
    <cellStyle name="Currency 3 11 10" xfId="2759"/>
    <cellStyle name="Currency 3 11 11" xfId="2760"/>
    <cellStyle name="Currency 3 11 12" xfId="2761"/>
    <cellStyle name="Currency 3 11 13" xfId="2762"/>
    <cellStyle name="Currency 3 11 14" xfId="2763"/>
    <cellStyle name="Currency 3 11 15" xfId="2764"/>
    <cellStyle name="Currency 3 11 16" xfId="2765"/>
    <cellStyle name="Currency 3 11 17" xfId="2766"/>
    <cellStyle name="Currency 3 11 18" xfId="2767"/>
    <cellStyle name="Currency 3 11 2" xfId="2768"/>
    <cellStyle name="Currency 3 11 3" xfId="2769"/>
    <cellStyle name="Currency 3 11 4" xfId="2770"/>
    <cellStyle name="Currency 3 11 5" xfId="2771"/>
    <cellStyle name="Currency 3 11 6" xfId="2772"/>
    <cellStyle name="Currency 3 11 7" xfId="2773"/>
    <cellStyle name="Currency 3 11 8" xfId="2774"/>
    <cellStyle name="Currency 3 11 9" xfId="2775"/>
    <cellStyle name="Currency 3 12" xfId="2776"/>
    <cellStyle name="Currency 3 12 10" xfId="2777"/>
    <cellStyle name="Currency 3 12 11" xfId="2778"/>
    <cellStyle name="Currency 3 12 12" xfId="2779"/>
    <cellStyle name="Currency 3 12 13" xfId="2780"/>
    <cellStyle name="Currency 3 12 14" xfId="2781"/>
    <cellStyle name="Currency 3 12 15" xfId="2782"/>
    <cellStyle name="Currency 3 12 16" xfId="2783"/>
    <cellStyle name="Currency 3 12 17" xfId="2784"/>
    <cellStyle name="Currency 3 12 18" xfId="2785"/>
    <cellStyle name="Currency 3 12 2" xfId="2786"/>
    <cellStyle name="Currency 3 12 3" xfId="2787"/>
    <cellStyle name="Currency 3 12 4" xfId="2788"/>
    <cellStyle name="Currency 3 12 5" xfId="2789"/>
    <cellStyle name="Currency 3 12 6" xfId="2790"/>
    <cellStyle name="Currency 3 12 7" xfId="2791"/>
    <cellStyle name="Currency 3 12 8" xfId="2792"/>
    <cellStyle name="Currency 3 12 9" xfId="2793"/>
    <cellStyle name="Currency 3 13" xfId="2794"/>
    <cellStyle name="Currency 3 13 10" xfId="2795"/>
    <cellStyle name="Currency 3 13 11" xfId="2796"/>
    <cellStyle name="Currency 3 13 12" xfId="2797"/>
    <cellStyle name="Currency 3 13 13" xfId="2798"/>
    <cellStyle name="Currency 3 13 14" xfId="2799"/>
    <cellStyle name="Currency 3 13 15" xfId="2800"/>
    <cellStyle name="Currency 3 13 16" xfId="2801"/>
    <cellStyle name="Currency 3 13 17" xfId="2802"/>
    <cellStyle name="Currency 3 13 18" xfId="2803"/>
    <cellStyle name="Currency 3 13 2" xfId="2804"/>
    <cellStyle name="Currency 3 13 3" xfId="2805"/>
    <cellStyle name="Currency 3 13 4" xfId="2806"/>
    <cellStyle name="Currency 3 13 5" xfId="2807"/>
    <cellStyle name="Currency 3 13 6" xfId="2808"/>
    <cellStyle name="Currency 3 13 7" xfId="2809"/>
    <cellStyle name="Currency 3 13 8" xfId="2810"/>
    <cellStyle name="Currency 3 13 9" xfId="2811"/>
    <cellStyle name="Currency 3 14" xfId="2812"/>
    <cellStyle name="Currency 3 14 10" xfId="2813"/>
    <cellStyle name="Currency 3 14 11" xfId="2814"/>
    <cellStyle name="Currency 3 14 12" xfId="2815"/>
    <cellStyle name="Currency 3 14 13" xfId="2816"/>
    <cellStyle name="Currency 3 14 14" xfId="2817"/>
    <cellStyle name="Currency 3 14 15" xfId="2818"/>
    <cellStyle name="Currency 3 14 16" xfId="2819"/>
    <cellStyle name="Currency 3 14 17" xfId="2820"/>
    <cellStyle name="Currency 3 14 18" xfId="2821"/>
    <cellStyle name="Currency 3 14 2" xfId="2822"/>
    <cellStyle name="Currency 3 14 3" xfId="2823"/>
    <cellStyle name="Currency 3 14 4" xfId="2824"/>
    <cellStyle name="Currency 3 14 5" xfId="2825"/>
    <cellStyle name="Currency 3 14 6" xfId="2826"/>
    <cellStyle name="Currency 3 14 7" xfId="2827"/>
    <cellStyle name="Currency 3 14 8" xfId="2828"/>
    <cellStyle name="Currency 3 14 9" xfId="2829"/>
    <cellStyle name="Currency 3 15" xfId="2830"/>
    <cellStyle name="Currency 3 15 10" xfId="2831"/>
    <cellStyle name="Currency 3 15 11" xfId="2832"/>
    <cellStyle name="Currency 3 15 12" xfId="2833"/>
    <cellStyle name="Currency 3 15 13" xfId="2834"/>
    <cellStyle name="Currency 3 15 14" xfId="2835"/>
    <cellStyle name="Currency 3 15 15" xfId="2836"/>
    <cellStyle name="Currency 3 15 16" xfId="2837"/>
    <cellStyle name="Currency 3 15 17" xfId="2838"/>
    <cellStyle name="Currency 3 15 18" xfId="2839"/>
    <cellStyle name="Currency 3 15 2" xfId="2840"/>
    <cellStyle name="Currency 3 15 3" xfId="2841"/>
    <cellStyle name="Currency 3 15 4" xfId="2842"/>
    <cellStyle name="Currency 3 15 5" xfId="2843"/>
    <cellStyle name="Currency 3 15 6" xfId="2844"/>
    <cellStyle name="Currency 3 15 7" xfId="2845"/>
    <cellStyle name="Currency 3 15 8" xfId="2846"/>
    <cellStyle name="Currency 3 15 9" xfId="2847"/>
    <cellStyle name="Currency 3 16" xfId="2848"/>
    <cellStyle name="Currency 3 17" xfId="2849"/>
    <cellStyle name="Currency 3 18" xfId="2850"/>
    <cellStyle name="Currency 3 19" xfId="2851"/>
    <cellStyle name="Currency 3 2" xfId="2852"/>
    <cellStyle name="Currency 3 2 10" xfId="2853"/>
    <cellStyle name="Currency 3 2 11" xfId="2854"/>
    <cellStyle name="Currency 3 2 12" xfId="2855"/>
    <cellStyle name="Currency 3 2 13" xfId="2856"/>
    <cellStyle name="Currency 3 2 14" xfId="2857"/>
    <cellStyle name="Currency 3 2 15" xfId="2858"/>
    <cellStyle name="Currency 3 2 16" xfId="2859"/>
    <cellStyle name="Currency 3 2 17" xfId="2860"/>
    <cellStyle name="Currency 3 2 18" xfId="2861"/>
    <cellStyle name="Currency 3 2 19" xfId="2862"/>
    <cellStyle name="Currency 3 2 2" xfId="2863"/>
    <cellStyle name="Currency 3 2 20" xfId="2864"/>
    <cellStyle name="Currency 3 2 21" xfId="2865"/>
    <cellStyle name="Currency 3 2 22" xfId="2866"/>
    <cellStyle name="Currency 3 2 23" xfId="2867"/>
    <cellStyle name="Currency 3 2 24" xfId="2868"/>
    <cellStyle name="Currency 3 2 25" xfId="2869"/>
    <cellStyle name="Currency 3 2 26" xfId="2870"/>
    <cellStyle name="Currency 3 2 27" xfId="2871"/>
    <cellStyle name="Currency 3 2 28" xfId="2872"/>
    <cellStyle name="Currency 3 2 29" xfId="2873"/>
    <cellStyle name="Currency 3 2 3" xfId="2874"/>
    <cellStyle name="Currency 3 2 30" xfId="2875"/>
    <cellStyle name="Currency 3 2 31" xfId="2876"/>
    <cellStyle name="Currency 3 2 32" xfId="2877"/>
    <cellStyle name="Currency 3 2 33" xfId="2878"/>
    <cellStyle name="Currency 3 2 34" xfId="2879"/>
    <cellStyle name="Currency 3 2 35" xfId="2880"/>
    <cellStyle name="Currency 3 2 36" xfId="2881"/>
    <cellStyle name="Currency 3 2 37" xfId="2882"/>
    <cellStyle name="Currency 3 2 38" xfId="2883"/>
    <cellStyle name="Currency 3 2 39" xfId="2884"/>
    <cellStyle name="Currency 3 2 4" xfId="2885"/>
    <cellStyle name="Currency 3 2 40" xfId="2886"/>
    <cellStyle name="Currency 3 2 41" xfId="2887"/>
    <cellStyle name="Currency 3 2 42" xfId="2888"/>
    <cellStyle name="Currency 3 2 43" xfId="2889"/>
    <cellStyle name="Currency 3 2 5" xfId="2890"/>
    <cellStyle name="Currency 3 2 6" xfId="2891"/>
    <cellStyle name="Currency 3 2 7" xfId="2892"/>
    <cellStyle name="Currency 3 2 8" xfId="2893"/>
    <cellStyle name="Currency 3 2 9" xfId="2894"/>
    <cellStyle name="Currency 3 20" xfId="2895"/>
    <cellStyle name="Currency 3 21" xfId="2896"/>
    <cellStyle name="Currency 3 22" xfId="2897"/>
    <cellStyle name="Currency 3 23" xfId="2898"/>
    <cellStyle name="Currency 3 24" xfId="2899"/>
    <cellStyle name="Currency 3 3" xfId="2900"/>
    <cellStyle name="Currency 3 3 10" xfId="2901"/>
    <cellStyle name="Currency 3 3 11" xfId="2902"/>
    <cellStyle name="Currency 3 3 12" xfId="2903"/>
    <cellStyle name="Currency 3 3 13" xfId="2904"/>
    <cellStyle name="Currency 3 3 14" xfId="2905"/>
    <cellStyle name="Currency 3 3 15" xfId="2906"/>
    <cellStyle name="Currency 3 3 16" xfId="2907"/>
    <cellStyle name="Currency 3 3 17" xfId="2908"/>
    <cellStyle name="Currency 3 3 18" xfId="2909"/>
    <cellStyle name="Currency 3 3 19" xfId="2910"/>
    <cellStyle name="Currency 3 3 2" xfId="2911"/>
    <cellStyle name="Currency 3 3 20" xfId="2912"/>
    <cellStyle name="Currency 3 3 21" xfId="2913"/>
    <cellStyle name="Currency 3 3 22" xfId="2914"/>
    <cellStyle name="Currency 3 3 23" xfId="2915"/>
    <cellStyle name="Currency 3 3 24" xfId="2916"/>
    <cellStyle name="Currency 3 3 25" xfId="2917"/>
    <cellStyle name="Currency 3 3 26" xfId="2918"/>
    <cellStyle name="Currency 3 3 27" xfId="2919"/>
    <cellStyle name="Currency 3 3 28" xfId="2920"/>
    <cellStyle name="Currency 3 3 29" xfId="2921"/>
    <cellStyle name="Currency 3 3 3" xfId="2922"/>
    <cellStyle name="Currency 3 3 30" xfId="2923"/>
    <cellStyle name="Currency 3 3 31" xfId="2924"/>
    <cellStyle name="Currency 3 3 32" xfId="2925"/>
    <cellStyle name="Currency 3 3 33" xfId="2926"/>
    <cellStyle name="Currency 3 3 34" xfId="2927"/>
    <cellStyle name="Currency 3 3 35" xfId="2928"/>
    <cellStyle name="Currency 3 3 36" xfId="2929"/>
    <cellStyle name="Currency 3 3 37" xfId="2930"/>
    <cellStyle name="Currency 3 3 38" xfId="2931"/>
    <cellStyle name="Currency 3 3 39" xfId="2932"/>
    <cellStyle name="Currency 3 3 4" xfId="2933"/>
    <cellStyle name="Currency 3 3 40" xfId="2934"/>
    <cellStyle name="Currency 3 3 41" xfId="2935"/>
    <cellStyle name="Currency 3 3 42" xfId="2936"/>
    <cellStyle name="Currency 3 3 43" xfId="2937"/>
    <cellStyle name="Currency 3 3 44" xfId="2938"/>
    <cellStyle name="Currency 3 3 45" xfId="2939"/>
    <cellStyle name="Currency 3 3 5" xfId="2940"/>
    <cellStyle name="Currency 3 3 6" xfId="2941"/>
    <cellStyle name="Currency 3 3 7" xfId="2942"/>
    <cellStyle name="Currency 3 3 8" xfId="2943"/>
    <cellStyle name="Currency 3 3 9" xfId="2944"/>
    <cellStyle name="Currency 3 4" xfId="2945"/>
    <cellStyle name="Currency 3 5" xfId="2946"/>
    <cellStyle name="Currency 3 6" xfId="2947"/>
    <cellStyle name="Currency 3 7" xfId="2948"/>
    <cellStyle name="Currency 3 8" xfId="2949"/>
    <cellStyle name="Currency 3 9" xfId="2950"/>
    <cellStyle name="Currency 37" xfId="2951"/>
    <cellStyle name="Currency 4" xfId="2952"/>
    <cellStyle name="Currency 4 10" xfId="2953"/>
    <cellStyle name="Currency 4 11" xfId="2954"/>
    <cellStyle name="Currency 4 12" xfId="2955"/>
    <cellStyle name="Currency 4 13" xfId="2956"/>
    <cellStyle name="Currency 4 14" xfId="2957"/>
    <cellStyle name="Currency 4 15" xfId="2958"/>
    <cellStyle name="Currency 4 16" xfId="2959"/>
    <cellStyle name="Currency 4 17" xfId="2960"/>
    <cellStyle name="Currency 4 18" xfId="2961"/>
    <cellStyle name="Currency 4 19" xfId="2962"/>
    <cellStyle name="Currency 4 2" xfId="2963"/>
    <cellStyle name="Currency 4 2 10" xfId="2964"/>
    <cellStyle name="Currency 4 2 11" xfId="2965"/>
    <cellStyle name="Currency 4 2 12" xfId="2966"/>
    <cellStyle name="Currency 4 2 13" xfId="2967"/>
    <cellStyle name="Currency 4 2 14" xfId="2968"/>
    <cellStyle name="Currency 4 2 15" xfId="2969"/>
    <cellStyle name="Currency 4 2 16" xfId="2970"/>
    <cellStyle name="Currency 4 2 17" xfId="2971"/>
    <cellStyle name="Currency 4 2 18" xfId="2972"/>
    <cellStyle name="Currency 4 2 19" xfId="2973"/>
    <cellStyle name="Currency 4 2 2" xfId="2974"/>
    <cellStyle name="Currency 4 2 20" xfId="2975"/>
    <cellStyle name="Currency 4 2 3" xfId="2976"/>
    <cellStyle name="Currency 4 2 4" xfId="2977"/>
    <cellStyle name="Currency 4 2 5" xfId="2978"/>
    <cellStyle name="Currency 4 2 6" xfId="2979"/>
    <cellStyle name="Currency 4 2 7" xfId="2980"/>
    <cellStyle name="Currency 4 2 8" xfId="2981"/>
    <cellStyle name="Currency 4 2 9" xfId="2982"/>
    <cellStyle name="Currency 4 20" xfId="2983"/>
    <cellStyle name="Currency 4 21" xfId="2984"/>
    <cellStyle name="Currency 4 22" xfId="2985"/>
    <cellStyle name="Currency 4 23" xfId="2986"/>
    <cellStyle name="Currency 4 3" xfId="2987"/>
    <cellStyle name="Currency 4 3 10" xfId="2988"/>
    <cellStyle name="Currency 4 3 11" xfId="2989"/>
    <cellStyle name="Currency 4 3 12" xfId="2990"/>
    <cellStyle name="Currency 4 3 13" xfId="2991"/>
    <cellStyle name="Currency 4 3 14" xfId="2992"/>
    <cellStyle name="Currency 4 3 15" xfId="2993"/>
    <cellStyle name="Currency 4 3 16" xfId="2994"/>
    <cellStyle name="Currency 4 3 17" xfId="2995"/>
    <cellStyle name="Currency 4 3 18" xfId="2996"/>
    <cellStyle name="Currency 4 3 19" xfId="2997"/>
    <cellStyle name="Currency 4 3 2" xfId="2998"/>
    <cellStyle name="Currency 4 3 20" xfId="2999"/>
    <cellStyle name="Currency 4 3 21" xfId="3000"/>
    <cellStyle name="Currency 4 3 22" xfId="3001"/>
    <cellStyle name="Currency 4 3 23" xfId="3002"/>
    <cellStyle name="Currency 4 3 24" xfId="3003"/>
    <cellStyle name="Currency 4 3 25" xfId="3004"/>
    <cellStyle name="Currency 4 3 26" xfId="3005"/>
    <cellStyle name="Currency 4 3 27" xfId="3006"/>
    <cellStyle name="Currency 4 3 28" xfId="3007"/>
    <cellStyle name="Currency 4 3 29" xfId="3008"/>
    <cellStyle name="Currency 4 3 3" xfId="3009"/>
    <cellStyle name="Currency 4 3 30" xfId="3010"/>
    <cellStyle name="Currency 4 3 31" xfId="3011"/>
    <cellStyle name="Currency 4 3 32" xfId="3012"/>
    <cellStyle name="Currency 4 3 33" xfId="3013"/>
    <cellStyle name="Currency 4 3 34" xfId="3014"/>
    <cellStyle name="Currency 4 3 35" xfId="3015"/>
    <cellStyle name="Currency 4 3 36" xfId="3016"/>
    <cellStyle name="Currency 4 3 37" xfId="3017"/>
    <cellStyle name="Currency 4 3 38" xfId="3018"/>
    <cellStyle name="Currency 4 3 39" xfId="3019"/>
    <cellStyle name="Currency 4 3 4" xfId="3020"/>
    <cellStyle name="Currency 4 3 40" xfId="3021"/>
    <cellStyle name="Currency 4 3 41" xfId="3022"/>
    <cellStyle name="Currency 4 3 42" xfId="3023"/>
    <cellStyle name="Currency 4 3 43" xfId="3024"/>
    <cellStyle name="Currency 4 3 5" xfId="3025"/>
    <cellStyle name="Currency 4 3 6" xfId="3026"/>
    <cellStyle name="Currency 4 3 7" xfId="3027"/>
    <cellStyle name="Currency 4 3 8" xfId="3028"/>
    <cellStyle name="Currency 4 3 9" xfId="3029"/>
    <cellStyle name="Currency 4 4" xfId="3030"/>
    <cellStyle name="Currency 4 5" xfId="3031"/>
    <cellStyle name="Currency 4 6" xfId="3032"/>
    <cellStyle name="Currency 4 7" xfId="3033"/>
    <cellStyle name="Currency 4 8" xfId="3034"/>
    <cellStyle name="Currency 4 9" xfId="3035"/>
    <cellStyle name="Currency 40" xfId="3036"/>
    <cellStyle name="Currency 5" xfId="3037"/>
    <cellStyle name="Currency 5 10" xfId="3038"/>
    <cellStyle name="Currency 5 11" xfId="3039"/>
    <cellStyle name="Currency 5 12" xfId="3040"/>
    <cellStyle name="Currency 5 13" xfId="3041"/>
    <cellStyle name="Currency 5 14" xfId="3042"/>
    <cellStyle name="Currency 5 15" xfId="3043"/>
    <cellStyle name="Currency 5 16" xfId="3044"/>
    <cellStyle name="Currency 5 17" xfId="3045"/>
    <cellStyle name="Currency 5 18" xfId="3046"/>
    <cellStyle name="Currency 5 19" xfId="3047"/>
    <cellStyle name="Currency 5 2" xfId="3048"/>
    <cellStyle name="Currency 5 2 2" xfId="3049"/>
    <cellStyle name="Currency 5 3" xfId="3050"/>
    <cellStyle name="Currency 5 4" xfId="3051"/>
    <cellStyle name="Currency 5 5" xfId="3052"/>
    <cellStyle name="Currency 5 6" xfId="3053"/>
    <cellStyle name="Currency 5 7" xfId="3054"/>
    <cellStyle name="Currency 5 8" xfId="3055"/>
    <cellStyle name="Currency 5 9" xfId="3056"/>
    <cellStyle name="Currency 6" xfId="3057"/>
    <cellStyle name="Currency 6 10" xfId="3058"/>
    <cellStyle name="Currency 6 11" xfId="3059"/>
    <cellStyle name="Currency 6 12" xfId="3060"/>
    <cellStyle name="Currency 6 13" xfId="3061"/>
    <cellStyle name="Currency 6 14" xfId="3062"/>
    <cellStyle name="Currency 6 15" xfId="3063"/>
    <cellStyle name="Currency 6 16" xfId="3064"/>
    <cellStyle name="Currency 6 17" xfId="3065"/>
    <cellStyle name="Currency 6 18" xfId="3066"/>
    <cellStyle name="Currency 6 19" xfId="3067"/>
    <cellStyle name="Currency 6 2" xfId="3068"/>
    <cellStyle name="Currency 6 20" xfId="3069"/>
    <cellStyle name="Currency 6 21" xfId="3070"/>
    <cellStyle name="Currency 6 3" xfId="3071"/>
    <cellStyle name="Currency 6 4" xfId="3072"/>
    <cellStyle name="Currency 6 5" xfId="3073"/>
    <cellStyle name="Currency 6 6" xfId="3074"/>
    <cellStyle name="Currency 6 7" xfId="3075"/>
    <cellStyle name="Currency 6 8" xfId="3076"/>
    <cellStyle name="Currency 6 9" xfId="3077"/>
    <cellStyle name="Currency 63" xfId="3078"/>
    <cellStyle name="Currency 7" xfId="3079"/>
    <cellStyle name="Currency 7 2" xfId="3080"/>
    <cellStyle name="Currency 7 3" xfId="3081"/>
    <cellStyle name="Currency 7 4" xfId="3082"/>
    <cellStyle name="Currency 8" xfId="3083"/>
    <cellStyle name="Currency 8 2" xfId="3084"/>
    <cellStyle name="Currency 8 3" xfId="3085"/>
    <cellStyle name="Currency 8 4" xfId="3086"/>
    <cellStyle name="Currency 9" xfId="3087"/>
    <cellStyle name="Currency0" xfId="142"/>
    <cellStyle name="Data" xfId="143"/>
    <cellStyle name="Data no deci" xfId="144"/>
    <cellStyle name="Data Superscript" xfId="145"/>
    <cellStyle name="Data_1-1A-Regular" xfId="146"/>
    <cellStyle name="Data-one deci" xfId="147"/>
    <cellStyle name="Date" xfId="148"/>
    <cellStyle name="Date Aligned" xfId="3088"/>
    <cellStyle name="Date_A25 modèle de suivi du régime tarifaire PBC 22Dec07 version beta 1.0 test " xfId="3089"/>
    <cellStyle name="DateLong" xfId="3090"/>
    <cellStyle name="DateLong 10" xfId="3091"/>
    <cellStyle name="DateLong 11" xfId="3092"/>
    <cellStyle name="DateLong 12" xfId="3093"/>
    <cellStyle name="DateLong 13" xfId="3094"/>
    <cellStyle name="DateLong 14" xfId="3095"/>
    <cellStyle name="DateLong 15" xfId="3096"/>
    <cellStyle name="DateLong 16" xfId="3097"/>
    <cellStyle name="DateLong 17" xfId="3098"/>
    <cellStyle name="DateLong 18" xfId="3099"/>
    <cellStyle name="DateLong 19" xfId="3100"/>
    <cellStyle name="DateLong 2" xfId="3101"/>
    <cellStyle name="DateLong 20" xfId="3102"/>
    <cellStyle name="DateLong 3" xfId="3103"/>
    <cellStyle name="DateLong 4" xfId="3104"/>
    <cellStyle name="DateLong 5" xfId="3105"/>
    <cellStyle name="DateLong 6" xfId="3106"/>
    <cellStyle name="DateLong 7" xfId="3107"/>
    <cellStyle name="DateLong 8" xfId="3108"/>
    <cellStyle name="DateLong 9" xfId="3109"/>
    <cellStyle name="DateShort" xfId="3110"/>
    <cellStyle name="DateShort 10" xfId="3111"/>
    <cellStyle name="DateShort 11" xfId="3112"/>
    <cellStyle name="DateShort 12" xfId="3113"/>
    <cellStyle name="DateShort 13" xfId="3114"/>
    <cellStyle name="DateShort 14" xfId="3115"/>
    <cellStyle name="DateShort 15" xfId="3116"/>
    <cellStyle name="DateShort 16" xfId="3117"/>
    <cellStyle name="DateShort 17" xfId="3118"/>
    <cellStyle name="DateShort 18" xfId="3119"/>
    <cellStyle name="DateShort 19" xfId="3120"/>
    <cellStyle name="DateShort 2" xfId="3121"/>
    <cellStyle name="DateShort 20" xfId="3122"/>
    <cellStyle name="DateShort 3" xfId="3123"/>
    <cellStyle name="DateShort 4" xfId="3124"/>
    <cellStyle name="DateShort 5" xfId="3125"/>
    <cellStyle name="DateShort 6" xfId="3126"/>
    <cellStyle name="DateShort 7" xfId="3127"/>
    <cellStyle name="DateShort 8" xfId="3128"/>
    <cellStyle name="DateShort 9" xfId="3129"/>
    <cellStyle name="Dezimal_Gross_Income_EconomicIndustry_Sex" xfId="3130"/>
    <cellStyle name="Dotted Line" xfId="3131"/>
    <cellStyle name="Encabezado 4" xfId="3132"/>
    <cellStyle name="Énfasis1" xfId="3133"/>
    <cellStyle name="Énfasis2" xfId="3134"/>
    <cellStyle name="Énfasis3" xfId="3135"/>
    <cellStyle name="Énfasis4" xfId="3136"/>
    <cellStyle name="Énfasis5" xfId="3137"/>
    <cellStyle name="Énfasis6" xfId="3138"/>
    <cellStyle name="Entrada" xfId="3139"/>
    <cellStyle name="Entrada 10" xfId="3140"/>
    <cellStyle name="Entrada 10 2" xfId="3141"/>
    <cellStyle name="Entrada 11" xfId="3142"/>
    <cellStyle name="Entrada 11 2" xfId="3143"/>
    <cellStyle name="Entrada 12" xfId="3144"/>
    <cellStyle name="Entrada 12 2" xfId="3145"/>
    <cellStyle name="Entrada 13" xfId="3146"/>
    <cellStyle name="Entrada 13 2" xfId="3147"/>
    <cellStyle name="Entrada 14" xfId="3148"/>
    <cellStyle name="Entrada 14 2" xfId="3149"/>
    <cellStyle name="Entrada 15" xfId="3150"/>
    <cellStyle name="Entrada 15 2" xfId="3151"/>
    <cellStyle name="Entrada 16" xfId="3152"/>
    <cellStyle name="Entrada 16 2" xfId="3153"/>
    <cellStyle name="Entrada 17" xfId="3154"/>
    <cellStyle name="Entrada 17 2" xfId="3155"/>
    <cellStyle name="Entrada 18" xfId="3156"/>
    <cellStyle name="Entrada 18 2" xfId="3157"/>
    <cellStyle name="Entrada 19" xfId="3158"/>
    <cellStyle name="Entrada 19 2" xfId="3159"/>
    <cellStyle name="Entrada 2" xfId="3160"/>
    <cellStyle name="Entrada 2 10" xfId="3161"/>
    <cellStyle name="Entrada 2 10 2" xfId="3162"/>
    <cellStyle name="Entrada 2 11" xfId="3163"/>
    <cellStyle name="Entrada 2 11 2" xfId="3164"/>
    <cellStyle name="Entrada 2 12" xfId="3165"/>
    <cellStyle name="Entrada 2 12 2" xfId="3166"/>
    <cellStyle name="Entrada 2 13" xfId="3167"/>
    <cellStyle name="Entrada 2 13 2" xfId="3168"/>
    <cellStyle name="Entrada 2 14" xfId="3169"/>
    <cellStyle name="Entrada 2 14 2" xfId="3170"/>
    <cellStyle name="Entrada 2 15" xfId="3171"/>
    <cellStyle name="Entrada 2 15 2" xfId="3172"/>
    <cellStyle name="Entrada 2 16" xfId="3173"/>
    <cellStyle name="Entrada 2 16 2" xfId="3174"/>
    <cellStyle name="Entrada 2 17" xfId="3175"/>
    <cellStyle name="Entrada 2 2" xfId="3176"/>
    <cellStyle name="Entrada 2 2 10" xfId="3177"/>
    <cellStyle name="Entrada 2 2 10 2" xfId="3178"/>
    <cellStyle name="Entrada 2 2 11" xfId="3179"/>
    <cellStyle name="Entrada 2 2 11 2" xfId="3180"/>
    <cellStyle name="Entrada 2 2 12" xfId="3181"/>
    <cellStyle name="Entrada 2 2 12 2" xfId="3182"/>
    <cellStyle name="Entrada 2 2 13" xfId="3183"/>
    <cellStyle name="Entrada 2 2 13 2" xfId="3184"/>
    <cellStyle name="Entrada 2 2 14" xfId="3185"/>
    <cellStyle name="Entrada 2 2 14 2" xfId="3186"/>
    <cellStyle name="Entrada 2 2 15" xfId="3187"/>
    <cellStyle name="Entrada 2 2 2" xfId="3188"/>
    <cellStyle name="Entrada 2 2 2 2" xfId="3189"/>
    <cellStyle name="Entrada 2 2 3" xfId="3190"/>
    <cellStyle name="Entrada 2 2 3 2" xfId="3191"/>
    <cellStyle name="Entrada 2 2 4" xfId="3192"/>
    <cellStyle name="Entrada 2 2 4 2" xfId="3193"/>
    <cellStyle name="Entrada 2 2 5" xfId="3194"/>
    <cellStyle name="Entrada 2 2 5 2" xfId="3195"/>
    <cellStyle name="Entrada 2 2 6" xfId="3196"/>
    <cellStyle name="Entrada 2 2 6 2" xfId="3197"/>
    <cellStyle name="Entrada 2 2 7" xfId="3198"/>
    <cellStyle name="Entrada 2 2 7 2" xfId="3199"/>
    <cellStyle name="Entrada 2 2 8" xfId="3200"/>
    <cellStyle name="Entrada 2 2 8 2" xfId="3201"/>
    <cellStyle name="Entrada 2 2 9" xfId="3202"/>
    <cellStyle name="Entrada 2 2 9 2" xfId="3203"/>
    <cellStyle name="Entrada 2 3" xfId="3204"/>
    <cellStyle name="Entrada 2 3 2" xfId="3205"/>
    <cellStyle name="Entrada 2 3 2 2" xfId="3206"/>
    <cellStyle name="Entrada 2 3 3" xfId="3207"/>
    <cellStyle name="Entrada 2 3 3 2" xfId="3208"/>
    <cellStyle name="Entrada 2 3 4" xfId="3209"/>
    <cellStyle name="Entrada 2 4" xfId="3210"/>
    <cellStyle name="Entrada 2 4 2" xfId="3211"/>
    <cellStyle name="Entrada 2 5" xfId="3212"/>
    <cellStyle name="Entrada 2 5 2" xfId="3213"/>
    <cellStyle name="Entrada 2 6" xfId="3214"/>
    <cellStyle name="Entrada 2 6 2" xfId="3215"/>
    <cellStyle name="Entrada 2 7" xfId="3216"/>
    <cellStyle name="Entrada 2 7 2" xfId="3217"/>
    <cellStyle name="Entrada 2 8" xfId="3218"/>
    <cellStyle name="Entrada 2 8 2" xfId="3219"/>
    <cellStyle name="Entrada 2 9" xfId="3220"/>
    <cellStyle name="Entrada 2 9 2" xfId="3221"/>
    <cellStyle name="Entrada 20" xfId="3222"/>
    <cellStyle name="Entrada 20 2" xfId="3223"/>
    <cellStyle name="Entrada 21" xfId="3224"/>
    <cellStyle name="Entrada 21 2" xfId="3225"/>
    <cellStyle name="Entrada 22" xfId="3226"/>
    <cellStyle name="Entrada 22 2" xfId="3227"/>
    <cellStyle name="Entrada 3" xfId="3228"/>
    <cellStyle name="Entrada 3 10" xfId="3229"/>
    <cellStyle name="Entrada 3 10 2" xfId="3230"/>
    <cellStyle name="Entrada 3 11" xfId="3231"/>
    <cellStyle name="Entrada 3 11 2" xfId="3232"/>
    <cellStyle name="Entrada 3 12" xfId="3233"/>
    <cellStyle name="Entrada 3 12 2" xfId="3234"/>
    <cellStyle name="Entrada 3 13" xfId="3235"/>
    <cellStyle name="Entrada 3 13 2" xfId="3236"/>
    <cellStyle name="Entrada 3 14" xfId="3237"/>
    <cellStyle name="Entrada 3 14 2" xfId="3238"/>
    <cellStyle name="Entrada 3 15" xfId="3239"/>
    <cellStyle name="Entrada 3 15 2" xfId="3240"/>
    <cellStyle name="Entrada 3 16" xfId="3241"/>
    <cellStyle name="Entrada 3 16 2" xfId="3242"/>
    <cellStyle name="Entrada 3 17" xfId="3243"/>
    <cellStyle name="Entrada 3 2" xfId="3244"/>
    <cellStyle name="Entrada 3 2 10" xfId="3245"/>
    <cellStyle name="Entrada 3 2 10 2" xfId="3246"/>
    <cellStyle name="Entrada 3 2 11" xfId="3247"/>
    <cellStyle name="Entrada 3 2 11 2" xfId="3248"/>
    <cellStyle name="Entrada 3 2 12" xfId="3249"/>
    <cellStyle name="Entrada 3 2 12 2" xfId="3250"/>
    <cellStyle name="Entrada 3 2 13" xfId="3251"/>
    <cellStyle name="Entrada 3 2 13 2" xfId="3252"/>
    <cellStyle name="Entrada 3 2 14" xfId="3253"/>
    <cellStyle name="Entrada 3 2 14 2" xfId="3254"/>
    <cellStyle name="Entrada 3 2 15" xfId="3255"/>
    <cellStyle name="Entrada 3 2 2" xfId="3256"/>
    <cellStyle name="Entrada 3 2 2 2" xfId="3257"/>
    <cellStyle name="Entrada 3 2 3" xfId="3258"/>
    <cellStyle name="Entrada 3 2 3 2" xfId="3259"/>
    <cellStyle name="Entrada 3 2 4" xfId="3260"/>
    <cellStyle name="Entrada 3 2 4 2" xfId="3261"/>
    <cellStyle name="Entrada 3 2 5" xfId="3262"/>
    <cellStyle name="Entrada 3 2 5 2" xfId="3263"/>
    <cellStyle name="Entrada 3 2 6" xfId="3264"/>
    <cellStyle name="Entrada 3 2 6 2" xfId="3265"/>
    <cellStyle name="Entrada 3 2 7" xfId="3266"/>
    <cellStyle name="Entrada 3 2 7 2" xfId="3267"/>
    <cellStyle name="Entrada 3 2 8" xfId="3268"/>
    <cellStyle name="Entrada 3 2 8 2" xfId="3269"/>
    <cellStyle name="Entrada 3 2 9" xfId="3270"/>
    <cellStyle name="Entrada 3 2 9 2" xfId="3271"/>
    <cellStyle name="Entrada 3 3" xfId="3272"/>
    <cellStyle name="Entrada 3 3 2" xfId="3273"/>
    <cellStyle name="Entrada 3 3 2 2" xfId="3274"/>
    <cellStyle name="Entrada 3 3 3" xfId="3275"/>
    <cellStyle name="Entrada 3 3 3 2" xfId="3276"/>
    <cellStyle name="Entrada 3 3 4" xfId="3277"/>
    <cellStyle name="Entrada 3 4" xfId="3278"/>
    <cellStyle name="Entrada 3 4 2" xfId="3279"/>
    <cellStyle name="Entrada 3 5" xfId="3280"/>
    <cellStyle name="Entrada 3 5 2" xfId="3281"/>
    <cellStyle name="Entrada 3 6" xfId="3282"/>
    <cellStyle name="Entrada 3 6 2" xfId="3283"/>
    <cellStyle name="Entrada 3 7" xfId="3284"/>
    <cellStyle name="Entrada 3 7 2" xfId="3285"/>
    <cellStyle name="Entrada 3 8" xfId="3286"/>
    <cellStyle name="Entrada 3 8 2" xfId="3287"/>
    <cellStyle name="Entrada 3 9" xfId="3288"/>
    <cellStyle name="Entrada 3 9 2" xfId="3289"/>
    <cellStyle name="Entrada 4" xfId="3290"/>
    <cellStyle name="Entrada 4 10" xfId="3291"/>
    <cellStyle name="Entrada 4 10 2" xfId="3292"/>
    <cellStyle name="Entrada 4 11" xfId="3293"/>
    <cellStyle name="Entrada 4 11 2" xfId="3294"/>
    <cellStyle name="Entrada 4 12" xfId="3295"/>
    <cellStyle name="Entrada 4 12 2" xfId="3296"/>
    <cellStyle name="Entrada 4 13" xfId="3297"/>
    <cellStyle name="Entrada 4 13 2" xfId="3298"/>
    <cellStyle name="Entrada 4 14" xfId="3299"/>
    <cellStyle name="Entrada 4 14 2" xfId="3300"/>
    <cellStyle name="Entrada 4 15" xfId="3301"/>
    <cellStyle name="Entrada 4 15 2" xfId="3302"/>
    <cellStyle name="Entrada 4 16" xfId="3303"/>
    <cellStyle name="Entrada 4 16 2" xfId="3304"/>
    <cellStyle name="Entrada 4 17" xfId="3305"/>
    <cellStyle name="Entrada 4 2" xfId="3306"/>
    <cellStyle name="Entrada 4 2 10" xfId="3307"/>
    <cellStyle name="Entrada 4 2 10 2" xfId="3308"/>
    <cellStyle name="Entrada 4 2 11" xfId="3309"/>
    <cellStyle name="Entrada 4 2 11 2" xfId="3310"/>
    <cellStyle name="Entrada 4 2 12" xfId="3311"/>
    <cellStyle name="Entrada 4 2 12 2" xfId="3312"/>
    <cellStyle name="Entrada 4 2 13" xfId="3313"/>
    <cellStyle name="Entrada 4 2 13 2" xfId="3314"/>
    <cellStyle name="Entrada 4 2 14" xfId="3315"/>
    <cellStyle name="Entrada 4 2 14 2" xfId="3316"/>
    <cellStyle name="Entrada 4 2 15" xfId="3317"/>
    <cellStyle name="Entrada 4 2 2" xfId="3318"/>
    <cellStyle name="Entrada 4 2 2 2" xfId="3319"/>
    <cellStyle name="Entrada 4 2 3" xfId="3320"/>
    <cellStyle name="Entrada 4 2 3 2" xfId="3321"/>
    <cellStyle name="Entrada 4 2 4" xfId="3322"/>
    <cellStyle name="Entrada 4 2 4 2" xfId="3323"/>
    <cellStyle name="Entrada 4 2 5" xfId="3324"/>
    <cellStyle name="Entrada 4 2 5 2" xfId="3325"/>
    <cellStyle name="Entrada 4 2 6" xfId="3326"/>
    <cellStyle name="Entrada 4 2 6 2" xfId="3327"/>
    <cellStyle name="Entrada 4 2 7" xfId="3328"/>
    <cellStyle name="Entrada 4 2 7 2" xfId="3329"/>
    <cellStyle name="Entrada 4 2 8" xfId="3330"/>
    <cellStyle name="Entrada 4 2 8 2" xfId="3331"/>
    <cellStyle name="Entrada 4 2 9" xfId="3332"/>
    <cellStyle name="Entrada 4 2 9 2" xfId="3333"/>
    <cellStyle name="Entrada 4 3" xfId="3334"/>
    <cellStyle name="Entrada 4 3 2" xfId="3335"/>
    <cellStyle name="Entrada 4 3 2 2" xfId="3336"/>
    <cellStyle name="Entrada 4 3 3" xfId="3337"/>
    <cellStyle name="Entrada 4 3 3 2" xfId="3338"/>
    <cellStyle name="Entrada 4 3 4" xfId="3339"/>
    <cellStyle name="Entrada 4 4" xfId="3340"/>
    <cellStyle name="Entrada 4 4 2" xfId="3341"/>
    <cellStyle name="Entrada 4 5" xfId="3342"/>
    <cellStyle name="Entrada 4 5 2" xfId="3343"/>
    <cellStyle name="Entrada 4 6" xfId="3344"/>
    <cellStyle name="Entrada 4 6 2" xfId="3345"/>
    <cellStyle name="Entrada 4 7" xfId="3346"/>
    <cellStyle name="Entrada 4 7 2" xfId="3347"/>
    <cellStyle name="Entrada 4 8" xfId="3348"/>
    <cellStyle name="Entrada 4 8 2" xfId="3349"/>
    <cellStyle name="Entrada 4 9" xfId="3350"/>
    <cellStyle name="Entrada 4 9 2" xfId="3351"/>
    <cellStyle name="Entrada 5" xfId="3352"/>
    <cellStyle name="Entrada 5 10" xfId="3353"/>
    <cellStyle name="Entrada 5 10 2" xfId="3354"/>
    <cellStyle name="Entrada 5 11" xfId="3355"/>
    <cellStyle name="Entrada 5 11 2" xfId="3356"/>
    <cellStyle name="Entrada 5 12" xfId="3357"/>
    <cellStyle name="Entrada 5 12 2" xfId="3358"/>
    <cellStyle name="Entrada 5 13" xfId="3359"/>
    <cellStyle name="Entrada 5 13 2" xfId="3360"/>
    <cellStyle name="Entrada 5 14" xfId="3361"/>
    <cellStyle name="Entrada 5 14 2" xfId="3362"/>
    <cellStyle name="Entrada 5 15" xfId="3363"/>
    <cellStyle name="Entrada 5 15 2" xfId="3364"/>
    <cellStyle name="Entrada 5 16" xfId="3365"/>
    <cellStyle name="Entrada 5 16 2" xfId="3366"/>
    <cellStyle name="Entrada 5 17" xfId="3367"/>
    <cellStyle name="Entrada 5 2" xfId="3368"/>
    <cellStyle name="Entrada 5 2 10" xfId="3369"/>
    <cellStyle name="Entrada 5 2 10 2" xfId="3370"/>
    <cellStyle name="Entrada 5 2 11" xfId="3371"/>
    <cellStyle name="Entrada 5 2 11 2" xfId="3372"/>
    <cellStyle name="Entrada 5 2 12" xfId="3373"/>
    <cellStyle name="Entrada 5 2 12 2" xfId="3374"/>
    <cellStyle name="Entrada 5 2 13" xfId="3375"/>
    <cellStyle name="Entrada 5 2 13 2" xfId="3376"/>
    <cellStyle name="Entrada 5 2 14" xfId="3377"/>
    <cellStyle name="Entrada 5 2 14 2" xfId="3378"/>
    <cellStyle name="Entrada 5 2 15" xfId="3379"/>
    <cellStyle name="Entrada 5 2 2" xfId="3380"/>
    <cellStyle name="Entrada 5 2 2 2" xfId="3381"/>
    <cellStyle name="Entrada 5 2 3" xfId="3382"/>
    <cellStyle name="Entrada 5 2 3 2" xfId="3383"/>
    <cellStyle name="Entrada 5 2 4" xfId="3384"/>
    <cellStyle name="Entrada 5 2 4 2" xfId="3385"/>
    <cellStyle name="Entrada 5 2 5" xfId="3386"/>
    <cellStyle name="Entrada 5 2 5 2" xfId="3387"/>
    <cellStyle name="Entrada 5 2 6" xfId="3388"/>
    <cellStyle name="Entrada 5 2 6 2" xfId="3389"/>
    <cellStyle name="Entrada 5 2 7" xfId="3390"/>
    <cellStyle name="Entrada 5 2 7 2" xfId="3391"/>
    <cellStyle name="Entrada 5 2 8" xfId="3392"/>
    <cellStyle name="Entrada 5 2 8 2" xfId="3393"/>
    <cellStyle name="Entrada 5 2 9" xfId="3394"/>
    <cellStyle name="Entrada 5 2 9 2" xfId="3395"/>
    <cellStyle name="Entrada 5 3" xfId="3396"/>
    <cellStyle name="Entrada 5 3 2" xfId="3397"/>
    <cellStyle name="Entrada 5 3 2 2" xfId="3398"/>
    <cellStyle name="Entrada 5 3 3" xfId="3399"/>
    <cellStyle name="Entrada 5 3 3 2" xfId="3400"/>
    <cellStyle name="Entrada 5 3 4" xfId="3401"/>
    <cellStyle name="Entrada 5 4" xfId="3402"/>
    <cellStyle name="Entrada 5 4 2" xfId="3403"/>
    <cellStyle name="Entrada 5 5" xfId="3404"/>
    <cellStyle name="Entrada 5 5 2" xfId="3405"/>
    <cellStyle name="Entrada 5 6" xfId="3406"/>
    <cellStyle name="Entrada 5 6 2" xfId="3407"/>
    <cellStyle name="Entrada 5 7" xfId="3408"/>
    <cellStyle name="Entrada 5 7 2" xfId="3409"/>
    <cellStyle name="Entrada 5 8" xfId="3410"/>
    <cellStyle name="Entrada 5 8 2" xfId="3411"/>
    <cellStyle name="Entrada 5 9" xfId="3412"/>
    <cellStyle name="Entrada 5 9 2" xfId="3413"/>
    <cellStyle name="Entrada 6" xfId="3414"/>
    <cellStyle name="Entrada 6 10" xfId="3415"/>
    <cellStyle name="Entrada 6 10 2" xfId="3416"/>
    <cellStyle name="Entrada 6 11" xfId="3417"/>
    <cellStyle name="Entrada 6 11 2" xfId="3418"/>
    <cellStyle name="Entrada 6 12" xfId="3419"/>
    <cellStyle name="Entrada 6 12 2" xfId="3420"/>
    <cellStyle name="Entrada 6 13" xfId="3421"/>
    <cellStyle name="Entrada 6 13 2" xfId="3422"/>
    <cellStyle name="Entrada 6 14" xfId="3423"/>
    <cellStyle name="Entrada 6 14 2" xfId="3424"/>
    <cellStyle name="Entrada 6 15" xfId="3425"/>
    <cellStyle name="Entrada 6 15 2" xfId="3426"/>
    <cellStyle name="Entrada 6 16" xfId="3427"/>
    <cellStyle name="Entrada 6 16 2" xfId="3428"/>
    <cellStyle name="Entrada 6 17" xfId="3429"/>
    <cellStyle name="Entrada 6 2" xfId="3430"/>
    <cellStyle name="Entrada 6 2 2" xfId="3431"/>
    <cellStyle name="Entrada 6 2 2 2" xfId="3432"/>
    <cellStyle name="Entrada 6 2 3" xfId="3433"/>
    <cellStyle name="Entrada 6 2 3 2" xfId="3434"/>
    <cellStyle name="Entrada 6 2 4" xfId="3435"/>
    <cellStyle name="Entrada 6 3" xfId="3436"/>
    <cellStyle name="Entrada 6 3 2" xfId="3437"/>
    <cellStyle name="Entrada 6 3 2 2" xfId="3438"/>
    <cellStyle name="Entrada 6 3 3" xfId="3439"/>
    <cellStyle name="Entrada 6 3 3 2" xfId="3440"/>
    <cellStyle name="Entrada 6 3 4" xfId="3441"/>
    <cellStyle name="Entrada 6 4" xfId="3442"/>
    <cellStyle name="Entrada 6 4 2" xfId="3443"/>
    <cellStyle name="Entrada 6 5" xfId="3444"/>
    <cellStyle name="Entrada 6 5 2" xfId="3445"/>
    <cellStyle name="Entrada 6 6" xfId="3446"/>
    <cellStyle name="Entrada 6 6 2" xfId="3447"/>
    <cellStyle name="Entrada 6 7" xfId="3448"/>
    <cellStyle name="Entrada 6 7 2" xfId="3449"/>
    <cellStyle name="Entrada 6 8" xfId="3450"/>
    <cellStyle name="Entrada 6 8 2" xfId="3451"/>
    <cellStyle name="Entrada 6 9" xfId="3452"/>
    <cellStyle name="Entrada 6 9 2" xfId="3453"/>
    <cellStyle name="Entrada 7" xfId="3454"/>
    <cellStyle name="Entrada 7 10" xfId="3455"/>
    <cellStyle name="Entrada 7 10 2" xfId="3456"/>
    <cellStyle name="Entrada 7 11" xfId="3457"/>
    <cellStyle name="Entrada 7 11 2" xfId="3458"/>
    <cellStyle name="Entrada 7 12" xfId="3459"/>
    <cellStyle name="Entrada 7 12 2" xfId="3460"/>
    <cellStyle name="Entrada 7 13" xfId="3461"/>
    <cellStyle name="Entrada 7 13 2" xfId="3462"/>
    <cellStyle name="Entrada 7 14" xfId="3463"/>
    <cellStyle name="Entrada 7 14 2" xfId="3464"/>
    <cellStyle name="Entrada 7 15" xfId="3465"/>
    <cellStyle name="Entrada 7 15 2" xfId="3466"/>
    <cellStyle name="Entrada 7 16" xfId="3467"/>
    <cellStyle name="Entrada 7 16 2" xfId="3468"/>
    <cellStyle name="Entrada 7 2" xfId="3469"/>
    <cellStyle name="Entrada 7 2 2" xfId="3470"/>
    <cellStyle name="Entrada 7 2 2 2" xfId="3471"/>
    <cellStyle name="Entrada 7 2 3" xfId="3472"/>
    <cellStyle name="Entrada 7 2 3 2" xfId="3473"/>
    <cellStyle name="Entrada 7 2 4" xfId="3474"/>
    <cellStyle name="Entrada 7 3" xfId="3475"/>
    <cellStyle name="Entrada 7 3 2" xfId="3476"/>
    <cellStyle name="Entrada 7 3 2 2" xfId="3477"/>
    <cellStyle name="Entrada 7 3 3" xfId="3478"/>
    <cellStyle name="Entrada 7 3 3 2" xfId="3479"/>
    <cellStyle name="Entrada 7 3 4" xfId="3480"/>
    <cellStyle name="Entrada 7 4" xfId="3481"/>
    <cellStyle name="Entrada 7 4 2" xfId="3482"/>
    <cellStyle name="Entrada 7 5" xfId="3483"/>
    <cellStyle name="Entrada 7 5 2" xfId="3484"/>
    <cellStyle name="Entrada 7 6" xfId="3485"/>
    <cellStyle name="Entrada 7 6 2" xfId="3486"/>
    <cellStyle name="Entrada 7 7" xfId="3487"/>
    <cellStyle name="Entrada 7 7 2" xfId="3488"/>
    <cellStyle name="Entrada 7 8" xfId="3489"/>
    <cellStyle name="Entrada 7 8 2" xfId="3490"/>
    <cellStyle name="Entrada 7 9" xfId="3491"/>
    <cellStyle name="Entrada 7 9 2" xfId="3492"/>
    <cellStyle name="Entrada 8" xfId="3493"/>
    <cellStyle name="Entrada 8 2" xfId="3494"/>
    <cellStyle name="Entrada 8 2 2" xfId="3495"/>
    <cellStyle name="Entrada 8 3" xfId="3496"/>
    <cellStyle name="Entrada 8 3 2" xfId="3497"/>
    <cellStyle name="Entrada 8 4" xfId="3498"/>
    <cellStyle name="Entrada 9" xfId="3499"/>
    <cellStyle name="Entrada 9 2" xfId="3500"/>
    <cellStyle name="Entrada 9 2 2" xfId="3501"/>
    <cellStyle name="Entrada 9 3" xfId="3502"/>
    <cellStyle name="Entrada 9 3 2" xfId="3503"/>
    <cellStyle name="Entrada 9 4" xfId="3504"/>
    <cellStyle name="Epson" xfId="3505"/>
    <cellStyle name="Epson12cpi" xfId="3506"/>
    <cellStyle name="Epson17cpi" xfId="3507"/>
    <cellStyle name="Euro" xfId="3508"/>
    <cellStyle name="Euro 10" xfId="3509"/>
    <cellStyle name="Euro 11" xfId="3510"/>
    <cellStyle name="Euro 12" xfId="3511"/>
    <cellStyle name="Euro 13" xfId="3512"/>
    <cellStyle name="Euro 14" xfId="3513"/>
    <cellStyle name="Euro 15" xfId="3514"/>
    <cellStyle name="Euro 16" xfId="3515"/>
    <cellStyle name="Euro 17" xfId="3516"/>
    <cellStyle name="Euro 18" xfId="3517"/>
    <cellStyle name="Euro 19" xfId="3518"/>
    <cellStyle name="Euro 2" xfId="3519"/>
    <cellStyle name="Euro 20" xfId="3520"/>
    <cellStyle name="Euro 21" xfId="3521"/>
    <cellStyle name="Euro 22" xfId="3522"/>
    <cellStyle name="Euro 23" xfId="3523"/>
    <cellStyle name="Euro 24" xfId="3524"/>
    <cellStyle name="Euro 3" xfId="3525"/>
    <cellStyle name="Euro 4" xfId="3526"/>
    <cellStyle name="Euro 5" xfId="3527"/>
    <cellStyle name="Euro 6" xfId="3528"/>
    <cellStyle name="Euro 7" xfId="3529"/>
    <cellStyle name="Euro 8" xfId="3530"/>
    <cellStyle name="Euro 9" xfId="3531"/>
    <cellStyle name="Explanatory Text" xfId="23" builtinId="53" customBuiltin="1"/>
    <cellStyle name="Explanatory Text 2" xfId="89"/>
    <cellStyle name="Explanatory Text 2 10" xfId="3532"/>
    <cellStyle name="Explanatory Text 2 11" xfId="3533"/>
    <cellStyle name="Explanatory Text 2 12" xfId="3534"/>
    <cellStyle name="Explanatory Text 2 13" xfId="3535"/>
    <cellStyle name="Explanatory Text 2 14" xfId="3536"/>
    <cellStyle name="Explanatory Text 2 15" xfId="3537"/>
    <cellStyle name="Explanatory Text 2 16" xfId="3538"/>
    <cellStyle name="Explanatory Text 2 17" xfId="3539"/>
    <cellStyle name="Explanatory Text 2 2" xfId="3540"/>
    <cellStyle name="Explanatory Text 2 2 2" xfId="3541"/>
    <cellStyle name="Explanatory Text 2 2 2 2" xfId="3542"/>
    <cellStyle name="Explanatory Text 2 2 2 3" xfId="3543"/>
    <cellStyle name="Explanatory Text 2 2 3" xfId="3544"/>
    <cellStyle name="Explanatory Text 2 2 4" xfId="3545"/>
    <cellStyle name="Explanatory Text 2 3" xfId="3546"/>
    <cellStyle name="Explanatory Text 2 4" xfId="3547"/>
    <cellStyle name="Explanatory Text 2 5" xfId="3548"/>
    <cellStyle name="Explanatory Text 2 6" xfId="3549"/>
    <cellStyle name="Explanatory Text 2 7" xfId="3550"/>
    <cellStyle name="Explanatory Text 2 8" xfId="3551"/>
    <cellStyle name="Explanatory Text 2 9" xfId="3552"/>
    <cellStyle name="Explanatory Text 3" xfId="3553"/>
    <cellStyle name="Explanatory Text 3 2" xfId="3554"/>
    <cellStyle name="Explanatory Text 3 3" xfId="3555"/>
    <cellStyle name="Explanatory Text 4" xfId="3556"/>
    <cellStyle name="Factor" xfId="3557"/>
    <cellStyle name="Factor 10" xfId="3558"/>
    <cellStyle name="Factor 11" xfId="3559"/>
    <cellStyle name="Factor 12" xfId="3560"/>
    <cellStyle name="Factor 13" xfId="3561"/>
    <cellStyle name="Factor 14" xfId="3562"/>
    <cellStyle name="Factor 15" xfId="3563"/>
    <cellStyle name="Factor 16" xfId="3564"/>
    <cellStyle name="Factor 17" xfId="3565"/>
    <cellStyle name="Factor 18" xfId="3566"/>
    <cellStyle name="Factor 2" xfId="3567"/>
    <cellStyle name="Factor 3" xfId="3568"/>
    <cellStyle name="Factor 4" xfId="3569"/>
    <cellStyle name="Factor 5" xfId="3570"/>
    <cellStyle name="Factor 6" xfId="3571"/>
    <cellStyle name="Factor 7" xfId="3572"/>
    <cellStyle name="Factor 8" xfId="3573"/>
    <cellStyle name="Factor 9" xfId="3574"/>
    <cellStyle name="Fillin" xfId="3575"/>
    <cellStyle name="Fixed" xfId="149"/>
    <cellStyle name="Footnote" xfId="3576"/>
    <cellStyle name="Good" xfId="14" builtinId="26" customBuiltin="1"/>
    <cellStyle name="Good 2" xfId="90"/>
    <cellStyle name="Good 2 10" xfId="3577"/>
    <cellStyle name="Good 2 11" xfId="3578"/>
    <cellStyle name="Good 2 12" xfId="3579"/>
    <cellStyle name="Good 2 13" xfId="3580"/>
    <cellStyle name="Good 2 14" xfId="3581"/>
    <cellStyle name="Good 2 15" xfId="3582"/>
    <cellStyle name="Good 2 16" xfId="3583"/>
    <cellStyle name="Good 2 17" xfId="3584"/>
    <cellStyle name="Good 2 2" xfId="3585"/>
    <cellStyle name="Good 2 2 2" xfId="3586"/>
    <cellStyle name="Good 2 2 2 2" xfId="3587"/>
    <cellStyle name="Good 2 2 2 3" xfId="3588"/>
    <cellStyle name="Good 2 2 3" xfId="3589"/>
    <cellStyle name="Good 2 2 4" xfId="3590"/>
    <cellStyle name="Good 2 3" xfId="3591"/>
    <cellStyle name="Good 2 4" xfId="3592"/>
    <cellStyle name="Good 2 5" xfId="3593"/>
    <cellStyle name="Good 2 6" xfId="3594"/>
    <cellStyle name="Good 2 7" xfId="3595"/>
    <cellStyle name="Good 2 8" xfId="3596"/>
    <cellStyle name="Good 2 9" xfId="3597"/>
    <cellStyle name="Good 3" xfId="3598"/>
    <cellStyle name="Good 3 2" xfId="3599"/>
    <cellStyle name="Good 3 3" xfId="3600"/>
    <cellStyle name="Good 4" xfId="3601"/>
    <cellStyle name="Green Heading" xfId="3602"/>
    <cellStyle name="Green Subheading2" xfId="3603"/>
    <cellStyle name="Hard Percent" xfId="3604"/>
    <cellStyle name="Header" xfId="3605"/>
    <cellStyle name="Header 2" xfId="3606"/>
    <cellStyle name="Header 2 2" xfId="3607"/>
    <cellStyle name="Header 2 3" xfId="3608"/>
    <cellStyle name="Header 3" xfId="3609"/>
    <cellStyle name="Heading" xfId="3610"/>
    <cellStyle name="Heading 1" xfId="10" builtinId="16" customBuiltin="1"/>
    <cellStyle name="Heading 1 2" xfId="91"/>
    <cellStyle name="Heading 1 2 10" xfId="3611"/>
    <cellStyle name="Heading 1 2 11" xfId="3612"/>
    <cellStyle name="Heading 1 2 12" xfId="3613"/>
    <cellStyle name="Heading 1 2 13" xfId="3614"/>
    <cellStyle name="Heading 1 2 14" xfId="3615"/>
    <cellStyle name="Heading 1 2 15" xfId="3616"/>
    <cellStyle name="Heading 1 2 16" xfId="3617"/>
    <cellStyle name="Heading 1 2 17" xfId="3618"/>
    <cellStyle name="Heading 1 2 2" xfId="3619"/>
    <cellStyle name="Heading 1 2 2 2" xfId="3620"/>
    <cellStyle name="Heading 1 2 2 2 2" xfId="3621"/>
    <cellStyle name="Heading 1 2 2 2 3" xfId="3622"/>
    <cellStyle name="Heading 1 2 2 3" xfId="3623"/>
    <cellStyle name="Heading 1 2 2 4" xfId="3624"/>
    <cellStyle name="Heading 1 2 3" xfId="3625"/>
    <cellStyle name="Heading 1 2 4" xfId="3626"/>
    <cellStyle name="Heading 1 2 5" xfId="3627"/>
    <cellStyle name="Heading 1 2 6" xfId="3628"/>
    <cellStyle name="Heading 1 2 7" xfId="3629"/>
    <cellStyle name="Heading 1 2 8" xfId="3630"/>
    <cellStyle name="Heading 1 2 9" xfId="3631"/>
    <cellStyle name="Heading 1 3" xfId="3632"/>
    <cellStyle name="Heading 1 3 2" xfId="3633"/>
    <cellStyle name="Heading 1 3 3" xfId="3634"/>
    <cellStyle name="Heading 1 4" xfId="3635"/>
    <cellStyle name="Heading 2" xfId="11" builtinId="17" customBuiltin="1"/>
    <cellStyle name="Heading 2 2" xfId="92"/>
    <cellStyle name="Heading 2 2 10" xfId="3636"/>
    <cellStyle name="Heading 2 2 11" xfId="3637"/>
    <cellStyle name="Heading 2 2 12" xfId="3638"/>
    <cellStyle name="Heading 2 2 13" xfId="3639"/>
    <cellStyle name="Heading 2 2 14" xfId="3640"/>
    <cellStyle name="Heading 2 2 15" xfId="3641"/>
    <cellStyle name="Heading 2 2 16" xfId="3642"/>
    <cellStyle name="Heading 2 2 17" xfId="3643"/>
    <cellStyle name="Heading 2 2 2" xfId="3644"/>
    <cellStyle name="Heading 2 2 2 2" xfId="3645"/>
    <cellStyle name="Heading 2 2 2 2 2" xfId="3646"/>
    <cellStyle name="Heading 2 2 2 2 3" xfId="3647"/>
    <cellStyle name="Heading 2 2 2 3" xfId="3648"/>
    <cellStyle name="Heading 2 2 2 4" xfId="3649"/>
    <cellStyle name="Heading 2 2 3" xfId="3650"/>
    <cellStyle name="Heading 2 2 4" xfId="3651"/>
    <cellStyle name="Heading 2 2 5" xfId="3652"/>
    <cellStyle name="Heading 2 2 6" xfId="3653"/>
    <cellStyle name="Heading 2 2 7" xfId="3654"/>
    <cellStyle name="Heading 2 2 8" xfId="3655"/>
    <cellStyle name="Heading 2 2 9" xfId="3656"/>
    <cellStyle name="Heading 2 3" xfId="3657"/>
    <cellStyle name="Heading 2 3 2" xfId="3658"/>
    <cellStyle name="Heading 2 3 3" xfId="3659"/>
    <cellStyle name="Heading 2 4" xfId="3660"/>
    <cellStyle name="Heading 3" xfId="12" builtinId="18" customBuiltin="1"/>
    <cellStyle name="Heading 3 2" xfId="93"/>
    <cellStyle name="Heading 3 2 10" xfId="3661"/>
    <cellStyle name="Heading 3 2 11" xfId="3662"/>
    <cellStyle name="Heading 3 2 12" xfId="3663"/>
    <cellStyle name="Heading 3 2 13" xfId="3664"/>
    <cellStyle name="Heading 3 2 14" xfId="3665"/>
    <cellStyle name="Heading 3 2 15" xfId="3666"/>
    <cellStyle name="Heading 3 2 16" xfId="3667"/>
    <cellStyle name="Heading 3 2 17" xfId="3668"/>
    <cellStyle name="Heading 3 2 2" xfId="3669"/>
    <cellStyle name="Heading 3 2 2 2" xfId="3670"/>
    <cellStyle name="Heading 3 2 2 2 2" xfId="3671"/>
    <cellStyle name="Heading 3 2 2 2 3" xfId="3672"/>
    <cellStyle name="Heading 3 2 2 3" xfId="3673"/>
    <cellStyle name="Heading 3 2 2 4" xfId="3674"/>
    <cellStyle name="Heading 3 2 3" xfId="3675"/>
    <cellStyle name="Heading 3 2 4" xfId="3676"/>
    <cellStyle name="Heading 3 2 5" xfId="3677"/>
    <cellStyle name="Heading 3 2 6" xfId="3678"/>
    <cellStyle name="Heading 3 2 7" xfId="3679"/>
    <cellStyle name="Heading 3 2 8" xfId="3680"/>
    <cellStyle name="Heading 3 2 9" xfId="3681"/>
    <cellStyle name="Heading 3 3" xfId="3682"/>
    <cellStyle name="Heading 3 3 2" xfId="3683"/>
    <cellStyle name="Heading 3 3 3" xfId="3684"/>
    <cellStyle name="Heading 3 4" xfId="3685"/>
    <cellStyle name="Heading 4" xfId="13" builtinId="19" customBuiltin="1"/>
    <cellStyle name="Heading 4 2" xfId="94"/>
    <cellStyle name="Heading 4 2 10" xfId="3686"/>
    <cellStyle name="Heading 4 2 11" xfId="3687"/>
    <cellStyle name="Heading 4 2 12" xfId="3688"/>
    <cellStyle name="Heading 4 2 13" xfId="3689"/>
    <cellStyle name="Heading 4 2 14" xfId="3690"/>
    <cellStyle name="Heading 4 2 15" xfId="3691"/>
    <cellStyle name="Heading 4 2 16" xfId="3692"/>
    <cellStyle name="Heading 4 2 17" xfId="3693"/>
    <cellStyle name="Heading 4 2 2" xfId="3694"/>
    <cellStyle name="Heading 4 2 2 2" xfId="3695"/>
    <cellStyle name="Heading 4 2 2 2 2" xfId="3696"/>
    <cellStyle name="Heading 4 2 2 2 3" xfId="3697"/>
    <cellStyle name="Heading 4 2 2 3" xfId="3698"/>
    <cellStyle name="Heading 4 2 2 4" xfId="3699"/>
    <cellStyle name="Heading 4 2 3" xfId="3700"/>
    <cellStyle name="Heading 4 2 4" xfId="3701"/>
    <cellStyle name="Heading 4 2 5" xfId="3702"/>
    <cellStyle name="Heading 4 2 6" xfId="3703"/>
    <cellStyle name="Heading 4 2 7" xfId="3704"/>
    <cellStyle name="Heading 4 2 8" xfId="3705"/>
    <cellStyle name="Heading 4 2 9" xfId="3706"/>
    <cellStyle name="Heading 4 3" xfId="3707"/>
    <cellStyle name="Heading 4 3 2" xfId="3708"/>
    <cellStyle name="Heading 4 3 3" xfId="3709"/>
    <cellStyle name="Heading 4 4" xfId="3710"/>
    <cellStyle name="Heading1" xfId="3711"/>
    <cellStyle name="Heading2" xfId="3712"/>
    <cellStyle name="Headline" xfId="95"/>
    <cellStyle name="Hed Side" xfId="150"/>
    <cellStyle name="Hed Side bold" xfId="151"/>
    <cellStyle name="Hed Side Indent" xfId="152"/>
    <cellStyle name="Hed Side Regular" xfId="153"/>
    <cellStyle name="Hed Side_1-1A-Regular" xfId="154"/>
    <cellStyle name="Hed Top" xfId="155"/>
    <cellStyle name="Hed Top - SECTION" xfId="156"/>
    <cellStyle name="Hed Top_3-new4" xfId="157"/>
    <cellStyle name="HSBC Input Date" xfId="3713"/>
    <cellStyle name="HSBC Input Number 1" xfId="3714"/>
    <cellStyle name="HSBC Input Number 2" xfId="3715"/>
    <cellStyle name="HSBC Input Number Link" xfId="3716"/>
    <cellStyle name="HSBC Input Percent" xfId="3717"/>
    <cellStyle name="HSBC Input Ratio" xfId="3718"/>
    <cellStyle name="HSBC Input Year Format" xfId="3719"/>
    <cellStyle name="HSBC Report Number" xfId="3720"/>
    <cellStyle name="HSBC Report Number 0" xfId="3721"/>
    <cellStyle name="HSBC Report Number 0 10" xfId="3722"/>
    <cellStyle name="HSBC Report Number 0 11" xfId="3723"/>
    <cellStyle name="HSBC Report Number 0 12" xfId="3724"/>
    <cellStyle name="HSBC Report Number 0 13" xfId="3725"/>
    <cellStyle name="HSBC Report Number 0 14" xfId="3726"/>
    <cellStyle name="HSBC Report Number 0 15" xfId="3727"/>
    <cellStyle name="HSBC Report Number 0 16" xfId="3728"/>
    <cellStyle name="HSBC Report Number 0 17" xfId="3729"/>
    <cellStyle name="HSBC Report Number 0 18" xfId="3730"/>
    <cellStyle name="HSBC Report Number 0 19" xfId="3731"/>
    <cellStyle name="HSBC Report Number 0 2" xfId="3732"/>
    <cellStyle name="HSBC Report Number 0 20" xfId="3733"/>
    <cellStyle name="HSBC Report Number 0 21" xfId="3734"/>
    <cellStyle name="HSBC Report Number 0 22" xfId="3735"/>
    <cellStyle name="HSBC Report Number 0 23" xfId="3736"/>
    <cellStyle name="HSBC Report Number 0 24" xfId="3737"/>
    <cellStyle name="HSBC Report Number 0 3" xfId="3738"/>
    <cellStyle name="HSBC Report Number 0 4" xfId="3739"/>
    <cellStyle name="HSBC Report Number 0 5" xfId="3740"/>
    <cellStyle name="HSBC Report Number 0 6" xfId="3741"/>
    <cellStyle name="HSBC Report Number 0 7" xfId="3742"/>
    <cellStyle name="HSBC Report Number 0 8" xfId="3743"/>
    <cellStyle name="HSBC Report Number 0 9" xfId="3744"/>
    <cellStyle name="HSBC Report Number 10" xfId="3745"/>
    <cellStyle name="HSBC Report Number 11" xfId="3746"/>
    <cellStyle name="HSBC Report Number 12" xfId="3747"/>
    <cellStyle name="HSBC Report Number 13" xfId="3748"/>
    <cellStyle name="HSBC Report Number 14" xfId="3749"/>
    <cellStyle name="HSBC Report Number 15" xfId="3750"/>
    <cellStyle name="HSBC Report Number 16" xfId="3751"/>
    <cellStyle name="HSBC Report Number 17" xfId="3752"/>
    <cellStyle name="HSBC Report Number 18" xfId="3753"/>
    <cellStyle name="HSBC Report Number 19" xfId="3754"/>
    <cellStyle name="HSBC Report Number 2" xfId="3755"/>
    <cellStyle name="HSBC Report Number 20" xfId="3756"/>
    <cellStyle name="HSBC Report Number 21" xfId="3757"/>
    <cellStyle name="HSBC Report Number 22" xfId="3758"/>
    <cellStyle name="HSBC Report Number 23" xfId="3759"/>
    <cellStyle name="HSBC Report Number 24" xfId="3760"/>
    <cellStyle name="HSBC Report Number 3" xfId="3761"/>
    <cellStyle name="HSBC Report Number 4" xfId="3762"/>
    <cellStyle name="HSBC Report Number 5" xfId="3763"/>
    <cellStyle name="HSBC Report Number 6" xfId="3764"/>
    <cellStyle name="HSBC Report Number 7" xfId="3765"/>
    <cellStyle name="HSBC Report Number 8" xfId="3766"/>
    <cellStyle name="HSBC Report Number 9" xfId="3767"/>
    <cellStyle name="HSBC Report Total" xfId="3768"/>
    <cellStyle name="HSBC Report Total Main" xfId="3769"/>
    <cellStyle name="HSBC Report Total Main 10" xfId="3770"/>
    <cellStyle name="HSBC Report Total Main 10 2" xfId="3771"/>
    <cellStyle name="HSBC Report Total Main 11" xfId="3772"/>
    <cellStyle name="HSBC Report Total Main 11 2" xfId="3773"/>
    <cellStyle name="HSBC Report Total Main 12" xfId="3774"/>
    <cellStyle name="HSBC Report Total Main 12 2" xfId="3775"/>
    <cellStyle name="HSBC Report Total Main 13" xfId="3776"/>
    <cellStyle name="HSBC Report Total Main 13 2" xfId="3777"/>
    <cellStyle name="HSBC Report Total Main 14" xfId="3778"/>
    <cellStyle name="HSBC Report Total Main 14 2" xfId="3779"/>
    <cellStyle name="HSBC Report Total Main 15" xfId="3780"/>
    <cellStyle name="HSBC Report Total Main 15 2" xfId="3781"/>
    <cellStyle name="HSBC Report Total Main 16" xfId="3782"/>
    <cellStyle name="HSBC Report Total Main 16 2" xfId="3783"/>
    <cellStyle name="HSBC Report Total Main 17" xfId="3784"/>
    <cellStyle name="HSBC Report Total Main 17 2" xfId="3785"/>
    <cellStyle name="HSBC Report Total Main 18" xfId="3786"/>
    <cellStyle name="HSBC Report Total Main 18 2" xfId="3787"/>
    <cellStyle name="HSBC Report Total Main 19" xfId="3788"/>
    <cellStyle name="HSBC Report Total Main 19 2" xfId="3789"/>
    <cellStyle name="HSBC Report Total Main 2" xfId="3790"/>
    <cellStyle name="HSBC Report Total Main 2 10" xfId="3791"/>
    <cellStyle name="HSBC Report Total Main 2 10 2" xfId="3792"/>
    <cellStyle name="HSBC Report Total Main 2 11" xfId="3793"/>
    <cellStyle name="HSBC Report Total Main 2 11 2" xfId="3794"/>
    <cellStyle name="HSBC Report Total Main 2 12" xfId="3795"/>
    <cellStyle name="HSBC Report Total Main 2 12 2" xfId="3796"/>
    <cellStyle name="HSBC Report Total Main 2 13" xfId="3797"/>
    <cellStyle name="HSBC Report Total Main 2 13 2" xfId="3798"/>
    <cellStyle name="HSBC Report Total Main 2 14" xfId="3799"/>
    <cellStyle name="HSBC Report Total Main 2 14 2" xfId="3800"/>
    <cellStyle name="HSBC Report Total Main 2 15" xfId="3801"/>
    <cellStyle name="HSBC Report Total Main 2 15 2" xfId="3802"/>
    <cellStyle name="HSBC Report Total Main 2 16" xfId="3803"/>
    <cellStyle name="HSBC Report Total Main 2 16 2" xfId="3804"/>
    <cellStyle name="HSBC Report Total Main 2 17" xfId="3805"/>
    <cellStyle name="HSBC Report Total Main 2 2" xfId="3806"/>
    <cellStyle name="HSBC Report Total Main 2 2 10" xfId="3807"/>
    <cellStyle name="HSBC Report Total Main 2 2 10 2" xfId="3808"/>
    <cellStyle name="HSBC Report Total Main 2 2 11" xfId="3809"/>
    <cellStyle name="HSBC Report Total Main 2 2 11 2" xfId="3810"/>
    <cellStyle name="HSBC Report Total Main 2 2 12" xfId="3811"/>
    <cellStyle name="HSBC Report Total Main 2 2 12 2" xfId="3812"/>
    <cellStyle name="HSBC Report Total Main 2 2 13" xfId="3813"/>
    <cellStyle name="HSBC Report Total Main 2 2 13 2" xfId="3814"/>
    <cellStyle name="HSBC Report Total Main 2 2 14" xfId="3815"/>
    <cellStyle name="HSBC Report Total Main 2 2 14 2" xfId="3816"/>
    <cellStyle name="HSBC Report Total Main 2 2 15" xfId="3817"/>
    <cellStyle name="HSBC Report Total Main 2 2 2" xfId="3818"/>
    <cellStyle name="HSBC Report Total Main 2 2 2 2" xfId="3819"/>
    <cellStyle name="HSBC Report Total Main 2 2 3" xfId="3820"/>
    <cellStyle name="HSBC Report Total Main 2 2 3 2" xfId="3821"/>
    <cellStyle name="HSBC Report Total Main 2 2 4" xfId="3822"/>
    <cellStyle name="HSBC Report Total Main 2 2 4 2" xfId="3823"/>
    <cellStyle name="HSBC Report Total Main 2 2 5" xfId="3824"/>
    <cellStyle name="HSBC Report Total Main 2 2 5 2" xfId="3825"/>
    <cellStyle name="HSBC Report Total Main 2 2 6" xfId="3826"/>
    <cellStyle name="HSBC Report Total Main 2 2 6 2" xfId="3827"/>
    <cellStyle name="HSBC Report Total Main 2 2 7" xfId="3828"/>
    <cellStyle name="HSBC Report Total Main 2 2 7 2" xfId="3829"/>
    <cellStyle name="HSBC Report Total Main 2 2 8" xfId="3830"/>
    <cellStyle name="HSBC Report Total Main 2 2 8 2" xfId="3831"/>
    <cellStyle name="HSBC Report Total Main 2 2 9" xfId="3832"/>
    <cellStyle name="HSBC Report Total Main 2 2 9 2" xfId="3833"/>
    <cellStyle name="HSBC Report Total Main 2 3" xfId="3834"/>
    <cellStyle name="HSBC Report Total Main 2 3 2" xfId="3835"/>
    <cellStyle name="HSBC Report Total Main 2 3 2 2" xfId="3836"/>
    <cellStyle name="HSBC Report Total Main 2 3 3" xfId="3837"/>
    <cellStyle name="HSBC Report Total Main 2 3 3 2" xfId="3838"/>
    <cellStyle name="HSBC Report Total Main 2 3 4" xfId="3839"/>
    <cellStyle name="HSBC Report Total Main 2 4" xfId="3840"/>
    <cellStyle name="HSBC Report Total Main 2 4 2" xfId="3841"/>
    <cellStyle name="HSBC Report Total Main 2 5" xfId="3842"/>
    <cellStyle name="HSBC Report Total Main 2 5 2" xfId="3843"/>
    <cellStyle name="HSBC Report Total Main 2 6" xfId="3844"/>
    <cellStyle name="HSBC Report Total Main 2 6 2" xfId="3845"/>
    <cellStyle name="HSBC Report Total Main 2 7" xfId="3846"/>
    <cellStyle name="HSBC Report Total Main 2 7 2" xfId="3847"/>
    <cellStyle name="HSBC Report Total Main 2 8" xfId="3848"/>
    <cellStyle name="HSBC Report Total Main 2 8 2" xfId="3849"/>
    <cellStyle name="HSBC Report Total Main 2 9" xfId="3850"/>
    <cellStyle name="HSBC Report Total Main 2 9 2" xfId="3851"/>
    <cellStyle name="HSBC Report Total Main 20" xfId="3852"/>
    <cellStyle name="HSBC Report Total Main 20 2" xfId="3853"/>
    <cellStyle name="HSBC Report Total Main 21" xfId="3854"/>
    <cellStyle name="HSBC Report Total Main 21 2" xfId="3855"/>
    <cellStyle name="HSBC Report Total Main 22" xfId="3856"/>
    <cellStyle name="HSBC Report Total Main 22 2" xfId="3857"/>
    <cellStyle name="HSBC Report Total Main 3" xfId="3858"/>
    <cellStyle name="HSBC Report Total Main 3 10" xfId="3859"/>
    <cellStyle name="HSBC Report Total Main 3 10 2" xfId="3860"/>
    <cellStyle name="HSBC Report Total Main 3 11" xfId="3861"/>
    <cellStyle name="HSBC Report Total Main 3 11 2" xfId="3862"/>
    <cellStyle name="HSBC Report Total Main 3 12" xfId="3863"/>
    <cellStyle name="HSBC Report Total Main 3 12 2" xfId="3864"/>
    <cellStyle name="HSBC Report Total Main 3 13" xfId="3865"/>
    <cellStyle name="HSBC Report Total Main 3 13 2" xfId="3866"/>
    <cellStyle name="HSBC Report Total Main 3 14" xfId="3867"/>
    <cellStyle name="HSBC Report Total Main 3 14 2" xfId="3868"/>
    <cellStyle name="HSBC Report Total Main 3 15" xfId="3869"/>
    <cellStyle name="HSBC Report Total Main 3 15 2" xfId="3870"/>
    <cellStyle name="HSBC Report Total Main 3 16" xfId="3871"/>
    <cellStyle name="HSBC Report Total Main 3 16 2" xfId="3872"/>
    <cellStyle name="HSBC Report Total Main 3 17" xfId="3873"/>
    <cellStyle name="HSBC Report Total Main 3 2" xfId="3874"/>
    <cellStyle name="HSBC Report Total Main 3 2 10" xfId="3875"/>
    <cellStyle name="HSBC Report Total Main 3 2 10 2" xfId="3876"/>
    <cellStyle name="HSBC Report Total Main 3 2 11" xfId="3877"/>
    <cellStyle name="HSBC Report Total Main 3 2 11 2" xfId="3878"/>
    <cellStyle name="HSBC Report Total Main 3 2 12" xfId="3879"/>
    <cellStyle name="HSBC Report Total Main 3 2 12 2" xfId="3880"/>
    <cellStyle name="HSBC Report Total Main 3 2 13" xfId="3881"/>
    <cellStyle name="HSBC Report Total Main 3 2 13 2" xfId="3882"/>
    <cellStyle name="HSBC Report Total Main 3 2 14" xfId="3883"/>
    <cellStyle name="HSBC Report Total Main 3 2 14 2" xfId="3884"/>
    <cellStyle name="HSBC Report Total Main 3 2 15" xfId="3885"/>
    <cellStyle name="HSBC Report Total Main 3 2 2" xfId="3886"/>
    <cellStyle name="HSBC Report Total Main 3 2 2 2" xfId="3887"/>
    <cellStyle name="HSBC Report Total Main 3 2 3" xfId="3888"/>
    <cellStyle name="HSBC Report Total Main 3 2 3 2" xfId="3889"/>
    <cellStyle name="HSBC Report Total Main 3 2 4" xfId="3890"/>
    <cellStyle name="HSBC Report Total Main 3 2 4 2" xfId="3891"/>
    <cellStyle name="HSBC Report Total Main 3 2 5" xfId="3892"/>
    <cellStyle name="HSBC Report Total Main 3 2 5 2" xfId="3893"/>
    <cellStyle name="HSBC Report Total Main 3 2 6" xfId="3894"/>
    <cellStyle name="HSBC Report Total Main 3 2 6 2" xfId="3895"/>
    <cellStyle name="HSBC Report Total Main 3 2 7" xfId="3896"/>
    <cellStyle name="HSBC Report Total Main 3 2 7 2" xfId="3897"/>
    <cellStyle name="HSBC Report Total Main 3 2 8" xfId="3898"/>
    <cellStyle name="HSBC Report Total Main 3 2 8 2" xfId="3899"/>
    <cellStyle name="HSBC Report Total Main 3 2 9" xfId="3900"/>
    <cellStyle name="HSBC Report Total Main 3 2 9 2" xfId="3901"/>
    <cellStyle name="HSBC Report Total Main 3 3" xfId="3902"/>
    <cellStyle name="HSBC Report Total Main 3 3 2" xfId="3903"/>
    <cellStyle name="HSBC Report Total Main 3 3 2 2" xfId="3904"/>
    <cellStyle name="HSBC Report Total Main 3 3 3" xfId="3905"/>
    <cellStyle name="HSBC Report Total Main 3 3 3 2" xfId="3906"/>
    <cellStyle name="HSBC Report Total Main 3 3 4" xfId="3907"/>
    <cellStyle name="HSBC Report Total Main 3 4" xfId="3908"/>
    <cellStyle name="HSBC Report Total Main 3 4 2" xfId="3909"/>
    <cellStyle name="HSBC Report Total Main 3 5" xfId="3910"/>
    <cellStyle name="HSBC Report Total Main 3 5 2" xfId="3911"/>
    <cellStyle name="HSBC Report Total Main 3 6" xfId="3912"/>
    <cellStyle name="HSBC Report Total Main 3 6 2" xfId="3913"/>
    <cellStyle name="HSBC Report Total Main 3 7" xfId="3914"/>
    <cellStyle name="HSBC Report Total Main 3 7 2" xfId="3915"/>
    <cellStyle name="HSBC Report Total Main 3 8" xfId="3916"/>
    <cellStyle name="HSBC Report Total Main 3 8 2" xfId="3917"/>
    <cellStyle name="HSBC Report Total Main 3 9" xfId="3918"/>
    <cellStyle name="HSBC Report Total Main 3 9 2" xfId="3919"/>
    <cellStyle name="HSBC Report Total Main 4" xfId="3920"/>
    <cellStyle name="HSBC Report Total Main 4 10" xfId="3921"/>
    <cellStyle name="HSBC Report Total Main 4 10 2" xfId="3922"/>
    <cellStyle name="HSBC Report Total Main 4 11" xfId="3923"/>
    <cellStyle name="HSBC Report Total Main 4 11 2" xfId="3924"/>
    <cellStyle name="HSBC Report Total Main 4 12" xfId="3925"/>
    <cellStyle name="HSBC Report Total Main 4 12 2" xfId="3926"/>
    <cellStyle name="HSBC Report Total Main 4 13" xfId="3927"/>
    <cellStyle name="HSBC Report Total Main 4 13 2" xfId="3928"/>
    <cellStyle name="HSBC Report Total Main 4 14" xfId="3929"/>
    <cellStyle name="HSBC Report Total Main 4 14 2" xfId="3930"/>
    <cellStyle name="HSBC Report Total Main 4 15" xfId="3931"/>
    <cellStyle name="HSBC Report Total Main 4 15 2" xfId="3932"/>
    <cellStyle name="HSBC Report Total Main 4 16" xfId="3933"/>
    <cellStyle name="HSBC Report Total Main 4 16 2" xfId="3934"/>
    <cellStyle name="HSBC Report Total Main 4 17" xfId="3935"/>
    <cellStyle name="HSBC Report Total Main 4 2" xfId="3936"/>
    <cellStyle name="HSBC Report Total Main 4 2 10" xfId="3937"/>
    <cellStyle name="HSBC Report Total Main 4 2 10 2" xfId="3938"/>
    <cellStyle name="HSBC Report Total Main 4 2 11" xfId="3939"/>
    <cellStyle name="HSBC Report Total Main 4 2 11 2" xfId="3940"/>
    <cellStyle name="HSBC Report Total Main 4 2 12" xfId="3941"/>
    <cellStyle name="HSBC Report Total Main 4 2 12 2" xfId="3942"/>
    <cellStyle name="HSBC Report Total Main 4 2 13" xfId="3943"/>
    <cellStyle name="HSBC Report Total Main 4 2 13 2" xfId="3944"/>
    <cellStyle name="HSBC Report Total Main 4 2 14" xfId="3945"/>
    <cellStyle name="HSBC Report Total Main 4 2 14 2" xfId="3946"/>
    <cellStyle name="HSBC Report Total Main 4 2 15" xfId="3947"/>
    <cellStyle name="HSBC Report Total Main 4 2 2" xfId="3948"/>
    <cellStyle name="HSBC Report Total Main 4 2 2 2" xfId="3949"/>
    <cellStyle name="HSBC Report Total Main 4 2 3" xfId="3950"/>
    <cellStyle name="HSBC Report Total Main 4 2 3 2" xfId="3951"/>
    <cellStyle name="HSBC Report Total Main 4 2 4" xfId="3952"/>
    <cellStyle name="HSBC Report Total Main 4 2 4 2" xfId="3953"/>
    <cellStyle name="HSBC Report Total Main 4 2 5" xfId="3954"/>
    <cellStyle name="HSBC Report Total Main 4 2 5 2" xfId="3955"/>
    <cellStyle name="HSBC Report Total Main 4 2 6" xfId="3956"/>
    <cellStyle name="HSBC Report Total Main 4 2 6 2" xfId="3957"/>
    <cellStyle name="HSBC Report Total Main 4 2 7" xfId="3958"/>
    <cellStyle name="HSBC Report Total Main 4 2 7 2" xfId="3959"/>
    <cellStyle name="HSBC Report Total Main 4 2 8" xfId="3960"/>
    <cellStyle name="HSBC Report Total Main 4 2 8 2" xfId="3961"/>
    <cellStyle name="HSBC Report Total Main 4 2 9" xfId="3962"/>
    <cellStyle name="HSBC Report Total Main 4 2 9 2" xfId="3963"/>
    <cellStyle name="HSBC Report Total Main 4 3" xfId="3964"/>
    <cellStyle name="HSBC Report Total Main 4 3 2" xfId="3965"/>
    <cellStyle name="HSBC Report Total Main 4 3 2 2" xfId="3966"/>
    <cellStyle name="HSBC Report Total Main 4 3 3" xfId="3967"/>
    <cellStyle name="HSBC Report Total Main 4 3 3 2" xfId="3968"/>
    <cellStyle name="HSBC Report Total Main 4 3 4" xfId="3969"/>
    <cellStyle name="HSBC Report Total Main 4 4" xfId="3970"/>
    <cellStyle name="HSBC Report Total Main 4 4 2" xfId="3971"/>
    <cellStyle name="HSBC Report Total Main 4 5" xfId="3972"/>
    <cellStyle name="HSBC Report Total Main 4 5 2" xfId="3973"/>
    <cellStyle name="HSBC Report Total Main 4 6" xfId="3974"/>
    <cellStyle name="HSBC Report Total Main 4 6 2" xfId="3975"/>
    <cellStyle name="HSBC Report Total Main 4 7" xfId="3976"/>
    <cellStyle name="HSBC Report Total Main 4 7 2" xfId="3977"/>
    <cellStyle name="HSBC Report Total Main 4 8" xfId="3978"/>
    <cellStyle name="HSBC Report Total Main 4 8 2" xfId="3979"/>
    <cellStyle name="HSBC Report Total Main 4 9" xfId="3980"/>
    <cellStyle name="HSBC Report Total Main 4 9 2" xfId="3981"/>
    <cellStyle name="HSBC Report Total Main 5" xfId="3982"/>
    <cellStyle name="HSBC Report Total Main 5 10" xfId="3983"/>
    <cellStyle name="HSBC Report Total Main 5 10 2" xfId="3984"/>
    <cellStyle name="HSBC Report Total Main 5 11" xfId="3985"/>
    <cellStyle name="HSBC Report Total Main 5 11 2" xfId="3986"/>
    <cellStyle name="HSBC Report Total Main 5 12" xfId="3987"/>
    <cellStyle name="HSBC Report Total Main 5 12 2" xfId="3988"/>
    <cellStyle name="HSBC Report Total Main 5 13" xfId="3989"/>
    <cellStyle name="HSBC Report Total Main 5 13 2" xfId="3990"/>
    <cellStyle name="HSBC Report Total Main 5 14" xfId="3991"/>
    <cellStyle name="HSBC Report Total Main 5 14 2" xfId="3992"/>
    <cellStyle name="HSBC Report Total Main 5 15" xfId="3993"/>
    <cellStyle name="HSBC Report Total Main 5 15 2" xfId="3994"/>
    <cellStyle name="HSBC Report Total Main 5 16" xfId="3995"/>
    <cellStyle name="HSBC Report Total Main 5 16 2" xfId="3996"/>
    <cellStyle name="HSBC Report Total Main 5 17" xfId="3997"/>
    <cellStyle name="HSBC Report Total Main 5 2" xfId="3998"/>
    <cellStyle name="HSBC Report Total Main 5 2 10" xfId="3999"/>
    <cellStyle name="HSBC Report Total Main 5 2 10 2" xfId="4000"/>
    <cellStyle name="HSBC Report Total Main 5 2 11" xfId="4001"/>
    <cellStyle name="HSBC Report Total Main 5 2 11 2" xfId="4002"/>
    <cellStyle name="HSBC Report Total Main 5 2 12" xfId="4003"/>
    <cellStyle name="HSBC Report Total Main 5 2 12 2" xfId="4004"/>
    <cellStyle name="HSBC Report Total Main 5 2 13" xfId="4005"/>
    <cellStyle name="HSBC Report Total Main 5 2 13 2" xfId="4006"/>
    <cellStyle name="HSBC Report Total Main 5 2 14" xfId="4007"/>
    <cellStyle name="HSBC Report Total Main 5 2 14 2" xfId="4008"/>
    <cellStyle name="HSBC Report Total Main 5 2 15" xfId="4009"/>
    <cellStyle name="HSBC Report Total Main 5 2 2" xfId="4010"/>
    <cellStyle name="HSBC Report Total Main 5 2 2 2" xfId="4011"/>
    <cellStyle name="HSBC Report Total Main 5 2 3" xfId="4012"/>
    <cellStyle name="HSBC Report Total Main 5 2 3 2" xfId="4013"/>
    <cellStyle name="HSBC Report Total Main 5 2 4" xfId="4014"/>
    <cellStyle name="HSBC Report Total Main 5 2 4 2" xfId="4015"/>
    <cellStyle name="HSBC Report Total Main 5 2 5" xfId="4016"/>
    <cellStyle name="HSBC Report Total Main 5 2 5 2" xfId="4017"/>
    <cellStyle name="HSBC Report Total Main 5 2 6" xfId="4018"/>
    <cellStyle name="HSBC Report Total Main 5 2 6 2" xfId="4019"/>
    <cellStyle name="HSBC Report Total Main 5 2 7" xfId="4020"/>
    <cellStyle name="HSBC Report Total Main 5 2 7 2" xfId="4021"/>
    <cellStyle name="HSBC Report Total Main 5 2 8" xfId="4022"/>
    <cellStyle name="HSBC Report Total Main 5 2 8 2" xfId="4023"/>
    <cellStyle name="HSBC Report Total Main 5 2 9" xfId="4024"/>
    <cellStyle name="HSBC Report Total Main 5 2 9 2" xfId="4025"/>
    <cellStyle name="HSBC Report Total Main 5 3" xfId="4026"/>
    <cellStyle name="HSBC Report Total Main 5 3 2" xfId="4027"/>
    <cellStyle name="HSBC Report Total Main 5 3 2 2" xfId="4028"/>
    <cellStyle name="HSBC Report Total Main 5 3 3" xfId="4029"/>
    <cellStyle name="HSBC Report Total Main 5 3 3 2" xfId="4030"/>
    <cellStyle name="HSBC Report Total Main 5 3 4" xfId="4031"/>
    <cellStyle name="HSBC Report Total Main 5 4" xfId="4032"/>
    <cellStyle name="HSBC Report Total Main 5 4 2" xfId="4033"/>
    <cellStyle name="HSBC Report Total Main 5 5" xfId="4034"/>
    <cellStyle name="HSBC Report Total Main 5 5 2" xfId="4035"/>
    <cellStyle name="HSBC Report Total Main 5 6" xfId="4036"/>
    <cellStyle name="HSBC Report Total Main 5 6 2" xfId="4037"/>
    <cellStyle name="HSBC Report Total Main 5 7" xfId="4038"/>
    <cellStyle name="HSBC Report Total Main 5 7 2" xfId="4039"/>
    <cellStyle name="HSBC Report Total Main 5 8" xfId="4040"/>
    <cellStyle name="HSBC Report Total Main 5 8 2" xfId="4041"/>
    <cellStyle name="HSBC Report Total Main 5 9" xfId="4042"/>
    <cellStyle name="HSBC Report Total Main 5 9 2" xfId="4043"/>
    <cellStyle name="HSBC Report Total Main 6" xfId="4044"/>
    <cellStyle name="HSBC Report Total Main 6 10" xfId="4045"/>
    <cellStyle name="HSBC Report Total Main 6 10 2" xfId="4046"/>
    <cellStyle name="HSBC Report Total Main 6 11" xfId="4047"/>
    <cellStyle name="HSBC Report Total Main 6 11 2" xfId="4048"/>
    <cellStyle name="HSBC Report Total Main 6 12" xfId="4049"/>
    <cellStyle name="HSBC Report Total Main 6 12 2" xfId="4050"/>
    <cellStyle name="HSBC Report Total Main 6 13" xfId="4051"/>
    <cellStyle name="HSBC Report Total Main 6 13 2" xfId="4052"/>
    <cellStyle name="HSBC Report Total Main 6 14" xfId="4053"/>
    <cellStyle name="HSBC Report Total Main 6 14 2" xfId="4054"/>
    <cellStyle name="HSBC Report Total Main 6 15" xfId="4055"/>
    <cellStyle name="HSBC Report Total Main 6 15 2" xfId="4056"/>
    <cellStyle name="HSBC Report Total Main 6 16" xfId="4057"/>
    <cellStyle name="HSBC Report Total Main 6 16 2" xfId="4058"/>
    <cellStyle name="HSBC Report Total Main 6 17" xfId="4059"/>
    <cellStyle name="HSBC Report Total Main 6 2" xfId="4060"/>
    <cellStyle name="HSBC Report Total Main 6 2 2" xfId="4061"/>
    <cellStyle name="HSBC Report Total Main 6 2 2 2" xfId="4062"/>
    <cellStyle name="HSBC Report Total Main 6 2 3" xfId="4063"/>
    <cellStyle name="HSBC Report Total Main 6 2 3 2" xfId="4064"/>
    <cellStyle name="HSBC Report Total Main 6 2 4" xfId="4065"/>
    <cellStyle name="HSBC Report Total Main 6 3" xfId="4066"/>
    <cellStyle name="HSBC Report Total Main 6 3 2" xfId="4067"/>
    <cellStyle name="HSBC Report Total Main 6 3 2 2" xfId="4068"/>
    <cellStyle name="HSBC Report Total Main 6 3 3" xfId="4069"/>
    <cellStyle name="HSBC Report Total Main 6 3 3 2" xfId="4070"/>
    <cellStyle name="HSBC Report Total Main 6 3 4" xfId="4071"/>
    <cellStyle name="HSBC Report Total Main 6 4" xfId="4072"/>
    <cellStyle name="HSBC Report Total Main 6 4 2" xfId="4073"/>
    <cellStyle name="HSBC Report Total Main 6 5" xfId="4074"/>
    <cellStyle name="HSBC Report Total Main 6 5 2" xfId="4075"/>
    <cellStyle name="HSBC Report Total Main 6 6" xfId="4076"/>
    <cellStyle name="HSBC Report Total Main 6 6 2" xfId="4077"/>
    <cellStyle name="HSBC Report Total Main 6 7" xfId="4078"/>
    <cellStyle name="HSBC Report Total Main 6 7 2" xfId="4079"/>
    <cellStyle name="HSBC Report Total Main 6 8" xfId="4080"/>
    <cellStyle name="HSBC Report Total Main 6 8 2" xfId="4081"/>
    <cellStyle name="HSBC Report Total Main 6 9" xfId="4082"/>
    <cellStyle name="HSBC Report Total Main 6 9 2" xfId="4083"/>
    <cellStyle name="HSBC Report Total Main 7" xfId="4084"/>
    <cellStyle name="HSBC Report Total Main 7 10" xfId="4085"/>
    <cellStyle name="HSBC Report Total Main 7 10 2" xfId="4086"/>
    <cellStyle name="HSBC Report Total Main 7 11" xfId="4087"/>
    <cellStyle name="HSBC Report Total Main 7 11 2" xfId="4088"/>
    <cellStyle name="HSBC Report Total Main 7 12" xfId="4089"/>
    <cellStyle name="HSBC Report Total Main 7 12 2" xfId="4090"/>
    <cellStyle name="HSBC Report Total Main 7 13" xfId="4091"/>
    <cellStyle name="HSBC Report Total Main 7 13 2" xfId="4092"/>
    <cellStyle name="HSBC Report Total Main 7 14" xfId="4093"/>
    <cellStyle name="HSBC Report Total Main 7 14 2" xfId="4094"/>
    <cellStyle name="HSBC Report Total Main 7 15" xfId="4095"/>
    <cellStyle name="HSBC Report Total Main 7 15 2" xfId="4096"/>
    <cellStyle name="HSBC Report Total Main 7 16" xfId="4097"/>
    <cellStyle name="HSBC Report Total Main 7 16 2" xfId="4098"/>
    <cellStyle name="HSBC Report Total Main 7 17" xfId="4099"/>
    <cellStyle name="HSBC Report Total Main 7 2" xfId="4100"/>
    <cellStyle name="HSBC Report Total Main 7 2 2" xfId="4101"/>
    <cellStyle name="HSBC Report Total Main 7 2 2 2" xfId="4102"/>
    <cellStyle name="HSBC Report Total Main 7 2 3" xfId="4103"/>
    <cellStyle name="HSBC Report Total Main 7 2 3 2" xfId="4104"/>
    <cellStyle name="HSBC Report Total Main 7 2 4" xfId="4105"/>
    <cellStyle name="HSBC Report Total Main 7 3" xfId="4106"/>
    <cellStyle name="HSBC Report Total Main 7 3 2" xfId="4107"/>
    <cellStyle name="HSBC Report Total Main 7 3 2 2" xfId="4108"/>
    <cellStyle name="HSBC Report Total Main 7 3 3" xfId="4109"/>
    <cellStyle name="HSBC Report Total Main 7 3 3 2" xfId="4110"/>
    <cellStyle name="HSBC Report Total Main 7 3 4" xfId="4111"/>
    <cellStyle name="HSBC Report Total Main 7 4" xfId="4112"/>
    <cellStyle name="HSBC Report Total Main 7 4 2" xfId="4113"/>
    <cellStyle name="HSBC Report Total Main 7 5" xfId="4114"/>
    <cellStyle name="HSBC Report Total Main 7 5 2" xfId="4115"/>
    <cellStyle name="HSBC Report Total Main 7 6" xfId="4116"/>
    <cellStyle name="HSBC Report Total Main 7 6 2" xfId="4117"/>
    <cellStyle name="HSBC Report Total Main 7 7" xfId="4118"/>
    <cellStyle name="HSBC Report Total Main 7 7 2" xfId="4119"/>
    <cellStyle name="HSBC Report Total Main 7 8" xfId="4120"/>
    <cellStyle name="HSBC Report Total Main 7 8 2" xfId="4121"/>
    <cellStyle name="HSBC Report Total Main 7 9" xfId="4122"/>
    <cellStyle name="HSBC Report Total Main 7 9 2" xfId="4123"/>
    <cellStyle name="HSBC Report Total Main 8" xfId="4124"/>
    <cellStyle name="HSBC Report Total Main 8 2" xfId="4125"/>
    <cellStyle name="HSBC Report Total Main 8 2 2" xfId="4126"/>
    <cellStyle name="HSBC Report Total Main 8 2 2 2" xfId="4127"/>
    <cellStyle name="HSBC Report Total Main 8 2 3" xfId="4128"/>
    <cellStyle name="HSBC Report Total Main 8 2 3 2" xfId="4129"/>
    <cellStyle name="HSBC Report Total Main 8 2 4" xfId="4130"/>
    <cellStyle name="HSBC Report Total Main 8 3" xfId="4131"/>
    <cellStyle name="HSBC Report Total Main 8 3 2" xfId="4132"/>
    <cellStyle name="HSBC Report Total Main 8 3 2 2" xfId="4133"/>
    <cellStyle name="HSBC Report Total Main 8 3 3" xfId="4134"/>
    <cellStyle name="HSBC Report Total Main 8 3 3 2" xfId="4135"/>
    <cellStyle name="HSBC Report Total Main 8 3 4" xfId="4136"/>
    <cellStyle name="HSBC Report Total Main 8 4" xfId="4137"/>
    <cellStyle name="HSBC Report Total Main 8 4 2" xfId="4138"/>
    <cellStyle name="HSBC Report Total Main 8 5" xfId="4139"/>
    <cellStyle name="HSBC Report Total Main 8 5 2" xfId="4140"/>
    <cellStyle name="HSBC Report Total Main 8 6" xfId="4141"/>
    <cellStyle name="HSBC Report Total Main 9" xfId="4142"/>
    <cellStyle name="HSBC Report Total Main 9 2" xfId="4143"/>
    <cellStyle name="HSBC Report Total Main 9 2 2" xfId="4144"/>
    <cellStyle name="HSBC Report Total Main 9 3" xfId="4145"/>
    <cellStyle name="HSBC Report Total Main 9 3 2" xfId="4146"/>
    <cellStyle name="HSBC Report Total Main 9 4" xfId="4147"/>
    <cellStyle name="HSBC Title Main" xfId="4148"/>
    <cellStyle name="HSBC Title Main Sub" xfId="4149"/>
    <cellStyle name="HSBC Title Module" xfId="4150"/>
    <cellStyle name="HSBC WK Date" xfId="4151"/>
    <cellStyle name="HSBC WK Date 2" xfId="4152"/>
    <cellStyle name="HSBC WK Logical 1" xfId="4153"/>
    <cellStyle name="HSBC WK Number 1" xfId="4154"/>
    <cellStyle name="HSBC WK Number 1 10" xfId="4155"/>
    <cellStyle name="HSBC WK Number 1 11" xfId="4156"/>
    <cellStyle name="HSBC WK Number 1 12" xfId="4157"/>
    <cellStyle name="HSBC WK Number 1 13" xfId="4158"/>
    <cellStyle name="HSBC WK Number 1 14" xfId="4159"/>
    <cellStyle name="HSBC WK Number 1 15" xfId="4160"/>
    <cellStyle name="HSBC WK Number 1 16" xfId="4161"/>
    <cellStyle name="HSBC WK Number 1 17" xfId="4162"/>
    <cellStyle name="HSBC WK Number 1 18" xfId="4163"/>
    <cellStyle name="HSBC WK Number 1 19" xfId="4164"/>
    <cellStyle name="HSBC WK Number 1 2" xfId="4165"/>
    <cellStyle name="HSBC WK Number 1 20" xfId="4166"/>
    <cellStyle name="HSBC WK Number 1 21" xfId="4167"/>
    <cellStyle name="HSBC WK Number 1 22" xfId="4168"/>
    <cellStyle name="HSBC WK Number 1 23" xfId="4169"/>
    <cellStyle name="HSBC WK Number 1 24" xfId="4170"/>
    <cellStyle name="HSBC WK Number 1 3" xfId="4171"/>
    <cellStyle name="HSBC WK Number 1 4" xfId="4172"/>
    <cellStyle name="HSBC WK Number 1 5" xfId="4173"/>
    <cellStyle name="HSBC WK Number 1 6" xfId="4174"/>
    <cellStyle name="HSBC WK Number 1 7" xfId="4175"/>
    <cellStyle name="HSBC WK Number 1 8" xfId="4176"/>
    <cellStyle name="HSBC WK Number 1 9" xfId="4177"/>
    <cellStyle name="HSBC WK Number 2" xfId="4178"/>
    <cellStyle name="HSBC WK Number 2 T" xfId="4179"/>
    <cellStyle name="HSBC WK Percent" xfId="4180"/>
    <cellStyle name="HSBC WK Ratios" xfId="4181"/>
    <cellStyle name="HSBC WK Year Format" xfId="4182"/>
    <cellStyle name="Hyperlink" xfId="210" builtinId="8"/>
    <cellStyle name="Hyperlink 2" xfId="96"/>
    <cellStyle name="Hyperlink 2 2" xfId="4183"/>
    <cellStyle name="Hyperlink 2 3" xfId="4184"/>
    <cellStyle name="Hyperlink 2 4" xfId="4185"/>
    <cellStyle name="Hyperlink 2 5" xfId="4186"/>
    <cellStyle name="Hyperlink 3" xfId="4187"/>
    <cellStyle name="Incorrecto" xfId="4188"/>
    <cellStyle name="Input" xfId="17" builtinId="20" customBuiltin="1"/>
    <cellStyle name="Input 2" xfId="97"/>
    <cellStyle name="Input 2 10" xfId="4189"/>
    <cellStyle name="Input 2 10 2" xfId="4190"/>
    <cellStyle name="Input 2 11" xfId="4191"/>
    <cellStyle name="Input 2 11 2" xfId="4192"/>
    <cellStyle name="Input 2 12" xfId="4193"/>
    <cellStyle name="Input 2 12 2" xfId="4194"/>
    <cellStyle name="Input 2 13" xfId="4195"/>
    <cellStyle name="Input 2 13 2" xfId="4196"/>
    <cellStyle name="Input 2 14" xfId="4197"/>
    <cellStyle name="Input 2 14 2" xfId="4198"/>
    <cellStyle name="Input 2 15" xfId="4199"/>
    <cellStyle name="Input 2 15 2" xfId="4200"/>
    <cellStyle name="Input 2 16" xfId="4201"/>
    <cellStyle name="Input 2 16 2" xfId="4202"/>
    <cellStyle name="Input 2 17" xfId="4203"/>
    <cellStyle name="Input 2 2" xfId="4204"/>
    <cellStyle name="Input 2 2 2" xfId="4205"/>
    <cellStyle name="Input 2 2 2 2" xfId="4206"/>
    <cellStyle name="Input 2 2 2 3" xfId="4207"/>
    <cellStyle name="Input 2 2 3" xfId="4208"/>
    <cellStyle name="Input 2 2 4" xfId="4209"/>
    <cellStyle name="Input 2 2 4 2" xfId="4210"/>
    <cellStyle name="Input 2 2 5" xfId="4211"/>
    <cellStyle name="Input 2 2 5 2" xfId="4212"/>
    <cellStyle name="Input 2 2 6" xfId="4213"/>
    <cellStyle name="Input 2 3" xfId="4214"/>
    <cellStyle name="Input 2 4" xfId="4215"/>
    <cellStyle name="Input 2 4 2" xfId="4216"/>
    <cellStyle name="Input 2 4 2 2" xfId="4217"/>
    <cellStyle name="Input 2 4 3" xfId="4218"/>
    <cellStyle name="Input 2 4 3 2" xfId="4219"/>
    <cellStyle name="Input 2 4 4" xfId="4220"/>
    <cellStyle name="Input 2 5" xfId="4221"/>
    <cellStyle name="Input 2 5 2" xfId="4222"/>
    <cellStyle name="Input 2 6" xfId="4223"/>
    <cellStyle name="Input 2 6 2" xfId="4224"/>
    <cellStyle name="Input 2 7" xfId="4225"/>
    <cellStyle name="Input 2 7 2" xfId="4226"/>
    <cellStyle name="Input 2 8" xfId="4227"/>
    <cellStyle name="Input 2 8 2" xfId="4228"/>
    <cellStyle name="Input 2 9" xfId="4229"/>
    <cellStyle name="Input 2 9 2" xfId="4230"/>
    <cellStyle name="Input 3" xfId="4231"/>
    <cellStyle name="Input 3 2" xfId="4232"/>
    <cellStyle name="Input 3 2 2" xfId="4233"/>
    <cellStyle name="Input 3 2 2 2" xfId="4234"/>
    <cellStyle name="Input 3 2 3" xfId="4235"/>
    <cellStyle name="Input 3 2 3 2" xfId="4236"/>
    <cellStyle name="Input 3 2 4" xfId="4237"/>
    <cellStyle name="Input 3 3" xfId="4238"/>
    <cellStyle name="Input 3 3 2" xfId="4239"/>
    <cellStyle name="Input 3 3 2 2" xfId="4240"/>
    <cellStyle name="Input 3 3 3" xfId="4241"/>
    <cellStyle name="Input 3 3 3 2" xfId="4242"/>
    <cellStyle name="Input 3 3 4" xfId="4243"/>
    <cellStyle name="Input 3 4" xfId="4244"/>
    <cellStyle name="Input 3 4 2" xfId="4245"/>
    <cellStyle name="Input 3 5" xfId="4246"/>
    <cellStyle name="Input 3 5 2" xfId="4247"/>
    <cellStyle name="Input 3 6" xfId="4248"/>
    <cellStyle name="Input 4" xfId="4249"/>
    <cellStyle name="Input 4 2" xfId="4250"/>
    <cellStyle name="Input 4 2 2" xfId="4251"/>
    <cellStyle name="Input 4 2 2 2" xfId="4252"/>
    <cellStyle name="Input 4 2 3" xfId="4253"/>
    <cellStyle name="Input 4 2 3 2" xfId="4254"/>
    <cellStyle name="Input 4 2 4" xfId="4255"/>
    <cellStyle name="Input 4 3" xfId="4256"/>
    <cellStyle name="Input 4 3 2" xfId="4257"/>
    <cellStyle name="Input 4 3 2 2" xfId="4258"/>
    <cellStyle name="Input 4 3 3" xfId="4259"/>
    <cellStyle name="Input 4 3 3 2" xfId="4260"/>
    <cellStyle name="Input 4 3 4" xfId="4261"/>
    <cellStyle name="Input 4 4" xfId="4262"/>
    <cellStyle name="Input 4 4 2" xfId="4263"/>
    <cellStyle name="Input 4 5" xfId="4264"/>
    <cellStyle name="Input 4 5 2" xfId="4265"/>
    <cellStyle name="Input 5" xfId="4266"/>
    <cellStyle name="Input 5 2" xfId="4267"/>
    <cellStyle name="Input 5 2 2" xfId="4268"/>
    <cellStyle name="Input 5 3" xfId="4269"/>
    <cellStyle name="Input 5 3 2" xfId="4270"/>
    <cellStyle name="Input 5 4" xfId="4271"/>
    <cellStyle name="Input 6" xfId="4272"/>
    <cellStyle name="Input 6 2" xfId="4273"/>
    <cellStyle name="Input 7" xfId="4274"/>
    <cellStyle name="Input 7 2" xfId="4275"/>
    <cellStyle name="Input 8" xfId="4276"/>
    <cellStyle name="Level 1" xfId="4277"/>
    <cellStyle name="Level 2" xfId="4278"/>
    <cellStyle name="Linked Cell" xfId="20" builtinId="24" customBuiltin="1"/>
    <cellStyle name="Linked Cell 2" xfId="98"/>
    <cellStyle name="Linked Cell 2 10" xfId="4279"/>
    <cellStyle name="Linked Cell 2 11" xfId="4280"/>
    <cellStyle name="Linked Cell 2 12" xfId="4281"/>
    <cellStyle name="Linked Cell 2 13" xfId="4282"/>
    <cellStyle name="Linked Cell 2 14" xfId="4283"/>
    <cellStyle name="Linked Cell 2 15" xfId="4284"/>
    <cellStyle name="Linked Cell 2 16" xfId="4285"/>
    <cellStyle name="Linked Cell 2 17" xfId="4286"/>
    <cellStyle name="Linked Cell 2 2" xfId="4287"/>
    <cellStyle name="Linked Cell 2 2 2" xfId="4288"/>
    <cellStyle name="Linked Cell 2 2 2 2" xfId="4289"/>
    <cellStyle name="Linked Cell 2 2 2 3" xfId="4290"/>
    <cellStyle name="Linked Cell 2 2 3" xfId="4291"/>
    <cellStyle name="Linked Cell 2 2 4" xfId="4292"/>
    <cellStyle name="Linked Cell 2 3" xfId="4293"/>
    <cellStyle name="Linked Cell 2 4" xfId="4294"/>
    <cellStyle name="Linked Cell 2 5" xfId="4295"/>
    <cellStyle name="Linked Cell 2 6" xfId="4296"/>
    <cellStyle name="Linked Cell 2 7" xfId="4297"/>
    <cellStyle name="Linked Cell 2 8" xfId="4298"/>
    <cellStyle name="Linked Cell 2 9" xfId="4299"/>
    <cellStyle name="Linked Cell 3" xfId="4300"/>
    <cellStyle name="Linked Cell 3 2" xfId="4301"/>
    <cellStyle name="Linked Cell 3 3" xfId="4302"/>
    <cellStyle name="Linked Cell 4" xfId="4303"/>
    <cellStyle name="Millions" xfId="4304"/>
    <cellStyle name="Millions 10" xfId="4305"/>
    <cellStyle name="Millions 11" xfId="4306"/>
    <cellStyle name="Millions 12" xfId="4307"/>
    <cellStyle name="Millions 13" xfId="4308"/>
    <cellStyle name="Millions 14" xfId="4309"/>
    <cellStyle name="Millions 15" xfId="4310"/>
    <cellStyle name="Millions 16" xfId="4311"/>
    <cellStyle name="Millions 17" xfId="4312"/>
    <cellStyle name="Millions 18" xfId="4313"/>
    <cellStyle name="Millions 19" xfId="4314"/>
    <cellStyle name="Millions 2" xfId="4315"/>
    <cellStyle name="Millions 20" xfId="4316"/>
    <cellStyle name="Millions 21" xfId="4317"/>
    <cellStyle name="Millions 22" xfId="4318"/>
    <cellStyle name="Millions 23" xfId="4319"/>
    <cellStyle name="Millions 24" xfId="4320"/>
    <cellStyle name="Millions 3" xfId="4321"/>
    <cellStyle name="Millions 4" xfId="4322"/>
    <cellStyle name="Millions 5" xfId="4323"/>
    <cellStyle name="Millions 6" xfId="4324"/>
    <cellStyle name="Millions 7" xfId="4325"/>
    <cellStyle name="Millions 8" xfId="4326"/>
    <cellStyle name="Millions 9" xfId="4327"/>
    <cellStyle name="Money" xfId="4328"/>
    <cellStyle name="Money 10" xfId="4329"/>
    <cellStyle name="Money 11" xfId="4330"/>
    <cellStyle name="Money 12" xfId="4331"/>
    <cellStyle name="Money 13" xfId="4332"/>
    <cellStyle name="Money 14" xfId="4333"/>
    <cellStyle name="Money 15" xfId="4334"/>
    <cellStyle name="Money 16" xfId="4335"/>
    <cellStyle name="Money 17" xfId="4336"/>
    <cellStyle name="Money 18" xfId="4337"/>
    <cellStyle name="Money 19" xfId="4338"/>
    <cellStyle name="Money 2" xfId="4339"/>
    <cellStyle name="Money 20" xfId="4340"/>
    <cellStyle name="Money 21" xfId="4341"/>
    <cellStyle name="Money 22" xfId="4342"/>
    <cellStyle name="Money 23" xfId="4343"/>
    <cellStyle name="Money 24" xfId="4344"/>
    <cellStyle name="Money 3" xfId="4345"/>
    <cellStyle name="Money 4" xfId="4346"/>
    <cellStyle name="Money 5" xfId="4347"/>
    <cellStyle name="Money 6" xfId="4348"/>
    <cellStyle name="Money 7" xfId="4349"/>
    <cellStyle name="Money 8" xfId="4350"/>
    <cellStyle name="Money 9" xfId="4351"/>
    <cellStyle name="Multiple" xfId="4352"/>
    <cellStyle name="Neutral" xfId="16" builtinId="28" customBuiltin="1"/>
    <cellStyle name="Neutral 2" xfId="99"/>
    <cellStyle name="Neutral 2 10" xfId="4353"/>
    <cellStyle name="Neutral 2 11" xfId="4354"/>
    <cellStyle name="Neutral 2 12" xfId="4355"/>
    <cellStyle name="Neutral 2 13" xfId="4356"/>
    <cellStyle name="Neutral 2 14" xfId="4357"/>
    <cellStyle name="Neutral 2 15" xfId="4358"/>
    <cellStyle name="Neutral 2 16" xfId="4359"/>
    <cellStyle name="Neutral 2 17" xfId="4360"/>
    <cellStyle name="Neutral 2 2" xfId="4361"/>
    <cellStyle name="Neutral 2 2 2" xfId="4362"/>
    <cellStyle name="Neutral 2 2 2 2" xfId="4363"/>
    <cellStyle name="Neutral 2 2 2 3" xfId="4364"/>
    <cellStyle name="Neutral 2 2 3" xfId="4365"/>
    <cellStyle name="Neutral 2 2 4" xfId="4366"/>
    <cellStyle name="Neutral 2 3" xfId="4367"/>
    <cellStyle name="Neutral 2 4" xfId="4368"/>
    <cellStyle name="Neutral 2 5" xfId="4369"/>
    <cellStyle name="Neutral 2 6" xfId="4370"/>
    <cellStyle name="Neutral 2 7" xfId="4371"/>
    <cellStyle name="Neutral 2 8" xfId="4372"/>
    <cellStyle name="Neutral 2 9" xfId="4373"/>
    <cellStyle name="Neutral 3" xfId="4374"/>
    <cellStyle name="Neutral 3 2" xfId="4375"/>
    <cellStyle name="Neutral 3 3" xfId="4376"/>
    <cellStyle name="Neutral 4" xfId="4377"/>
    <cellStyle name="Normal" xfId="0" builtinId="0"/>
    <cellStyle name="Normal 10" xfId="100"/>
    <cellStyle name="Normal 10 10" xfId="4378"/>
    <cellStyle name="Normal 10 11" xfId="4379"/>
    <cellStyle name="Normal 10 12" xfId="4380"/>
    <cellStyle name="Normal 10 13" xfId="4381"/>
    <cellStyle name="Normal 10 14" xfId="4382"/>
    <cellStyle name="Normal 10 15" xfId="4383"/>
    <cellStyle name="Normal 10 16" xfId="4384"/>
    <cellStyle name="Normal 10 17" xfId="4385"/>
    <cellStyle name="Normal 10 18" xfId="4386"/>
    <cellStyle name="Normal 10 19" xfId="4387"/>
    <cellStyle name="Normal 10 2" xfId="4388"/>
    <cellStyle name="Normal 10 2 10" xfId="4389"/>
    <cellStyle name="Normal 10 2 11" xfId="4390"/>
    <cellStyle name="Normal 10 2 12" xfId="4391"/>
    <cellStyle name="Normal 10 2 13" xfId="4392"/>
    <cellStyle name="Normal 10 2 14" xfId="4393"/>
    <cellStyle name="Normal 10 2 15" xfId="4394"/>
    <cellStyle name="Normal 10 2 16" xfId="4395"/>
    <cellStyle name="Normal 10 2 17" xfId="4396"/>
    <cellStyle name="Normal 10 2 18" xfId="4397"/>
    <cellStyle name="Normal 10 2 19" xfId="4398"/>
    <cellStyle name="Normal 10 2 2" xfId="4399"/>
    <cellStyle name="Normal 10 2 3" xfId="4400"/>
    <cellStyle name="Normal 10 2 4" xfId="4401"/>
    <cellStyle name="Normal 10 2 5" xfId="4402"/>
    <cellStyle name="Normal 10 2 6" xfId="4403"/>
    <cellStyle name="Normal 10 2 7" xfId="4404"/>
    <cellStyle name="Normal 10 2 8" xfId="4405"/>
    <cellStyle name="Normal 10 2 9" xfId="4406"/>
    <cellStyle name="Normal 10 20" xfId="4407"/>
    <cellStyle name="Normal 10 21" xfId="4408"/>
    <cellStyle name="Normal 10 22" xfId="4409"/>
    <cellStyle name="Normal 10 23" xfId="4410"/>
    <cellStyle name="Normal 10 3" xfId="4411"/>
    <cellStyle name="Normal 10 4" xfId="4412"/>
    <cellStyle name="Normal 10 5" xfId="4413"/>
    <cellStyle name="Normal 10 6" xfId="4414"/>
    <cellStyle name="Normal 10 7" xfId="4415"/>
    <cellStyle name="Normal 10 8" xfId="4416"/>
    <cellStyle name="Normal 10 9" xfId="4417"/>
    <cellStyle name="Normal 11" xfId="101"/>
    <cellStyle name="Normal 11 10" xfId="4418"/>
    <cellStyle name="Normal 11 11" xfId="4419"/>
    <cellStyle name="Normal 11 12" xfId="4420"/>
    <cellStyle name="Normal 11 13" xfId="4421"/>
    <cellStyle name="Normal 11 14" xfId="4422"/>
    <cellStyle name="Normal 11 15" xfId="4423"/>
    <cellStyle name="Normal 11 16" xfId="4424"/>
    <cellStyle name="Normal 11 17" xfId="4425"/>
    <cellStyle name="Normal 11 18" xfId="4426"/>
    <cellStyle name="Normal 11 19" xfId="4427"/>
    <cellStyle name="Normal 11 2" xfId="4428"/>
    <cellStyle name="Normal 11 20" xfId="4429"/>
    <cellStyle name="Normal 11 21" xfId="4430"/>
    <cellStyle name="Normal 11 3" xfId="4431"/>
    <cellStyle name="Normal 11 4" xfId="4432"/>
    <cellStyle name="Normal 11 5" xfId="4433"/>
    <cellStyle name="Normal 11 6" xfId="4434"/>
    <cellStyle name="Normal 11 7" xfId="4435"/>
    <cellStyle name="Normal 11 8" xfId="4436"/>
    <cellStyle name="Normal 11 9" xfId="4437"/>
    <cellStyle name="Normal 12" xfId="102"/>
    <cellStyle name="Normal 12 10" xfId="4438"/>
    <cellStyle name="Normal 12 11" xfId="4439"/>
    <cellStyle name="Normal 12 12" xfId="4440"/>
    <cellStyle name="Normal 12 13" xfId="4441"/>
    <cellStyle name="Normal 12 14" xfId="4442"/>
    <cellStyle name="Normal 12 15" xfId="4443"/>
    <cellStyle name="Normal 12 16" xfId="4444"/>
    <cellStyle name="Normal 12 17" xfId="4445"/>
    <cellStyle name="Normal 12 18" xfId="4446"/>
    <cellStyle name="Normal 12 19" xfId="4447"/>
    <cellStyle name="Normal 12 2" xfId="4448"/>
    <cellStyle name="Normal 12 20" xfId="4449"/>
    <cellStyle name="Normal 12 21" xfId="4450"/>
    <cellStyle name="Normal 12 3" xfId="4451"/>
    <cellStyle name="Normal 12 4" xfId="4452"/>
    <cellStyle name="Normal 12 5" xfId="4453"/>
    <cellStyle name="Normal 12 6" xfId="4454"/>
    <cellStyle name="Normal 12 7" xfId="4455"/>
    <cellStyle name="Normal 12 8" xfId="4456"/>
    <cellStyle name="Normal 12 9" xfId="4457"/>
    <cellStyle name="Normal 13" xfId="103"/>
    <cellStyle name="Normal 13 10" xfId="4458"/>
    <cellStyle name="Normal 13 11" xfId="4459"/>
    <cellStyle name="Normal 13 12" xfId="4460"/>
    <cellStyle name="Normal 13 13" xfId="4461"/>
    <cellStyle name="Normal 13 14" xfId="4462"/>
    <cellStyle name="Normal 13 15" xfId="4463"/>
    <cellStyle name="Normal 13 16" xfId="4464"/>
    <cellStyle name="Normal 13 17" xfId="4465"/>
    <cellStyle name="Normal 13 18" xfId="4466"/>
    <cellStyle name="Normal 13 19" xfId="4467"/>
    <cellStyle name="Normal 13 2" xfId="4468"/>
    <cellStyle name="Normal 13 20" xfId="4469"/>
    <cellStyle name="Normal 13 21" xfId="4470"/>
    <cellStyle name="Normal 13 3" xfId="4471"/>
    <cellStyle name="Normal 13 4" xfId="4472"/>
    <cellStyle name="Normal 13 5" xfId="4473"/>
    <cellStyle name="Normal 13 6" xfId="4474"/>
    <cellStyle name="Normal 13 7" xfId="4475"/>
    <cellStyle name="Normal 13 8" xfId="4476"/>
    <cellStyle name="Normal 13 9" xfId="4477"/>
    <cellStyle name="Normal 14" xfId="104"/>
    <cellStyle name="Normal 14 10" xfId="4478"/>
    <cellStyle name="Normal 14 11" xfId="4479"/>
    <cellStyle name="Normal 14 12" xfId="4480"/>
    <cellStyle name="Normal 14 13" xfId="4481"/>
    <cellStyle name="Normal 14 14" xfId="4482"/>
    <cellStyle name="Normal 14 15" xfId="4483"/>
    <cellStyle name="Normal 14 16" xfId="4484"/>
    <cellStyle name="Normal 14 17" xfId="4485"/>
    <cellStyle name="Normal 14 18" xfId="4486"/>
    <cellStyle name="Normal 14 19" xfId="4487"/>
    <cellStyle name="Normal 14 2" xfId="4488"/>
    <cellStyle name="Normal 14 3" xfId="4489"/>
    <cellStyle name="Normal 14 4" xfId="4490"/>
    <cellStyle name="Normal 14 5" xfId="4491"/>
    <cellStyle name="Normal 14 6" xfId="4492"/>
    <cellStyle name="Normal 14 7" xfId="4493"/>
    <cellStyle name="Normal 14 8" xfId="4494"/>
    <cellStyle name="Normal 14 9" xfId="4495"/>
    <cellStyle name="Normal 15" xfId="105"/>
    <cellStyle name="Normal 15 10" xfId="4496"/>
    <cellStyle name="Normal 15 11" xfId="4497"/>
    <cellStyle name="Normal 15 12" xfId="4498"/>
    <cellStyle name="Normal 15 13" xfId="4499"/>
    <cellStyle name="Normal 15 14" xfId="4500"/>
    <cellStyle name="Normal 15 15" xfId="4501"/>
    <cellStyle name="Normal 15 16" xfId="4502"/>
    <cellStyle name="Normal 15 17" xfId="4503"/>
    <cellStyle name="Normal 15 18" xfId="4504"/>
    <cellStyle name="Normal 15 19" xfId="4505"/>
    <cellStyle name="Normal 15 2" xfId="4506"/>
    <cellStyle name="Normal 15 3" xfId="4507"/>
    <cellStyle name="Normal 15 4" xfId="4508"/>
    <cellStyle name="Normal 15 5" xfId="4509"/>
    <cellStyle name="Normal 15 6" xfId="4510"/>
    <cellStyle name="Normal 15 7" xfId="4511"/>
    <cellStyle name="Normal 15 8" xfId="4512"/>
    <cellStyle name="Normal 15 9" xfId="4513"/>
    <cellStyle name="Normal 16" xfId="106"/>
    <cellStyle name="Normal 16 10" xfId="4514"/>
    <cellStyle name="Normal 16 11" xfId="4515"/>
    <cellStyle name="Normal 16 12" xfId="4516"/>
    <cellStyle name="Normal 16 13" xfId="4517"/>
    <cellStyle name="Normal 16 14" xfId="4518"/>
    <cellStyle name="Normal 16 15" xfId="4519"/>
    <cellStyle name="Normal 16 16" xfId="4520"/>
    <cellStyle name="Normal 16 17" xfId="4521"/>
    <cellStyle name="Normal 16 18" xfId="4522"/>
    <cellStyle name="Normal 16 19" xfId="4523"/>
    <cellStyle name="Normal 16 2" xfId="4524"/>
    <cellStyle name="Normal 16 3" xfId="4525"/>
    <cellStyle name="Normal 16 4" xfId="4526"/>
    <cellStyle name="Normal 16 5" xfId="4527"/>
    <cellStyle name="Normal 16 6" xfId="4528"/>
    <cellStyle name="Normal 16 7" xfId="4529"/>
    <cellStyle name="Normal 16 8" xfId="4530"/>
    <cellStyle name="Normal 16 9" xfId="4531"/>
    <cellStyle name="Normal 17" xfId="107"/>
    <cellStyle name="Normal 17 10" xfId="4532"/>
    <cellStyle name="Normal 17 11" xfId="4533"/>
    <cellStyle name="Normal 17 12" xfId="4534"/>
    <cellStyle name="Normal 17 13" xfId="4535"/>
    <cellStyle name="Normal 17 14" xfId="4536"/>
    <cellStyle name="Normal 17 15" xfId="4537"/>
    <cellStyle name="Normal 17 16" xfId="4538"/>
    <cellStyle name="Normal 17 17" xfId="4539"/>
    <cellStyle name="Normal 17 18" xfId="4540"/>
    <cellStyle name="Normal 17 19" xfId="4541"/>
    <cellStyle name="Normal 17 2" xfId="4542"/>
    <cellStyle name="Normal 17 3" xfId="4543"/>
    <cellStyle name="Normal 17 4" xfId="4544"/>
    <cellStyle name="Normal 17 5" xfId="4545"/>
    <cellStyle name="Normal 17 6" xfId="4546"/>
    <cellStyle name="Normal 17 7" xfId="4547"/>
    <cellStyle name="Normal 17 8" xfId="4548"/>
    <cellStyle name="Normal 17 9" xfId="4549"/>
    <cellStyle name="Normal 18" xfId="108"/>
    <cellStyle name="Normal 18 10" xfId="4550"/>
    <cellStyle name="Normal 18 11" xfId="4551"/>
    <cellStyle name="Normal 18 12" xfId="4552"/>
    <cellStyle name="Normal 18 13" xfId="4553"/>
    <cellStyle name="Normal 18 14" xfId="4554"/>
    <cellStyle name="Normal 18 15" xfId="4555"/>
    <cellStyle name="Normal 18 16" xfId="4556"/>
    <cellStyle name="Normal 18 17" xfId="4557"/>
    <cellStyle name="Normal 18 18" xfId="4558"/>
    <cellStyle name="Normal 18 19" xfId="4559"/>
    <cellStyle name="Normal 18 2" xfId="4560"/>
    <cellStyle name="Normal 18 3" xfId="4561"/>
    <cellStyle name="Normal 18 4" xfId="4562"/>
    <cellStyle name="Normal 18 5" xfId="4563"/>
    <cellStyle name="Normal 18 6" xfId="4564"/>
    <cellStyle name="Normal 18 7" xfId="4565"/>
    <cellStyle name="Normal 18 8" xfId="4566"/>
    <cellStyle name="Normal 18 9" xfId="4567"/>
    <cellStyle name="Normal 19" xfId="135"/>
    <cellStyle name="Normal 19 10" xfId="4568"/>
    <cellStyle name="Normal 19 11" xfId="4569"/>
    <cellStyle name="Normal 19 12" xfId="4570"/>
    <cellStyle name="Normal 19 13" xfId="4571"/>
    <cellStyle name="Normal 19 14" xfId="4572"/>
    <cellStyle name="Normal 19 15" xfId="4573"/>
    <cellStyle name="Normal 19 16" xfId="4574"/>
    <cellStyle name="Normal 19 17" xfId="4575"/>
    <cellStyle name="Normal 19 18" xfId="4576"/>
    <cellStyle name="Normal 19 19" xfId="4577"/>
    <cellStyle name="Normal 19 2" xfId="4578"/>
    <cellStyle name="Normal 19 3" xfId="4579"/>
    <cellStyle name="Normal 19 4" xfId="4580"/>
    <cellStyle name="Normal 19 5" xfId="4581"/>
    <cellStyle name="Normal 19 6" xfId="4582"/>
    <cellStyle name="Normal 19 7" xfId="4583"/>
    <cellStyle name="Normal 19 8" xfId="4584"/>
    <cellStyle name="Normal 19 9" xfId="4585"/>
    <cellStyle name="Normal 2" xfId="5"/>
    <cellStyle name="Normal 2 10" xfId="4586"/>
    <cellStyle name="Normal 2 11" xfId="4587"/>
    <cellStyle name="Normal 2 12" xfId="4588"/>
    <cellStyle name="Normal 2 12 2" xfId="4589"/>
    <cellStyle name="Normal 2 12 2 2" xfId="4590"/>
    <cellStyle name="Normal 2 12 2 3" xfId="4591"/>
    <cellStyle name="Normal 2 12 3" xfId="4592"/>
    <cellStyle name="Normal 2 13" xfId="4593"/>
    <cellStyle name="Normal 2 13 2" xfId="4594"/>
    <cellStyle name="Normal 2 13 2 2" xfId="4595"/>
    <cellStyle name="Normal 2 13 2 3" xfId="4596"/>
    <cellStyle name="Normal 2 13 3" xfId="4597"/>
    <cellStyle name="Normal 2 14" xfId="4598"/>
    <cellStyle name="Normal 2 14 2" xfId="4599"/>
    <cellStyle name="Normal 2 14 2 2" xfId="4600"/>
    <cellStyle name="Normal 2 14 2 3" xfId="4601"/>
    <cellStyle name="Normal 2 14 3" xfId="4602"/>
    <cellStyle name="Normal 2 15" xfId="4603"/>
    <cellStyle name="Normal 2 15 2" xfId="4604"/>
    <cellStyle name="Normal 2 15 2 2" xfId="4605"/>
    <cellStyle name="Normal 2 15 2 3" xfId="4606"/>
    <cellStyle name="Normal 2 15 3" xfId="4607"/>
    <cellStyle name="Normal 2 16" xfId="4608"/>
    <cellStyle name="Normal 2 16 2" xfId="4609"/>
    <cellStyle name="Normal 2 16 2 2" xfId="4610"/>
    <cellStyle name="Normal 2 16 2 3" xfId="4611"/>
    <cellStyle name="Normal 2 16 3" xfId="4612"/>
    <cellStyle name="Normal 2 17" xfId="4613"/>
    <cellStyle name="Normal 2 17 2" xfId="4614"/>
    <cellStyle name="Normal 2 17 2 2" xfId="4615"/>
    <cellStyle name="Normal 2 17 2 3" xfId="4616"/>
    <cellStyle name="Normal 2 17 3" xfId="4617"/>
    <cellStyle name="Normal 2 18" xfId="4618"/>
    <cellStyle name="Normal 2 18 2" xfId="4619"/>
    <cellStyle name="Normal 2 18 2 2" xfId="4620"/>
    <cellStyle name="Normal 2 18 2 3" xfId="4621"/>
    <cellStyle name="Normal 2 18 3" xfId="4622"/>
    <cellStyle name="Normal 2 19" xfId="4623"/>
    <cellStyle name="Normal 2 19 2" xfId="4624"/>
    <cellStyle name="Normal 2 19 2 2" xfId="4625"/>
    <cellStyle name="Normal 2 19 2 3" xfId="4626"/>
    <cellStyle name="Normal 2 19 3" xfId="4627"/>
    <cellStyle name="Normal 2 2" xfId="133"/>
    <cellStyle name="Normal 2 2 10" xfId="4628"/>
    <cellStyle name="Normal 2 2 11" xfId="4629"/>
    <cellStyle name="Normal 2 2 12" xfId="4630"/>
    <cellStyle name="Normal 2 2 13" xfId="4631"/>
    <cellStyle name="Normal 2 2 14" xfId="4632"/>
    <cellStyle name="Normal 2 2 15" xfId="4633"/>
    <cellStyle name="Normal 2 2 16" xfId="4634"/>
    <cellStyle name="Normal 2 2 17" xfId="4635"/>
    <cellStyle name="Normal 2 2 18" xfId="4636"/>
    <cellStyle name="Normal 2 2 19" xfId="4637"/>
    <cellStyle name="Normal 2 2 2" xfId="4638"/>
    <cellStyle name="Normal 2 2 2 2" xfId="4639"/>
    <cellStyle name="Normal 2 2 2 2 2" xfId="4640"/>
    <cellStyle name="Normal 2 2 2 2 3" xfId="4641"/>
    <cellStyle name="Normal 2 2 2 3" xfId="4642"/>
    <cellStyle name="Normal 2 2 2 4" xfId="4643"/>
    <cellStyle name="Normal 2 2 2 5" xfId="4644"/>
    <cellStyle name="Normal 2 2 2 6" xfId="4645"/>
    <cellStyle name="Normal 2 2 20" xfId="4646"/>
    <cellStyle name="Normal 2 2 21" xfId="4647"/>
    <cellStyle name="Normal 2 2 22" xfId="4648"/>
    <cellStyle name="Normal 2 2 23" xfId="4649"/>
    <cellStyle name="Normal 2 2 24" xfId="4650"/>
    <cellStyle name="Normal 2 2 25" xfId="4651"/>
    <cellStyle name="Normal 2 2 26" xfId="4652"/>
    <cellStyle name="Normal 2 2 27" xfId="4653"/>
    <cellStyle name="Normal 2 2 28" xfId="4654"/>
    <cellStyle name="Normal 2 2 29" xfId="4655"/>
    <cellStyle name="Normal 2 2 3" xfId="4656"/>
    <cellStyle name="Normal 2 2 3 2" xfId="4657"/>
    <cellStyle name="Normal 2 2 3 2 2" xfId="4658"/>
    <cellStyle name="Normal 2 2 3 2 3" xfId="4659"/>
    <cellStyle name="Normal 2 2 3 3" xfId="4660"/>
    <cellStyle name="Normal 2 2 30" xfId="4661"/>
    <cellStyle name="Normal 2 2 31" xfId="4662"/>
    <cellStyle name="Normal 2 2 32" xfId="4663"/>
    <cellStyle name="Normal 2 2 33" xfId="4664"/>
    <cellStyle name="Normal 2 2 34" xfId="4665"/>
    <cellStyle name="Normal 2 2 35" xfId="4666"/>
    <cellStyle name="Normal 2 2 36" xfId="4667"/>
    <cellStyle name="Normal 2 2 37" xfId="4668"/>
    <cellStyle name="Normal 2 2 38" xfId="4669"/>
    <cellStyle name="Normal 2 2 39" xfId="4670"/>
    <cellStyle name="Normal 2 2 4" xfId="4671"/>
    <cellStyle name="Normal 2 2 4 2" xfId="4672"/>
    <cellStyle name="Normal 2 2 4 2 2" xfId="4673"/>
    <cellStyle name="Normal 2 2 4 2 3" xfId="4674"/>
    <cellStyle name="Normal 2 2 4 3" xfId="4675"/>
    <cellStyle name="Normal 2 2 40" xfId="4676"/>
    <cellStyle name="Normal 2 2 41" xfId="4677"/>
    <cellStyle name="Normal 2 2 42" xfId="4678"/>
    <cellStyle name="Normal 2 2 43" xfId="4679"/>
    <cellStyle name="Normal 2 2 44" xfId="4680"/>
    <cellStyle name="Normal 2 2 45" xfId="4681"/>
    <cellStyle name="Normal 2 2 46" xfId="4682"/>
    <cellStyle name="Normal 2 2 47" xfId="4683"/>
    <cellStyle name="Normal 2 2 48" xfId="4684"/>
    <cellStyle name="Normal 2 2 49" xfId="4685"/>
    <cellStyle name="Normal 2 2 5" xfId="4686"/>
    <cellStyle name="Normal 2 2 50" xfId="4687"/>
    <cellStyle name="Normal 2 2 51" xfId="4688"/>
    <cellStyle name="Normal 2 2 52" xfId="4689"/>
    <cellStyle name="Normal 2 2 53" xfId="4690"/>
    <cellStyle name="Normal 2 2 6" xfId="4691"/>
    <cellStyle name="Normal 2 2 7" xfId="4692"/>
    <cellStyle name="Normal 2 2 8" xfId="4693"/>
    <cellStyle name="Normal 2 2 9" xfId="4694"/>
    <cellStyle name="Normal 2 20" xfId="4695"/>
    <cellStyle name="Normal 2 20 2" xfId="4696"/>
    <cellStyle name="Normal 2 20 2 2" xfId="4697"/>
    <cellStyle name="Normal 2 20 2 3" xfId="4698"/>
    <cellStyle name="Normal 2 20 3" xfId="4699"/>
    <cellStyle name="Normal 2 21" xfId="4700"/>
    <cellStyle name="Normal 2 21 2" xfId="4701"/>
    <cellStyle name="Normal 2 21 2 2" xfId="4702"/>
    <cellStyle name="Normal 2 21 2 3" xfId="4703"/>
    <cellStyle name="Normal 2 21 3" xfId="4704"/>
    <cellStyle name="Normal 2 22" xfId="4705"/>
    <cellStyle name="Normal 2 22 2" xfId="4706"/>
    <cellStyle name="Normal 2 22 2 2" xfId="4707"/>
    <cellStyle name="Normal 2 22 2 3" xfId="4708"/>
    <cellStyle name="Normal 2 22 3" xfId="4709"/>
    <cellStyle name="Normal 2 23" xfId="4710"/>
    <cellStyle name="Normal 2 23 2" xfId="4711"/>
    <cellStyle name="Normal 2 23 2 2" xfId="4712"/>
    <cellStyle name="Normal 2 23 2 3" xfId="4713"/>
    <cellStyle name="Normal 2 23 3" xfId="4714"/>
    <cellStyle name="Normal 2 24" xfId="4715"/>
    <cellStyle name="Normal 2 25" xfId="4716"/>
    <cellStyle name="Normal 2 26" xfId="4717"/>
    <cellStyle name="Normal 2 27" xfId="4718"/>
    <cellStyle name="Normal 2 28" xfId="4719"/>
    <cellStyle name="Normal 2 29" xfId="4720"/>
    <cellStyle name="Normal 2 3" xfId="53"/>
    <cellStyle name="Normal 2 3 10" xfId="4721"/>
    <cellStyle name="Normal 2 3 11" xfId="4722"/>
    <cellStyle name="Normal 2 3 12" xfId="4723"/>
    <cellStyle name="Normal 2 3 13" xfId="4724"/>
    <cellStyle name="Normal 2 3 14" xfId="4725"/>
    <cellStyle name="Normal 2 3 15" xfId="4726"/>
    <cellStyle name="Normal 2 3 16" xfId="4727"/>
    <cellStyle name="Normal 2 3 17" xfId="4728"/>
    <cellStyle name="Normal 2 3 18" xfId="4729"/>
    <cellStyle name="Normal 2 3 19" xfId="4730"/>
    <cellStyle name="Normal 2 3 2" xfId="4731"/>
    <cellStyle name="Normal 2 3 20" xfId="4732"/>
    <cellStyle name="Normal 2 3 21" xfId="4733"/>
    <cellStyle name="Normal 2 3 22" xfId="4734"/>
    <cellStyle name="Normal 2 3 23" xfId="4735"/>
    <cellStyle name="Normal 2 3 24" xfId="4736"/>
    <cellStyle name="Normal 2 3 25" xfId="4737"/>
    <cellStyle name="Normal 2 3 26" xfId="4738"/>
    <cellStyle name="Normal 2 3 27" xfId="4739"/>
    <cellStyle name="Normal 2 3 28" xfId="4740"/>
    <cellStyle name="Normal 2 3 29" xfId="4741"/>
    <cellStyle name="Normal 2 3 3" xfId="4742"/>
    <cellStyle name="Normal 2 3 30" xfId="4743"/>
    <cellStyle name="Normal 2 3 31" xfId="4744"/>
    <cellStyle name="Normal 2 3 32" xfId="4745"/>
    <cellStyle name="Normal 2 3 33" xfId="4746"/>
    <cellStyle name="Normal 2 3 34" xfId="4747"/>
    <cellStyle name="Normal 2 3 35" xfId="4748"/>
    <cellStyle name="Normal 2 3 36" xfId="4749"/>
    <cellStyle name="Normal 2 3 37" xfId="4750"/>
    <cellStyle name="Normal 2 3 38" xfId="4751"/>
    <cellStyle name="Normal 2 3 39" xfId="4752"/>
    <cellStyle name="Normal 2 3 4" xfId="4753"/>
    <cellStyle name="Normal 2 3 40" xfId="4754"/>
    <cellStyle name="Normal 2 3 41" xfId="4755"/>
    <cellStyle name="Normal 2 3 42" xfId="4756"/>
    <cellStyle name="Normal 2 3 43" xfId="4757"/>
    <cellStyle name="Normal 2 3 44" xfId="4758"/>
    <cellStyle name="Normal 2 3 45" xfId="4759"/>
    <cellStyle name="Normal 2 3 46" xfId="4760"/>
    <cellStyle name="Normal 2 3 47" xfId="4761"/>
    <cellStyle name="Normal 2 3 48" xfId="4762"/>
    <cellStyle name="Normal 2 3 49" xfId="4763"/>
    <cellStyle name="Normal 2 3 5" xfId="4764"/>
    <cellStyle name="Normal 2 3 50" xfId="4765"/>
    <cellStyle name="Normal 2 3 51" xfId="4766"/>
    <cellStyle name="Normal 2 3 6" xfId="4767"/>
    <cellStyle name="Normal 2 3 7" xfId="4768"/>
    <cellStyle name="Normal 2 3 8" xfId="4769"/>
    <cellStyle name="Normal 2 3 9" xfId="4770"/>
    <cellStyle name="Normal 2 30" xfId="4771"/>
    <cellStyle name="Normal 2 31" xfId="4772"/>
    <cellStyle name="Normal 2 32" xfId="4773"/>
    <cellStyle name="Normal 2 33" xfId="4774"/>
    <cellStyle name="Normal 2 34" xfId="4775"/>
    <cellStyle name="Normal 2 35" xfId="4776"/>
    <cellStyle name="Normal 2 4" xfId="4777"/>
    <cellStyle name="Normal 2 4 10" xfId="4778"/>
    <cellStyle name="Normal 2 4 11" xfId="4779"/>
    <cellStyle name="Normal 2 4 12" xfId="4780"/>
    <cellStyle name="Normal 2 4 13" xfId="4781"/>
    <cellStyle name="Normal 2 4 14" xfId="4782"/>
    <cellStyle name="Normal 2 4 15" xfId="4783"/>
    <cellStyle name="Normal 2 4 16" xfId="4784"/>
    <cellStyle name="Normal 2 4 17" xfId="4785"/>
    <cellStyle name="Normal 2 4 18" xfId="4786"/>
    <cellStyle name="Normal 2 4 19" xfId="4787"/>
    <cellStyle name="Normal 2 4 2" xfId="4788"/>
    <cellStyle name="Normal 2 4 20" xfId="4789"/>
    <cellStyle name="Normal 2 4 21" xfId="4790"/>
    <cellStyle name="Normal 2 4 22" xfId="4791"/>
    <cellStyle name="Normal 2 4 23" xfId="4792"/>
    <cellStyle name="Normal 2 4 24" xfId="4793"/>
    <cellStyle name="Normal 2 4 25" xfId="4794"/>
    <cellStyle name="Normal 2 4 26" xfId="4795"/>
    <cellStyle name="Normal 2 4 27" xfId="4796"/>
    <cellStyle name="Normal 2 4 28" xfId="4797"/>
    <cellStyle name="Normal 2 4 29" xfId="4798"/>
    <cellStyle name="Normal 2 4 3" xfId="4799"/>
    <cellStyle name="Normal 2 4 30" xfId="4800"/>
    <cellStyle name="Normal 2 4 31" xfId="4801"/>
    <cellStyle name="Normal 2 4 32" xfId="4802"/>
    <cellStyle name="Normal 2 4 33" xfId="4803"/>
    <cellStyle name="Normal 2 4 34" xfId="4804"/>
    <cellStyle name="Normal 2 4 35" xfId="4805"/>
    <cellStyle name="Normal 2 4 36" xfId="4806"/>
    <cellStyle name="Normal 2 4 37" xfId="4807"/>
    <cellStyle name="Normal 2 4 38" xfId="4808"/>
    <cellStyle name="Normal 2 4 39" xfId="4809"/>
    <cellStyle name="Normal 2 4 4" xfId="4810"/>
    <cellStyle name="Normal 2 4 40" xfId="4811"/>
    <cellStyle name="Normal 2 4 41" xfId="4812"/>
    <cellStyle name="Normal 2 4 42" xfId="4813"/>
    <cellStyle name="Normal 2 4 43" xfId="4814"/>
    <cellStyle name="Normal 2 4 44" xfId="4815"/>
    <cellStyle name="Normal 2 4 45" xfId="4816"/>
    <cellStyle name="Normal 2 4 46" xfId="4817"/>
    <cellStyle name="Normal 2 4 47" xfId="4818"/>
    <cellStyle name="Normal 2 4 48" xfId="4819"/>
    <cellStyle name="Normal 2 4 49" xfId="4820"/>
    <cellStyle name="Normal 2 4 5" xfId="4821"/>
    <cellStyle name="Normal 2 4 50" xfId="4822"/>
    <cellStyle name="Normal 2 4 51" xfId="4823"/>
    <cellStyle name="Normal 2 4 6" xfId="4824"/>
    <cellStyle name="Normal 2 4 7" xfId="4825"/>
    <cellStyle name="Normal 2 4 8" xfId="4826"/>
    <cellStyle name="Normal 2 4 9" xfId="4827"/>
    <cellStyle name="Normal 2 5" xfId="4828"/>
    <cellStyle name="Normal 2 5 10" xfId="4829"/>
    <cellStyle name="Normal 2 5 11" xfId="4830"/>
    <cellStyle name="Normal 2 5 12" xfId="4831"/>
    <cellStyle name="Normal 2 5 13" xfId="4832"/>
    <cellStyle name="Normal 2 5 14" xfId="4833"/>
    <cellStyle name="Normal 2 5 15" xfId="4834"/>
    <cellStyle name="Normal 2 5 16" xfId="4835"/>
    <cellStyle name="Normal 2 5 17" xfId="4836"/>
    <cellStyle name="Normal 2 5 18" xfId="4837"/>
    <cellStyle name="Normal 2 5 19" xfId="4838"/>
    <cellStyle name="Normal 2 5 2" xfId="4839"/>
    <cellStyle name="Normal 2 5 3" xfId="4840"/>
    <cellStyle name="Normal 2 5 4" xfId="4841"/>
    <cellStyle name="Normal 2 5 5" xfId="4842"/>
    <cellStyle name="Normal 2 5 6" xfId="4843"/>
    <cellStyle name="Normal 2 5 7" xfId="4844"/>
    <cellStyle name="Normal 2 5 8" xfId="4845"/>
    <cellStyle name="Normal 2 5 9" xfId="4846"/>
    <cellStyle name="Normal 2 6" xfId="4847"/>
    <cellStyle name="Normal 2 7" xfId="4848"/>
    <cellStyle name="Normal 2 8" xfId="4849"/>
    <cellStyle name="Normal 2 9" xfId="4850"/>
    <cellStyle name="Normal 2_10 01-12 WFCY_30%_master" xfId="4851"/>
    <cellStyle name="Normal 20" xfId="209"/>
    <cellStyle name="Normal 20 10" xfId="4852"/>
    <cellStyle name="Normal 20 11" xfId="4853"/>
    <cellStyle name="Normal 20 12" xfId="4854"/>
    <cellStyle name="Normal 20 13" xfId="4855"/>
    <cellStyle name="Normal 20 14" xfId="4856"/>
    <cellStyle name="Normal 20 15" xfId="4857"/>
    <cellStyle name="Normal 20 16" xfId="4858"/>
    <cellStyle name="Normal 20 17" xfId="4859"/>
    <cellStyle name="Normal 20 18" xfId="4860"/>
    <cellStyle name="Normal 20 19" xfId="4861"/>
    <cellStyle name="Normal 20 2" xfId="4862"/>
    <cellStyle name="Normal 20 3" xfId="4863"/>
    <cellStyle name="Normal 20 4" xfId="4864"/>
    <cellStyle name="Normal 20 5" xfId="4865"/>
    <cellStyle name="Normal 20 6" xfId="4866"/>
    <cellStyle name="Normal 20 7" xfId="4867"/>
    <cellStyle name="Normal 20 8" xfId="4868"/>
    <cellStyle name="Normal 20 9" xfId="4869"/>
    <cellStyle name="Normal 21" xfId="49"/>
    <cellStyle name="Normal 21 10" xfId="4870"/>
    <cellStyle name="Normal 21 11" xfId="4871"/>
    <cellStyle name="Normal 21 12" xfId="4872"/>
    <cellStyle name="Normal 21 13" xfId="4873"/>
    <cellStyle name="Normal 21 14" xfId="4874"/>
    <cellStyle name="Normal 21 15" xfId="4875"/>
    <cellStyle name="Normal 21 16" xfId="4876"/>
    <cellStyle name="Normal 21 17" xfId="4877"/>
    <cellStyle name="Normal 21 18" xfId="4878"/>
    <cellStyle name="Normal 21 19" xfId="4879"/>
    <cellStyle name="Normal 21 2" xfId="4880"/>
    <cellStyle name="Normal 21 3" xfId="4881"/>
    <cellStyle name="Normal 21 4" xfId="4882"/>
    <cellStyle name="Normal 21 5" xfId="4883"/>
    <cellStyle name="Normal 21 6" xfId="4884"/>
    <cellStyle name="Normal 21 7" xfId="4885"/>
    <cellStyle name="Normal 21 8" xfId="4886"/>
    <cellStyle name="Normal 21 9" xfId="4887"/>
    <cellStyle name="Normal 22" xfId="211"/>
    <cellStyle name="Normal 22 10" xfId="4888"/>
    <cellStyle name="Normal 22 11" xfId="4889"/>
    <cellStyle name="Normal 22 12" xfId="4890"/>
    <cellStyle name="Normal 22 13" xfId="4891"/>
    <cellStyle name="Normal 22 14" xfId="4892"/>
    <cellStyle name="Normal 22 15" xfId="4893"/>
    <cellStyle name="Normal 22 16" xfId="4894"/>
    <cellStyle name="Normal 22 17" xfId="4895"/>
    <cellStyle name="Normal 22 18" xfId="4896"/>
    <cellStyle name="Normal 22 19" xfId="4897"/>
    <cellStyle name="Normal 22 2" xfId="4898"/>
    <cellStyle name="Normal 22 20" xfId="4899"/>
    <cellStyle name="Normal 22 3" xfId="4900"/>
    <cellStyle name="Normal 22 4" xfId="4901"/>
    <cellStyle name="Normal 22 5" xfId="4902"/>
    <cellStyle name="Normal 22 6" xfId="4903"/>
    <cellStyle name="Normal 22 7" xfId="4904"/>
    <cellStyle name="Normal 22 8" xfId="4905"/>
    <cellStyle name="Normal 22 9" xfId="4906"/>
    <cellStyle name="Normal 23" xfId="4907"/>
    <cellStyle name="Normal 23 10" xfId="4908"/>
    <cellStyle name="Normal 23 11" xfId="4909"/>
    <cellStyle name="Normal 23 12" xfId="4910"/>
    <cellStyle name="Normal 23 13" xfId="4911"/>
    <cellStyle name="Normal 23 14" xfId="4912"/>
    <cellStyle name="Normal 23 15" xfId="4913"/>
    <cellStyle name="Normal 23 16" xfId="4914"/>
    <cellStyle name="Normal 23 17" xfId="4915"/>
    <cellStyle name="Normal 23 18" xfId="4916"/>
    <cellStyle name="Normal 23 19" xfId="4917"/>
    <cellStyle name="Normal 23 2" xfId="4918"/>
    <cellStyle name="Normal 23 3" xfId="4919"/>
    <cellStyle name="Normal 23 4" xfId="4920"/>
    <cellStyle name="Normal 23 5" xfId="4921"/>
    <cellStyle name="Normal 23 6" xfId="4922"/>
    <cellStyle name="Normal 23 7" xfId="4923"/>
    <cellStyle name="Normal 23 8" xfId="4924"/>
    <cellStyle name="Normal 23 9" xfId="4925"/>
    <cellStyle name="Normal 24" xfId="4926"/>
    <cellStyle name="Normal 25" xfId="4927"/>
    <cellStyle name="Normal 26" xfId="4928"/>
    <cellStyle name="Normal 27" xfId="4929"/>
    <cellStyle name="Normal 28" xfId="4930"/>
    <cellStyle name="Normal 29" xfId="4931"/>
    <cellStyle name="Normal 29 2" xfId="4932"/>
    <cellStyle name="Normal 29 3" xfId="4933"/>
    <cellStyle name="Normal 29 4" xfId="4934"/>
    <cellStyle name="Normal 3" xfId="6"/>
    <cellStyle name="Normal 3 10" xfId="4935"/>
    <cellStyle name="Normal 3 11" xfId="4936"/>
    <cellStyle name="Normal 3 12" xfId="4937"/>
    <cellStyle name="Normal 3 13" xfId="4938"/>
    <cellStyle name="Normal 3 14" xfId="4939"/>
    <cellStyle name="Normal 3 15" xfId="4940"/>
    <cellStyle name="Normal 3 16" xfId="4941"/>
    <cellStyle name="Normal 3 17" xfId="4942"/>
    <cellStyle name="Normal 3 18" xfId="4943"/>
    <cellStyle name="Normal 3 19" xfId="4944"/>
    <cellStyle name="Normal 3 2" xfId="158"/>
    <cellStyle name="Normal 3 2 10" xfId="4945"/>
    <cellStyle name="Normal 3 2 11" xfId="4946"/>
    <cellStyle name="Normal 3 2 12" xfId="4947"/>
    <cellStyle name="Normal 3 2 13" xfId="4948"/>
    <cellStyle name="Normal 3 2 14" xfId="4949"/>
    <cellStyle name="Normal 3 2 15" xfId="4950"/>
    <cellStyle name="Normal 3 2 16" xfId="4951"/>
    <cellStyle name="Normal 3 2 17" xfId="4952"/>
    <cellStyle name="Normal 3 2 18" xfId="4953"/>
    <cellStyle name="Normal 3 2 19" xfId="4954"/>
    <cellStyle name="Normal 3 2 2" xfId="4955"/>
    <cellStyle name="Normal 3 2 20" xfId="4956"/>
    <cellStyle name="Normal 3 2 3" xfId="4957"/>
    <cellStyle name="Normal 3 2 4" xfId="4958"/>
    <cellStyle name="Normal 3 2 5" xfId="4959"/>
    <cellStyle name="Normal 3 2 6" xfId="4960"/>
    <cellStyle name="Normal 3 2 7" xfId="4961"/>
    <cellStyle name="Normal 3 2 8" xfId="4962"/>
    <cellStyle name="Normal 3 2 9" xfId="4963"/>
    <cellStyle name="Normal 3 20" xfId="4964"/>
    <cellStyle name="Normal 3 21" xfId="4965"/>
    <cellStyle name="Normal 3 22" xfId="4966"/>
    <cellStyle name="Normal 3 3" xfId="109"/>
    <cellStyle name="Normal 3 3 2" xfId="4967"/>
    <cellStyle name="Normal 3 4" xfId="4968"/>
    <cellStyle name="Normal 3 5" xfId="4969"/>
    <cellStyle name="Normal 3 6" xfId="4970"/>
    <cellStyle name="Normal 3 7" xfId="4971"/>
    <cellStyle name="Normal 3 8" xfId="4972"/>
    <cellStyle name="Normal 3 9" xfId="4973"/>
    <cellStyle name="Normal 30" xfId="4974"/>
    <cellStyle name="Normal 30 2" xfId="4975"/>
    <cellStyle name="Normal 30 3" xfId="4976"/>
    <cellStyle name="Normal 30 4" xfId="4977"/>
    <cellStyle name="Normal 31" xfId="4978"/>
    <cellStyle name="Normal 31 2" xfId="4979"/>
    <cellStyle name="Normal 31 3" xfId="4980"/>
    <cellStyle name="Normal 31 4" xfId="4981"/>
    <cellStyle name="Normal 32" xfId="4982"/>
    <cellStyle name="Normal 32 2" xfId="4983"/>
    <cellStyle name="Normal 32 3" xfId="4984"/>
    <cellStyle name="Normal 32 4" xfId="4985"/>
    <cellStyle name="Normal 33" xfId="4986"/>
    <cellStyle name="Normal 33 2" xfId="4987"/>
    <cellStyle name="Normal 33 3" xfId="4988"/>
    <cellStyle name="Normal 33 4" xfId="4989"/>
    <cellStyle name="Normal 34" xfId="4990"/>
    <cellStyle name="Normal 34 2" xfId="4991"/>
    <cellStyle name="Normal 34 3" xfId="4992"/>
    <cellStyle name="Normal 34 4" xfId="4993"/>
    <cellStyle name="Normal 35" xfId="4994"/>
    <cellStyle name="Normal 35 2" xfId="4995"/>
    <cellStyle name="Normal 35 3" xfId="4996"/>
    <cellStyle name="Normal 35 4" xfId="4997"/>
    <cellStyle name="Normal 36" xfId="4998"/>
    <cellStyle name="Normal 36 2" xfId="4999"/>
    <cellStyle name="Normal 36 3" xfId="5000"/>
    <cellStyle name="Normal 36 4" xfId="5001"/>
    <cellStyle name="Normal 37" xfId="5002"/>
    <cellStyle name="Normal 37 2" xfId="5003"/>
    <cellStyle name="Normal 37 3" xfId="5004"/>
    <cellStyle name="Normal 37 4" xfId="5005"/>
    <cellStyle name="Normal 38" xfId="5006"/>
    <cellStyle name="Normal 38 2" xfId="5007"/>
    <cellStyle name="Normal 38 3" xfId="5008"/>
    <cellStyle name="Normal 38 4" xfId="5009"/>
    <cellStyle name="Normal 39" xfId="5010"/>
    <cellStyle name="Normal 39 2" xfId="5011"/>
    <cellStyle name="Normal 39 3" xfId="5012"/>
    <cellStyle name="Normal 39 4" xfId="5013"/>
    <cellStyle name="Normal 4" xfId="110"/>
    <cellStyle name="Normal 4 2" xfId="111"/>
    <cellStyle name="Normal 4 2 2" xfId="5014"/>
    <cellStyle name="Normal 4 3" xfId="137"/>
    <cellStyle name="Normal 4 4" xfId="5015"/>
    <cellStyle name="Normal 4 5" xfId="5016"/>
    <cellStyle name="Normal 4 6" xfId="5017"/>
    <cellStyle name="Normal 4 7" xfId="5018"/>
    <cellStyle name="Normal 4_Fuel_Prod_TS" xfId="112"/>
    <cellStyle name="Normal 40 2" xfId="5019"/>
    <cellStyle name="Normal 40 3" xfId="5020"/>
    <cellStyle name="Normal 40 4" xfId="5021"/>
    <cellStyle name="Normal 41 2" xfId="5022"/>
    <cellStyle name="Normal 41 3" xfId="5023"/>
    <cellStyle name="Normal 41 4" xfId="5024"/>
    <cellStyle name="Normal 42" xfId="5025"/>
    <cellStyle name="Normal 42 2" xfId="5026"/>
    <cellStyle name="Normal 42 3" xfId="5027"/>
    <cellStyle name="Normal 42 4" xfId="5028"/>
    <cellStyle name="Normal 43 2" xfId="5029"/>
    <cellStyle name="Normal 43 3" xfId="5030"/>
    <cellStyle name="Normal 43 4" xfId="5031"/>
    <cellStyle name="Normal 45" xfId="5032"/>
    <cellStyle name="Normal 48" xfId="5033"/>
    <cellStyle name="Normal 5" xfId="113"/>
    <cellStyle name="Normal 5 10" xfId="5034"/>
    <cellStyle name="Normal 5 11" xfId="5035"/>
    <cellStyle name="Normal 5 12" xfId="5036"/>
    <cellStyle name="Normal 5 13" xfId="5037"/>
    <cellStyle name="Normal 5 14" xfId="5038"/>
    <cellStyle name="Normal 5 15" xfId="5039"/>
    <cellStyle name="Normal 5 16" xfId="5040"/>
    <cellStyle name="Normal 5 17" xfId="5041"/>
    <cellStyle name="Normal 5 18" xfId="5042"/>
    <cellStyle name="Normal 5 19" xfId="5043"/>
    <cellStyle name="Normal 5 2" xfId="5044"/>
    <cellStyle name="Normal 5 20" xfId="5045"/>
    <cellStyle name="Normal 5 21" xfId="5046"/>
    <cellStyle name="Normal 5 3" xfId="5047"/>
    <cellStyle name="Normal 5 4" xfId="5048"/>
    <cellStyle name="Normal 5 5" xfId="5049"/>
    <cellStyle name="Normal 5 6" xfId="5050"/>
    <cellStyle name="Normal 5 7" xfId="5051"/>
    <cellStyle name="Normal 5 8" xfId="5052"/>
    <cellStyle name="Normal 5 9" xfId="5053"/>
    <cellStyle name="Normal 50" xfId="5054"/>
    <cellStyle name="Normal 51" xfId="5055"/>
    <cellStyle name="Normal 54" xfId="5056"/>
    <cellStyle name="Normal 57" xfId="5057"/>
    <cellStyle name="Normal 58" xfId="5058"/>
    <cellStyle name="Normal 58 10" xfId="5059"/>
    <cellStyle name="Normal 58 11" xfId="5060"/>
    <cellStyle name="Normal 58 12" xfId="5061"/>
    <cellStyle name="Normal 58 13" xfId="5062"/>
    <cellStyle name="Normal 58 14" xfId="5063"/>
    <cellStyle name="Normal 58 15" xfId="5064"/>
    <cellStyle name="Normal 58 16" xfId="5065"/>
    <cellStyle name="Normal 58 17" xfId="5066"/>
    <cellStyle name="Normal 58 18" xfId="5067"/>
    <cellStyle name="Normal 58 19" xfId="5068"/>
    <cellStyle name="Normal 58 2" xfId="5069"/>
    <cellStyle name="Normal 58 3" xfId="5070"/>
    <cellStyle name="Normal 58 4" xfId="5071"/>
    <cellStyle name="Normal 58 5" xfId="5072"/>
    <cellStyle name="Normal 58 6" xfId="5073"/>
    <cellStyle name="Normal 58 7" xfId="5074"/>
    <cellStyle name="Normal 58 8" xfId="5075"/>
    <cellStyle name="Normal 58 9" xfId="5076"/>
    <cellStyle name="Normal 6" xfId="114"/>
    <cellStyle name="Normal 6 10" xfId="5077"/>
    <cellStyle name="Normal 6 11" xfId="5078"/>
    <cellStyle name="Normal 6 12" xfId="5079"/>
    <cellStyle name="Normal 6 13" xfId="5080"/>
    <cellStyle name="Normal 6 14" xfId="5081"/>
    <cellStyle name="Normal 6 15" xfId="5082"/>
    <cellStyle name="Normal 6 16" xfId="5083"/>
    <cellStyle name="Normal 6 17" xfId="5084"/>
    <cellStyle name="Normal 6 18" xfId="5085"/>
    <cellStyle name="Normal 6 19" xfId="5086"/>
    <cellStyle name="Normal 6 2" xfId="5087"/>
    <cellStyle name="Normal 6 3" xfId="5088"/>
    <cellStyle name="Normal 6 4" xfId="5089"/>
    <cellStyle name="Normal 6 5" xfId="5090"/>
    <cellStyle name="Normal 6 6" xfId="5091"/>
    <cellStyle name="Normal 6 7" xfId="5092"/>
    <cellStyle name="Normal 6 8" xfId="5093"/>
    <cellStyle name="Normal 6 9" xfId="5094"/>
    <cellStyle name="Normal 61" xfId="5095"/>
    <cellStyle name="Normal 63" xfId="5096"/>
    <cellStyle name="Normal 66" xfId="5097"/>
    <cellStyle name="Normal 7" xfId="115"/>
    <cellStyle name="Normal 7 10" xfId="5098"/>
    <cellStyle name="Normal 7 11" xfId="5099"/>
    <cellStyle name="Normal 7 12" xfId="5100"/>
    <cellStyle name="Normal 7 13" xfId="5101"/>
    <cellStyle name="Normal 7 14" xfId="5102"/>
    <cellStyle name="Normal 7 15" xfId="5103"/>
    <cellStyle name="Normal 7 16" xfId="5104"/>
    <cellStyle name="Normal 7 17" xfId="5105"/>
    <cellStyle name="Normal 7 18" xfId="5106"/>
    <cellStyle name="Normal 7 19" xfId="5107"/>
    <cellStyle name="Normal 7 2" xfId="5108"/>
    <cellStyle name="Normal 7 2 2" xfId="5109"/>
    <cellStyle name="Normal 7 2 2 2" xfId="5110"/>
    <cellStyle name="Normal 7 2 2 3" xfId="5111"/>
    <cellStyle name="Normal 7 2 3" xfId="5112"/>
    <cellStyle name="Normal 7 20" xfId="5113"/>
    <cellStyle name="Normal 7 21" xfId="5114"/>
    <cellStyle name="Normal 7 22" xfId="5115"/>
    <cellStyle name="Normal 7 3" xfId="5116"/>
    <cellStyle name="Normal 7 4" xfId="5117"/>
    <cellStyle name="Normal 7 5" xfId="5118"/>
    <cellStyle name="Normal 7 6" xfId="5119"/>
    <cellStyle name="Normal 7 7" xfId="5120"/>
    <cellStyle name="Normal 7 8" xfId="5121"/>
    <cellStyle name="Normal 7 9" xfId="5122"/>
    <cellStyle name="Normal 71" xfId="5123"/>
    <cellStyle name="Normal 76" xfId="5124"/>
    <cellStyle name="Normal 78" xfId="5125"/>
    <cellStyle name="Normal 79" xfId="5126"/>
    <cellStyle name="Normal 8" xfId="116"/>
    <cellStyle name="Normal 8 10" xfId="5127"/>
    <cellStyle name="Normal 8 11" xfId="5128"/>
    <cellStyle name="Normal 8 12" xfId="5129"/>
    <cellStyle name="Normal 8 13" xfId="5130"/>
    <cellStyle name="Normal 8 14" xfId="5131"/>
    <cellStyle name="Normal 8 15" xfId="5132"/>
    <cellStyle name="Normal 8 16" xfId="5133"/>
    <cellStyle name="Normal 8 17" xfId="5134"/>
    <cellStyle name="Normal 8 18" xfId="5135"/>
    <cellStyle name="Normal 8 19" xfId="5136"/>
    <cellStyle name="Normal 8 2" xfId="5137"/>
    <cellStyle name="Normal 8 2 2" xfId="5138"/>
    <cellStyle name="Normal 8 2 2 2" xfId="5139"/>
    <cellStyle name="Normal 8 2 2 3" xfId="5140"/>
    <cellStyle name="Normal 8 2 3" xfId="5141"/>
    <cellStyle name="Normal 8 20" xfId="5142"/>
    <cellStyle name="Normal 8 21" xfId="5143"/>
    <cellStyle name="Normal 8 22" xfId="5144"/>
    <cellStyle name="Normal 8 3" xfId="5145"/>
    <cellStyle name="Normal 8 4" xfId="5146"/>
    <cellStyle name="Normal 8 5" xfId="5147"/>
    <cellStyle name="Normal 8 6" xfId="5148"/>
    <cellStyle name="Normal 8 7" xfId="5149"/>
    <cellStyle name="Normal 8 8" xfId="5150"/>
    <cellStyle name="Normal 8 9" xfId="5151"/>
    <cellStyle name="Normal 84" xfId="5152"/>
    <cellStyle name="Normal 85" xfId="5153"/>
    <cellStyle name="Normal 86" xfId="5154"/>
    <cellStyle name="Normal 87" xfId="5155"/>
    <cellStyle name="Normal 9" xfId="117"/>
    <cellStyle name="Normal 9 10" xfId="5156"/>
    <cellStyle name="Normal 9 11" xfId="5157"/>
    <cellStyle name="Normal 9 12" xfId="5158"/>
    <cellStyle name="Normal 9 13" xfId="5159"/>
    <cellStyle name="Normal 9 14" xfId="5160"/>
    <cellStyle name="Normal 9 15" xfId="5161"/>
    <cellStyle name="Normal 9 16" xfId="5162"/>
    <cellStyle name="Normal 9 17" xfId="5163"/>
    <cellStyle name="Normal 9 18" xfId="5164"/>
    <cellStyle name="Normal 9 19" xfId="5165"/>
    <cellStyle name="Normal 9 2" xfId="5166"/>
    <cellStyle name="Normal 9 2 2" xfId="5167"/>
    <cellStyle name="Normal 9 2 2 2" xfId="5168"/>
    <cellStyle name="Normal 9 2 2 3" xfId="5169"/>
    <cellStyle name="Normal 9 2 3" xfId="5170"/>
    <cellStyle name="Normal 9 20" xfId="5171"/>
    <cellStyle name="Normal 9 21" xfId="5172"/>
    <cellStyle name="Normal 9 22" xfId="5173"/>
    <cellStyle name="Normal 9 23" xfId="5174"/>
    <cellStyle name="Normal 9 3" xfId="5175"/>
    <cellStyle name="Normal 9 4" xfId="5176"/>
    <cellStyle name="Normal 9 5" xfId="5177"/>
    <cellStyle name="Normal 9 6" xfId="5178"/>
    <cellStyle name="Normal 9 7" xfId="5179"/>
    <cellStyle name="Normal 9 8" xfId="5180"/>
    <cellStyle name="Normal 9 9" xfId="5181"/>
    <cellStyle name="Normal GHG Numbers (0.00)" xfId="118"/>
    <cellStyle name="Normal GHG Textfiels Bold" xfId="119"/>
    <cellStyle name="Normal GHG whole table" xfId="120"/>
    <cellStyle name="Normal GHG-Shade" xfId="121"/>
    <cellStyle name="Notas" xfId="5182"/>
    <cellStyle name="Notas 10" xfId="5183"/>
    <cellStyle name="Notas 10 2" xfId="5184"/>
    <cellStyle name="Notas 10 2 2" xfId="5185"/>
    <cellStyle name="Notas 10 2 3" xfId="5186"/>
    <cellStyle name="Notas 10 3" xfId="5187"/>
    <cellStyle name="Notas 10 3 2" xfId="5188"/>
    <cellStyle name="Notas 10 3 3" xfId="5189"/>
    <cellStyle name="Notas 10 4" xfId="5190"/>
    <cellStyle name="Notas 10 5" xfId="5191"/>
    <cellStyle name="Notas 11" xfId="5192"/>
    <cellStyle name="Notas 11 2" xfId="5193"/>
    <cellStyle name="Notas 11 3" xfId="5194"/>
    <cellStyle name="Notas 12" xfId="5195"/>
    <cellStyle name="Notas 13" xfId="5196"/>
    <cellStyle name="Notas 14" xfId="5197"/>
    <cellStyle name="Notas 15" xfId="5198"/>
    <cellStyle name="Notas 16" xfId="5199"/>
    <cellStyle name="Notas 17" xfId="5200"/>
    <cellStyle name="Notas 18" xfId="5201"/>
    <cellStyle name="Notas 19" xfId="5202"/>
    <cellStyle name="Notas 2" xfId="5203"/>
    <cellStyle name="Notas 2 10" xfId="5204"/>
    <cellStyle name="Notas 2 11" xfId="5205"/>
    <cellStyle name="Notas 2 12" xfId="5206"/>
    <cellStyle name="Notas 2 13" xfId="5207"/>
    <cellStyle name="Notas 2 14" xfId="5208"/>
    <cellStyle name="Notas 2 15" xfId="5209"/>
    <cellStyle name="Notas 2 16" xfId="5210"/>
    <cellStyle name="Notas 2 2" xfId="5211"/>
    <cellStyle name="Notas 2 2 10" xfId="5212"/>
    <cellStyle name="Notas 2 2 11" xfId="5213"/>
    <cellStyle name="Notas 2 2 12" xfId="5214"/>
    <cellStyle name="Notas 2 2 13" xfId="5215"/>
    <cellStyle name="Notas 2 2 14" xfId="5216"/>
    <cellStyle name="Notas 2 2 15" xfId="5217"/>
    <cellStyle name="Notas 2 2 16" xfId="5218"/>
    <cellStyle name="Notas 2 2 2" xfId="5219"/>
    <cellStyle name="Notas 2 2 2 2" xfId="5220"/>
    <cellStyle name="Notas 2 2 2 3" xfId="5221"/>
    <cellStyle name="Notas 2 2 3" xfId="5222"/>
    <cellStyle name="Notas 2 2 3 2" xfId="5223"/>
    <cellStyle name="Notas 2 2 3 3" xfId="5224"/>
    <cellStyle name="Notas 2 2 4" xfId="5225"/>
    <cellStyle name="Notas 2 2 5" xfId="5226"/>
    <cellStyle name="Notas 2 2 6" xfId="5227"/>
    <cellStyle name="Notas 2 2 7" xfId="5228"/>
    <cellStyle name="Notas 2 2 8" xfId="5229"/>
    <cellStyle name="Notas 2 2 9" xfId="5230"/>
    <cellStyle name="Notas 2 3" xfId="5231"/>
    <cellStyle name="Notas 2 3 2" xfId="5232"/>
    <cellStyle name="Notas 2 3 3" xfId="5233"/>
    <cellStyle name="Notas 2 4" xfId="5234"/>
    <cellStyle name="Notas 2 5" xfId="5235"/>
    <cellStyle name="Notas 2 6" xfId="5236"/>
    <cellStyle name="Notas 2 7" xfId="5237"/>
    <cellStyle name="Notas 2 8" xfId="5238"/>
    <cellStyle name="Notas 2 9" xfId="5239"/>
    <cellStyle name="Notas 20" xfId="5240"/>
    <cellStyle name="Notas 21" xfId="5241"/>
    <cellStyle name="Notas 22" xfId="5242"/>
    <cellStyle name="Notas 23" xfId="5243"/>
    <cellStyle name="Notas 24" xfId="5244"/>
    <cellStyle name="Notas 3" xfId="5245"/>
    <cellStyle name="Notas 3 10" xfId="5246"/>
    <cellStyle name="Notas 3 11" xfId="5247"/>
    <cellStyle name="Notas 3 12" xfId="5248"/>
    <cellStyle name="Notas 3 13" xfId="5249"/>
    <cellStyle name="Notas 3 14" xfId="5250"/>
    <cellStyle name="Notas 3 15" xfId="5251"/>
    <cellStyle name="Notas 3 16" xfId="5252"/>
    <cellStyle name="Notas 3 2" xfId="5253"/>
    <cellStyle name="Notas 3 2 10" xfId="5254"/>
    <cellStyle name="Notas 3 2 11" xfId="5255"/>
    <cellStyle name="Notas 3 2 12" xfId="5256"/>
    <cellStyle name="Notas 3 2 13" xfId="5257"/>
    <cellStyle name="Notas 3 2 14" xfId="5258"/>
    <cellStyle name="Notas 3 2 15" xfId="5259"/>
    <cellStyle name="Notas 3 2 16" xfId="5260"/>
    <cellStyle name="Notas 3 2 2" xfId="5261"/>
    <cellStyle name="Notas 3 2 2 2" xfId="5262"/>
    <cellStyle name="Notas 3 2 2 3" xfId="5263"/>
    <cellStyle name="Notas 3 2 3" xfId="5264"/>
    <cellStyle name="Notas 3 2 3 2" xfId="5265"/>
    <cellStyle name="Notas 3 2 3 3" xfId="5266"/>
    <cellStyle name="Notas 3 2 4" xfId="5267"/>
    <cellStyle name="Notas 3 2 5" xfId="5268"/>
    <cellStyle name="Notas 3 2 6" xfId="5269"/>
    <cellStyle name="Notas 3 2 7" xfId="5270"/>
    <cellStyle name="Notas 3 2 8" xfId="5271"/>
    <cellStyle name="Notas 3 2 9" xfId="5272"/>
    <cellStyle name="Notas 3 3" xfId="5273"/>
    <cellStyle name="Notas 3 3 2" xfId="5274"/>
    <cellStyle name="Notas 3 3 3" xfId="5275"/>
    <cellStyle name="Notas 3 4" xfId="5276"/>
    <cellStyle name="Notas 3 5" xfId="5277"/>
    <cellStyle name="Notas 3 6" xfId="5278"/>
    <cellStyle name="Notas 3 7" xfId="5279"/>
    <cellStyle name="Notas 3 8" xfId="5280"/>
    <cellStyle name="Notas 3 9" xfId="5281"/>
    <cellStyle name="Notas 4" xfId="5282"/>
    <cellStyle name="Notas 4 10" xfId="5283"/>
    <cellStyle name="Notas 4 11" xfId="5284"/>
    <cellStyle name="Notas 4 12" xfId="5285"/>
    <cellStyle name="Notas 4 13" xfId="5286"/>
    <cellStyle name="Notas 4 14" xfId="5287"/>
    <cellStyle name="Notas 4 15" xfId="5288"/>
    <cellStyle name="Notas 4 16" xfId="5289"/>
    <cellStyle name="Notas 4 17" xfId="5290"/>
    <cellStyle name="Notas 4 2" xfId="5291"/>
    <cellStyle name="Notas 4 2 10" xfId="5292"/>
    <cellStyle name="Notas 4 2 11" xfId="5293"/>
    <cellStyle name="Notas 4 2 12" xfId="5294"/>
    <cellStyle name="Notas 4 2 13" xfId="5295"/>
    <cellStyle name="Notas 4 2 14" xfId="5296"/>
    <cellStyle name="Notas 4 2 2" xfId="5297"/>
    <cellStyle name="Notas 4 2 3" xfId="5298"/>
    <cellStyle name="Notas 4 2 4" xfId="5299"/>
    <cellStyle name="Notas 4 2 5" xfId="5300"/>
    <cellStyle name="Notas 4 2 6" xfId="5301"/>
    <cellStyle name="Notas 4 2 7" xfId="5302"/>
    <cellStyle name="Notas 4 2 8" xfId="5303"/>
    <cellStyle name="Notas 4 2 9" xfId="5304"/>
    <cellStyle name="Notas 4 3" xfId="5305"/>
    <cellStyle name="Notas 4 3 2" xfId="5306"/>
    <cellStyle name="Notas 4 3 3" xfId="5307"/>
    <cellStyle name="Notas 4 4" xfId="5308"/>
    <cellStyle name="Notas 4 5" xfId="5309"/>
    <cellStyle name="Notas 4 6" xfId="5310"/>
    <cellStyle name="Notas 4 7" xfId="5311"/>
    <cellStyle name="Notas 4 8" xfId="5312"/>
    <cellStyle name="Notas 4 9" xfId="5313"/>
    <cellStyle name="Notas 5" xfId="5314"/>
    <cellStyle name="Notas 5 10" xfId="5315"/>
    <cellStyle name="Notas 5 11" xfId="5316"/>
    <cellStyle name="Notas 5 12" xfId="5317"/>
    <cellStyle name="Notas 5 13" xfId="5318"/>
    <cellStyle name="Notas 5 14" xfId="5319"/>
    <cellStyle name="Notas 5 15" xfId="5320"/>
    <cellStyle name="Notas 5 16" xfId="5321"/>
    <cellStyle name="Notas 5 17" xfId="5322"/>
    <cellStyle name="Notas 5 2" xfId="5323"/>
    <cellStyle name="Notas 5 2 10" xfId="5324"/>
    <cellStyle name="Notas 5 2 11" xfId="5325"/>
    <cellStyle name="Notas 5 2 12" xfId="5326"/>
    <cellStyle name="Notas 5 2 13" xfId="5327"/>
    <cellStyle name="Notas 5 2 14" xfId="5328"/>
    <cellStyle name="Notas 5 2 2" xfId="5329"/>
    <cellStyle name="Notas 5 2 3" xfId="5330"/>
    <cellStyle name="Notas 5 2 4" xfId="5331"/>
    <cellStyle name="Notas 5 2 5" xfId="5332"/>
    <cellStyle name="Notas 5 2 6" xfId="5333"/>
    <cellStyle name="Notas 5 2 7" xfId="5334"/>
    <cellStyle name="Notas 5 2 8" xfId="5335"/>
    <cellStyle name="Notas 5 2 9" xfId="5336"/>
    <cellStyle name="Notas 5 3" xfId="5337"/>
    <cellStyle name="Notas 5 3 2" xfId="5338"/>
    <cellStyle name="Notas 5 3 3" xfId="5339"/>
    <cellStyle name="Notas 5 4" xfId="5340"/>
    <cellStyle name="Notas 5 5" xfId="5341"/>
    <cellStyle name="Notas 5 6" xfId="5342"/>
    <cellStyle name="Notas 5 7" xfId="5343"/>
    <cellStyle name="Notas 5 8" xfId="5344"/>
    <cellStyle name="Notas 5 9" xfId="5345"/>
    <cellStyle name="Notas 6" xfId="5346"/>
    <cellStyle name="Notas 6 10" xfId="5347"/>
    <cellStyle name="Notas 6 11" xfId="5348"/>
    <cellStyle name="Notas 6 12" xfId="5349"/>
    <cellStyle name="Notas 6 13" xfId="5350"/>
    <cellStyle name="Notas 6 14" xfId="5351"/>
    <cellStyle name="Notas 6 15" xfId="5352"/>
    <cellStyle name="Notas 6 16" xfId="5353"/>
    <cellStyle name="Notas 6 17" xfId="5354"/>
    <cellStyle name="Notas 6 2" xfId="5355"/>
    <cellStyle name="Notas 6 2 10" xfId="5356"/>
    <cellStyle name="Notas 6 2 11" xfId="5357"/>
    <cellStyle name="Notas 6 2 12" xfId="5358"/>
    <cellStyle name="Notas 6 2 13" xfId="5359"/>
    <cellStyle name="Notas 6 2 14" xfId="5360"/>
    <cellStyle name="Notas 6 2 2" xfId="5361"/>
    <cellStyle name="Notas 6 2 3" xfId="5362"/>
    <cellStyle name="Notas 6 2 4" xfId="5363"/>
    <cellStyle name="Notas 6 2 5" xfId="5364"/>
    <cellStyle name="Notas 6 2 6" xfId="5365"/>
    <cellStyle name="Notas 6 2 7" xfId="5366"/>
    <cellStyle name="Notas 6 2 8" xfId="5367"/>
    <cellStyle name="Notas 6 2 9" xfId="5368"/>
    <cellStyle name="Notas 6 3" xfId="5369"/>
    <cellStyle name="Notas 6 3 2" xfId="5370"/>
    <cellStyle name="Notas 6 3 3" xfId="5371"/>
    <cellStyle name="Notas 6 4" xfId="5372"/>
    <cellStyle name="Notas 6 5" xfId="5373"/>
    <cellStyle name="Notas 6 6" xfId="5374"/>
    <cellStyle name="Notas 6 7" xfId="5375"/>
    <cellStyle name="Notas 6 8" xfId="5376"/>
    <cellStyle name="Notas 6 9" xfId="5377"/>
    <cellStyle name="Notas 7" xfId="5378"/>
    <cellStyle name="Notas 7 10" xfId="5379"/>
    <cellStyle name="Notas 7 11" xfId="5380"/>
    <cellStyle name="Notas 7 12" xfId="5381"/>
    <cellStyle name="Notas 7 13" xfId="5382"/>
    <cellStyle name="Notas 7 14" xfId="5383"/>
    <cellStyle name="Notas 7 15" xfId="5384"/>
    <cellStyle name="Notas 7 16" xfId="5385"/>
    <cellStyle name="Notas 7 17" xfId="5386"/>
    <cellStyle name="Notas 7 2" xfId="5387"/>
    <cellStyle name="Notas 7 2 10" xfId="5388"/>
    <cellStyle name="Notas 7 2 11" xfId="5389"/>
    <cellStyle name="Notas 7 2 12" xfId="5390"/>
    <cellStyle name="Notas 7 2 13" xfId="5391"/>
    <cellStyle name="Notas 7 2 14" xfId="5392"/>
    <cellStyle name="Notas 7 2 2" xfId="5393"/>
    <cellStyle name="Notas 7 2 3" xfId="5394"/>
    <cellStyle name="Notas 7 2 4" xfId="5395"/>
    <cellStyle name="Notas 7 2 5" xfId="5396"/>
    <cellStyle name="Notas 7 2 6" xfId="5397"/>
    <cellStyle name="Notas 7 2 7" xfId="5398"/>
    <cellStyle name="Notas 7 2 8" xfId="5399"/>
    <cellStyle name="Notas 7 2 9" xfId="5400"/>
    <cellStyle name="Notas 7 3" xfId="5401"/>
    <cellStyle name="Notas 7 3 2" xfId="5402"/>
    <cellStyle name="Notas 7 3 3" xfId="5403"/>
    <cellStyle name="Notas 7 4" xfId="5404"/>
    <cellStyle name="Notas 7 5" xfId="5405"/>
    <cellStyle name="Notas 7 6" xfId="5406"/>
    <cellStyle name="Notas 7 7" xfId="5407"/>
    <cellStyle name="Notas 7 8" xfId="5408"/>
    <cellStyle name="Notas 7 9" xfId="5409"/>
    <cellStyle name="Notas 8" xfId="5410"/>
    <cellStyle name="Notas 8 10" xfId="5411"/>
    <cellStyle name="Notas 8 11" xfId="5412"/>
    <cellStyle name="Notas 8 12" xfId="5413"/>
    <cellStyle name="Notas 8 13" xfId="5414"/>
    <cellStyle name="Notas 8 14" xfId="5415"/>
    <cellStyle name="Notas 8 15" xfId="5416"/>
    <cellStyle name="Notas 8 16" xfId="5417"/>
    <cellStyle name="Notas 8 17" xfId="5418"/>
    <cellStyle name="Notas 8 2" xfId="5419"/>
    <cellStyle name="Notas 8 2 2" xfId="5420"/>
    <cellStyle name="Notas 8 2 3" xfId="5421"/>
    <cellStyle name="Notas 8 3" xfId="5422"/>
    <cellStyle name="Notas 8 3 2" xfId="5423"/>
    <cellStyle name="Notas 8 3 3" xfId="5424"/>
    <cellStyle name="Notas 8 4" xfId="5425"/>
    <cellStyle name="Notas 8 5" xfId="5426"/>
    <cellStyle name="Notas 8 6" xfId="5427"/>
    <cellStyle name="Notas 8 7" xfId="5428"/>
    <cellStyle name="Notas 8 8" xfId="5429"/>
    <cellStyle name="Notas 8 9" xfId="5430"/>
    <cellStyle name="Notas 9" xfId="5431"/>
    <cellStyle name="Notas 9 10" xfId="5432"/>
    <cellStyle name="Notas 9 11" xfId="5433"/>
    <cellStyle name="Notas 9 12" xfId="5434"/>
    <cellStyle name="Notas 9 13" xfId="5435"/>
    <cellStyle name="Notas 9 14" xfId="5436"/>
    <cellStyle name="Notas 9 15" xfId="5437"/>
    <cellStyle name="Notas 9 16" xfId="5438"/>
    <cellStyle name="Notas 9 2" xfId="5439"/>
    <cellStyle name="Notas 9 2 2" xfId="5440"/>
    <cellStyle name="Notas 9 2 3" xfId="5441"/>
    <cellStyle name="Notas 9 3" xfId="5442"/>
    <cellStyle name="Notas 9 3 2" xfId="5443"/>
    <cellStyle name="Notas 9 3 3" xfId="5444"/>
    <cellStyle name="Notas 9 4" xfId="5445"/>
    <cellStyle name="Notas 9 5" xfId="5446"/>
    <cellStyle name="Notas 9 6" xfId="5447"/>
    <cellStyle name="Notas 9 7" xfId="5448"/>
    <cellStyle name="Notas 9 8" xfId="5449"/>
    <cellStyle name="Notas 9 9" xfId="5450"/>
    <cellStyle name="Note 2" xfId="122"/>
    <cellStyle name="Note 2 10" xfId="5451"/>
    <cellStyle name="Note 2 10 2" xfId="5452"/>
    <cellStyle name="Note 2 10 2 2" xfId="5453"/>
    <cellStyle name="Note 2 10 2 3" xfId="5454"/>
    <cellStyle name="Note 2 10 3" xfId="5455"/>
    <cellStyle name="Note 2 11" xfId="5456"/>
    <cellStyle name="Note 2 11 2" xfId="5457"/>
    <cellStyle name="Note 2 11 2 2" xfId="5458"/>
    <cellStyle name="Note 2 11 2 3" xfId="5459"/>
    <cellStyle name="Note 2 11 3" xfId="5460"/>
    <cellStyle name="Note 2 12" xfId="5461"/>
    <cellStyle name="Note 2 12 2" xfId="5462"/>
    <cellStyle name="Note 2 12 2 2" xfId="5463"/>
    <cellStyle name="Note 2 12 2 3" xfId="5464"/>
    <cellStyle name="Note 2 12 3" xfId="5465"/>
    <cellStyle name="Note 2 13" xfId="5466"/>
    <cellStyle name="Note 2 13 2" xfId="5467"/>
    <cellStyle name="Note 2 13 2 2" xfId="5468"/>
    <cellStyle name="Note 2 13 2 3" xfId="5469"/>
    <cellStyle name="Note 2 13 3" xfId="5470"/>
    <cellStyle name="Note 2 14" xfId="5471"/>
    <cellStyle name="Note 2 14 2" xfId="5472"/>
    <cellStyle name="Note 2 14 2 2" xfId="5473"/>
    <cellStyle name="Note 2 14 2 3" xfId="5474"/>
    <cellStyle name="Note 2 14 3" xfId="5475"/>
    <cellStyle name="Note 2 15" xfId="5476"/>
    <cellStyle name="Note 2 15 2" xfId="5477"/>
    <cellStyle name="Note 2 15 2 2" xfId="5478"/>
    <cellStyle name="Note 2 15 2 3" xfId="5479"/>
    <cellStyle name="Note 2 15 3" xfId="5480"/>
    <cellStyle name="Note 2 16" xfId="5481"/>
    <cellStyle name="Note 2 16 2" xfId="5482"/>
    <cellStyle name="Note 2 16 2 2" xfId="5483"/>
    <cellStyle name="Note 2 16 2 3" xfId="5484"/>
    <cellStyle name="Note 2 16 3" xfId="5485"/>
    <cellStyle name="Note 2 17" xfId="5486"/>
    <cellStyle name="Note 2 17 2" xfId="5487"/>
    <cellStyle name="Note 2 17 2 2" xfId="5488"/>
    <cellStyle name="Note 2 17 2 3" xfId="5489"/>
    <cellStyle name="Note 2 17 3" xfId="5490"/>
    <cellStyle name="Note 2 18" xfId="5491"/>
    <cellStyle name="Note 2 19" xfId="5492"/>
    <cellStyle name="Note 2 2" xfId="5493"/>
    <cellStyle name="Note 2 2 2" xfId="5494"/>
    <cellStyle name="Note 2 2 2 2" xfId="5495"/>
    <cellStyle name="Note 2 2 2 3" xfId="5496"/>
    <cellStyle name="Note 2 2 2 4" xfId="5497"/>
    <cellStyle name="Note 2 2 3" xfId="5498"/>
    <cellStyle name="Note 2 2 3 2" xfId="5499"/>
    <cellStyle name="Note 2 2 3 3" xfId="5500"/>
    <cellStyle name="Note 2 2 4" xfId="5501"/>
    <cellStyle name="Note 2 2 5" xfId="5502"/>
    <cellStyle name="Note 2 2 6" xfId="5503"/>
    <cellStyle name="Note 2 2 7" xfId="5504"/>
    <cellStyle name="Note 2 20" xfId="5505"/>
    <cellStyle name="Note 2 21" xfId="5506"/>
    <cellStyle name="Note 2 3" xfId="5507"/>
    <cellStyle name="Note 2 3 2" xfId="5508"/>
    <cellStyle name="Note 2 3 3" xfId="5509"/>
    <cellStyle name="Note 2 3 4" xfId="5510"/>
    <cellStyle name="Note 2 3 5" xfId="5511"/>
    <cellStyle name="Note 2 4" xfId="5512"/>
    <cellStyle name="Note 2 4 2" xfId="5513"/>
    <cellStyle name="Note 2 4 3" xfId="5514"/>
    <cellStyle name="Note 2 4 4" xfId="5515"/>
    <cellStyle name="Note 2 4 5" xfId="5516"/>
    <cellStyle name="Note 2 5" xfId="5517"/>
    <cellStyle name="Note 2 5 2" xfId="5518"/>
    <cellStyle name="Note 2 5 2 2" xfId="5519"/>
    <cellStyle name="Note 2 5 2 3" xfId="5520"/>
    <cellStyle name="Note 2 5 3" xfId="5521"/>
    <cellStyle name="Note 2 6" xfId="5522"/>
    <cellStyle name="Note 2 6 2" xfId="5523"/>
    <cellStyle name="Note 2 6 2 2" xfId="5524"/>
    <cellStyle name="Note 2 6 2 3" xfId="5525"/>
    <cellStyle name="Note 2 6 3" xfId="5526"/>
    <cellStyle name="Note 2 7" xfId="5527"/>
    <cellStyle name="Note 2 7 2" xfId="5528"/>
    <cellStyle name="Note 2 7 2 2" xfId="5529"/>
    <cellStyle name="Note 2 7 2 3" xfId="5530"/>
    <cellStyle name="Note 2 7 3" xfId="5531"/>
    <cellStyle name="Note 2 8" xfId="5532"/>
    <cellStyle name="Note 2 8 2" xfId="5533"/>
    <cellStyle name="Note 2 8 2 2" xfId="5534"/>
    <cellStyle name="Note 2 8 2 3" xfId="5535"/>
    <cellStyle name="Note 2 8 3" xfId="5536"/>
    <cellStyle name="Note 2 9" xfId="5537"/>
    <cellStyle name="Note 2 9 2" xfId="5538"/>
    <cellStyle name="Note 2 9 2 2" xfId="5539"/>
    <cellStyle name="Note 2 9 2 3" xfId="5540"/>
    <cellStyle name="Note 2 9 3" xfId="5541"/>
    <cellStyle name="Note 3" xfId="132"/>
    <cellStyle name="Note 3 2" xfId="5542"/>
    <cellStyle name="Note 3 2 2" xfId="5543"/>
    <cellStyle name="Note 3 2 3" xfId="5544"/>
    <cellStyle name="Note 3 3" xfId="5545"/>
    <cellStyle name="Note 3 3 2" xfId="5546"/>
    <cellStyle name="Note 3 3 3" xfId="5547"/>
    <cellStyle name="Note 3 4" xfId="5548"/>
    <cellStyle name="Note 3 5" xfId="5549"/>
    <cellStyle name="Note 3 6" xfId="5550"/>
    <cellStyle name="Note 4" xfId="5551"/>
    <cellStyle name="Note 4 2" xfId="5552"/>
    <cellStyle name="Note 4 2 2" xfId="5553"/>
    <cellStyle name="Note 4 2 3" xfId="5554"/>
    <cellStyle name="Note 4 3" xfId="5555"/>
    <cellStyle name="Note 4 3 2" xfId="5556"/>
    <cellStyle name="Note 4 3 3" xfId="5557"/>
    <cellStyle name="Note 4 4" xfId="5558"/>
    <cellStyle name="Note 4 5" xfId="5559"/>
    <cellStyle name="Note 5" xfId="5560"/>
    <cellStyle name="Note 5 2" xfId="5561"/>
    <cellStyle name="Note 5 3" xfId="5562"/>
    <cellStyle name="Note 6" xfId="5563"/>
    <cellStyle name="Note 7" xfId="5564"/>
    <cellStyle name="Note 8" xfId="5565"/>
    <cellStyle name="Number" xfId="5566"/>
    <cellStyle name="Output" xfId="18" builtinId="21" customBuiltin="1"/>
    <cellStyle name="Output 2" xfId="123"/>
    <cellStyle name="Output 2 10" xfId="5567"/>
    <cellStyle name="Output 2 11" xfId="5568"/>
    <cellStyle name="Output 2 12" xfId="5569"/>
    <cellStyle name="Output 2 13" xfId="5570"/>
    <cellStyle name="Output 2 14" xfId="5571"/>
    <cellStyle name="Output 2 15" xfId="5572"/>
    <cellStyle name="Output 2 16" xfId="5573"/>
    <cellStyle name="Output 2 16 2" xfId="5574"/>
    <cellStyle name="Output 2 17" xfId="5575"/>
    <cellStyle name="Output 2 2" xfId="5576"/>
    <cellStyle name="Output 2 2 2" xfId="5577"/>
    <cellStyle name="Output 2 2 2 2" xfId="5578"/>
    <cellStyle name="Output 2 2 2 3" xfId="5579"/>
    <cellStyle name="Output 2 2 3" xfId="5580"/>
    <cellStyle name="Output 2 2 4" xfId="5581"/>
    <cellStyle name="Output 2 3" xfId="5582"/>
    <cellStyle name="Output 2 4" xfId="5583"/>
    <cellStyle name="Output 2 5" xfId="5584"/>
    <cellStyle name="Output 2 6" xfId="5585"/>
    <cellStyle name="Output 2 7" xfId="5586"/>
    <cellStyle name="Output 2 8" xfId="5587"/>
    <cellStyle name="Output 2 9" xfId="5588"/>
    <cellStyle name="Output 3" xfId="5589"/>
    <cellStyle name="Output 3 2" xfId="5590"/>
    <cellStyle name="Output 3 3" xfId="5591"/>
    <cellStyle name="Output 3 4" xfId="5592"/>
    <cellStyle name="Output 4" xfId="5593"/>
    <cellStyle name="Output 4 2" xfId="5594"/>
    <cellStyle name="Output 4 3" xfId="5595"/>
    <cellStyle name="Output 5" xfId="5596"/>
    <cellStyle name="Output 6" xfId="5597"/>
    <cellStyle name="Output 7" xfId="5598"/>
    <cellStyle name="Output 8" xfId="5599"/>
    <cellStyle name="Page Number" xfId="5600"/>
    <cellStyle name="Pattern" xfId="124"/>
    <cellStyle name="Percent" xfId="7" builtinId="5"/>
    <cellStyle name="Percent 10" xfId="159"/>
    <cellStyle name="Percent 11" xfId="160"/>
    <cellStyle name="Percent 12" xfId="161"/>
    <cellStyle name="Percent 13" xfId="162"/>
    <cellStyle name="Percent 14" xfId="163"/>
    <cellStyle name="Percent 15" xfId="164"/>
    <cellStyle name="Percent 16" xfId="165"/>
    <cellStyle name="Percent 17" xfId="166"/>
    <cellStyle name="Percent 17 2" xfId="5601"/>
    <cellStyle name="Percent 17 3" xfId="5602"/>
    <cellStyle name="Percent 17 4" xfId="5603"/>
    <cellStyle name="Percent 18" xfId="167"/>
    <cellStyle name="Percent 19" xfId="168"/>
    <cellStyle name="Percent 2" xfId="8"/>
    <cellStyle name="Percent 2 10" xfId="5604"/>
    <cellStyle name="Percent 2 10 2" xfId="5605"/>
    <cellStyle name="Percent 2 10 2 2" xfId="5606"/>
    <cellStyle name="Percent 2 10 2 3" xfId="5607"/>
    <cellStyle name="Percent 2 10 3" xfId="5608"/>
    <cellStyle name="Percent 2 10 4" xfId="5609"/>
    <cellStyle name="Percent 2 10 5" xfId="5610"/>
    <cellStyle name="Percent 2 11" xfId="5611"/>
    <cellStyle name="Percent 2 11 2" xfId="5612"/>
    <cellStyle name="Percent 2 11 2 2" xfId="5613"/>
    <cellStyle name="Percent 2 11 2 3" xfId="5614"/>
    <cellStyle name="Percent 2 11 3" xfId="5615"/>
    <cellStyle name="Percent 2 12" xfId="5616"/>
    <cellStyle name="Percent 2 13" xfId="5617"/>
    <cellStyle name="Percent 2 14" xfId="5618"/>
    <cellStyle name="Percent 2 15" xfId="5619"/>
    <cellStyle name="Percent 2 16" xfId="5620"/>
    <cellStyle name="Percent 2 17" xfId="5621"/>
    <cellStyle name="Percent 2 18" xfId="5622"/>
    <cellStyle name="Percent 2 19" xfId="5623"/>
    <cellStyle name="Percent 2 2" xfId="134"/>
    <cellStyle name="Percent 2 2 10" xfId="5624"/>
    <cellStyle name="Percent 2 2 11" xfId="5625"/>
    <cellStyle name="Percent 2 2 12" xfId="5626"/>
    <cellStyle name="Percent 2 2 13" xfId="5627"/>
    <cellStyle name="Percent 2 2 14" xfId="5628"/>
    <cellStyle name="Percent 2 2 15" xfId="5629"/>
    <cellStyle name="Percent 2 2 16" xfId="5630"/>
    <cellStyle name="Percent 2 2 17" xfId="5631"/>
    <cellStyle name="Percent 2 2 18" xfId="5632"/>
    <cellStyle name="Percent 2 2 19" xfId="5633"/>
    <cellStyle name="Percent 2 2 2" xfId="5634"/>
    <cellStyle name="Percent 2 2 2 2" xfId="5635"/>
    <cellStyle name="Percent 2 2 2 2 2" xfId="5636"/>
    <cellStyle name="Percent 2 2 2 2 3" xfId="5637"/>
    <cellStyle name="Percent 2 2 2 3" xfId="5638"/>
    <cellStyle name="Percent 2 2 2 4" xfId="5639"/>
    <cellStyle name="Percent 2 2 2 5" xfId="5640"/>
    <cellStyle name="Percent 2 2 20" xfId="5641"/>
    <cellStyle name="Percent 2 2 3" xfId="5642"/>
    <cellStyle name="Percent 2 2 4" xfId="5643"/>
    <cellStyle name="Percent 2 2 4 2" xfId="5644"/>
    <cellStyle name="Percent 2 2 4 2 2" xfId="5645"/>
    <cellStyle name="Percent 2 2 4 2 3" xfId="5646"/>
    <cellStyle name="Percent 2 2 4 3" xfId="5647"/>
    <cellStyle name="Percent 2 2 5" xfId="5648"/>
    <cellStyle name="Percent 2 2 6" xfId="5649"/>
    <cellStyle name="Percent 2 2 7" xfId="5650"/>
    <cellStyle name="Percent 2 2 8" xfId="5651"/>
    <cellStyle name="Percent 2 2 9" xfId="5652"/>
    <cellStyle name="Percent 2 20" xfId="5653"/>
    <cellStyle name="Percent 2 21" xfId="5654"/>
    <cellStyle name="Percent 2 22" xfId="5655"/>
    <cellStyle name="Percent 2 23" xfId="5656"/>
    <cellStyle name="Percent 2 24" xfId="5657"/>
    <cellStyle name="Percent 2 25" xfId="5658"/>
    <cellStyle name="Percent 2 26" xfId="5659"/>
    <cellStyle name="Percent 2 27" xfId="5660"/>
    <cellStyle name="Percent 2 28" xfId="5661"/>
    <cellStyle name="Percent 2 29" xfId="5662"/>
    <cellStyle name="Percent 2 3" xfId="55"/>
    <cellStyle name="Percent 2 3 10" xfId="5663"/>
    <cellStyle name="Percent 2 3 11" xfId="5664"/>
    <cellStyle name="Percent 2 3 12" xfId="5665"/>
    <cellStyle name="Percent 2 3 13" xfId="5666"/>
    <cellStyle name="Percent 2 3 14" xfId="5667"/>
    <cellStyle name="Percent 2 3 15" xfId="5668"/>
    <cellStyle name="Percent 2 3 16" xfId="5669"/>
    <cellStyle name="Percent 2 3 17" xfId="5670"/>
    <cellStyle name="Percent 2 3 18" xfId="5671"/>
    <cellStyle name="Percent 2 3 19" xfId="5672"/>
    <cellStyle name="Percent 2 3 2" xfId="5673"/>
    <cellStyle name="Percent 2 3 3" xfId="5674"/>
    <cellStyle name="Percent 2 3 4" xfId="5675"/>
    <cellStyle name="Percent 2 3 5" xfId="5676"/>
    <cellStyle name="Percent 2 3 6" xfId="5677"/>
    <cellStyle name="Percent 2 3 7" xfId="5678"/>
    <cellStyle name="Percent 2 3 8" xfId="5679"/>
    <cellStyle name="Percent 2 3 9" xfId="5680"/>
    <cellStyle name="Percent 2 30" xfId="5681"/>
    <cellStyle name="Percent 2 31" xfId="5682"/>
    <cellStyle name="Percent 2 32" xfId="5683"/>
    <cellStyle name="Percent 2 33" xfId="5684"/>
    <cellStyle name="Percent 2 34" xfId="5685"/>
    <cellStyle name="Percent 2 35" xfId="5686"/>
    <cellStyle name="Percent 2 36" xfId="5687"/>
    <cellStyle name="Percent 2 37" xfId="5688"/>
    <cellStyle name="Percent 2 38" xfId="5689"/>
    <cellStyle name="Percent 2 39" xfId="5690"/>
    <cellStyle name="Percent 2 4" xfId="5691"/>
    <cellStyle name="Percent 2 4 10" xfId="5692"/>
    <cellStyle name="Percent 2 4 11" xfId="5693"/>
    <cellStyle name="Percent 2 4 12" xfId="5694"/>
    <cellStyle name="Percent 2 4 13" xfId="5695"/>
    <cellStyle name="Percent 2 4 14" xfId="5696"/>
    <cellStyle name="Percent 2 4 15" xfId="5697"/>
    <cellStyle name="Percent 2 4 16" xfId="5698"/>
    <cellStyle name="Percent 2 4 17" xfId="5699"/>
    <cellStyle name="Percent 2 4 18" xfId="5700"/>
    <cellStyle name="Percent 2 4 19" xfId="5701"/>
    <cellStyle name="Percent 2 4 2" xfId="5702"/>
    <cellStyle name="Percent 2 4 3" xfId="5703"/>
    <cellStyle name="Percent 2 4 4" xfId="5704"/>
    <cellStyle name="Percent 2 4 5" xfId="5705"/>
    <cellStyle name="Percent 2 4 6" xfId="5706"/>
    <cellStyle name="Percent 2 4 7" xfId="5707"/>
    <cellStyle name="Percent 2 4 8" xfId="5708"/>
    <cellStyle name="Percent 2 4 9" xfId="5709"/>
    <cellStyle name="Percent 2 40" xfId="5710"/>
    <cellStyle name="Percent 2 41" xfId="5711"/>
    <cellStyle name="Percent 2 42" xfId="5712"/>
    <cellStyle name="Percent 2 43" xfId="5713"/>
    <cellStyle name="Percent 2 44" xfId="5714"/>
    <cellStyle name="Percent 2 45" xfId="5715"/>
    <cellStyle name="Percent 2 46" xfId="5716"/>
    <cellStyle name="Percent 2 47" xfId="5717"/>
    <cellStyle name="Percent 2 48" xfId="5718"/>
    <cellStyle name="Percent 2 49" xfId="5719"/>
    <cellStyle name="Percent 2 5" xfId="5720"/>
    <cellStyle name="Percent 2 5 10" xfId="5721"/>
    <cellStyle name="Percent 2 5 11" xfId="5722"/>
    <cellStyle name="Percent 2 5 12" xfId="5723"/>
    <cellStyle name="Percent 2 5 13" xfId="5724"/>
    <cellStyle name="Percent 2 5 14" xfId="5725"/>
    <cellStyle name="Percent 2 5 15" xfId="5726"/>
    <cellStyle name="Percent 2 5 16" xfId="5727"/>
    <cellStyle name="Percent 2 5 17" xfId="5728"/>
    <cellStyle name="Percent 2 5 18" xfId="5729"/>
    <cellStyle name="Percent 2 5 19" xfId="5730"/>
    <cellStyle name="Percent 2 5 2" xfId="5731"/>
    <cellStyle name="Percent 2 5 3" xfId="5732"/>
    <cellStyle name="Percent 2 5 4" xfId="5733"/>
    <cellStyle name="Percent 2 5 5" xfId="5734"/>
    <cellStyle name="Percent 2 5 6" xfId="5735"/>
    <cellStyle name="Percent 2 5 7" xfId="5736"/>
    <cellStyle name="Percent 2 5 8" xfId="5737"/>
    <cellStyle name="Percent 2 5 9" xfId="5738"/>
    <cellStyle name="Percent 2 50" xfId="5739"/>
    <cellStyle name="Percent 2 51" xfId="5740"/>
    <cellStyle name="Percent 2 52" xfId="5741"/>
    <cellStyle name="Percent 2 53" xfId="5742"/>
    <cellStyle name="Percent 2 54" xfId="5743"/>
    <cellStyle name="Percent 2 55" xfId="5744"/>
    <cellStyle name="Percent 2 56" xfId="5745"/>
    <cellStyle name="Percent 2 57" xfId="5746"/>
    <cellStyle name="Percent 2 58" xfId="5747"/>
    <cellStyle name="Percent 2 59" xfId="5748"/>
    <cellStyle name="Percent 2 6" xfId="5749"/>
    <cellStyle name="Percent 2 60" xfId="5750"/>
    <cellStyle name="Percent 2 61" xfId="5751"/>
    <cellStyle name="Percent 2 62" xfId="5752"/>
    <cellStyle name="Percent 2 63" xfId="5753"/>
    <cellStyle name="Percent 2 64" xfId="5754"/>
    <cellStyle name="Percent 2 65" xfId="5755"/>
    <cellStyle name="Percent 2 66" xfId="5756"/>
    <cellStyle name="Percent 2 67" xfId="5757"/>
    <cellStyle name="Percent 2 68" xfId="5758"/>
    <cellStyle name="Percent 2 69" xfId="5759"/>
    <cellStyle name="Percent 2 7" xfId="5760"/>
    <cellStyle name="Percent 2 70" xfId="5761"/>
    <cellStyle name="Percent 2 71" xfId="5762"/>
    <cellStyle name="Percent 2 8" xfId="5763"/>
    <cellStyle name="Percent 2 9" xfId="5764"/>
    <cellStyle name="Percent 20" xfId="169"/>
    <cellStyle name="Percent 21" xfId="170"/>
    <cellStyle name="Percent 22" xfId="171"/>
    <cellStyle name="Percent 23" xfId="172"/>
    <cellStyle name="Percent 24" xfId="173"/>
    <cellStyle name="Percent 25" xfId="174"/>
    <cellStyle name="Percent 26" xfId="175"/>
    <cellStyle name="Percent 27" xfId="176"/>
    <cellStyle name="Percent 28" xfId="177"/>
    <cellStyle name="Percent 29" xfId="178"/>
    <cellStyle name="Percent 3" xfId="125"/>
    <cellStyle name="Percent 3 10" xfId="5765"/>
    <cellStyle name="Percent 3 11" xfId="5766"/>
    <cellStyle name="Percent 3 12" xfId="5767"/>
    <cellStyle name="Percent 3 13" xfId="5768"/>
    <cellStyle name="Percent 3 14" xfId="5769"/>
    <cellStyle name="Percent 3 15" xfId="5770"/>
    <cellStyle name="Percent 3 16" xfId="5771"/>
    <cellStyle name="Percent 3 17" xfId="5772"/>
    <cellStyle name="Percent 3 18" xfId="5773"/>
    <cellStyle name="Percent 3 19" xfId="5774"/>
    <cellStyle name="Percent 3 2" xfId="5775"/>
    <cellStyle name="Percent 3 2 10" xfId="5776"/>
    <cellStyle name="Percent 3 2 11" xfId="5777"/>
    <cellStyle name="Percent 3 2 12" xfId="5778"/>
    <cellStyle name="Percent 3 2 13" xfId="5779"/>
    <cellStyle name="Percent 3 2 14" xfId="5780"/>
    <cellStyle name="Percent 3 2 15" xfId="5781"/>
    <cellStyle name="Percent 3 2 16" xfId="5782"/>
    <cellStyle name="Percent 3 2 17" xfId="5783"/>
    <cellStyle name="Percent 3 2 18" xfId="5784"/>
    <cellStyle name="Percent 3 2 19" xfId="5785"/>
    <cellStyle name="Percent 3 2 2" xfId="5786"/>
    <cellStyle name="Percent 3 2 20" xfId="5787"/>
    <cellStyle name="Percent 3 2 21" xfId="5788"/>
    <cellStyle name="Percent 3 2 22" xfId="5789"/>
    <cellStyle name="Percent 3 2 23" xfId="5790"/>
    <cellStyle name="Percent 3 2 24" xfId="5791"/>
    <cellStyle name="Percent 3 2 25" xfId="5792"/>
    <cellStyle name="Percent 3 2 26" xfId="5793"/>
    <cellStyle name="Percent 3 2 27" xfId="5794"/>
    <cellStyle name="Percent 3 2 28" xfId="5795"/>
    <cellStyle name="Percent 3 2 29" xfId="5796"/>
    <cellStyle name="Percent 3 2 3" xfId="5797"/>
    <cellStyle name="Percent 3 2 30" xfId="5798"/>
    <cellStyle name="Percent 3 2 31" xfId="5799"/>
    <cellStyle name="Percent 3 2 32" xfId="5800"/>
    <cellStyle name="Percent 3 2 33" xfId="5801"/>
    <cellStyle name="Percent 3 2 34" xfId="5802"/>
    <cellStyle name="Percent 3 2 35" xfId="5803"/>
    <cellStyle name="Percent 3 2 36" xfId="5804"/>
    <cellStyle name="Percent 3 2 37" xfId="5805"/>
    <cellStyle name="Percent 3 2 38" xfId="5806"/>
    <cellStyle name="Percent 3 2 39" xfId="5807"/>
    <cellStyle name="Percent 3 2 4" xfId="5808"/>
    <cellStyle name="Percent 3 2 40" xfId="5809"/>
    <cellStyle name="Percent 3 2 41" xfId="5810"/>
    <cellStyle name="Percent 3 2 42" xfId="5811"/>
    <cellStyle name="Percent 3 2 43" xfId="5812"/>
    <cellStyle name="Percent 3 2 44" xfId="5813"/>
    <cellStyle name="Percent 3 2 5" xfId="5814"/>
    <cellStyle name="Percent 3 2 6" xfId="5815"/>
    <cellStyle name="Percent 3 2 7" xfId="5816"/>
    <cellStyle name="Percent 3 2 8" xfId="5817"/>
    <cellStyle name="Percent 3 2 9" xfId="5818"/>
    <cellStyle name="Percent 3 20" xfId="5819"/>
    <cellStyle name="Percent 3 21" xfId="5820"/>
    <cellStyle name="Percent 3 22" xfId="5821"/>
    <cellStyle name="Percent 3 23" xfId="5822"/>
    <cellStyle name="Percent 3 24" xfId="5823"/>
    <cellStyle name="Percent 3 25" xfId="5824"/>
    <cellStyle name="Percent 3 26" xfId="5825"/>
    <cellStyle name="Percent 3 27" xfId="5826"/>
    <cellStyle name="Percent 3 28" xfId="5827"/>
    <cellStyle name="Percent 3 29" xfId="5828"/>
    <cellStyle name="Percent 3 3" xfId="5829"/>
    <cellStyle name="Percent 3 3 2" xfId="5830"/>
    <cellStyle name="Percent 3 30" xfId="5831"/>
    <cellStyle name="Percent 3 31" xfId="5832"/>
    <cellStyle name="Percent 3 32" xfId="5833"/>
    <cellStyle name="Percent 3 33" xfId="5834"/>
    <cellStyle name="Percent 3 34" xfId="5835"/>
    <cellStyle name="Percent 3 4" xfId="5836"/>
    <cellStyle name="Percent 3 5" xfId="5837"/>
    <cellStyle name="Percent 3 6" xfId="5838"/>
    <cellStyle name="Percent 3 7" xfId="5839"/>
    <cellStyle name="Percent 3 8" xfId="5840"/>
    <cellStyle name="Percent 3 9" xfId="5841"/>
    <cellStyle name="Percent 30" xfId="179"/>
    <cellStyle name="Percent 31" xfId="180"/>
    <cellStyle name="Percent 32" xfId="52"/>
    <cellStyle name="Percent 37" xfId="5842"/>
    <cellStyle name="Percent 38" xfId="5843"/>
    <cellStyle name="Percent 39" xfId="5844"/>
    <cellStyle name="Percent 4" xfId="126"/>
    <cellStyle name="Percent 4 10" xfId="5845"/>
    <cellStyle name="Percent 4 11" xfId="5846"/>
    <cellStyle name="Percent 4 12" xfId="5847"/>
    <cellStyle name="Percent 4 13" xfId="5848"/>
    <cellStyle name="Percent 4 14" xfId="5849"/>
    <cellStyle name="Percent 4 15" xfId="5850"/>
    <cellStyle name="Percent 4 16" xfId="5851"/>
    <cellStyle name="Percent 4 17" xfId="5852"/>
    <cellStyle name="Percent 4 18" xfId="5853"/>
    <cellStyle name="Percent 4 19" xfId="5854"/>
    <cellStyle name="Percent 4 2" xfId="5855"/>
    <cellStyle name="Percent 4 20" xfId="5856"/>
    <cellStyle name="Percent 4 21" xfId="5857"/>
    <cellStyle name="Percent 4 3" xfId="5858"/>
    <cellStyle name="Percent 4 4" xfId="5859"/>
    <cellStyle name="Percent 4 5" xfId="5860"/>
    <cellStyle name="Percent 4 6" xfId="5861"/>
    <cellStyle name="Percent 4 7" xfId="5862"/>
    <cellStyle name="Percent 4 8" xfId="5863"/>
    <cellStyle name="Percent 4 9" xfId="5864"/>
    <cellStyle name="Percent 40" xfId="5865"/>
    <cellStyle name="Percent 41" xfId="5866"/>
    <cellStyle name="Percent 42" xfId="5867"/>
    <cellStyle name="Percent 43" xfId="5868"/>
    <cellStyle name="Percent 5" xfId="136"/>
    <cellStyle name="Percent 5 2" xfId="5869"/>
    <cellStyle name="Percent 56" xfId="5870"/>
    <cellStyle name="Percent 57" xfId="5871"/>
    <cellStyle name="Percent 58" xfId="5872"/>
    <cellStyle name="Percent 59" xfId="5873"/>
    <cellStyle name="Percent 6" xfId="181"/>
    <cellStyle name="Percent 6 2" xfId="5874"/>
    <cellStyle name="Percent 6 3" xfId="5875"/>
    <cellStyle name="Percent 6 4" xfId="5876"/>
    <cellStyle name="Percent 60" xfId="5877"/>
    <cellStyle name="Percent 61" xfId="5878"/>
    <cellStyle name="Percent 7" xfId="182"/>
    <cellStyle name="Percent 8" xfId="183"/>
    <cellStyle name="Percent 9" xfId="184"/>
    <cellStyle name="Plain" xfId="127"/>
    <cellStyle name="Ratio" xfId="5879"/>
    <cellStyle name="Ratio 10" xfId="5880"/>
    <cellStyle name="Ratio 11" xfId="5881"/>
    <cellStyle name="Ratio 12" xfId="5882"/>
    <cellStyle name="Ratio 13" xfId="5883"/>
    <cellStyle name="Ratio 14" xfId="5884"/>
    <cellStyle name="Ratio 15" xfId="5885"/>
    <cellStyle name="Ratio 16" xfId="5886"/>
    <cellStyle name="Ratio 17" xfId="5887"/>
    <cellStyle name="Ratio 18" xfId="5888"/>
    <cellStyle name="Ratio 19" xfId="5889"/>
    <cellStyle name="Ratio 2" xfId="5890"/>
    <cellStyle name="Ratio 20" xfId="5891"/>
    <cellStyle name="Ratio 21" xfId="5892"/>
    <cellStyle name="Ratio 22" xfId="5893"/>
    <cellStyle name="Ratio 23" xfId="5894"/>
    <cellStyle name="Ratio 24" xfId="5895"/>
    <cellStyle name="Ratio 3" xfId="5896"/>
    <cellStyle name="Ratio 4" xfId="5897"/>
    <cellStyle name="Ratio 5" xfId="5898"/>
    <cellStyle name="Ratio 6" xfId="5899"/>
    <cellStyle name="Ratio 7" xfId="5900"/>
    <cellStyle name="Ratio 8" xfId="5901"/>
    <cellStyle name="Ratio 9" xfId="5902"/>
    <cellStyle name="Red Heading" xfId="5903"/>
    <cellStyle name="Red Heading 10" xfId="5904"/>
    <cellStyle name="Red Heading 10 2" xfId="5905"/>
    <cellStyle name="Red Heading 10 2 2" xfId="5906"/>
    <cellStyle name="Red Heading 10 2 2 2" xfId="5907"/>
    <cellStyle name="Red Heading 10 2 3" xfId="5908"/>
    <cellStyle name="Red Heading 10 2 3 2" xfId="5909"/>
    <cellStyle name="Red Heading 10 2 4" xfId="5910"/>
    <cellStyle name="Red Heading 10 3" xfId="5911"/>
    <cellStyle name="Red Heading 10 3 2" xfId="5912"/>
    <cellStyle name="Red Heading 10 3 2 2" xfId="5913"/>
    <cellStyle name="Red Heading 10 3 3" xfId="5914"/>
    <cellStyle name="Red Heading 10 3 3 2" xfId="5915"/>
    <cellStyle name="Red Heading 10 3 4" xfId="5916"/>
    <cellStyle name="Red Heading 10 4" xfId="5917"/>
    <cellStyle name="Red Heading 10 4 2" xfId="5918"/>
    <cellStyle name="Red Heading 10 5" xfId="5919"/>
    <cellStyle name="Red Heading 10 5 2" xfId="5920"/>
    <cellStyle name="Red Heading 10 6" xfId="5921"/>
    <cellStyle name="Red Heading 11" xfId="5922"/>
    <cellStyle name="Red Heading 11 2" xfId="5923"/>
    <cellStyle name="Red Heading 11 2 2" xfId="5924"/>
    <cellStyle name="Red Heading 11 3" xfId="5925"/>
    <cellStyle name="Red Heading 11 3 2" xfId="5926"/>
    <cellStyle name="Red Heading 11 4" xfId="5927"/>
    <cellStyle name="Red Heading 12" xfId="5928"/>
    <cellStyle name="Red Heading 12 2" xfId="5929"/>
    <cellStyle name="Red Heading 13" xfId="5930"/>
    <cellStyle name="Red Heading 13 2" xfId="5931"/>
    <cellStyle name="Red Heading 14" xfId="5932"/>
    <cellStyle name="Red Heading 14 2" xfId="5933"/>
    <cellStyle name="Red Heading 15" xfId="5934"/>
    <cellStyle name="Red Heading 15 2" xfId="5935"/>
    <cellStyle name="Red Heading 16" xfId="5936"/>
    <cellStyle name="Red Heading 16 2" xfId="5937"/>
    <cellStyle name="Red Heading 17" xfId="5938"/>
    <cellStyle name="Red Heading 17 2" xfId="5939"/>
    <cellStyle name="Red Heading 18" xfId="5940"/>
    <cellStyle name="Red Heading 18 2" xfId="5941"/>
    <cellStyle name="Red Heading 19" xfId="5942"/>
    <cellStyle name="Red Heading 19 2" xfId="5943"/>
    <cellStyle name="Red Heading 2" xfId="5944"/>
    <cellStyle name="Red Heading 2 10" xfId="5945"/>
    <cellStyle name="Red Heading 2 10 2" xfId="5946"/>
    <cellStyle name="Red Heading 2 11" xfId="5947"/>
    <cellStyle name="Red Heading 2 11 2" xfId="5948"/>
    <cellStyle name="Red Heading 2 12" xfId="5949"/>
    <cellStyle name="Red Heading 2 12 2" xfId="5950"/>
    <cellStyle name="Red Heading 2 13" xfId="5951"/>
    <cellStyle name="Red Heading 2 13 2" xfId="5952"/>
    <cellStyle name="Red Heading 2 14" xfId="5953"/>
    <cellStyle name="Red Heading 2 14 2" xfId="5954"/>
    <cellStyle name="Red Heading 2 15" xfId="5955"/>
    <cellStyle name="Red Heading 2 15 2" xfId="5956"/>
    <cellStyle name="Red Heading 2 16" xfId="5957"/>
    <cellStyle name="Red Heading 2 16 2" xfId="5958"/>
    <cellStyle name="Red Heading 2 17" xfId="5959"/>
    <cellStyle name="Red Heading 2 2" xfId="5960"/>
    <cellStyle name="Red Heading 2 2 10" xfId="5961"/>
    <cellStyle name="Red Heading 2 2 10 2" xfId="5962"/>
    <cellStyle name="Red Heading 2 2 11" xfId="5963"/>
    <cellStyle name="Red Heading 2 2 11 2" xfId="5964"/>
    <cellStyle name="Red Heading 2 2 12" xfId="5965"/>
    <cellStyle name="Red Heading 2 2 12 2" xfId="5966"/>
    <cellStyle name="Red Heading 2 2 13" xfId="5967"/>
    <cellStyle name="Red Heading 2 2 13 2" xfId="5968"/>
    <cellStyle name="Red Heading 2 2 14" xfId="5969"/>
    <cellStyle name="Red Heading 2 2 14 2" xfId="5970"/>
    <cellStyle name="Red Heading 2 2 15" xfId="5971"/>
    <cellStyle name="Red Heading 2 2 15 2" xfId="5972"/>
    <cellStyle name="Red Heading 2 2 16" xfId="5973"/>
    <cellStyle name="Red Heading 2 2 16 2" xfId="5974"/>
    <cellStyle name="Red Heading 2 2 17" xfId="5975"/>
    <cellStyle name="Red Heading 2 2 2" xfId="5976"/>
    <cellStyle name="Red Heading 2 2 2 2" xfId="5977"/>
    <cellStyle name="Red Heading 2 2 2 2 2" xfId="5978"/>
    <cellStyle name="Red Heading 2 2 2 3" xfId="5979"/>
    <cellStyle name="Red Heading 2 2 2 3 2" xfId="5980"/>
    <cellStyle name="Red Heading 2 2 2 4" xfId="5981"/>
    <cellStyle name="Red Heading 2 2 3" xfId="5982"/>
    <cellStyle name="Red Heading 2 2 3 2" xfId="5983"/>
    <cellStyle name="Red Heading 2 2 3 2 2" xfId="5984"/>
    <cellStyle name="Red Heading 2 2 3 3" xfId="5985"/>
    <cellStyle name="Red Heading 2 2 3 3 2" xfId="5986"/>
    <cellStyle name="Red Heading 2 2 3 4" xfId="5987"/>
    <cellStyle name="Red Heading 2 2 4" xfId="5988"/>
    <cellStyle name="Red Heading 2 2 4 2" xfId="5989"/>
    <cellStyle name="Red Heading 2 2 5" xfId="5990"/>
    <cellStyle name="Red Heading 2 2 5 2" xfId="5991"/>
    <cellStyle name="Red Heading 2 2 6" xfId="5992"/>
    <cellStyle name="Red Heading 2 2 6 2" xfId="5993"/>
    <cellStyle name="Red Heading 2 2 7" xfId="5994"/>
    <cellStyle name="Red Heading 2 2 7 2" xfId="5995"/>
    <cellStyle name="Red Heading 2 2 8" xfId="5996"/>
    <cellStyle name="Red Heading 2 2 8 2" xfId="5997"/>
    <cellStyle name="Red Heading 2 2 9" xfId="5998"/>
    <cellStyle name="Red Heading 2 2 9 2" xfId="5999"/>
    <cellStyle name="Red Heading 2 3" xfId="6000"/>
    <cellStyle name="Red Heading 2 3 2" xfId="6001"/>
    <cellStyle name="Red Heading 2 3 2 2" xfId="6002"/>
    <cellStyle name="Red Heading 2 3 3" xfId="6003"/>
    <cellStyle name="Red Heading 2 3 3 2" xfId="6004"/>
    <cellStyle name="Red Heading 2 3 4" xfId="6005"/>
    <cellStyle name="Red Heading 2 4" xfId="6006"/>
    <cellStyle name="Red Heading 2 4 2" xfId="6007"/>
    <cellStyle name="Red Heading 2 5" xfId="6008"/>
    <cellStyle name="Red Heading 2 5 2" xfId="6009"/>
    <cellStyle name="Red Heading 2 6" xfId="6010"/>
    <cellStyle name="Red Heading 2 6 2" xfId="6011"/>
    <cellStyle name="Red Heading 2 7" xfId="6012"/>
    <cellStyle name="Red Heading 2 7 2" xfId="6013"/>
    <cellStyle name="Red Heading 2 8" xfId="6014"/>
    <cellStyle name="Red Heading 2 8 2" xfId="6015"/>
    <cellStyle name="Red Heading 2 9" xfId="6016"/>
    <cellStyle name="Red Heading 2 9 2" xfId="6017"/>
    <cellStyle name="Red Heading 20" xfId="6018"/>
    <cellStyle name="Red Heading 20 2" xfId="6019"/>
    <cellStyle name="Red Heading 21" xfId="6020"/>
    <cellStyle name="Red Heading 21 2" xfId="6021"/>
    <cellStyle name="Red Heading 22" xfId="6022"/>
    <cellStyle name="Red Heading 22 2" xfId="6023"/>
    <cellStyle name="Red Heading 23" xfId="6024"/>
    <cellStyle name="Red Heading 23 2" xfId="6025"/>
    <cellStyle name="Red Heading 24" xfId="6026"/>
    <cellStyle name="Red Heading 24 2" xfId="6027"/>
    <cellStyle name="Red Heading 25" xfId="6028"/>
    <cellStyle name="Red Heading 25 2" xfId="6029"/>
    <cellStyle name="Red Heading 26" xfId="6030"/>
    <cellStyle name="Red Heading 27" xfId="6031"/>
    <cellStyle name="Red Heading 3" xfId="6032"/>
    <cellStyle name="Red Heading 3 10" xfId="6033"/>
    <cellStyle name="Red Heading 3 10 2" xfId="6034"/>
    <cellStyle name="Red Heading 3 11" xfId="6035"/>
    <cellStyle name="Red Heading 3 11 2" xfId="6036"/>
    <cellStyle name="Red Heading 3 12" xfId="6037"/>
    <cellStyle name="Red Heading 3 12 2" xfId="6038"/>
    <cellStyle name="Red Heading 3 13" xfId="6039"/>
    <cellStyle name="Red Heading 3 13 2" xfId="6040"/>
    <cellStyle name="Red Heading 3 14" xfId="6041"/>
    <cellStyle name="Red Heading 3 14 2" xfId="6042"/>
    <cellStyle name="Red Heading 3 15" xfId="6043"/>
    <cellStyle name="Red Heading 3 15 2" xfId="6044"/>
    <cellStyle name="Red Heading 3 16" xfId="6045"/>
    <cellStyle name="Red Heading 3 16 2" xfId="6046"/>
    <cellStyle name="Red Heading 3 2" xfId="6047"/>
    <cellStyle name="Red Heading 3 2 10" xfId="6048"/>
    <cellStyle name="Red Heading 3 2 10 2" xfId="6049"/>
    <cellStyle name="Red Heading 3 2 11" xfId="6050"/>
    <cellStyle name="Red Heading 3 2 11 2" xfId="6051"/>
    <cellStyle name="Red Heading 3 2 12" xfId="6052"/>
    <cellStyle name="Red Heading 3 2 12 2" xfId="6053"/>
    <cellStyle name="Red Heading 3 2 13" xfId="6054"/>
    <cellStyle name="Red Heading 3 2 13 2" xfId="6055"/>
    <cellStyle name="Red Heading 3 2 14" xfId="6056"/>
    <cellStyle name="Red Heading 3 2 14 2" xfId="6057"/>
    <cellStyle name="Red Heading 3 2 15" xfId="6058"/>
    <cellStyle name="Red Heading 3 2 15 2" xfId="6059"/>
    <cellStyle name="Red Heading 3 2 16" xfId="6060"/>
    <cellStyle name="Red Heading 3 2 16 2" xfId="6061"/>
    <cellStyle name="Red Heading 3 2 17" xfId="6062"/>
    <cellStyle name="Red Heading 3 2 2" xfId="6063"/>
    <cellStyle name="Red Heading 3 2 2 2" xfId="6064"/>
    <cellStyle name="Red Heading 3 2 2 2 2" xfId="6065"/>
    <cellStyle name="Red Heading 3 2 2 3" xfId="6066"/>
    <cellStyle name="Red Heading 3 2 2 3 2" xfId="6067"/>
    <cellStyle name="Red Heading 3 2 2 4" xfId="6068"/>
    <cellStyle name="Red Heading 3 2 3" xfId="6069"/>
    <cellStyle name="Red Heading 3 2 3 2" xfId="6070"/>
    <cellStyle name="Red Heading 3 2 3 2 2" xfId="6071"/>
    <cellStyle name="Red Heading 3 2 3 3" xfId="6072"/>
    <cellStyle name="Red Heading 3 2 3 3 2" xfId="6073"/>
    <cellStyle name="Red Heading 3 2 3 4" xfId="6074"/>
    <cellStyle name="Red Heading 3 2 4" xfId="6075"/>
    <cellStyle name="Red Heading 3 2 4 2" xfId="6076"/>
    <cellStyle name="Red Heading 3 2 5" xfId="6077"/>
    <cellStyle name="Red Heading 3 2 5 2" xfId="6078"/>
    <cellStyle name="Red Heading 3 2 6" xfId="6079"/>
    <cellStyle name="Red Heading 3 2 6 2" xfId="6080"/>
    <cellStyle name="Red Heading 3 2 7" xfId="6081"/>
    <cellStyle name="Red Heading 3 2 7 2" xfId="6082"/>
    <cellStyle name="Red Heading 3 2 8" xfId="6083"/>
    <cellStyle name="Red Heading 3 2 8 2" xfId="6084"/>
    <cellStyle name="Red Heading 3 2 9" xfId="6085"/>
    <cellStyle name="Red Heading 3 2 9 2" xfId="6086"/>
    <cellStyle name="Red Heading 3 3" xfId="6087"/>
    <cellStyle name="Red Heading 3 3 2" xfId="6088"/>
    <cellStyle name="Red Heading 3 3 2 2" xfId="6089"/>
    <cellStyle name="Red Heading 3 3 3" xfId="6090"/>
    <cellStyle name="Red Heading 3 3 3 2" xfId="6091"/>
    <cellStyle name="Red Heading 3 3 4" xfId="6092"/>
    <cellStyle name="Red Heading 3 4" xfId="6093"/>
    <cellStyle name="Red Heading 3 4 2" xfId="6094"/>
    <cellStyle name="Red Heading 3 5" xfId="6095"/>
    <cellStyle name="Red Heading 3 5 2" xfId="6096"/>
    <cellStyle name="Red Heading 3 6" xfId="6097"/>
    <cellStyle name="Red Heading 3 6 2" xfId="6098"/>
    <cellStyle name="Red Heading 3 7" xfId="6099"/>
    <cellStyle name="Red Heading 3 7 2" xfId="6100"/>
    <cellStyle name="Red Heading 3 8" xfId="6101"/>
    <cellStyle name="Red Heading 3 8 2" xfId="6102"/>
    <cellStyle name="Red Heading 3 9" xfId="6103"/>
    <cellStyle name="Red Heading 3 9 2" xfId="6104"/>
    <cellStyle name="Red Heading 4" xfId="6105"/>
    <cellStyle name="Red Heading 4 10" xfId="6106"/>
    <cellStyle name="Red Heading 4 10 2" xfId="6107"/>
    <cellStyle name="Red Heading 4 11" xfId="6108"/>
    <cellStyle name="Red Heading 4 11 2" xfId="6109"/>
    <cellStyle name="Red Heading 4 12" xfId="6110"/>
    <cellStyle name="Red Heading 4 12 2" xfId="6111"/>
    <cellStyle name="Red Heading 4 13" xfId="6112"/>
    <cellStyle name="Red Heading 4 13 2" xfId="6113"/>
    <cellStyle name="Red Heading 4 14" xfId="6114"/>
    <cellStyle name="Red Heading 4 14 2" xfId="6115"/>
    <cellStyle name="Red Heading 4 15" xfId="6116"/>
    <cellStyle name="Red Heading 4 15 2" xfId="6117"/>
    <cellStyle name="Red Heading 4 16" xfId="6118"/>
    <cellStyle name="Red Heading 4 16 2" xfId="6119"/>
    <cellStyle name="Red Heading 4 2" xfId="6120"/>
    <cellStyle name="Red Heading 4 2 10" xfId="6121"/>
    <cellStyle name="Red Heading 4 2 10 2" xfId="6122"/>
    <cellStyle name="Red Heading 4 2 11" xfId="6123"/>
    <cellStyle name="Red Heading 4 2 11 2" xfId="6124"/>
    <cellStyle name="Red Heading 4 2 12" xfId="6125"/>
    <cellStyle name="Red Heading 4 2 12 2" xfId="6126"/>
    <cellStyle name="Red Heading 4 2 13" xfId="6127"/>
    <cellStyle name="Red Heading 4 2 13 2" xfId="6128"/>
    <cellStyle name="Red Heading 4 2 14" xfId="6129"/>
    <cellStyle name="Red Heading 4 2 14 2" xfId="6130"/>
    <cellStyle name="Red Heading 4 2 15" xfId="6131"/>
    <cellStyle name="Red Heading 4 2 15 2" xfId="6132"/>
    <cellStyle name="Red Heading 4 2 16" xfId="6133"/>
    <cellStyle name="Red Heading 4 2 16 2" xfId="6134"/>
    <cellStyle name="Red Heading 4 2 17" xfId="6135"/>
    <cellStyle name="Red Heading 4 2 2" xfId="6136"/>
    <cellStyle name="Red Heading 4 2 2 2" xfId="6137"/>
    <cellStyle name="Red Heading 4 2 2 2 2" xfId="6138"/>
    <cellStyle name="Red Heading 4 2 2 3" xfId="6139"/>
    <cellStyle name="Red Heading 4 2 2 3 2" xfId="6140"/>
    <cellStyle name="Red Heading 4 2 2 4" xfId="6141"/>
    <cellStyle name="Red Heading 4 2 3" xfId="6142"/>
    <cellStyle name="Red Heading 4 2 3 2" xfId="6143"/>
    <cellStyle name="Red Heading 4 2 3 2 2" xfId="6144"/>
    <cellStyle name="Red Heading 4 2 3 3" xfId="6145"/>
    <cellStyle name="Red Heading 4 2 3 3 2" xfId="6146"/>
    <cellStyle name="Red Heading 4 2 3 4" xfId="6147"/>
    <cellStyle name="Red Heading 4 2 4" xfId="6148"/>
    <cellStyle name="Red Heading 4 2 4 2" xfId="6149"/>
    <cellStyle name="Red Heading 4 2 5" xfId="6150"/>
    <cellStyle name="Red Heading 4 2 5 2" xfId="6151"/>
    <cellStyle name="Red Heading 4 2 6" xfId="6152"/>
    <cellStyle name="Red Heading 4 2 6 2" xfId="6153"/>
    <cellStyle name="Red Heading 4 2 7" xfId="6154"/>
    <cellStyle name="Red Heading 4 2 7 2" xfId="6155"/>
    <cellStyle name="Red Heading 4 2 8" xfId="6156"/>
    <cellStyle name="Red Heading 4 2 8 2" xfId="6157"/>
    <cellStyle name="Red Heading 4 2 9" xfId="6158"/>
    <cellStyle name="Red Heading 4 2 9 2" xfId="6159"/>
    <cellStyle name="Red Heading 4 3" xfId="6160"/>
    <cellStyle name="Red Heading 4 3 2" xfId="6161"/>
    <cellStyle name="Red Heading 4 3 2 2" xfId="6162"/>
    <cellStyle name="Red Heading 4 3 3" xfId="6163"/>
    <cellStyle name="Red Heading 4 3 3 2" xfId="6164"/>
    <cellStyle name="Red Heading 4 3 4" xfId="6165"/>
    <cellStyle name="Red Heading 4 4" xfId="6166"/>
    <cellStyle name="Red Heading 4 4 2" xfId="6167"/>
    <cellStyle name="Red Heading 4 5" xfId="6168"/>
    <cellStyle name="Red Heading 4 5 2" xfId="6169"/>
    <cellStyle name="Red Heading 4 6" xfId="6170"/>
    <cellStyle name="Red Heading 4 6 2" xfId="6171"/>
    <cellStyle name="Red Heading 4 7" xfId="6172"/>
    <cellStyle name="Red Heading 4 7 2" xfId="6173"/>
    <cellStyle name="Red Heading 4 8" xfId="6174"/>
    <cellStyle name="Red Heading 4 8 2" xfId="6175"/>
    <cellStyle name="Red Heading 4 9" xfId="6176"/>
    <cellStyle name="Red Heading 4 9 2" xfId="6177"/>
    <cellStyle name="Red Heading 5" xfId="6178"/>
    <cellStyle name="Red Heading 5 10" xfId="6179"/>
    <cellStyle name="Red Heading 5 10 2" xfId="6180"/>
    <cellStyle name="Red Heading 5 11" xfId="6181"/>
    <cellStyle name="Red Heading 5 11 2" xfId="6182"/>
    <cellStyle name="Red Heading 5 12" xfId="6183"/>
    <cellStyle name="Red Heading 5 12 2" xfId="6184"/>
    <cellStyle name="Red Heading 5 13" xfId="6185"/>
    <cellStyle name="Red Heading 5 13 2" xfId="6186"/>
    <cellStyle name="Red Heading 5 14" xfId="6187"/>
    <cellStyle name="Red Heading 5 14 2" xfId="6188"/>
    <cellStyle name="Red Heading 5 15" xfId="6189"/>
    <cellStyle name="Red Heading 5 15 2" xfId="6190"/>
    <cellStyle name="Red Heading 5 16" xfId="6191"/>
    <cellStyle name="Red Heading 5 16 2" xfId="6192"/>
    <cellStyle name="Red Heading 5 17" xfId="6193"/>
    <cellStyle name="Red Heading 5 2" xfId="6194"/>
    <cellStyle name="Red Heading 5 2 10" xfId="6195"/>
    <cellStyle name="Red Heading 5 2 10 2" xfId="6196"/>
    <cellStyle name="Red Heading 5 2 11" xfId="6197"/>
    <cellStyle name="Red Heading 5 2 11 2" xfId="6198"/>
    <cellStyle name="Red Heading 5 2 12" xfId="6199"/>
    <cellStyle name="Red Heading 5 2 12 2" xfId="6200"/>
    <cellStyle name="Red Heading 5 2 13" xfId="6201"/>
    <cellStyle name="Red Heading 5 2 13 2" xfId="6202"/>
    <cellStyle name="Red Heading 5 2 14" xfId="6203"/>
    <cellStyle name="Red Heading 5 2 14 2" xfId="6204"/>
    <cellStyle name="Red Heading 5 2 15" xfId="6205"/>
    <cellStyle name="Red Heading 5 2 2" xfId="6206"/>
    <cellStyle name="Red Heading 5 2 2 2" xfId="6207"/>
    <cellStyle name="Red Heading 5 2 3" xfId="6208"/>
    <cellStyle name="Red Heading 5 2 3 2" xfId="6209"/>
    <cellStyle name="Red Heading 5 2 4" xfId="6210"/>
    <cellStyle name="Red Heading 5 2 4 2" xfId="6211"/>
    <cellStyle name="Red Heading 5 2 5" xfId="6212"/>
    <cellStyle name="Red Heading 5 2 5 2" xfId="6213"/>
    <cellStyle name="Red Heading 5 2 6" xfId="6214"/>
    <cellStyle name="Red Heading 5 2 6 2" xfId="6215"/>
    <cellStyle name="Red Heading 5 2 7" xfId="6216"/>
    <cellStyle name="Red Heading 5 2 7 2" xfId="6217"/>
    <cellStyle name="Red Heading 5 2 8" xfId="6218"/>
    <cellStyle name="Red Heading 5 2 8 2" xfId="6219"/>
    <cellStyle name="Red Heading 5 2 9" xfId="6220"/>
    <cellStyle name="Red Heading 5 2 9 2" xfId="6221"/>
    <cellStyle name="Red Heading 5 3" xfId="6222"/>
    <cellStyle name="Red Heading 5 3 2" xfId="6223"/>
    <cellStyle name="Red Heading 5 3 2 2" xfId="6224"/>
    <cellStyle name="Red Heading 5 3 3" xfId="6225"/>
    <cellStyle name="Red Heading 5 3 3 2" xfId="6226"/>
    <cellStyle name="Red Heading 5 3 4" xfId="6227"/>
    <cellStyle name="Red Heading 5 4" xfId="6228"/>
    <cellStyle name="Red Heading 5 4 2" xfId="6229"/>
    <cellStyle name="Red Heading 5 5" xfId="6230"/>
    <cellStyle name="Red Heading 5 5 2" xfId="6231"/>
    <cellStyle name="Red Heading 5 6" xfId="6232"/>
    <cellStyle name="Red Heading 5 6 2" xfId="6233"/>
    <cellStyle name="Red Heading 5 7" xfId="6234"/>
    <cellStyle name="Red Heading 5 7 2" xfId="6235"/>
    <cellStyle name="Red Heading 5 8" xfId="6236"/>
    <cellStyle name="Red Heading 5 8 2" xfId="6237"/>
    <cellStyle name="Red Heading 5 9" xfId="6238"/>
    <cellStyle name="Red Heading 5 9 2" xfId="6239"/>
    <cellStyle name="Red Heading 6" xfId="6240"/>
    <cellStyle name="Red Heading 6 10" xfId="6241"/>
    <cellStyle name="Red Heading 6 10 2" xfId="6242"/>
    <cellStyle name="Red Heading 6 11" xfId="6243"/>
    <cellStyle name="Red Heading 6 11 2" xfId="6244"/>
    <cellStyle name="Red Heading 6 12" xfId="6245"/>
    <cellStyle name="Red Heading 6 12 2" xfId="6246"/>
    <cellStyle name="Red Heading 6 13" xfId="6247"/>
    <cellStyle name="Red Heading 6 13 2" xfId="6248"/>
    <cellStyle name="Red Heading 6 14" xfId="6249"/>
    <cellStyle name="Red Heading 6 14 2" xfId="6250"/>
    <cellStyle name="Red Heading 6 15" xfId="6251"/>
    <cellStyle name="Red Heading 6 15 2" xfId="6252"/>
    <cellStyle name="Red Heading 6 16" xfId="6253"/>
    <cellStyle name="Red Heading 6 16 2" xfId="6254"/>
    <cellStyle name="Red Heading 6 17" xfId="6255"/>
    <cellStyle name="Red Heading 6 2" xfId="6256"/>
    <cellStyle name="Red Heading 6 2 10" xfId="6257"/>
    <cellStyle name="Red Heading 6 2 10 2" xfId="6258"/>
    <cellStyle name="Red Heading 6 2 11" xfId="6259"/>
    <cellStyle name="Red Heading 6 2 11 2" xfId="6260"/>
    <cellStyle name="Red Heading 6 2 12" xfId="6261"/>
    <cellStyle name="Red Heading 6 2 12 2" xfId="6262"/>
    <cellStyle name="Red Heading 6 2 13" xfId="6263"/>
    <cellStyle name="Red Heading 6 2 13 2" xfId="6264"/>
    <cellStyle name="Red Heading 6 2 14" xfId="6265"/>
    <cellStyle name="Red Heading 6 2 14 2" xfId="6266"/>
    <cellStyle name="Red Heading 6 2 15" xfId="6267"/>
    <cellStyle name="Red Heading 6 2 2" xfId="6268"/>
    <cellStyle name="Red Heading 6 2 2 2" xfId="6269"/>
    <cellStyle name="Red Heading 6 2 3" xfId="6270"/>
    <cellStyle name="Red Heading 6 2 3 2" xfId="6271"/>
    <cellStyle name="Red Heading 6 2 4" xfId="6272"/>
    <cellStyle name="Red Heading 6 2 4 2" xfId="6273"/>
    <cellStyle name="Red Heading 6 2 5" xfId="6274"/>
    <cellStyle name="Red Heading 6 2 5 2" xfId="6275"/>
    <cellStyle name="Red Heading 6 2 6" xfId="6276"/>
    <cellStyle name="Red Heading 6 2 6 2" xfId="6277"/>
    <cellStyle name="Red Heading 6 2 7" xfId="6278"/>
    <cellStyle name="Red Heading 6 2 7 2" xfId="6279"/>
    <cellStyle name="Red Heading 6 2 8" xfId="6280"/>
    <cellStyle name="Red Heading 6 2 8 2" xfId="6281"/>
    <cellStyle name="Red Heading 6 2 9" xfId="6282"/>
    <cellStyle name="Red Heading 6 2 9 2" xfId="6283"/>
    <cellStyle name="Red Heading 6 3" xfId="6284"/>
    <cellStyle name="Red Heading 6 3 2" xfId="6285"/>
    <cellStyle name="Red Heading 6 3 2 2" xfId="6286"/>
    <cellStyle name="Red Heading 6 3 3" xfId="6287"/>
    <cellStyle name="Red Heading 6 3 3 2" xfId="6288"/>
    <cellStyle name="Red Heading 6 3 4" xfId="6289"/>
    <cellStyle name="Red Heading 6 4" xfId="6290"/>
    <cellStyle name="Red Heading 6 4 2" xfId="6291"/>
    <cellStyle name="Red Heading 6 5" xfId="6292"/>
    <cellStyle name="Red Heading 6 5 2" xfId="6293"/>
    <cellStyle name="Red Heading 6 6" xfId="6294"/>
    <cellStyle name="Red Heading 6 6 2" xfId="6295"/>
    <cellStyle name="Red Heading 6 7" xfId="6296"/>
    <cellStyle name="Red Heading 6 7 2" xfId="6297"/>
    <cellStyle name="Red Heading 6 8" xfId="6298"/>
    <cellStyle name="Red Heading 6 8 2" xfId="6299"/>
    <cellStyle name="Red Heading 6 9" xfId="6300"/>
    <cellStyle name="Red Heading 6 9 2" xfId="6301"/>
    <cellStyle name="Red Heading 7" xfId="6302"/>
    <cellStyle name="Red Heading 7 10" xfId="6303"/>
    <cellStyle name="Red Heading 7 10 2" xfId="6304"/>
    <cellStyle name="Red Heading 7 11" xfId="6305"/>
    <cellStyle name="Red Heading 7 11 2" xfId="6306"/>
    <cellStyle name="Red Heading 7 12" xfId="6307"/>
    <cellStyle name="Red Heading 7 12 2" xfId="6308"/>
    <cellStyle name="Red Heading 7 13" xfId="6309"/>
    <cellStyle name="Red Heading 7 13 2" xfId="6310"/>
    <cellStyle name="Red Heading 7 14" xfId="6311"/>
    <cellStyle name="Red Heading 7 14 2" xfId="6312"/>
    <cellStyle name="Red Heading 7 15" xfId="6313"/>
    <cellStyle name="Red Heading 7 15 2" xfId="6314"/>
    <cellStyle name="Red Heading 7 16" xfId="6315"/>
    <cellStyle name="Red Heading 7 16 2" xfId="6316"/>
    <cellStyle name="Red Heading 7 17" xfId="6317"/>
    <cellStyle name="Red Heading 7 2" xfId="6318"/>
    <cellStyle name="Red Heading 7 2 10" xfId="6319"/>
    <cellStyle name="Red Heading 7 2 10 2" xfId="6320"/>
    <cellStyle name="Red Heading 7 2 11" xfId="6321"/>
    <cellStyle name="Red Heading 7 2 11 2" xfId="6322"/>
    <cellStyle name="Red Heading 7 2 12" xfId="6323"/>
    <cellStyle name="Red Heading 7 2 12 2" xfId="6324"/>
    <cellStyle name="Red Heading 7 2 13" xfId="6325"/>
    <cellStyle name="Red Heading 7 2 13 2" xfId="6326"/>
    <cellStyle name="Red Heading 7 2 14" xfId="6327"/>
    <cellStyle name="Red Heading 7 2 14 2" xfId="6328"/>
    <cellStyle name="Red Heading 7 2 15" xfId="6329"/>
    <cellStyle name="Red Heading 7 2 2" xfId="6330"/>
    <cellStyle name="Red Heading 7 2 2 2" xfId="6331"/>
    <cellStyle name="Red Heading 7 2 3" xfId="6332"/>
    <cellStyle name="Red Heading 7 2 3 2" xfId="6333"/>
    <cellStyle name="Red Heading 7 2 4" xfId="6334"/>
    <cellStyle name="Red Heading 7 2 4 2" xfId="6335"/>
    <cellStyle name="Red Heading 7 2 5" xfId="6336"/>
    <cellStyle name="Red Heading 7 2 5 2" xfId="6337"/>
    <cellStyle name="Red Heading 7 2 6" xfId="6338"/>
    <cellStyle name="Red Heading 7 2 6 2" xfId="6339"/>
    <cellStyle name="Red Heading 7 2 7" xfId="6340"/>
    <cellStyle name="Red Heading 7 2 7 2" xfId="6341"/>
    <cellStyle name="Red Heading 7 2 8" xfId="6342"/>
    <cellStyle name="Red Heading 7 2 8 2" xfId="6343"/>
    <cellStyle name="Red Heading 7 2 9" xfId="6344"/>
    <cellStyle name="Red Heading 7 2 9 2" xfId="6345"/>
    <cellStyle name="Red Heading 7 3" xfId="6346"/>
    <cellStyle name="Red Heading 7 3 2" xfId="6347"/>
    <cellStyle name="Red Heading 7 3 2 2" xfId="6348"/>
    <cellStyle name="Red Heading 7 3 3" xfId="6349"/>
    <cellStyle name="Red Heading 7 3 3 2" xfId="6350"/>
    <cellStyle name="Red Heading 7 3 4" xfId="6351"/>
    <cellStyle name="Red Heading 7 4" xfId="6352"/>
    <cellStyle name="Red Heading 7 4 2" xfId="6353"/>
    <cellStyle name="Red Heading 7 5" xfId="6354"/>
    <cellStyle name="Red Heading 7 5 2" xfId="6355"/>
    <cellStyle name="Red Heading 7 6" xfId="6356"/>
    <cellStyle name="Red Heading 7 6 2" xfId="6357"/>
    <cellStyle name="Red Heading 7 7" xfId="6358"/>
    <cellStyle name="Red Heading 7 7 2" xfId="6359"/>
    <cellStyle name="Red Heading 7 8" xfId="6360"/>
    <cellStyle name="Red Heading 7 8 2" xfId="6361"/>
    <cellStyle name="Red Heading 7 9" xfId="6362"/>
    <cellStyle name="Red Heading 7 9 2" xfId="6363"/>
    <cellStyle name="Red Heading 8" xfId="6364"/>
    <cellStyle name="Red Heading 8 10" xfId="6365"/>
    <cellStyle name="Red Heading 8 10 2" xfId="6366"/>
    <cellStyle name="Red Heading 8 11" xfId="6367"/>
    <cellStyle name="Red Heading 8 11 2" xfId="6368"/>
    <cellStyle name="Red Heading 8 12" xfId="6369"/>
    <cellStyle name="Red Heading 8 12 2" xfId="6370"/>
    <cellStyle name="Red Heading 8 13" xfId="6371"/>
    <cellStyle name="Red Heading 8 13 2" xfId="6372"/>
    <cellStyle name="Red Heading 8 14" xfId="6373"/>
    <cellStyle name="Red Heading 8 14 2" xfId="6374"/>
    <cellStyle name="Red Heading 8 15" xfId="6375"/>
    <cellStyle name="Red Heading 8 15 2" xfId="6376"/>
    <cellStyle name="Red Heading 8 16" xfId="6377"/>
    <cellStyle name="Red Heading 8 16 2" xfId="6378"/>
    <cellStyle name="Red Heading 8 17" xfId="6379"/>
    <cellStyle name="Red Heading 8 2" xfId="6380"/>
    <cellStyle name="Red Heading 8 2 2" xfId="6381"/>
    <cellStyle name="Red Heading 8 2 2 2" xfId="6382"/>
    <cellStyle name="Red Heading 8 2 3" xfId="6383"/>
    <cellStyle name="Red Heading 8 2 3 2" xfId="6384"/>
    <cellStyle name="Red Heading 8 2 4" xfId="6385"/>
    <cellStyle name="Red Heading 8 3" xfId="6386"/>
    <cellStyle name="Red Heading 8 3 2" xfId="6387"/>
    <cellStyle name="Red Heading 8 3 2 2" xfId="6388"/>
    <cellStyle name="Red Heading 8 3 3" xfId="6389"/>
    <cellStyle name="Red Heading 8 3 3 2" xfId="6390"/>
    <cellStyle name="Red Heading 8 3 4" xfId="6391"/>
    <cellStyle name="Red Heading 8 4" xfId="6392"/>
    <cellStyle name="Red Heading 8 4 2" xfId="6393"/>
    <cellStyle name="Red Heading 8 5" xfId="6394"/>
    <cellStyle name="Red Heading 8 5 2" xfId="6395"/>
    <cellStyle name="Red Heading 8 6" xfId="6396"/>
    <cellStyle name="Red Heading 8 6 2" xfId="6397"/>
    <cellStyle name="Red Heading 8 7" xfId="6398"/>
    <cellStyle name="Red Heading 8 7 2" xfId="6399"/>
    <cellStyle name="Red Heading 8 8" xfId="6400"/>
    <cellStyle name="Red Heading 8 8 2" xfId="6401"/>
    <cellStyle name="Red Heading 8 9" xfId="6402"/>
    <cellStyle name="Red Heading 8 9 2" xfId="6403"/>
    <cellStyle name="Red Heading 9" xfId="6404"/>
    <cellStyle name="Red Heading 9 10" xfId="6405"/>
    <cellStyle name="Red Heading 9 10 2" xfId="6406"/>
    <cellStyle name="Red Heading 9 11" xfId="6407"/>
    <cellStyle name="Red Heading 9 11 2" xfId="6408"/>
    <cellStyle name="Red Heading 9 12" xfId="6409"/>
    <cellStyle name="Red Heading 9 12 2" xfId="6410"/>
    <cellStyle name="Red Heading 9 13" xfId="6411"/>
    <cellStyle name="Red Heading 9 13 2" xfId="6412"/>
    <cellStyle name="Red Heading 9 14" xfId="6413"/>
    <cellStyle name="Red Heading 9 14 2" xfId="6414"/>
    <cellStyle name="Red Heading 9 15" xfId="6415"/>
    <cellStyle name="Red Heading 9 15 2" xfId="6416"/>
    <cellStyle name="Red Heading 9 16" xfId="6417"/>
    <cellStyle name="Red Heading 9 16 2" xfId="6418"/>
    <cellStyle name="Red Heading 9 17" xfId="6419"/>
    <cellStyle name="Red Heading 9 2" xfId="6420"/>
    <cellStyle name="Red Heading 9 2 2" xfId="6421"/>
    <cellStyle name="Red Heading 9 2 2 2" xfId="6422"/>
    <cellStyle name="Red Heading 9 2 3" xfId="6423"/>
    <cellStyle name="Red Heading 9 2 3 2" xfId="6424"/>
    <cellStyle name="Red Heading 9 2 4" xfId="6425"/>
    <cellStyle name="Red Heading 9 3" xfId="6426"/>
    <cellStyle name="Red Heading 9 3 2" xfId="6427"/>
    <cellStyle name="Red Heading 9 3 2 2" xfId="6428"/>
    <cellStyle name="Red Heading 9 3 3" xfId="6429"/>
    <cellStyle name="Red Heading 9 3 3 2" xfId="6430"/>
    <cellStyle name="Red Heading 9 3 4" xfId="6431"/>
    <cellStyle name="Red Heading 9 4" xfId="6432"/>
    <cellStyle name="Red Heading 9 4 2" xfId="6433"/>
    <cellStyle name="Red Heading 9 5" xfId="6434"/>
    <cellStyle name="Red Heading 9 5 2" xfId="6435"/>
    <cellStyle name="Red Heading 9 6" xfId="6436"/>
    <cellStyle name="Red Heading 9 6 2" xfId="6437"/>
    <cellStyle name="Red Heading 9 7" xfId="6438"/>
    <cellStyle name="Red Heading 9 7 2" xfId="6439"/>
    <cellStyle name="Red Heading 9 8" xfId="6440"/>
    <cellStyle name="Red Heading 9 8 2" xfId="6441"/>
    <cellStyle name="Red Heading 9 9" xfId="6442"/>
    <cellStyle name="Red Heading 9 9 2" xfId="6443"/>
    <cellStyle name="Reference" xfId="185"/>
    <cellStyle name="Row Blue" xfId="6444"/>
    <cellStyle name="Row Blue 10" xfId="6445"/>
    <cellStyle name="Row Blue 11" xfId="6446"/>
    <cellStyle name="Row Blue 2" xfId="6447"/>
    <cellStyle name="Row Blue 2 2" xfId="6448"/>
    <cellStyle name="Row Blue 2 3" xfId="6449"/>
    <cellStyle name="Row Blue 3" xfId="6450"/>
    <cellStyle name="Row Blue 4" xfId="6451"/>
    <cellStyle name="Row Blue 5" xfId="6452"/>
    <cellStyle name="Row Blue 6" xfId="6453"/>
    <cellStyle name="Row Blue 7" xfId="6454"/>
    <cellStyle name="Row Blue 8" xfId="6455"/>
    <cellStyle name="Row Blue 9" xfId="6456"/>
    <cellStyle name="Row heading" xfId="186"/>
    <cellStyle name="Row Lt. Green" xfId="6457"/>
    <cellStyle name="Row Lt. Green 2" xfId="6458"/>
    <cellStyle name="Row Total Blue" xfId="6459"/>
    <cellStyle name="Row Total Blue 2" xfId="6460"/>
    <cellStyle name="Row Total Blue 3" xfId="6461"/>
    <cellStyle name="Row Total Blue 4" xfId="6462"/>
    <cellStyle name="Row Total Blue 5" xfId="6463"/>
    <cellStyle name="Row Total Blue 6" xfId="6464"/>
    <cellStyle name="Row Total Blue 7" xfId="6465"/>
    <cellStyle name="Row Total Blue 8" xfId="6466"/>
    <cellStyle name="Row Total Blue 9" xfId="6467"/>
    <cellStyle name="Salida" xfId="6468"/>
    <cellStyle name="Salida 10" xfId="6469"/>
    <cellStyle name="Salida 10 2" xfId="6470"/>
    <cellStyle name="Salida 11" xfId="6471"/>
    <cellStyle name="Salida 11 2" xfId="6472"/>
    <cellStyle name="Salida 12" xfId="6473"/>
    <cellStyle name="Salida 12 2" xfId="6474"/>
    <cellStyle name="Salida 13" xfId="6475"/>
    <cellStyle name="Salida 13 2" xfId="6476"/>
    <cellStyle name="Salida 14" xfId="6477"/>
    <cellStyle name="Salida 14 2" xfId="6478"/>
    <cellStyle name="Salida 15" xfId="6479"/>
    <cellStyle name="Salida 15 2" xfId="6480"/>
    <cellStyle name="Salida 16" xfId="6481"/>
    <cellStyle name="Salida 16 2" xfId="6482"/>
    <cellStyle name="Salida 17" xfId="6483"/>
    <cellStyle name="Salida 17 2" xfId="6484"/>
    <cellStyle name="Salida 18" xfId="6485"/>
    <cellStyle name="Salida 18 2" xfId="6486"/>
    <cellStyle name="Salida 19" xfId="6487"/>
    <cellStyle name="Salida 19 2" xfId="6488"/>
    <cellStyle name="Salida 2" xfId="6489"/>
    <cellStyle name="Salida 2 10" xfId="6490"/>
    <cellStyle name="Salida 2 10 2" xfId="6491"/>
    <cellStyle name="Salida 2 11" xfId="6492"/>
    <cellStyle name="Salida 2 11 2" xfId="6493"/>
    <cellStyle name="Salida 2 12" xfId="6494"/>
    <cellStyle name="Salida 2 12 2" xfId="6495"/>
    <cellStyle name="Salida 2 13" xfId="6496"/>
    <cellStyle name="Salida 2 13 2" xfId="6497"/>
    <cellStyle name="Salida 2 14" xfId="6498"/>
    <cellStyle name="Salida 2 14 2" xfId="6499"/>
    <cellStyle name="Salida 2 15" xfId="6500"/>
    <cellStyle name="Salida 2 15 2" xfId="6501"/>
    <cellStyle name="Salida 2 16" xfId="6502"/>
    <cellStyle name="Salida 2 16 2" xfId="6503"/>
    <cellStyle name="Salida 2 17" xfId="6504"/>
    <cellStyle name="Salida 2 2" xfId="6505"/>
    <cellStyle name="Salida 2 2 10" xfId="6506"/>
    <cellStyle name="Salida 2 2 10 2" xfId="6507"/>
    <cellStyle name="Salida 2 2 11" xfId="6508"/>
    <cellStyle name="Salida 2 2 11 2" xfId="6509"/>
    <cellStyle name="Salida 2 2 12" xfId="6510"/>
    <cellStyle name="Salida 2 2 12 2" xfId="6511"/>
    <cellStyle name="Salida 2 2 13" xfId="6512"/>
    <cellStyle name="Salida 2 2 13 2" xfId="6513"/>
    <cellStyle name="Salida 2 2 14" xfId="6514"/>
    <cellStyle name="Salida 2 2 14 2" xfId="6515"/>
    <cellStyle name="Salida 2 2 15" xfId="6516"/>
    <cellStyle name="Salida 2 2 2" xfId="6517"/>
    <cellStyle name="Salida 2 2 2 2" xfId="6518"/>
    <cellStyle name="Salida 2 2 3" xfId="6519"/>
    <cellStyle name="Salida 2 2 3 2" xfId="6520"/>
    <cellStyle name="Salida 2 2 4" xfId="6521"/>
    <cellStyle name="Salida 2 2 4 2" xfId="6522"/>
    <cellStyle name="Salida 2 2 5" xfId="6523"/>
    <cellStyle name="Salida 2 2 5 2" xfId="6524"/>
    <cellStyle name="Salida 2 2 6" xfId="6525"/>
    <cellStyle name="Salida 2 2 6 2" xfId="6526"/>
    <cellStyle name="Salida 2 2 7" xfId="6527"/>
    <cellStyle name="Salida 2 2 7 2" xfId="6528"/>
    <cellStyle name="Salida 2 2 8" xfId="6529"/>
    <cellStyle name="Salida 2 2 8 2" xfId="6530"/>
    <cellStyle name="Salida 2 2 9" xfId="6531"/>
    <cellStyle name="Salida 2 2 9 2" xfId="6532"/>
    <cellStyle name="Salida 2 3" xfId="6533"/>
    <cellStyle name="Salida 2 3 2" xfId="6534"/>
    <cellStyle name="Salida 2 3 2 2" xfId="6535"/>
    <cellStyle name="Salida 2 3 3" xfId="6536"/>
    <cellStyle name="Salida 2 3 3 2" xfId="6537"/>
    <cellStyle name="Salida 2 3 4" xfId="6538"/>
    <cellStyle name="Salida 2 4" xfId="6539"/>
    <cellStyle name="Salida 2 4 2" xfId="6540"/>
    <cellStyle name="Salida 2 5" xfId="6541"/>
    <cellStyle name="Salida 2 5 2" xfId="6542"/>
    <cellStyle name="Salida 2 6" xfId="6543"/>
    <cellStyle name="Salida 2 6 2" xfId="6544"/>
    <cellStyle name="Salida 2 7" xfId="6545"/>
    <cellStyle name="Salida 2 7 2" xfId="6546"/>
    <cellStyle name="Salida 2 8" xfId="6547"/>
    <cellStyle name="Salida 2 8 2" xfId="6548"/>
    <cellStyle name="Salida 2 9" xfId="6549"/>
    <cellStyle name="Salida 2 9 2" xfId="6550"/>
    <cellStyle name="Salida 20" xfId="6551"/>
    <cellStyle name="Salida 20 2" xfId="6552"/>
    <cellStyle name="Salida 21" xfId="6553"/>
    <cellStyle name="Salida 21 2" xfId="6554"/>
    <cellStyle name="Salida 22" xfId="6555"/>
    <cellStyle name="Salida 22 2" xfId="6556"/>
    <cellStyle name="Salida 3" xfId="6557"/>
    <cellStyle name="Salida 3 10" xfId="6558"/>
    <cellStyle name="Salida 3 10 2" xfId="6559"/>
    <cellStyle name="Salida 3 11" xfId="6560"/>
    <cellStyle name="Salida 3 11 2" xfId="6561"/>
    <cellStyle name="Salida 3 12" xfId="6562"/>
    <cellStyle name="Salida 3 12 2" xfId="6563"/>
    <cellStyle name="Salida 3 13" xfId="6564"/>
    <cellStyle name="Salida 3 13 2" xfId="6565"/>
    <cellStyle name="Salida 3 14" xfId="6566"/>
    <cellStyle name="Salida 3 14 2" xfId="6567"/>
    <cellStyle name="Salida 3 15" xfId="6568"/>
    <cellStyle name="Salida 3 15 2" xfId="6569"/>
    <cellStyle name="Salida 3 16" xfId="6570"/>
    <cellStyle name="Salida 3 16 2" xfId="6571"/>
    <cellStyle name="Salida 3 17" xfId="6572"/>
    <cellStyle name="Salida 3 2" xfId="6573"/>
    <cellStyle name="Salida 3 2 10" xfId="6574"/>
    <cellStyle name="Salida 3 2 10 2" xfId="6575"/>
    <cellStyle name="Salida 3 2 11" xfId="6576"/>
    <cellStyle name="Salida 3 2 11 2" xfId="6577"/>
    <cellStyle name="Salida 3 2 12" xfId="6578"/>
    <cellStyle name="Salida 3 2 12 2" xfId="6579"/>
    <cellStyle name="Salida 3 2 13" xfId="6580"/>
    <cellStyle name="Salida 3 2 13 2" xfId="6581"/>
    <cellStyle name="Salida 3 2 14" xfId="6582"/>
    <cellStyle name="Salida 3 2 14 2" xfId="6583"/>
    <cellStyle name="Salida 3 2 15" xfId="6584"/>
    <cellStyle name="Salida 3 2 2" xfId="6585"/>
    <cellStyle name="Salida 3 2 2 2" xfId="6586"/>
    <cellStyle name="Salida 3 2 3" xfId="6587"/>
    <cellStyle name="Salida 3 2 3 2" xfId="6588"/>
    <cellStyle name="Salida 3 2 4" xfId="6589"/>
    <cellStyle name="Salida 3 2 4 2" xfId="6590"/>
    <cellStyle name="Salida 3 2 5" xfId="6591"/>
    <cellStyle name="Salida 3 2 5 2" xfId="6592"/>
    <cellStyle name="Salida 3 2 6" xfId="6593"/>
    <cellStyle name="Salida 3 2 6 2" xfId="6594"/>
    <cellStyle name="Salida 3 2 7" xfId="6595"/>
    <cellStyle name="Salida 3 2 7 2" xfId="6596"/>
    <cellStyle name="Salida 3 2 8" xfId="6597"/>
    <cellStyle name="Salida 3 2 8 2" xfId="6598"/>
    <cellStyle name="Salida 3 2 9" xfId="6599"/>
    <cellStyle name="Salida 3 2 9 2" xfId="6600"/>
    <cellStyle name="Salida 3 3" xfId="6601"/>
    <cellStyle name="Salida 3 3 2" xfId="6602"/>
    <cellStyle name="Salida 3 3 2 2" xfId="6603"/>
    <cellStyle name="Salida 3 3 3" xfId="6604"/>
    <cellStyle name="Salida 3 3 3 2" xfId="6605"/>
    <cellStyle name="Salida 3 3 4" xfId="6606"/>
    <cellStyle name="Salida 3 4" xfId="6607"/>
    <cellStyle name="Salida 3 4 2" xfId="6608"/>
    <cellStyle name="Salida 3 5" xfId="6609"/>
    <cellStyle name="Salida 3 5 2" xfId="6610"/>
    <cellStyle name="Salida 3 6" xfId="6611"/>
    <cellStyle name="Salida 3 6 2" xfId="6612"/>
    <cellStyle name="Salida 3 7" xfId="6613"/>
    <cellStyle name="Salida 3 7 2" xfId="6614"/>
    <cellStyle name="Salida 3 8" xfId="6615"/>
    <cellStyle name="Salida 3 8 2" xfId="6616"/>
    <cellStyle name="Salida 3 9" xfId="6617"/>
    <cellStyle name="Salida 3 9 2" xfId="6618"/>
    <cellStyle name="Salida 4" xfId="6619"/>
    <cellStyle name="Salida 4 10" xfId="6620"/>
    <cellStyle name="Salida 4 10 2" xfId="6621"/>
    <cellStyle name="Salida 4 11" xfId="6622"/>
    <cellStyle name="Salida 4 11 2" xfId="6623"/>
    <cellStyle name="Salida 4 12" xfId="6624"/>
    <cellStyle name="Salida 4 12 2" xfId="6625"/>
    <cellStyle name="Salida 4 13" xfId="6626"/>
    <cellStyle name="Salida 4 13 2" xfId="6627"/>
    <cellStyle name="Salida 4 14" xfId="6628"/>
    <cellStyle name="Salida 4 14 2" xfId="6629"/>
    <cellStyle name="Salida 4 15" xfId="6630"/>
    <cellStyle name="Salida 4 15 2" xfId="6631"/>
    <cellStyle name="Salida 4 16" xfId="6632"/>
    <cellStyle name="Salida 4 16 2" xfId="6633"/>
    <cellStyle name="Salida 4 17" xfId="6634"/>
    <cellStyle name="Salida 4 2" xfId="6635"/>
    <cellStyle name="Salida 4 2 10" xfId="6636"/>
    <cellStyle name="Salida 4 2 10 2" xfId="6637"/>
    <cellStyle name="Salida 4 2 11" xfId="6638"/>
    <cellStyle name="Salida 4 2 11 2" xfId="6639"/>
    <cellStyle name="Salida 4 2 12" xfId="6640"/>
    <cellStyle name="Salida 4 2 12 2" xfId="6641"/>
    <cellStyle name="Salida 4 2 13" xfId="6642"/>
    <cellStyle name="Salida 4 2 13 2" xfId="6643"/>
    <cellStyle name="Salida 4 2 14" xfId="6644"/>
    <cellStyle name="Salida 4 2 14 2" xfId="6645"/>
    <cellStyle name="Salida 4 2 15" xfId="6646"/>
    <cellStyle name="Salida 4 2 2" xfId="6647"/>
    <cellStyle name="Salida 4 2 2 2" xfId="6648"/>
    <cellStyle name="Salida 4 2 3" xfId="6649"/>
    <cellStyle name="Salida 4 2 3 2" xfId="6650"/>
    <cellStyle name="Salida 4 2 4" xfId="6651"/>
    <cellStyle name="Salida 4 2 4 2" xfId="6652"/>
    <cellStyle name="Salida 4 2 5" xfId="6653"/>
    <cellStyle name="Salida 4 2 5 2" xfId="6654"/>
    <cellStyle name="Salida 4 2 6" xfId="6655"/>
    <cellStyle name="Salida 4 2 6 2" xfId="6656"/>
    <cellStyle name="Salida 4 2 7" xfId="6657"/>
    <cellStyle name="Salida 4 2 7 2" xfId="6658"/>
    <cellStyle name="Salida 4 2 8" xfId="6659"/>
    <cellStyle name="Salida 4 2 8 2" xfId="6660"/>
    <cellStyle name="Salida 4 2 9" xfId="6661"/>
    <cellStyle name="Salida 4 2 9 2" xfId="6662"/>
    <cellStyle name="Salida 4 3" xfId="6663"/>
    <cellStyle name="Salida 4 3 2" xfId="6664"/>
    <cellStyle name="Salida 4 3 2 2" xfId="6665"/>
    <cellStyle name="Salida 4 3 3" xfId="6666"/>
    <cellStyle name="Salida 4 3 3 2" xfId="6667"/>
    <cellStyle name="Salida 4 3 4" xfId="6668"/>
    <cellStyle name="Salida 4 4" xfId="6669"/>
    <cellStyle name="Salida 4 4 2" xfId="6670"/>
    <cellStyle name="Salida 4 5" xfId="6671"/>
    <cellStyle name="Salida 4 5 2" xfId="6672"/>
    <cellStyle name="Salida 4 6" xfId="6673"/>
    <cellStyle name="Salida 4 6 2" xfId="6674"/>
    <cellStyle name="Salida 4 7" xfId="6675"/>
    <cellStyle name="Salida 4 7 2" xfId="6676"/>
    <cellStyle name="Salida 4 8" xfId="6677"/>
    <cellStyle name="Salida 4 8 2" xfId="6678"/>
    <cellStyle name="Salida 4 9" xfId="6679"/>
    <cellStyle name="Salida 4 9 2" xfId="6680"/>
    <cellStyle name="Salida 5" xfId="6681"/>
    <cellStyle name="Salida 5 10" xfId="6682"/>
    <cellStyle name="Salida 5 10 2" xfId="6683"/>
    <cellStyle name="Salida 5 11" xfId="6684"/>
    <cellStyle name="Salida 5 11 2" xfId="6685"/>
    <cellStyle name="Salida 5 12" xfId="6686"/>
    <cellStyle name="Salida 5 12 2" xfId="6687"/>
    <cellStyle name="Salida 5 13" xfId="6688"/>
    <cellStyle name="Salida 5 13 2" xfId="6689"/>
    <cellStyle name="Salida 5 14" xfId="6690"/>
    <cellStyle name="Salida 5 14 2" xfId="6691"/>
    <cellStyle name="Salida 5 15" xfId="6692"/>
    <cellStyle name="Salida 5 15 2" xfId="6693"/>
    <cellStyle name="Salida 5 16" xfId="6694"/>
    <cellStyle name="Salida 5 16 2" xfId="6695"/>
    <cellStyle name="Salida 5 17" xfId="6696"/>
    <cellStyle name="Salida 5 2" xfId="6697"/>
    <cellStyle name="Salida 5 2 10" xfId="6698"/>
    <cellStyle name="Salida 5 2 10 2" xfId="6699"/>
    <cellStyle name="Salida 5 2 11" xfId="6700"/>
    <cellStyle name="Salida 5 2 11 2" xfId="6701"/>
    <cellStyle name="Salida 5 2 12" xfId="6702"/>
    <cellStyle name="Salida 5 2 12 2" xfId="6703"/>
    <cellStyle name="Salida 5 2 13" xfId="6704"/>
    <cellStyle name="Salida 5 2 13 2" xfId="6705"/>
    <cellStyle name="Salida 5 2 14" xfId="6706"/>
    <cellStyle name="Salida 5 2 14 2" xfId="6707"/>
    <cellStyle name="Salida 5 2 15" xfId="6708"/>
    <cellStyle name="Salida 5 2 2" xfId="6709"/>
    <cellStyle name="Salida 5 2 2 2" xfId="6710"/>
    <cellStyle name="Salida 5 2 3" xfId="6711"/>
    <cellStyle name="Salida 5 2 3 2" xfId="6712"/>
    <cellStyle name="Salida 5 2 4" xfId="6713"/>
    <cellStyle name="Salida 5 2 4 2" xfId="6714"/>
    <cellStyle name="Salida 5 2 5" xfId="6715"/>
    <cellStyle name="Salida 5 2 5 2" xfId="6716"/>
    <cellStyle name="Salida 5 2 6" xfId="6717"/>
    <cellStyle name="Salida 5 2 6 2" xfId="6718"/>
    <cellStyle name="Salida 5 2 7" xfId="6719"/>
    <cellStyle name="Salida 5 2 7 2" xfId="6720"/>
    <cellStyle name="Salida 5 2 8" xfId="6721"/>
    <cellStyle name="Salida 5 2 8 2" xfId="6722"/>
    <cellStyle name="Salida 5 2 9" xfId="6723"/>
    <cellStyle name="Salida 5 2 9 2" xfId="6724"/>
    <cellStyle name="Salida 5 3" xfId="6725"/>
    <cellStyle name="Salida 5 3 2" xfId="6726"/>
    <cellStyle name="Salida 5 3 2 2" xfId="6727"/>
    <cellStyle name="Salida 5 3 3" xfId="6728"/>
    <cellStyle name="Salida 5 3 3 2" xfId="6729"/>
    <cellStyle name="Salida 5 3 4" xfId="6730"/>
    <cellStyle name="Salida 5 4" xfId="6731"/>
    <cellStyle name="Salida 5 4 2" xfId="6732"/>
    <cellStyle name="Salida 5 5" xfId="6733"/>
    <cellStyle name="Salida 5 5 2" xfId="6734"/>
    <cellStyle name="Salida 5 6" xfId="6735"/>
    <cellStyle name="Salida 5 6 2" xfId="6736"/>
    <cellStyle name="Salida 5 7" xfId="6737"/>
    <cellStyle name="Salida 5 7 2" xfId="6738"/>
    <cellStyle name="Salida 5 8" xfId="6739"/>
    <cellStyle name="Salida 5 8 2" xfId="6740"/>
    <cellStyle name="Salida 5 9" xfId="6741"/>
    <cellStyle name="Salida 5 9 2" xfId="6742"/>
    <cellStyle name="Salida 6" xfId="6743"/>
    <cellStyle name="Salida 6 10" xfId="6744"/>
    <cellStyle name="Salida 6 10 2" xfId="6745"/>
    <cellStyle name="Salida 6 11" xfId="6746"/>
    <cellStyle name="Salida 6 11 2" xfId="6747"/>
    <cellStyle name="Salida 6 12" xfId="6748"/>
    <cellStyle name="Salida 6 12 2" xfId="6749"/>
    <cellStyle name="Salida 6 13" xfId="6750"/>
    <cellStyle name="Salida 6 13 2" xfId="6751"/>
    <cellStyle name="Salida 6 14" xfId="6752"/>
    <cellStyle name="Salida 6 14 2" xfId="6753"/>
    <cellStyle name="Salida 6 15" xfId="6754"/>
    <cellStyle name="Salida 6 15 2" xfId="6755"/>
    <cellStyle name="Salida 6 16" xfId="6756"/>
    <cellStyle name="Salida 6 16 2" xfId="6757"/>
    <cellStyle name="Salida 6 17" xfId="6758"/>
    <cellStyle name="Salida 6 2" xfId="6759"/>
    <cellStyle name="Salida 6 2 2" xfId="6760"/>
    <cellStyle name="Salida 6 2 2 2" xfId="6761"/>
    <cellStyle name="Salida 6 2 3" xfId="6762"/>
    <cellStyle name="Salida 6 2 3 2" xfId="6763"/>
    <cellStyle name="Salida 6 2 4" xfId="6764"/>
    <cellStyle name="Salida 6 3" xfId="6765"/>
    <cellStyle name="Salida 6 3 2" xfId="6766"/>
    <cellStyle name="Salida 6 3 2 2" xfId="6767"/>
    <cellStyle name="Salida 6 3 3" xfId="6768"/>
    <cellStyle name="Salida 6 3 3 2" xfId="6769"/>
    <cellStyle name="Salida 6 3 4" xfId="6770"/>
    <cellStyle name="Salida 6 4" xfId="6771"/>
    <cellStyle name="Salida 6 4 2" xfId="6772"/>
    <cellStyle name="Salida 6 5" xfId="6773"/>
    <cellStyle name="Salida 6 5 2" xfId="6774"/>
    <cellStyle name="Salida 6 6" xfId="6775"/>
    <cellStyle name="Salida 6 6 2" xfId="6776"/>
    <cellStyle name="Salida 6 7" xfId="6777"/>
    <cellStyle name="Salida 6 7 2" xfId="6778"/>
    <cellStyle name="Salida 6 8" xfId="6779"/>
    <cellStyle name="Salida 6 8 2" xfId="6780"/>
    <cellStyle name="Salida 6 9" xfId="6781"/>
    <cellStyle name="Salida 6 9 2" xfId="6782"/>
    <cellStyle name="Salida 7" xfId="6783"/>
    <cellStyle name="Salida 7 10" xfId="6784"/>
    <cellStyle name="Salida 7 10 2" xfId="6785"/>
    <cellStyle name="Salida 7 11" xfId="6786"/>
    <cellStyle name="Salida 7 11 2" xfId="6787"/>
    <cellStyle name="Salida 7 12" xfId="6788"/>
    <cellStyle name="Salida 7 12 2" xfId="6789"/>
    <cellStyle name="Salida 7 13" xfId="6790"/>
    <cellStyle name="Salida 7 13 2" xfId="6791"/>
    <cellStyle name="Salida 7 14" xfId="6792"/>
    <cellStyle name="Salida 7 14 2" xfId="6793"/>
    <cellStyle name="Salida 7 15" xfId="6794"/>
    <cellStyle name="Salida 7 15 2" xfId="6795"/>
    <cellStyle name="Salida 7 16" xfId="6796"/>
    <cellStyle name="Salida 7 16 2" xfId="6797"/>
    <cellStyle name="Salida 7 17" xfId="6798"/>
    <cellStyle name="Salida 7 2" xfId="6799"/>
    <cellStyle name="Salida 7 2 2" xfId="6800"/>
    <cellStyle name="Salida 7 2 2 2" xfId="6801"/>
    <cellStyle name="Salida 7 2 3" xfId="6802"/>
    <cellStyle name="Salida 7 2 3 2" xfId="6803"/>
    <cellStyle name="Salida 7 2 4" xfId="6804"/>
    <cellStyle name="Salida 7 3" xfId="6805"/>
    <cellStyle name="Salida 7 3 2" xfId="6806"/>
    <cellStyle name="Salida 7 3 2 2" xfId="6807"/>
    <cellStyle name="Salida 7 3 3" xfId="6808"/>
    <cellStyle name="Salida 7 3 3 2" xfId="6809"/>
    <cellStyle name="Salida 7 3 4" xfId="6810"/>
    <cellStyle name="Salida 7 4" xfId="6811"/>
    <cellStyle name="Salida 7 4 2" xfId="6812"/>
    <cellStyle name="Salida 7 5" xfId="6813"/>
    <cellStyle name="Salida 7 5 2" xfId="6814"/>
    <cellStyle name="Salida 7 6" xfId="6815"/>
    <cellStyle name="Salida 7 6 2" xfId="6816"/>
    <cellStyle name="Salida 7 7" xfId="6817"/>
    <cellStyle name="Salida 7 7 2" xfId="6818"/>
    <cellStyle name="Salida 7 8" xfId="6819"/>
    <cellStyle name="Salida 7 8 2" xfId="6820"/>
    <cellStyle name="Salida 7 9" xfId="6821"/>
    <cellStyle name="Salida 7 9 2" xfId="6822"/>
    <cellStyle name="Salida 8" xfId="6823"/>
    <cellStyle name="Salida 8 2" xfId="6824"/>
    <cellStyle name="Salida 8 2 2" xfId="6825"/>
    <cellStyle name="Salida 8 2 2 2" xfId="6826"/>
    <cellStyle name="Salida 8 2 3" xfId="6827"/>
    <cellStyle name="Salida 8 2 3 2" xfId="6828"/>
    <cellStyle name="Salida 8 2 4" xfId="6829"/>
    <cellStyle name="Salida 8 3" xfId="6830"/>
    <cellStyle name="Salida 8 3 2" xfId="6831"/>
    <cellStyle name="Salida 8 3 2 2" xfId="6832"/>
    <cellStyle name="Salida 8 3 3" xfId="6833"/>
    <cellStyle name="Salida 8 3 3 2" xfId="6834"/>
    <cellStyle name="Salida 8 3 4" xfId="6835"/>
    <cellStyle name="Salida 8 4" xfId="6836"/>
    <cellStyle name="Salida 8 4 2" xfId="6837"/>
    <cellStyle name="Salida 8 5" xfId="6838"/>
    <cellStyle name="Salida 8 5 2" xfId="6839"/>
    <cellStyle name="Salida 8 6" xfId="6840"/>
    <cellStyle name="Salida 9" xfId="6841"/>
    <cellStyle name="Salida 9 2" xfId="6842"/>
    <cellStyle name="Salida 9 2 2" xfId="6843"/>
    <cellStyle name="Salida 9 3" xfId="6844"/>
    <cellStyle name="Salida 9 3 2" xfId="6845"/>
    <cellStyle name="Salida 9 4" xfId="6846"/>
    <cellStyle name="Scientific" xfId="128"/>
    <cellStyle name="Source Hed" xfId="187"/>
    <cellStyle name="Source Letter" xfId="188"/>
    <cellStyle name="Source Superscript" xfId="189"/>
    <cellStyle name="Source Text" xfId="190"/>
    <cellStyle name="Standard_AVERAGE NUMBER OF WEEKLY WORK HOURS PER EMPLOYED PERSON" xfId="6847"/>
    <cellStyle name="State" xfId="191"/>
    <cellStyle name="Style 1" xfId="6848"/>
    <cellStyle name="Style 1 10" xfId="6849"/>
    <cellStyle name="Style 1 11" xfId="6850"/>
    <cellStyle name="Style 1 12" xfId="6851"/>
    <cellStyle name="Style 1 13" xfId="6852"/>
    <cellStyle name="Style 1 14" xfId="6853"/>
    <cellStyle name="Style 1 15" xfId="6854"/>
    <cellStyle name="Style 1 16" xfId="6855"/>
    <cellStyle name="Style 1 17" xfId="6856"/>
    <cellStyle name="Style 1 18" xfId="6857"/>
    <cellStyle name="Style 1 19" xfId="6858"/>
    <cellStyle name="Style 1 2" xfId="6859"/>
    <cellStyle name="Style 1 20" xfId="6860"/>
    <cellStyle name="Style 1 21" xfId="6861"/>
    <cellStyle name="Style 1 22" xfId="6862"/>
    <cellStyle name="Style 1 23" xfId="6863"/>
    <cellStyle name="Style 1 24" xfId="6864"/>
    <cellStyle name="Style 1 3" xfId="6865"/>
    <cellStyle name="Style 1 4" xfId="6866"/>
    <cellStyle name="Style 1 5" xfId="6867"/>
    <cellStyle name="Style 1 6" xfId="6868"/>
    <cellStyle name="Style 1 7" xfId="6869"/>
    <cellStyle name="Style 1 8" xfId="6870"/>
    <cellStyle name="Style 1 9" xfId="6871"/>
    <cellStyle name="styleColumnTitles" xfId="6872"/>
    <cellStyle name="styleDateRange" xfId="6873"/>
    <cellStyle name="styleHidden" xfId="6874"/>
    <cellStyle name="styleHidden 10" xfId="6875"/>
    <cellStyle name="styleHidden 11" xfId="6876"/>
    <cellStyle name="styleHidden 12" xfId="6877"/>
    <cellStyle name="styleHidden 13" xfId="6878"/>
    <cellStyle name="styleHidden 14" xfId="6879"/>
    <cellStyle name="styleHidden 15" xfId="6880"/>
    <cellStyle name="styleHidden 16" xfId="6881"/>
    <cellStyle name="styleHidden 17" xfId="6882"/>
    <cellStyle name="styleHidden 18" xfId="6883"/>
    <cellStyle name="styleHidden 19" xfId="6884"/>
    <cellStyle name="styleHidden 2" xfId="6885"/>
    <cellStyle name="styleHidden 20" xfId="6886"/>
    <cellStyle name="styleHidden 21" xfId="6887"/>
    <cellStyle name="styleHidden 22" xfId="6888"/>
    <cellStyle name="styleHidden 23" xfId="6889"/>
    <cellStyle name="styleHidden 24" xfId="6890"/>
    <cellStyle name="styleHidden 3" xfId="6891"/>
    <cellStyle name="styleHidden 4" xfId="6892"/>
    <cellStyle name="styleHidden 5" xfId="6893"/>
    <cellStyle name="styleHidden 6" xfId="6894"/>
    <cellStyle name="styleHidden 7" xfId="6895"/>
    <cellStyle name="styleHidden 8" xfId="6896"/>
    <cellStyle name="styleHidden 9" xfId="6897"/>
    <cellStyle name="styleNormal" xfId="6898"/>
    <cellStyle name="styleSeriesAttributes" xfId="6899"/>
    <cellStyle name="styleSeriesData" xfId="6900"/>
    <cellStyle name="styleSeriesDataNA" xfId="6901"/>
    <cellStyle name="Subheading Blue" xfId="6902"/>
    <cellStyle name="Subheading Blue 2" xfId="6903"/>
    <cellStyle name="Subheading Blue 3" xfId="6904"/>
    <cellStyle name="Subheading Blue 4" xfId="6905"/>
    <cellStyle name="Subheading Blue 5" xfId="6906"/>
    <cellStyle name="Subheading Blue 6" xfId="6907"/>
    <cellStyle name="Subheading Blue 7" xfId="6908"/>
    <cellStyle name="Subheading Blue 8" xfId="6909"/>
    <cellStyle name="Subheading Blue 9" xfId="6910"/>
    <cellStyle name="Subheading Green" xfId="6911"/>
    <cellStyle name="Subheading Green 2" xfId="6912"/>
    <cellStyle name="Subheading Red" xfId="6913"/>
    <cellStyle name="Subheading Red 10" xfId="6914"/>
    <cellStyle name="Subheading Red 11" xfId="6915"/>
    <cellStyle name="Subheading Red 2" xfId="6916"/>
    <cellStyle name="Subheading Red 2 2" xfId="6917"/>
    <cellStyle name="Subheading Red 2 3" xfId="6918"/>
    <cellStyle name="Subheading Red 3" xfId="6919"/>
    <cellStyle name="Subheading Red 4" xfId="6920"/>
    <cellStyle name="Subheading Red 5" xfId="6921"/>
    <cellStyle name="Subheading Red 6" xfId="6922"/>
    <cellStyle name="Subheading Red 7" xfId="6923"/>
    <cellStyle name="Subheading Red 8" xfId="6924"/>
    <cellStyle name="Subheading Red 9" xfId="6925"/>
    <cellStyle name="Superscript" xfId="192"/>
    <cellStyle name="Superscript- regular" xfId="193"/>
    <cellStyle name="Superscript_1-1A-Regular" xfId="194"/>
    <cellStyle name="Table Data" xfId="195"/>
    <cellStyle name="Table Head" xfId="6926"/>
    <cellStyle name="Table Head Aligned" xfId="6927"/>
    <cellStyle name="Table Head Blue" xfId="6928"/>
    <cellStyle name="Table Head Green" xfId="6929"/>
    <cellStyle name="Table Head Top" xfId="196"/>
    <cellStyle name="Table Hed Side" xfId="197"/>
    <cellStyle name="Table Title" xfId="198"/>
    <cellStyle name="Table Units" xfId="6930"/>
    <cellStyle name="Texto de advertencia" xfId="6931"/>
    <cellStyle name="Texto explicativo" xfId="6932"/>
    <cellStyle name="Title" xfId="9" builtinId="15" customBuiltin="1"/>
    <cellStyle name="Title 2" xfId="129"/>
    <cellStyle name="Title 2 10" xfId="6933"/>
    <cellStyle name="Title 2 11" xfId="6934"/>
    <cellStyle name="Title 2 12" xfId="6935"/>
    <cellStyle name="Title 2 13" xfId="6936"/>
    <cellStyle name="Title 2 14" xfId="6937"/>
    <cellStyle name="Title 2 15" xfId="6938"/>
    <cellStyle name="Title 2 16" xfId="6939"/>
    <cellStyle name="Title 2 17" xfId="6940"/>
    <cellStyle name="Title 2 2" xfId="6941"/>
    <cellStyle name="Title 2 2 2" xfId="6942"/>
    <cellStyle name="Title 2 2 2 2" xfId="6943"/>
    <cellStyle name="Title 2 2 2 3" xfId="6944"/>
    <cellStyle name="Title 2 2 3" xfId="6945"/>
    <cellStyle name="Title 2 2 4" xfId="6946"/>
    <cellStyle name="Title 2 3" xfId="6947"/>
    <cellStyle name="Title 2 4" xfId="6948"/>
    <cellStyle name="Title 2 5" xfId="6949"/>
    <cellStyle name="Title 2 6" xfId="6950"/>
    <cellStyle name="Title 2 7" xfId="6951"/>
    <cellStyle name="Title 2 8" xfId="6952"/>
    <cellStyle name="Title 2 9" xfId="6953"/>
    <cellStyle name="Title 3" xfId="6954"/>
    <cellStyle name="Title 3 2" xfId="6955"/>
    <cellStyle name="Title 3 3" xfId="6956"/>
    <cellStyle name="Title 4" xfId="6957"/>
    <cellStyle name="Title Text" xfId="199"/>
    <cellStyle name="Title Text 1" xfId="200"/>
    <cellStyle name="Title Text 2" xfId="201"/>
    <cellStyle name="Title-1" xfId="202"/>
    <cellStyle name="Title-2" xfId="203"/>
    <cellStyle name="Title-3" xfId="204"/>
    <cellStyle name="Título" xfId="6958"/>
    <cellStyle name="Título 1" xfId="6959"/>
    <cellStyle name="Título 2" xfId="6960"/>
    <cellStyle name="Título 3" xfId="6961"/>
    <cellStyle name="Top" xfId="6962"/>
    <cellStyle name="Total" xfId="24" builtinId="25" customBuiltin="1"/>
    <cellStyle name="Total 2" xfId="130"/>
    <cellStyle name="Total 2 10" xfId="6963"/>
    <cellStyle name="Total 2 11" xfId="6964"/>
    <cellStyle name="Total 2 12" xfId="6965"/>
    <cellStyle name="Total 2 13" xfId="6966"/>
    <cellStyle name="Total 2 14" xfId="6967"/>
    <cellStyle name="Total 2 15" xfId="6968"/>
    <cellStyle name="Total 2 16" xfId="6969"/>
    <cellStyle name="Total 2 16 2" xfId="6970"/>
    <cellStyle name="Total 2 17" xfId="6971"/>
    <cellStyle name="Total 2 2" xfId="6972"/>
    <cellStyle name="Total 2 2 2" xfId="6973"/>
    <cellStyle name="Total 2 2 2 2" xfId="6974"/>
    <cellStyle name="Total 2 2 2 3" xfId="6975"/>
    <cellStyle name="Total 2 2 3" xfId="6976"/>
    <cellStyle name="Total 2 2 4" xfId="6977"/>
    <cellStyle name="Total 2 3" xfId="6978"/>
    <cellStyle name="Total 2 4" xfId="6979"/>
    <cellStyle name="Total 2 5" xfId="6980"/>
    <cellStyle name="Total 2 6" xfId="6981"/>
    <cellStyle name="Total 2 7" xfId="6982"/>
    <cellStyle name="Total 2 8" xfId="6983"/>
    <cellStyle name="Total 2 9" xfId="6984"/>
    <cellStyle name="Total 3" xfId="6985"/>
    <cellStyle name="Total 3 2" xfId="6986"/>
    <cellStyle name="Total 3 3" xfId="6987"/>
    <cellStyle name="Total 4" xfId="6988"/>
    <cellStyle name="Total Lt Blue %" xfId="6989"/>
    <cellStyle name="Total Lt Blue % 2" xfId="6990"/>
    <cellStyle name="Total Lt Blue % 3" xfId="6991"/>
    <cellStyle name="Total Lt Blue % 4" xfId="6992"/>
    <cellStyle name="Total Lt Blue % 5" xfId="6993"/>
    <cellStyle name="Total Lt Blue % 6" xfId="6994"/>
    <cellStyle name="Total Lt Blue % 7" xfId="6995"/>
    <cellStyle name="Total Lt Blue % 8" xfId="6996"/>
    <cellStyle name="Total Lt Blue % 9" xfId="6997"/>
    <cellStyle name="unitprice" xfId="6998"/>
    <cellStyle name="Warning Text" xfId="22" builtinId="11" customBuiltin="1"/>
    <cellStyle name="Warning Text 2" xfId="131"/>
    <cellStyle name="Warning Text 2 10" xfId="6999"/>
    <cellStyle name="Warning Text 2 11" xfId="7000"/>
    <cellStyle name="Warning Text 2 12" xfId="7001"/>
    <cellStyle name="Warning Text 2 13" xfId="7002"/>
    <cellStyle name="Warning Text 2 14" xfId="7003"/>
    <cellStyle name="Warning Text 2 15" xfId="7004"/>
    <cellStyle name="Warning Text 2 16" xfId="7005"/>
    <cellStyle name="Warning Text 2 17" xfId="7006"/>
    <cellStyle name="Warning Text 2 2" xfId="7007"/>
    <cellStyle name="Warning Text 2 2 2" xfId="7008"/>
    <cellStyle name="Warning Text 2 2 2 2" xfId="7009"/>
    <cellStyle name="Warning Text 2 2 2 3" xfId="7010"/>
    <cellStyle name="Warning Text 2 2 3" xfId="7011"/>
    <cellStyle name="Warning Text 2 2 4" xfId="7012"/>
    <cellStyle name="Warning Text 2 3" xfId="7013"/>
    <cellStyle name="Warning Text 2 4" xfId="7014"/>
    <cellStyle name="Warning Text 2 5" xfId="7015"/>
    <cellStyle name="Warning Text 2 6" xfId="7016"/>
    <cellStyle name="Warning Text 2 7" xfId="7017"/>
    <cellStyle name="Warning Text 2 8" xfId="7018"/>
    <cellStyle name="Warning Text 2 9" xfId="7019"/>
    <cellStyle name="Warning Text 3" xfId="7020"/>
    <cellStyle name="Warning Text 3 2" xfId="7021"/>
    <cellStyle name="Warning Text 3 3" xfId="7022"/>
    <cellStyle name="Warning Text 4" xfId="7023"/>
    <cellStyle name="Wrap" xfId="205"/>
    <cellStyle name="Wrap Bold" xfId="206"/>
    <cellStyle name="Wrap Title" xfId="207"/>
    <cellStyle name="Wrap_NTS99-~11" xfId="208"/>
  </cellStyles>
  <dxfs count="36">
    <dxf>
      <fill>
        <patternFill>
          <bgColor theme="1"/>
        </patternFill>
      </fill>
    </dxf>
    <dxf>
      <fill>
        <patternFill patternType="solid">
          <bgColor theme="1"/>
        </patternFill>
      </fill>
    </dxf>
    <dxf>
      <font>
        <b/>
        <i val="0"/>
        <color rgb="FFFF0000"/>
      </font>
    </dxf>
    <dxf>
      <fill>
        <patternFill>
          <bgColor rgb="FFFFFF00"/>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DDDDD"/>
        </patternFill>
      </fill>
    </dxf>
    <dxf>
      <fill>
        <patternFill>
          <bgColor rgb="FFFFFF00"/>
        </patternFill>
      </fill>
    </dxf>
    <dxf>
      <fill>
        <patternFill patternType="solid">
          <fgColor theme="0"/>
          <bgColor theme="0" tint="-0.14996795556505021"/>
        </patternFill>
      </fill>
    </dxf>
    <dxf>
      <fill>
        <patternFill>
          <bgColor theme="0" tint="-0.14996795556505021"/>
        </patternFill>
      </fill>
    </dxf>
    <dxf>
      <fill>
        <patternFill>
          <bgColor rgb="FFFFFF00"/>
        </patternFill>
      </fill>
    </dxf>
    <dxf>
      <font>
        <color rgb="FF00B050"/>
      </font>
    </dxf>
    <dxf>
      <font>
        <color rgb="FFFF0000"/>
      </font>
    </dxf>
    <dxf>
      <fill>
        <patternFill patternType="solid">
          <bgColor theme="1"/>
        </patternFill>
      </fill>
    </dxf>
    <dxf>
      <fill>
        <patternFill>
          <bgColor theme="0"/>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epa.gov/green-book" TargetMode="External"/><Relationship Id="rId1" Type="http://schemas.openxmlformats.org/officeDocument/2006/relationships/hyperlink" Target="http://www.epa.gov/oaqps001/greenbk/"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transit.dot.gov/funding/grant-programs/capital-investments/regulations-guida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5"/>
  <sheetViews>
    <sheetView showGridLines="0" tabSelected="1" zoomScaleNormal="100" workbookViewId="0">
      <selection activeCell="C12" sqref="C12:D12"/>
    </sheetView>
  </sheetViews>
  <sheetFormatPr defaultColWidth="9.33203125" defaultRowHeight="11.25"/>
  <cols>
    <col min="1" max="1" width="26.83203125" style="9" customWidth="1"/>
    <col min="2" max="2" width="43.1640625" style="9" customWidth="1"/>
    <col min="3" max="4" width="30.1640625" style="9" customWidth="1"/>
    <col min="5" max="16384" width="9.33203125" style="7"/>
  </cols>
  <sheetData>
    <row r="1" spans="1:4" ht="20.25" customHeight="1" thickBot="1">
      <c r="A1" s="560" t="s">
        <v>382</v>
      </c>
      <c r="B1" s="561"/>
      <c r="C1" s="561"/>
      <c r="D1" s="562"/>
    </row>
    <row r="2" spans="1:4" s="3" customFormat="1" ht="16.5" thickBot="1">
      <c r="A2" s="58" t="s">
        <v>3</v>
      </c>
      <c r="B2" s="587"/>
      <c r="C2" s="588"/>
      <c r="D2" s="589"/>
    </row>
    <row r="3" spans="1:4" s="8" customFormat="1" ht="13.5" thickBot="1">
      <c r="A3" s="584" t="s">
        <v>4</v>
      </c>
      <c r="B3" s="585"/>
      <c r="C3" s="585"/>
      <c r="D3" s="586"/>
    </row>
    <row r="4" spans="1:4" s="8" customFormat="1" ht="12.75">
      <c r="A4" s="567" t="s">
        <v>5</v>
      </c>
      <c r="B4" s="59" t="s">
        <v>6</v>
      </c>
      <c r="C4" s="590"/>
      <c r="D4" s="591"/>
    </row>
    <row r="5" spans="1:4" s="8" customFormat="1" ht="12.75">
      <c r="A5" s="568"/>
      <c r="B5" s="60" t="s">
        <v>7</v>
      </c>
      <c r="C5" s="540"/>
      <c r="D5" s="541"/>
    </row>
    <row r="6" spans="1:4" s="8" customFormat="1" ht="12.75">
      <c r="A6" s="568"/>
      <c r="B6" s="60" t="s">
        <v>8</v>
      </c>
      <c r="C6" s="540"/>
      <c r="D6" s="541"/>
    </row>
    <row r="7" spans="1:4" s="8" customFormat="1" ht="12.75">
      <c r="A7" s="568"/>
      <c r="B7" s="60" t="s">
        <v>9</v>
      </c>
      <c r="C7" s="540"/>
      <c r="D7" s="541"/>
    </row>
    <row r="8" spans="1:4" s="8" customFormat="1" ht="12.75">
      <c r="A8" s="568"/>
      <c r="B8" s="61" t="s">
        <v>10</v>
      </c>
      <c r="C8" s="540"/>
      <c r="D8" s="541"/>
    </row>
    <row r="9" spans="1:4" s="8" customFormat="1" ht="13.5" thickBot="1">
      <c r="A9" s="569"/>
      <c r="B9" s="62" t="s">
        <v>11</v>
      </c>
      <c r="C9" s="536"/>
      <c r="D9" s="537"/>
    </row>
    <row r="10" spans="1:4" s="8" customFormat="1" ht="12.75">
      <c r="A10" s="567" t="s">
        <v>55</v>
      </c>
      <c r="B10" s="63" t="s">
        <v>6</v>
      </c>
      <c r="C10" s="570"/>
      <c r="D10" s="571"/>
    </row>
    <row r="11" spans="1:4" s="8" customFormat="1" ht="12.75">
      <c r="A11" s="568"/>
      <c r="B11" s="61" t="s">
        <v>7</v>
      </c>
      <c r="C11" s="540"/>
      <c r="D11" s="541"/>
    </row>
    <row r="12" spans="1:4" s="8" customFormat="1" ht="12.75">
      <c r="A12" s="568"/>
      <c r="B12" s="61" t="s">
        <v>8</v>
      </c>
      <c r="C12" s="540"/>
      <c r="D12" s="541"/>
    </row>
    <row r="13" spans="1:4" s="8" customFormat="1" ht="12.75">
      <c r="A13" s="568"/>
      <c r="B13" s="61" t="s">
        <v>9</v>
      </c>
      <c r="C13" s="540"/>
      <c r="D13" s="541"/>
    </row>
    <row r="14" spans="1:4" s="8" customFormat="1" ht="12.75">
      <c r="A14" s="568"/>
      <c r="B14" s="61" t="s">
        <v>10</v>
      </c>
      <c r="C14" s="540"/>
      <c r="D14" s="541"/>
    </row>
    <row r="15" spans="1:4" s="8" customFormat="1" ht="13.5" thickBot="1">
      <c r="A15" s="569"/>
      <c r="B15" s="62" t="s">
        <v>11</v>
      </c>
      <c r="C15" s="536"/>
      <c r="D15" s="537"/>
    </row>
    <row r="16" spans="1:4" s="8" customFormat="1" ht="12.75">
      <c r="A16" s="567" t="s">
        <v>12</v>
      </c>
      <c r="B16" s="63" t="s">
        <v>6</v>
      </c>
      <c r="C16" s="570"/>
      <c r="D16" s="571"/>
    </row>
    <row r="17" spans="1:4" s="8" customFormat="1" ht="12.75">
      <c r="A17" s="568"/>
      <c r="B17" s="61" t="s">
        <v>7</v>
      </c>
      <c r="C17" s="540"/>
      <c r="D17" s="541"/>
    </row>
    <row r="18" spans="1:4" s="8" customFormat="1" ht="12.75">
      <c r="A18" s="568"/>
      <c r="B18" s="61" t="s">
        <v>8</v>
      </c>
      <c r="C18" s="540"/>
      <c r="D18" s="541"/>
    </row>
    <row r="19" spans="1:4" s="8" customFormat="1" ht="12.75">
      <c r="A19" s="568"/>
      <c r="B19" s="61" t="s">
        <v>9</v>
      </c>
      <c r="C19" s="540"/>
      <c r="D19" s="541"/>
    </row>
    <row r="20" spans="1:4" s="8" customFormat="1" ht="12.75">
      <c r="A20" s="568"/>
      <c r="B20" s="61" t="s">
        <v>10</v>
      </c>
      <c r="C20" s="540"/>
      <c r="D20" s="541"/>
    </row>
    <row r="21" spans="1:4" s="8" customFormat="1" ht="13.5" thickBot="1">
      <c r="A21" s="569"/>
      <c r="B21" s="62" t="s">
        <v>11</v>
      </c>
      <c r="C21" s="536"/>
      <c r="D21" s="537"/>
    </row>
    <row r="22" spans="1:4" s="8" customFormat="1" ht="12.75">
      <c r="A22" s="567" t="s">
        <v>13</v>
      </c>
      <c r="B22" s="63" t="s">
        <v>6</v>
      </c>
      <c r="C22" s="570"/>
      <c r="D22" s="571"/>
    </row>
    <row r="23" spans="1:4" s="8" customFormat="1" ht="12.75">
      <c r="A23" s="568"/>
      <c r="B23" s="61" t="s">
        <v>7</v>
      </c>
      <c r="C23" s="540"/>
      <c r="D23" s="541"/>
    </row>
    <row r="24" spans="1:4" s="8" customFormat="1" ht="12.75">
      <c r="A24" s="568"/>
      <c r="B24" s="61" t="s">
        <v>8</v>
      </c>
      <c r="C24" s="540"/>
      <c r="D24" s="541"/>
    </row>
    <row r="25" spans="1:4" s="8" customFormat="1" ht="12.75">
      <c r="A25" s="568"/>
      <c r="B25" s="61" t="s">
        <v>9</v>
      </c>
      <c r="C25" s="540"/>
      <c r="D25" s="541"/>
    </row>
    <row r="26" spans="1:4" s="8" customFormat="1" ht="12.75">
      <c r="A26" s="568"/>
      <c r="B26" s="61" t="s">
        <v>10</v>
      </c>
      <c r="C26" s="540"/>
      <c r="D26" s="541"/>
    </row>
    <row r="27" spans="1:4" s="8" customFormat="1" ht="13.5" thickBot="1">
      <c r="A27" s="569"/>
      <c r="B27" s="62" t="s">
        <v>11</v>
      </c>
      <c r="C27" s="536"/>
      <c r="D27" s="537"/>
    </row>
    <row r="28" spans="1:4" s="8" customFormat="1" ht="12.75">
      <c r="A28" s="567" t="s">
        <v>14</v>
      </c>
      <c r="B28" s="63" t="s">
        <v>6</v>
      </c>
      <c r="C28" s="570"/>
      <c r="D28" s="571"/>
    </row>
    <row r="29" spans="1:4" s="8" customFormat="1" ht="12.75">
      <c r="A29" s="568"/>
      <c r="B29" s="61" t="s">
        <v>7</v>
      </c>
      <c r="C29" s="540"/>
      <c r="D29" s="541"/>
    </row>
    <row r="30" spans="1:4" s="8" customFormat="1" ht="12.75">
      <c r="A30" s="568"/>
      <c r="B30" s="61" t="s">
        <v>8</v>
      </c>
      <c r="C30" s="540"/>
      <c r="D30" s="541"/>
    </row>
    <row r="31" spans="1:4" s="8" customFormat="1" ht="12.75">
      <c r="A31" s="568"/>
      <c r="B31" s="61" t="s">
        <v>9</v>
      </c>
      <c r="C31" s="540"/>
      <c r="D31" s="541"/>
    </row>
    <row r="32" spans="1:4" s="8" customFormat="1" ht="12.75">
      <c r="A32" s="568"/>
      <c r="B32" s="61" t="s">
        <v>10</v>
      </c>
      <c r="C32" s="540"/>
      <c r="D32" s="541"/>
    </row>
    <row r="33" spans="1:5" s="8" customFormat="1" ht="13.5" thickBot="1">
      <c r="A33" s="569"/>
      <c r="B33" s="62" t="s">
        <v>11</v>
      </c>
      <c r="C33" s="536"/>
      <c r="D33" s="537"/>
    </row>
    <row r="34" spans="1:5" s="8" customFormat="1" ht="12.75">
      <c r="A34" s="567" t="s">
        <v>14</v>
      </c>
      <c r="B34" s="63" t="s">
        <v>6</v>
      </c>
      <c r="C34" s="570"/>
      <c r="D34" s="571"/>
    </row>
    <row r="35" spans="1:5" s="8" customFormat="1" ht="12.75">
      <c r="A35" s="568"/>
      <c r="B35" s="61" t="s">
        <v>7</v>
      </c>
      <c r="C35" s="540"/>
      <c r="D35" s="541"/>
    </row>
    <row r="36" spans="1:5" s="8" customFormat="1" ht="12.75">
      <c r="A36" s="568"/>
      <c r="B36" s="61" t="s">
        <v>8</v>
      </c>
      <c r="C36" s="540"/>
      <c r="D36" s="541"/>
    </row>
    <row r="37" spans="1:5" s="8" customFormat="1" ht="12.75">
      <c r="A37" s="568"/>
      <c r="B37" s="61" t="s">
        <v>9</v>
      </c>
      <c r="C37" s="540"/>
      <c r="D37" s="541"/>
    </row>
    <row r="38" spans="1:5" s="8" customFormat="1" ht="12.75">
      <c r="A38" s="568"/>
      <c r="B38" s="61" t="s">
        <v>10</v>
      </c>
      <c r="C38" s="540"/>
      <c r="D38" s="541"/>
    </row>
    <row r="39" spans="1:5" s="8" customFormat="1" ht="13.5" thickBot="1">
      <c r="A39" s="569"/>
      <c r="B39" s="62" t="s">
        <v>11</v>
      </c>
      <c r="C39" s="536"/>
      <c r="D39" s="537"/>
    </row>
    <row r="40" spans="1:5" s="8" customFormat="1" ht="12.75">
      <c r="A40" s="567" t="s">
        <v>14</v>
      </c>
      <c r="B40" s="63" t="s">
        <v>6</v>
      </c>
      <c r="C40" s="570"/>
      <c r="D40" s="571"/>
    </row>
    <row r="41" spans="1:5" s="8" customFormat="1" ht="12.75">
      <c r="A41" s="568"/>
      <c r="B41" s="61" t="s">
        <v>7</v>
      </c>
      <c r="C41" s="540"/>
      <c r="D41" s="541"/>
    </row>
    <row r="42" spans="1:5" s="8" customFormat="1" ht="12.75">
      <c r="A42" s="568"/>
      <c r="B42" s="61" t="s">
        <v>8</v>
      </c>
      <c r="C42" s="540"/>
      <c r="D42" s="541"/>
    </row>
    <row r="43" spans="1:5" s="8" customFormat="1" ht="12.75">
      <c r="A43" s="568"/>
      <c r="B43" s="61" t="s">
        <v>9</v>
      </c>
      <c r="C43" s="540"/>
      <c r="D43" s="541"/>
    </row>
    <row r="44" spans="1:5" s="8" customFormat="1" ht="12.75">
      <c r="A44" s="568"/>
      <c r="B44" s="61" t="s">
        <v>10</v>
      </c>
      <c r="C44" s="540"/>
      <c r="D44" s="541"/>
    </row>
    <row r="45" spans="1:5" s="8" customFormat="1" ht="13.5" thickBot="1">
      <c r="A45" s="569"/>
      <c r="B45" s="62" t="s">
        <v>11</v>
      </c>
      <c r="C45" s="536"/>
      <c r="D45" s="537"/>
    </row>
    <row r="46" spans="1:5" s="9" customFormat="1" ht="15.75" thickBot="1">
      <c r="A46" s="64"/>
      <c r="B46" s="65"/>
      <c r="C46" s="65"/>
      <c r="D46" s="65"/>
    </row>
    <row r="47" spans="1:5" ht="18.75" thickBot="1">
      <c r="A47" s="560" t="s">
        <v>383</v>
      </c>
      <c r="B47" s="561"/>
      <c r="C47" s="561"/>
      <c r="D47" s="562"/>
    </row>
    <row r="48" spans="1:5" ht="13.5" thickBot="1">
      <c r="A48" s="551" t="s">
        <v>15</v>
      </c>
      <c r="B48" s="66" t="s">
        <v>16</v>
      </c>
      <c r="C48" s="575"/>
      <c r="D48" s="548"/>
      <c r="E48" s="457" t="str">
        <f>IF(OR(ISNUMBER(C48),C48=""),"","Please enter only the length in miles; do not include any text")</f>
        <v/>
      </c>
    </row>
    <row r="49" spans="1:4" ht="13.5" thickBot="1">
      <c r="A49" s="574"/>
      <c r="B49" s="67" t="s">
        <v>17</v>
      </c>
      <c r="C49" s="576"/>
      <c r="D49" s="573"/>
    </row>
    <row r="50" spans="1:4" ht="13.5" thickBot="1">
      <c r="A50" s="574"/>
      <c r="B50" s="67" t="s">
        <v>18</v>
      </c>
      <c r="C50" s="547"/>
      <c r="D50" s="548"/>
    </row>
    <row r="51" spans="1:4" ht="12.75">
      <c r="A51" s="574"/>
      <c r="B51" s="567" t="s">
        <v>127</v>
      </c>
      <c r="C51" s="553"/>
      <c r="D51" s="554"/>
    </row>
    <row r="52" spans="1:4" ht="12.75">
      <c r="A52" s="574"/>
      <c r="B52" s="568"/>
      <c r="C52" s="540"/>
      <c r="D52" s="541"/>
    </row>
    <row r="53" spans="1:4" ht="12.75">
      <c r="A53" s="574"/>
      <c r="B53" s="568"/>
      <c r="C53" s="540"/>
      <c r="D53" s="541"/>
    </row>
    <row r="54" spans="1:4" ht="12.75">
      <c r="A54" s="574"/>
      <c r="B54" s="568"/>
      <c r="C54" s="540"/>
      <c r="D54" s="541"/>
    </row>
    <row r="55" spans="1:4" ht="12.75">
      <c r="A55" s="574"/>
      <c r="B55" s="568"/>
      <c r="C55" s="540"/>
      <c r="D55" s="541"/>
    </row>
    <row r="56" spans="1:4" ht="12.75">
      <c r="A56" s="574"/>
      <c r="B56" s="568"/>
      <c r="C56" s="540"/>
      <c r="D56" s="541"/>
    </row>
    <row r="57" spans="1:4" ht="12.75">
      <c r="A57" s="574"/>
      <c r="B57" s="568"/>
      <c r="C57" s="540"/>
      <c r="D57" s="541"/>
    </row>
    <row r="58" spans="1:4" ht="12.75">
      <c r="A58" s="574"/>
      <c r="B58" s="568"/>
      <c r="C58" s="540"/>
      <c r="D58" s="541"/>
    </row>
    <row r="59" spans="1:4" ht="12.75">
      <c r="A59" s="574"/>
      <c r="B59" s="568"/>
      <c r="C59" s="540"/>
      <c r="D59" s="541"/>
    </row>
    <row r="60" spans="1:4" ht="12.75">
      <c r="A60" s="574"/>
      <c r="B60" s="568"/>
      <c r="C60" s="540"/>
      <c r="D60" s="541"/>
    </row>
    <row r="61" spans="1:4" ht="12.75">
      <c r="A61" s="574"/>
      <c r="B61" s="568"/>
      <c r="C61" s="540"/>
      <c r="D61" s="541"/>
    </row>
    <row r="62" spans="1:4" ht="12.75">
      <c r="A62" s="574"/>
      <c r="B62" s="568"/>
      <c r="C62" s="540"/>
      <c r="D62" s="541"/>
    </row>
    <row r="63" spans="1:4" ht="12.75">
      <c r="A63" s="574"/>
      <c r="B63" s="568"/>
      <c r="C63" s="540"/>
      <c r="D63" s="541"/>
    </row>
    <row r="64" spans="1:4" ht="12.75">
      <c r="A64" s="574"/>
      <c r="B64" s="568"/>
      <c r="C64" s="540"/>
      <c r="D64" s="541"/>
    </row>
    <row r="65" spans="1:4" ht="12.75">
      <c r="A65" s="574"/>
      <c r="B65" s="568"/>
      <c r="C65" s="540"/>
      <c r="D65" s="541"/>
    </row>
    <row r="66" spans="1:4" ht="12.75">
      <c r="A66" s="574"/>
      <c r="B66" s="568"/>
      <c r="C66" s="540"/>
      <c r="D66" s="541"/>
    </row>
    <row r="67" spans="1:4" ht="12.75">
      <c r="A67" s="574"/>
      <c r="B67" s="568"/>
      <c r="C67" s="540"/>
      <c r="D67" s="541"/>
    </row>
    <row r="68" spans="1:4" ht="12.75">
      <c r="A68" s="574"/>
      <c r="B68" s="568"/>
      <c r="C68" s="540"/>
      <c r="D68" s="541"/>
    </row>
    <row r="69" spans="1:4" ht="12.75">
      <c r="A69" s="574"/>
      <c r="B69" s="568"/>
      <c r="C69" s="540"/>
      <c r="D69" s="541"/>
    </row>
    <row r="70" spans="1:4" ht="13.5" thickBot="1">
      <c r="A70" s="574"/>
      <c r="B70" s="569"/>
      <c r="C70" s="582"/>
      <c r="D70" s="583"/>
    </row>
    <row r="71" spans="1:4" ht="12.75">
      <c r="A71" s="574"/>
      <c r="B71" s="567" t="s">
        <v>19</v>
      </c>
      <c r="C71" s="553"/>
      <c r="D71" s="554"/>
    </row>
    <row r="72" spans="1:4" ht="12.75">
      <c r="A72" s="574"/>
      <c r="B72" s="568"/>
      <c r="C72" s="540"/>
      <c r="D72" s="541"/>
    </row>
    <row r="73" spans="1:4" ht="12.75">
      <c r="A73" s="574"/>
      <c r="B73" s="568"/>
      <c r="C73" s="540"/>
      <c r="D73" s="541"/>
    </row>
    <row r="74" spans="1:4" ht="12.75">
      <c r="A74" s="574"/>
      <c r="B74" s="568"/>
      <c r="C74" s="540"/>
      <c r="D74" s="541"/>
    </row>
    <row r="75" spans="1:4" ht="12.75">
      <c r="A75" s="574"/>
      <c r="B75" s="568"/>
      <c r="C75" s="540"/>
      <c r="D75" s="541"/>
    </row>
    <row r="76" spans="1:4" ht="12.75">
      <c r="A76" s="574"/>
      <c r="B76" s="568"/>
      <c r="C76" s="540"/>
      <c r="D76" s="541"/>
    </row>
    <row r="77" spans="1:4" ht="12.75">
      <c r="A77" s="574"/>
      <c r="B77" s="568"/>
      <c r="C77" s="540"/>
      <c r="D77" s="541"/>
    </row>
    <row r="78" spans="1:4" ht="12.75">
      <c r="A78" s="574"/>
      <c r="B78" s="568"/>
      <c r="C78" s="540"/>
      <c r="D78" s="541"/>
    </row>
    <row r="79" spans="1:4" ht="12.75">
      <c r="A79" s="574"/>
      <c r="B79" s="568"/>
      <c r="C79" s="540"/>
      <c r="D79" s="541"/>
    </row>
    <row r="80" spans="1:4" ht="12.75">
      <c r="A80" s="574"/>
      <c r="B80" s="568"/>
      <c r="C80" s="540"/>
      <c r="D80" s="541"/>
    </row>
    <row r="81" spans="1:5" ht="13.5" thickBot="1">
      <c r="A81" s="574"/>
      <c r="B81" s="569"/>
      <c r="C81" s="582"/>
      <c r="D81" s="583"/>
    </row>
    <row r="82" spans="1:5" ht="13.5" thickBot="1">
      <c r="A82" s="552"/>
      <c r="B82" s="67" t="s">
        <v>20</v>
      </c>
      <c r="C82" s="547"/>
      <c r="D82" s="548"/>
    </row>
    <row r="83" spans="1:5" ht="13.5" thickBot="1">
      <c r="A83" s="595" t="s">
        <v>56</v>
      </c>
      <c r="B83" s="67" t="s">
        <v>21</v>
      </c>
      <c r="C83" s="547"/>
      <c r="D83" s="548"/>
    </row>
    <row r="84" spans="1:5" ht="13.5" thickBot="1">
      <c r="A84" s="596"/>
      <c r="B84" s="67" t="s">
        <v>22</v>
      </c>
      <c r="C84" s="547"/>
      <c r="D84" s="548"/>
    </row>
    <row r="85" spans="1:5" ht="13.5" thickBot="1">
      <c r="A85" s="596"/>
      <c r="B85" s="67" t="s">
        <v>23</v>
      </c>
      <c r="C85" s="547"/>
      <c r="D85" s="548"/>
    </row>
    <row r="86" spans="1:5" ht="13.5" thickBot="1">
      <c r="A86" s="596"/>
      <c r="B86" s="67" t="s">
        <v>24</v>
      </c>
      <c r="C86" s="547"/>
      <c r="D86" s="548"/>
    </row>
    <row r="87" spans="1:5" ht="13.5" thickBot="1">
      <c r="A87" s="597"/>
      <c r="B87" s="67" t="s">
        <v>25</v>
      </c>
      <c r="C87" s="547"/>
      <c r="D87" s="548"/>
    </row>
    <row r="88" spans="1:5" ht="27.75" customHeight="1" thickBot="1">
      <c r="A88" s="551" t="s">
        <v>135</v>
      </c>
      <c r="B88" s="67" t="s">
        <v>26</v>
      </c>
      <c r="C88" s="547"/>
      <c r="D88" s="548"/>
    </row>
    <row r="89" spans="1:5" ht="27.75" customHeight="1" thickBot="1">
      <c r="A89" s="552"/>
      <c r="B89" s="67" t="s">
        <v>27</v>
      </c>
      <c r="C89" s="547"/>
      <c r="D89" s="548"/>
    </row>
    <row r="90" spans="1:5" s="9" customFormat="1" ht="15.75" thickBot="1">
      <c r="A90" s="64"/>
      <c r="B90" s="65"/>
      <c r="C90" s="65"/>
      <c r="D90" s="65"/>
    </row>
    <row r="91" spans="1:5" ht="21.75" customHeight="1" thickBot="1">
      <c r="A91" s="560" t="s">
        <v>384</v>
      </c>
      <c r="B91" s="561"/>
      <c r="C91" s="561"/>
      <c r="D91" s="562"/>
    </row>
    <row r="92" spans="1:5" s="8" customFormat="1" ht="13.5" thickBot="1">
      <c r="A92" s="542" t="s">
        <v>373</v>
      </c>
      <c r="B92" s="546"/>
      <c r="C92" s="547" t="s">
        <v>194</v>
      </c>
      <c r="D92" s="548"/>
      <c r="E92" s="483" t="str">
        <f>IF(C92&lt;&gt;"Yes","",IF(OR(C93="",C98=0),"To confirm that project qualifies, specify existing weekday transit trips below and enter the capital cost in the Finance template",IF(Lookups!K20="Yes","Existing ridership and project cost meet the project justification warrant thresholds.","Project does not meet thresholds for project justification warrants.  See final interim policy guidance for more information.")))</f>
        <v/>
      </c>
    </row>
    <row r="93" spans="1:5" s="8" customFormat="1" ht="13.5" thickBot="1">
      <c r="A93" s="542" t="str">
        <f>IF(C92="Yes","   Specify existing weekday transit trips in the corridor","")</f>
        <v/>
      </c>
      <c r="B93" s="546"/>
      <c r="C93" s="549"/>
      <c r="D93" s="550"/>
      <c r="E93" s="482"/>
    </row>
    <row r="94" spans="1:5" s="8" customFormat="1" ht="13.5" thickBot="1">
      <c r="A94" s="169" t="s">
        <v>28</v>
      </c>
      <c r="B94" s="314"/>
      <c r="C94" s="314"/>
      <c r="D94" s="68"/>
    </row>
    <row r="95" spans="1:5" s="8" customFormat="1" ht="27.75" customHeight="1" thickBot="1">
      <c r="A95" s="382" t="s">
        <v>153</v>
      </c>
      <c r="B95" s="383" t="s">
        <v>29</v>
      </c>
      <c r="C95" s="383" t="str">
        <f>IF(C92&lt;&gt;"Yes","Horizon","")</f>
        <v>Horizon</v>
      </c>
      <c r="D95" s="316" t="str">
        <f>IF(C92&lt;&gt;"Yes","Exact Horizon Year"&amp;CHAR(10)&amp;"(e.g., 2035)","")</f>
        <v>Exact Horizon Year
(e.g., 2035)</v>
      </c>
    </row>
    <row r="96" spans="1:5" s="8" customFormat="1" ht="13.5" thickBot="1">
      <c r="A96" s="375"/>
      <c r="B96" s="34"/>
      <c r="C96" s="34" t="s">
        <v>194</v>
      </c>
      <c r="D96" s="409"/>
    </row>
    <row r="97" spans="1:4" s="8" customFormat="1" ht="13.5" thickBot="1">
      <c r="A97" s="551" t="s">
        <v>30</v>
      </c>
      <c r="B97" s="67" t="s">
        <v>454</v>
      </c>
      <c r="C97" s="538">
        <f>+Finance!B4</f>
        <v>0</v>
      </c>
      <c r="D97" s="539"/>
    </row>
    <row r="98" spans="1:4" s="8" customFormat="1" ht="13.5" thickBot="1">
      <c r="A98" s="552"/>
      <c r="B98" s="67" t="s">
        <v>31</v>
      </c>
      <c r="C98" s="538">
        <f>+Finance!E4</f>
        <v>0</v>
      </c>
      <c r="D98" s="539"/>
    </row>
    <row r="99" spans="1:4" s="8" customFormat="1" ht="13.5" thickBot="1">
      <c r="A99" s="551" t="s">
        <v>32</v>
      </c>
      <c r="B99" s="69" t="s">
        <v>33</v>
      </c>
      <c r="C99" s="191" t="s">
        <v>29</v>
      </c>
      <c r="D99" s="381" t="s">
        <v>275</v>
      </c>
    </row>
    <row r="100" spans="1:4" s="8" customFormat="1" ht="12.75">
      <c r="A100" s="574"/>
      <c r="B100" s="70" t="s">
        <v>34</v>
      </c>
      <c r="C100" s="307"/>
      <c r="D100" s="305"/>
    </row>
    <row r="101" spans="1:4" s="8" customFormat="1" ht="12.75">
      <c r="A101" s="574"/>
      <c r="B101" s="70" t="s">
        <v>35</v>
      </c>
      <c r="C101" s="42"/>
      <c r="D101" s="304"/>
    </row>
    <row r="102" spans="1:4" s="8" customFormat="1" ht="12.75">
      <c r="A102" s="574"/>
      <c r="B102" s="70" t="s">
        <v>36</v>
      </c>
      <c r="C102" s="42"/>
      <c r="D102" s="304"/>
    </row>
    <row r="103" spans="1:4" s="8" customFormat="1" ht="13.5" thickBot="1">
      <c r="A103" s="574"/>
      <c r="B103" s="71" t="s">
        <v>37</v>
      </c>
      <c r="C103" s="308"/>
      <c r="D103" s="306"/>
    </row>
    <row r="104" spans="1:4" s="8" customFormat="1" ht="13.5" thickBot="1">
      <c r="A104" s="574"/>
      <c r="B104" s="69" t="s">
        <v>38</v>
      </c>
      <c r="C104" s="191" t="s">
        <v>29</v>
      </c>
      <c r="D104" s="191" t="s">
        <v>275</v>
      </c>
    </row>
    <row r="105" spans="1:4" s="8" customFormat="1" ht="12.75">
      <c r="A105" s="574"/>
      <c r="B105" s="70" t="s">
        <v>39</v>
      </c>
      <c r="C105" s="42"/>
      <c r="D105" s="394"/>
    </row>
    <row r="106" spans="1:4" s="8" customFormat="1" ht="13.5" thickBot="1">
      <c r="A106" s="552"/>
      <c r="B106" s="71" t="s">
        <v>37</v>
      </c>
      <c r="C106" s="308"/>
      <c r="D106" s="395"/>
    </row>
    <row r="107" spans="1:4" s="8" customFormat="1" ht="13.5" thickBot="1">
      <c r="A107" s="542" t="str">
        <f>IF(C92&lt;&gt;"Yes","Type of Model Used for Travel Forecasts","")</f>
        <v>Type of Model Used for Travel Forecasts</v>
      </c>
      <c r="B107" s="546"/>
      <c r="C107" s="572" t="s">
        <v>291</v>
      </c>
      <c r="D107" s="573"/>
    </row>
    <row r="108" spans="1:4" s="8" customFormat="1" ht="13.5" thickBot="1">
      <c r="A108" s="542" t="str">
        <f>IF(C92&lt;&gt;"Yes","Fare Policy Assumptions Used in Travel Forecasts [footnote 1]","")</f>
        <v>Fare Policy Assumptions Used in Travel Forecasts [footnote 1]</v>
      </c>
      <c r="B108" s="543"/>
      <c r="C108" s="544"/>
      <c r="D108" s="545"/>
    </row>
    <row r="109" spans="1:4" s="8" customFormat="1" ht="27.75" customHeight="1" thickBot="1">
      <c r="A109" s="579" t="s">
        <v>195</v>
      </c>
      <c r="B109" s="580"/>
      <c r="C109" s="581"/>
      <c r="D109" s="545"/>
    </row>
    <row r="110" spans="1:4" s="8" customFormat="1" ht="13.5" thickBot="1">
      <c r="A110" s="595" t="s">
        <v>136</v>
      </c>
      <c r="B110" s="592" t="s">
        <v>40</v>
      </c>
      <c r="C110" s="593"/>
      <c r="D110" s="594"/>
    </row>
    <row r="111" spans="1:4" s="8" customFormat="1" ht="13.5" thickBot="1">
      <c r="A111" s="596"/>
      <c r="B111" s="602" t="s">
        <v>168</v>
      </c>
      <c r="C111" s="603"/>
      <c r="D111" s="604"/>
    </row>
    <row r="112" spans="1:4" s="8" customFormat="1" ht="12.75">
      <c r="A112" s="596"/>
      <c r="B112" s="563" t="s">
        <v>170</v>
      </c>
      <c r="C112" s="564"/>
      <c r="D112" s="42" t="s">
        <v>194</v>
      </c>
    </row>
    <row r="113" spans="1:4" s="8" customFormat="1" ht="12.75">
      <c r="A113" s="596"/>
      <c r="B113" s="565" t="s">
        <v>169</v>
      </c>
      <c r="C113" s="566"/>
      <c r="D113" s="309"/>
    </row>
    <row r="114" spans="1:4" s="8" customFormat="1" ht="12.75">
      <c r="A114" s="596"/>
      <c r="B114" s="601" t="str">
        <f>IF(D112="Environmental Impact Statement (EIS)","Notice of Intent",IF(D112="Environmental Assessment (EA)","Finding of No Significant Impact (FONSI)",IF(D112="Categorical Exclusion (CE)","Receipt of CE","(Select NEPA class of action above)")))</f>
        <v>(Select NEPA class of action above)</v>
      </c>
      <c r="C114" s="566"/>
      <c r="D114" s="311"/>
    </row>
    <row r="115" spans="1:4" s="8" customFormat="1" ht="12.75">
      <c r="A115" s="596"/>
      <c r="B115" s="565" t="str">
        <f>IF(D112="Environmental Impact Statement (EIS)","Publication of DEIS","")</f>
        <v/>
      </c>
      <c r="C115" s="566"/>
      <c r="D115" s="311"/>
    </row>
    <row r="116" spans="1:4" s="8" customFormat="1" ht="12.75">
      <c r="A116" s="596"/>
      <c r="B116" s="565" t="str">
        <f>IF(D112="Environmental Impact Statement (EIS)","Publication of FEIS","")</f>
        <v/>
      </c>
      <c r="C116" s="566"/>
      <c r="D116" s="311"/>
    </row>
    <row r="117" spans="1:4" s="8" customFormat="1" ht="12.75">
      <c r="A117" s="596"/>
      <c r="B117" s="565" t="str">
        <f>IF(D112="Environmental Impact Statement (EIS)","Record of Decision","")</f>
        <v/>
      </c>
      <c r="C117" s="566"/>
      <c r="D117" s="311"/>
    </row>
    <row r="118" spans="1:4" s="8" customFormat="1" ht="12.75">
      <c r="A118" s="596"/>
      <c r="B118" s="565" t="s">
        <v>41</v>
      </c>
      <c r="C118" s="566"/>
      <c r="D118" s="311"/>
    </row>
    <row r="119" spans="1:4" s="8" customFormat="1" ht="12.75">
      <c r="A119" s="596"/>
      <c r="B119" s="565" t="s">
        <v>42</v>
      </c>
      <c r="C119" s="566"/>
      <c r="D119" s="311"/>
    </row>
    <row r="120" spans="1:4" s="8" customFormat="1" ht="12.75">
      <c r="A120" s="596"/>
      <c r="B120" s="565" t="s">
        <v>387</v>
      </c>
      <c r="C120" s="566"/>
      <c r="D120" s="309"/>
    </row>
    <row r="121" spans="1:4" s="8" customFormat="1" ht="12.75">
      <c r="A121" s="596"/>
      <c r="B121" s="565" t="s">
        <v>306</v>
      </c>
      <c r="C121" s="566"/>
      <c r="D121" s="309"/>
    </row>
    <row r="122" spans="1:4" s="8" customFormat="1" ht="13.5" thickBot="1">
      <c r="A122" s="597"/>
      <c r="B122" s="599" t="s">
        <v>224</v>
      </c>
      <c r="C122" s="600"/>
      <c r="D122" s="310"/>
    </row>
    <row r="123" spans="1:4" s="8" customFormat="1" ht="13.5" thickBot="1">
      <c r="A123" s="73" t="s">
        <v>43</v>
      </c>
      <c r="B123" s="74"/>
      <c r="C123" s="74"/>
      <c r="D123" s="75"/>
    </row>
    <row r="124" spans="1:4" s="8" customFormat="1" ht="12.75">
      <c r="A124" s="598" t="s">
        <v>44</v>
      </c>
      <c r="B124" s="76" t="s">
        <v>6</v>
      </c>
      <c r="C124" s="553"/>
      <c r="D124" s="554"/>
    </row>
    <row r="125" spans="1:4" s="8" customFormat="1" ht="12.75">
      <c r="A125" s="577"/>
      <c r="B125" s="77" t="s">
        <v>8</v>
      </c>
      <c r="C125" s="540"/>
      <c r="D125" s="541"/>
    </row>
    <row r="126" spans="1:4" s="8" customFormat="1" ht="12.75">
      <c r="A126" s="577"/>
      <c r="B126" s="77" t="s">
        <v>45</v>
      </c>
      <c r="C126" s="540"/>
      <c r="D126" s="541"/>
    </row>
    <row r="127" spans="1:4" s="8" customFormat="1" ht="12.75">
      <c r="A127" s="577"/>
      <c r="B127" s="77" t="s">
        <v>46</v>
      </c>
      <c r="C127" s="540"/>
      <c r="D127" s="541"/>
    </row>
    <row r="128" spans="1:4" s="8" customFormat="1" ht="13.5" thickBot="1">
      <c r="A128" s="578"/>
      <c r="B128" s="78" t="s">
        <v>11</v>
      </c>
      <c r="C128" s="536"/>
      <c r="D128" s="537"/>
    </row>
    <row r="129" spans="1:4" s="8" customFormat="1" ht="12.75">
      <c r="A129" s="598" t="s">
        <v>47</v>
      </c>
      <c r="B129" s="79" t="s">
        <v>6</v>
      </c>
      <c r="C129" s="553"/>
      <c r="D129" s="554"/>
    </row>
    <row r="130" spans="1:4" s="8" customFormat="1" ht="12.75">
      <c r="A130" s="577"/>
      <c r="B130" s="77" t="s">
        <v>8</v>
      </c>
      <c r="C130" s="540"/>
      <c r="D130" s="541"/>
    </row>
    <row r="131" spans="1:4" s="8" customFormat="1" ht="12.75">
      <c r="A131" s="577"/>
      <c r="B131" s="77" t="s">
        <v>45</v>
      </c>
      <c r="C131" s="540"/>
      <c r="D131" s="541"/>
    </row>
    <row r="132" spans="1:4" s="8" customFormat="1" ht="12.75">
      <c r="A132" s="577"/>
      <c r="B132" s="77" t="s">
        <v>46</v>
      </c>
      <c r="C132" s="540"/>
      <c r="D132" s="541"/>
    </row>
    <row r="133" spans="1:4" s="8" customFormat="1" ht="13.5" thickBot="1">
      <c r="A133" s="578"/>
      <c r="B133" s="78" t="s">
        <v>11</v>
      </c>
      <c r="C133" s="536"/>
      <c r="D133" s="537"/>
    </row>
    <row r="134" spans="1:4" s="8" customFormat="1" ht="12.75">
      <c r="A134" s="555" t="s">
        <v>385</v>
      </c>
      <c r="B134" s="79" t="s">
        <v>6</v>
      </c>
      <c r="C134" s="553"/>
      <c r="D134" s="554"/>
    </row>
    <row r="135" spans="1:4" s="8" customFormat="1" ht="12.75">
      <c r="A135" s="577"/>
      <c r="B135" s="77" t="s">
        <v>8</v>
      </c>
      <c r="C135" s="540"/>
      <c r="D135" s="541"/>
    </row>
    <row r="136" spans="1:4" s="8" customFormat="1" ht="12.75">
      <c r="A136" s="577"/>
      <c r="B136" s="77" t="s">
        <v>45</v>
      </c>
      <c r="C136" s="540"/>
      <c r="D136" s="541"/>
    </row>
    <row r="137" spans="1:4" s="8" customFormat="1" ht="12.75">
      <c r="A137" s="577"/>
      <c r="B137" s="77" t="s">
        <v>46</v>
      </c>
      <c r="C137" s="540"/>
      <c r="D137" s="541"/>
    </row>
    <row r="138" spans="1:4" s="8" customFormat="1" ht="13.5" thickBot="1">
      <c r="A138" s="578"/>
      <c r="B138" s="78" t="s">
        <v>11</v>
      </c>
      <c r="C138" s="536"/>
      <c r="D138" s="537"/>
    </row>
    <row r="139" spans="1:4" s="8" customFormat="1" ht="25.5" customHeight="1">
      <c r="A139" s="558" t="s">
        <v>317</v>
      </c>
      <c r="B139" s="559"/>
      <c r="C139" s="559"/>
      <c r="D139" s="559"/>
    </row>
    <row r="140" spans="1:4" s="9" customFormat="1" ht="13.5" thickBot="1">
      <c r="A140" s="80"/>
      <c r="B140" s="80"/>
      <c r="C140" s="80"/>
      <c r="D140" s="80"/>
    </row>
    <row r="141" spans="1:4" ht="18.75" customHeight="1" thickBot="1">
      <c r="A141" s="560" t="s">
        <v>386</v>
      </c>
      <c r="B141" s="561"/>
      <c r="C141" s="561"/>
      <c r="D141" s="562"/>
    </row>
    <row r="142" spans="1:4" s="8" customFormat="1" ht="12.75">
      <c r="A142" s="555" t="s">
        <v>171</v>
      </c>
      <c r="B142" s="79" t="s">
        <v>6</v>
      </c>
      <c r="C142" s="553"/>
      <c r="D142" s="554"/>
    </row>
    <row r="143" spans="1:4" s="8" customFormat="1" ht="12.75">
      <c r="A143" s="556"/>
      <c r="B143" s="77" t="s">
        <v>8</v>
      </c>
      <c r="C143" s="540"/>
      <c r="D143" s="541"/>
    </row>
    <row r="144" spans="1:4" s="8" customFormat="1" ht="12.75">
      <c r="A144" s="556"/>
      <c r="B144" s="77" t="s">
        <v>45</v>
      </c>
      <c r="C144" s="540"/>
      <c r="D144" s="541"/>
    </row>
    <row r="145" spans="1:4" s="8" customFormat="1" ht="12.75">
      <c r="A145" s="556"/>
      <c r="B145" s="77" t="s">
        <v>46</v>
      </c>
      <c r="C145" s="540"/>
      <c r="D145" s="541"/>
    </row>
    <row r="146" spans="1:4" s="8" customFormat="1" ht="13.5" thickBot="1">
      <c r="A146" s="557"/>
      <c r="B146" s="81" t="s">
        <v>11</v>
      </c>
      <c r="C146" s="536"/>
      <c r="D146" s="537"/>
    </row>
    <row r="147" spans="1:4" s="8" customFormat="1" ht="12.75">
      <c r="A147" s="82" t="s">
        <v>149</v>
      </c>
      <c r="B147" s="76" t="s">
        <v>6</v>
      </c>
      <c r="C147" s="553"/>
      <c r="D147" s="554"/>
    </row>
    <row r="148" spans="1:4" s="8" customFormat="1" ht="12.75">
      <c r="A148" s="83" t="s">
        <v>48</v>
      </c>
      <c r="B148" s="77" t="s">
        <v>8</v>
      </c>
      <c r="C148" s="540"/>
      <c r="D148" s="541"/>
    </row>
    <row r="149" spans="1:4" s="8" customFormat="1" ht="12.75">
      <c r="A149" s="84"/>
      <c r="B149" s="77" t="s">
        <v>45</v>
      </c>
      <c r="C149" s="540"/>
      <c r="D149" s="541"/>
    </row>
    <row r="150" spans="1:4" s="8" customFormat="1" ht="12.75">
      <c r="A150" s="84"/>
      <c r="B150" s="77" t="s">
        <v>46</v>
      </c>
      <c r="C150" s="540"/>
      <c r="D150" s="541"/>
    </row>
    <row r="151" spans="1:4" s="8" customFormat="1" ht="13.5" thickBot="1">
      <c r="A151" s="85"/>
      <c r="B151" s="78" t="s">
        <v>11</v>
      </c>
      <c r="C151" s="536"/>
      <c r="D151" s="537"/>
    </row>
    <row r="152" spans="1:4" ht="12.75">
      <c r="A152" s="82" t="s">
        <v>150</v>
      </c>
      <c r="B152" s="76" t="s">
        <v>6</v>
      </c>
      <c r="C152" s="553"/>
      <c r="D152" s="554"/>
    </row>
    <row r="153" spans="1:4" ht="12.75">
      <c r="A153" s="86" t="s">
        <v>152</v>
      </c>
      <c r="B153" s="77" t="s">
        <v>8</v>
      </c>
      <c r="C153" s="540"/>
      <c r="D153" s="541"/>
    </row>
    <row r="154" spans="1:4" ht="12.75">
      <c r="A154" s="83" t="s">
        <v>151</v>
      </c>
      <c r="B154" s="77" t="s">
        <v>45</v>
      </c>
      <c r="C154" s="540"/>
      <c r="D154" s="541"/>
    </row>
    <row r="155" spans="1:4" ht="12.75">
      <c r="A155" s="84"/>
      <c r="B155" s="77" t="s">
        <v>46</v>
      </c>
      <c r="C155" s="540"/>
      <c r="D155" s="541"/>
    </row>
    <row r="156" spans="1:4" ht="13.5" thickBot="1">
      <c r="A156" s="85"/>
      <c r="B156" s="78" t="s">
        <v>11</v>
      </c>
      <c r="C156" s="536"/>
      <c r="D156" s="537"/>
    </row>
    <row r="157" spans="1:4" ht="12.75">
      <c r="A157" s="86" t="s">
        <v>150</v>
      </c>
      <c r="B157" s="79" t="s">
        <v>6</v>
      </c>
      <c r="C157" s="553"/>
      <c r="D157" s="554"/>
    </row>
    <row r="158" spans="1:4" ht="12.75">
      <c r="A158" s="83" t="s">
        <v>49</v>
      </c>
      <c r="B158" s="77" t="s">
        <v>8</v>
      </c>
      <c r="C158" s="540"/>
      <c r="D158" s="541"/>
    </row>
    <row r="159" spans="1:4" ht="12.75">
      <c r="A159" s="84"/>
      <c r="B159" s="77" t="s">
        <v>45</v>
      </c>
      <c r="C159" s="540"/>
      <c r="D159" s="541"/>
    </row>
    <row r="160" spans="1:4" ht="12.75">
      <c r="A160" s="84"/>
      <c r="B160" s="77" t="s">
        <v>46</v>
      </c>
      <c r="C160" s="540"/>
      <c r="D160" s="541"/>
    </row>
    <row r="161" spans="1:4" ht="13.5" thickBot="1">
      <c r="A161" s="85"/>
      <c r="B161" s="78" t="s">
        <v>11</v>
      </c>
      <c r="C161" s="536"/>
      <c r="D161" s="537"/>
    </row>
    <row r="162" spans="1:4" ht="12.75">
      <c r="A162" s="86" t="s">
        <v>150</v>
      </c>
      <c r="B162" s="79" t="s">
        <v>6</v>
      </c>
      <c r="C162" s="553"/>
      <c r="D162" s="554"/>
    </row>
    <row r="163" spans="1:4" ht="12.75">
      <c r="A163" s="83" t="s">
        <v>50</v>
      </c>
      <c r="B163" s="77" t="s">
        <v>8</v>
      </c>
      <c r="C163" s="540"/>
      <c r="D163" s="541"/>
    </row>
    <row r="164" spans="1:4" ht="12.75">
      <c r="A164" s="84"/>
      <c r="B164" s="77" t="s">
        <v>45</v>
      </c>
      <c r="C164" s="540"/>
      <c r="D164" s="541"/>
    </row>
    <row r="165" spans="1:4" ht="12.75">
      <c r="A165" s="84"/>
      <c r="B165" s="77" t="s">
        <v>46</v>
      </c>
      <c r="C165" s="540"/>
      <c r="D165" s="541"/>
    </row>
    <row r="166" spans="1:4" ht="13.5" thickBot="1">
      <c r="A166" s="85"/>
      <c r="B166" s="78" t="s">
        <v>11</v>
      </c>
      <c r="C166" s="536"/>
      <c r="D166" s="537"/>
    </row>
    <row r="167" spans="1:4" ht="12.75">
      <c r="A167" s="86" t="s">
        <v>150</v>
      </c>
      <c r="B167" s="79" t="s">
        <v>6</v>
      </c>
      <c r="C167" s="553"/>
      <c r="D167" s="554"/>
    </row>
    <row r="168" spans="1:4" ht="12.75">
      <c r="A168" s="83" t="s">
        <v>51</v>
      </c>
      <c r="B168" s="77" t="s">
        <v>8</v>
      </c>
      <c r="C168" s="540"/>
      <c r="D168" s="541"/>
    </row>
    <row r="169" spans="1:4" ht="12.75">
      <c r="A169" s="84"/>
      <c r="B169" s="77" t="s">
        <v>45</v>
      </c>
      <c r="C169" s="540"/>
      <c r="D169" s="541"/>
    </row>
    <row r="170" spans="1:4" ht="12.75">
      <c r="A170" s="84"/>
      <c r="B170" s="77" t="s">
        <v>46</v>
      </c>
      <c r="C170" s="540"/>
      <c r="D170" s="541"/>
    </row>
    <row r="171" spans="1:4" ht="13.5" thickBot="1">
      <c r="A171" s="85"/>
      <c r="B171" s="78" t="s">
        <v>11</v>
      </c>
      <c r="C171" s="536"/>
      <c r="D171" s="537"/>
    </row>
    <row r="172" spans="1:4" ht="13.5" thickBot="1">
      <c r="A172" s="87" t="s">
        <v>52</v>
      </c>
      <c r="B172" s="88"/>
      <c r="C172" s="605"/>
      <c r="D172" s="606"/>
    </row>
    <row r="173" spans="1:4" ht="12.75">
      <c r="A173" s="598" t="s">
        <v>53</v>
      </c>
      <c r="B173" s="76" t="s">
        <v>6</v>
      </c>
      <c r="C173" s="553"/>
      <c r="D173" s="554"/>
    </row>
    <row r="174" spans="1:4" ht="12.75">
      <c r="A174" s="577"/>
      <c r="B174" s="77" t="s">
        <v>8</v>
      </c>
      <c r="C174" s="540"/>
      <c r="D174" s="541"/>
    </row>
    <row r="175" spans="1:4" ht="12.75">
      <c r="A175" s="577"/>
      <c r="B175" s="77" t="s">
        <v>45</v>
      </c>
      <c r="C175" s="540"/>
      <c r="D175" s="541"/>
    </row>
    <row r="176" spans="1:4" ht="12.75">
      <c r="A176" s="577"/>
      <c r="B176" s="77" t="s">
        <v>46</v>
      </c>
      <c r="C176" s="540"/>
      <c r="D176" s="541"/>
    </row>
    <row r="177" spans="1:4" ht="13.5" thickBot="1">
      <c r="A177" s="578"/>
      <c r="B177" s="78" t="s">
        <v>11</v>
      </c>
      <c r="C177" s="536"/>
      <c r="D177" s="537"/>
    </row>
    <row r="178" spans="1:4" ht="12.75">
      <c r="A178" s="598" t="s">
        <v>54</v>
      </c>
      <c r="B178" s="79" t="s">
        <v>6</v>
      </c>
      <c r="C178" s="553"/>
      <c r="D178" s="554"/>
    </row>
    <row r="179" spans="1:4" ht="12.75">
      <c r="A179" s="577"/>
      <c r="B179" s="77" t="s">
        <v>8</v>
      </c>
      <c r="C179" s="540"/>
      <c r="D179" s="541"/>
    </row>
    <row r="180" spans="1:4" ht="12.75">
      <c r="A180" s="577"/>
      <c r="B180" s="77" t="s">
        <v>45</v>
      </c>
      <c r="C180" s="540"/>
      <c r="D180" s="541"/>
    </row>
    <row r="181" spans="1:4" ht="12.75">
      <c r="A181" s="577"/>
      <c r="B181" s="77" t="s">
        <v>46</v>
      </c>
      <c r="C181" s="540"/>
      <c r="D181" s="541"/>
    </row>
    <row r="182" spans="1:4" ht="13.5" thickBot="1">
      <c r="A182" s="578"/>
      <c r="B182" s="78" t="s">
        <v>11</v>
      </c>
      <c r="C182" s="536"/>
      <c r="D182" s="537"/>
    </row>
    <row r="183" spans="1:4" ht="12.75">
      <c r="A183" s="555" t="s">
        <v>172</v>
      </c>
      <c r="B183" s="79" t="s">
        <v>6</v>
      </c>
      <c r="C183" s="553"/>
      <c r="D183" s="554"/>
    </row>
    <row r="184" spans="1:4" ht="12.75">
      <c r="A184" s="577"/>
      <c r="B184" s="77" t="s">
        <v>8</v>
      </c>
      <c r="C184" s="540"/>
      <c r="D184" s="541"/>
    </row>
    <row r="185" spans="1:4" ht="12.75">
      <c r="A185" s="577"/>
      <c r="B185" s="77" t="s">
        <v>45</v>
      </c>
      <c r="C185" s="540"/>
      <c r="D185" s="541"/>
    </row>
    <row r="186" spans="1:4" ht="12.75">
      <c r="A186" s="577"/>
      <c r="B186" s="77" t="s">
        <v>46</v>
      </c>
      <c r="C186" s="540"/>
      <c r="D186" s="541"/>
    </row>
    <row r="187" spans="1:4" ht="13.5" thickBot="1">
      <c r="A187" s="578"/>
      <c r="B187" s="78" t="s">
        <v>11</v>
      </c>
      <c r="C187" s="536"/>
      <c r="D187" s="537"/>
    </row>
    <row r="188" spans="1:4" ht="12.75">
      <c r="A188" s="555" t="s">
        <v>148</v>
      </c>
      <c r="B188" s="79" t="s">
        <v>6</v>
      </c>
      <c r="C188" s="553"/>
      <c r="D188" s="554"/>
    </row>
    <row r="189" spans="1:4" ht="12.75">
      <c r="A189" s="577"/>
      <c r="B189" s="77" t="s">
        <v>8</v>
      </c>
      <c r="C189" s="540"/>
      <c r="D189" s="541"/>
    </row>
    <row r="190" spans="1:4" ht="12.75">
      <c r="A190" s="577"/>
      <c r="B190" s="77" t="s">
        <v>45</v>
      </c>
      <c r="C190" s="540"/>
      <c r="D190" s="541"/>
    </row>
    <row r="191" spans="1:4" ht="12.75">
      <c r="A191" s="577"/>
      <c r="B191" s="77" t="s">
        <v>46</v>
      </c>
      <c r="C191" s="540"/>
      <c r="D191" s="541"/>
    </row>
    <row r="192" spans="1:4" ht="13.5" thickBot="1">
      <c r="A192" s="578"/>
      <c r="B192" s="78" t="s">
        <v>11</v>
      </c>
      <c r="C192" s="536"/>
      <c r="D192" s="537"/>
    </row>
    <row r="193" spans="1:4">
      <c r="B193" s="7"/>
      <c r="C193" s="7"/>
      <c r="D193" s="7"/>
    </row>
    <row r="194" spans="1:4" s="8" customFormat="1" ht="26.25" customHeight="1"/>
    <row r="195" spans="1:4" ht="12.75">
      <c r="A195" s="10"/>
      <c r="B195" s="7"/>
      <c r="C195" s="7"/>
      <c r="D195" s="7"/>
    </row>
  </sheetData>
  <sheetProtection algorithmName="SHA-512" hashValue="OQ0HLuf8gMTFZ7SbRgpzg8mgXAEm3c61YILAF/JwwRR9cZRx4FURaWRnpnhI+QIwxnQJMtO7pDJBBHxmjaDCKw==" saltValue="AF9xMCB8RtZ48D767+0Ukg==" spinCount="100000" sheet="1" formatCells="0" formatColumns="0" formatRows="0" insertColumns="0" insertRows="0" insertHyperlink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75" right="0.75" top="1" bottom="1" header="0.5" footer="0.5"/>
      <printOptions horizontalCentered="1"/>
      <pageSetup scale="84" fitToHeight="7" orientation="portrait" r:id="rId1"/>
      <headerFooter alignWithMargins="0"/>
    </customSheetView>
  </customSheetViews>
  <mergeCells count="205">
    <mergeCell ref="C186:D186"/>
    <mergeCell ref="C187:D187"/>
    <mergeCell ref="C168:D168"/>
    <mergeCell ref="C175:D175"/>
    <mergeCell ref="C176:D176"/>
    <mergeCell ref="C169:D169"/>
    <mergeCell ref="C170:D170"/>
    <mergeCell ref="C171:D171"/>
    <mergeCell ref="C172:D172"/>
    <mergeCell ref="C183:D183"/>
    <mergeCell ref="C184:D184"/>
    <mergeCell ref="C185:D185"/>
    <mergeCell ref="C181:D181"/>
    <mergeCell ref="C182:D182"/>
    <mergeCell ref="C177:D177"/>
    <mergeCell ref="C178:D178"/>
    <mergeCell ref="C179:D179"/>
    <mergeCell ref="C180:D180"/>
    <mergeCell ref="C173:D173"/>
    <mergeCell ref="C174:D174"/>
    <mergeCell ref="A40:A45"/>
    <mergeCell ref="C40:D40"/>
    <mergeCell ref="C41:D41"/>
    <mergeCell ref="A173:A177"/>
    <mergeCell ref="A178:A182"/>
    <mergeCell ref="A129:A133"/>
    <mergeCell ref="A134:A138"/>
    <mergeCell ref="C74:D74"/>
    <mergeCell ref="B122:C122"/>
    <mergeCell ref="B118:C118"/>
    <mergeCell ref="A124:A128"/>
    <mergeCell ref="C124:D124"/>
    <mergeCell ref="A110:A122"/>
    <mergeCell ref="B116:C116"/>
    <mergeCell ref="B117:C117"/>
    <mergeCell ref="C127:D127"/>
    <mergeCell ref="C128:D128"/>
    <mergeCell ref="B114:C114"/>
    <mergeCell ref="B115:C115"/>
    <mergeCell ref="B111:D111"/>
    <mergeCell ref="C137:D137"/>
    <mergeCell ref="C136:D136"/>
    <mergeCell ref="C129:D129"/>
    <mergeCell ref="A141:D141"/>
    <mergeCell ref="C65:D65"/>
    <mergeCell ref="C44:D44"/>
    <mergeCell ref="C82:D82"/>
    <mergeCell ref="C69:D69"/>
    <mergeCell ref="C68:D68"/>
    <mergeCell ref="C70:D70"/>
    <mergeCell ref="B51:B70"/>
    <mergeCell ref="C63:D63"/>
    <mergeCell ref="C64:D64"/>
    <mergeCell ref="C52:D52"/>
    <mergeCell ref="B71:B81"/>
    <mergeCell ref="C57:D57"/>
    <mergeCell ref="C59:D59"/>
    <mergeCell ref="C72:D72"/>
    <mergeCell ref="C53:D53"/>
    <mergeCell ref="C55:D55"/>
    <mergeCell ref="C77:D77"/>
    <mergeCell ref="C75:D75"/>
    <mergeCell ref="C76:D76"/>
    <mergeCell ref="C78:D78"/>
    <mergeCell ref="C80:D80"/>
    <mergeCell ref="C15:D15"/>
    <mergeCell ref="C26:D26"/>
    <mergeCell ref="C27:D27"/>
    <mergeCell ref="C29:D29"/>
    <mergeCell ref="C16:D16"/>
    <mergeCell ref="C25:D25"/>
    <mergeCell ref="B110:D110"/>
    <mergeCell ref="C83:D83"/>
    <mergeCell ref="C87:D87"/>
    <mergeCell ref="A107:B107"/>
    <mergeCell ref="C84:D84"/>
    <mergeCell ref="C85:D85"/>
    <mergeCell ref="A83:A87"/>
    <mergeCell ref="C79:D79"/>
    <mergeCell ref="C88:D88"/>
    <mergeCell ref="C89:D89"/>
    <mergeCell ref="C33:D33"/>
    <mergeCell ref="C67:D67"/>
    <mergeCell ref="C34:D34"/>
    <mergeCell ref="C62:D62"/>
    <mergeCell ref="C56:D56"/>
    <mergeCell ref="A34:A39"/>
    <mergeCell ref="A48:A82"/>
    <mergeCell ref="C39:D39"/>
    <mergeCell ref="A1:D1"/>
    <mergeCell ref="A3:D3"/>
    <mergeCell ref="B2:D2"/>
    <mergeCell ref="C7:D7"/>
    <mergeCell ref="C4:D4"/>
    <mergeCell ref="A10:A15"/>
    <mergeCell ref="A4:A9"/>
    <mergeCell ref="C23:D23"/>
    <mergeCell ref="C24:D24"/>
    <mergeCell ref="C9:D9"/>
    <mergeCell ref="C10:D10"/>
    <mergeCell ref="C11:D11"/>
    <mergeCell ref="C5:D5"/>
    <mergeCell ref="C6:D6"/>
    <mergeCell ref="C8:D8"/>
    <mergeCell ref="C17:D17"/>
    <mergeCell ref="C20:D20"/>
    <mergeCell ref="C21:D21"/>
    <mergeCell ref="C13:D13"/>
    <mergeCell ref="C18:D18"/>
    <mergeCell ref="C12:D12"/>
    <mergeCell ref="C19:D19"/>
    <mergeCell ref="C22:D22"/>
    <mergeCell ref="C14:D14"/>
    <mergeCell ref="A88:A89"/>
    <mergeCell ref="A188:A192"/>
    <mergeCell ref="A183:A187"/>
    <mergeCell ref="C45:D45"/>
    <mergeCell ref="C130:D130"/>
    <mergeCell ref="A109:B109"/>
    <mergeCell ref="C109:D109"/>
    <mergeCell ref="C192:D192"/>
    <mergeCell ref="C191:D191"/>
    <mergeCell ref="C190:D190"/>
    <mergeCell ref="C189:D189"/>
    <mergeCell ref="C188:D188"/>
    <mergeCell ref="C152:D152"/>
    <mergeCell ref="C151:D151"/>
    <mergeCell ref="C150:D150"/>
    <mergeCell ref="C149:D149"/>
    <mergeCell ref="C167:D167"/>
    <mergeCell ref="C162:D162"/>
    <mergeCell ref="C163:D163"/>
    <mergeCell ref="C60:D60"/>
    <mergeCell ref="C81:D81"/>
    <mergeCell ref="C86:D86"/>
    <mergeCell ref="C61:D61"/>
    <mergeCell ref="C58:D58"/>
    <mergeCell ref="A16:A21"/>
    <mergeCell ref="A22:A27"/>
    <mergeCell ref="A28:A33"/>
    <mergeCell ref="C28:D28"/>
    <mergeCell ref="C30:D30"/>
    <mergeCell ref="C35:D35"/>
    <mergeCell ref="C32:D32"/>
    <mergeCell ref="C107:D107"/>
    <mergeCell ref="C51:D51"/>
    <mergeCell ref="C71:D71"/>
    <mergeCell ref="A99:A106"/>
    <mergeCell ref="C36:D36"/>
    <mergeCell ref="C37:D37"/>
    <mergeCell ref="C54:D54"/>
    <mergeCell ref="A47:D47"/>
    <mergeCell ref="C48:D48"/>
    <mergeCell ref="C42:D42"/>
    <mergeCell ref="C43:D43"/>
    <mergeCell ref="C31:D31"/>
    <mergeCell ref="C38:D38"/>
    <mergeCell ref="C73:D73"/>
    <mergeCell ref="C66:D66"/>
    <mergeCell ref="C49:D49"/>
    <mergeCell ref="C50:D50"/>
    <mergeCell ref="A91:D91"/>
    <mergeCell ref="C165:D165"/>
    <mergeCell ref="B112:C112"/>
    <mergeCell ref="C157:D157"/>
    <mergeCell ref="C160:D160"/>
    <mergeCell ref="B121:C121"/>
    <mergeCell ref="C135:D135"/>
    <mergeCell ref="C125:D125"/>
    <mergeCell ref="C134:D134"/>
    <mergeCell ref="C158:D158"/>
    <mergeCell ref="C131:D131"/>
    <mergeCell ref="C126:D126"/>
    <mergeCell ref="C148:D148"/>
    <mergeCell ref="C147:D147"/>
    <mergeCell ref="C146:D146"/>
    <mergeCell ref="C145:D145"/>
    <mergeCell ref="B120:C120"/>
    <mergeCell ref="B113:C113"/>
    <mergeCell ref="B119:C119"/>
    <mergeCell ref="C138:D138"/>
    <mergeCell ref="C154:D154"/>
    <mergeCell ref="C155:D155"/>
    <mergeCell ref="C156:D156"/>
    <mergeCell ref="C166:D166"/>
    <mergeCell ref="C97:D97"/>
    <mergeCell ref="C98:D98"/>
    <mergeCell ref="C159:D159"/>
    <mergeCell ref="C161:D161"/>
    <mergeCell ref="A108:B108"/>
    <mergeCell ref="C108:D108"/>
    <mergeCell ref="A92:B92"/>
    <mergeCell ref="C92:D92"/>
    <mergeCell ref="C93:D93"/>
    <mergeCell ref="A93:B93"/>
    <mergeCell ref="A97:A98"/>
    <mergeCell ref="C164:D164"/>
    <mergeCell ref="C153:D153"/>
    <mergeCell ref="C142:D142"/>
    <mergeCell ref="C133:D133"/>
    <mergeCell ref="C132:D132"/>
    <mergeCell ref="C144:D144"/>
    <mergeCell ref="C143:D143"/>
    <mergeCell ref="A142:A146"/>
    <mergeCell ref="A139:D139"/>
  </mergeCells>
  <phoneticPr fontId="0" type="noConversion"/>
  <conditionalFormatting sqref="D115:D117">
    <cfRule type="expression" dxfId="35" priority="28">
      <formula>AND(D$112&lt;&gt;"Environmental Impact Statement (EIS)")</formula>
    </cfRule>
  </conditionalFormatting>
  <conditionalFormatting sqref="D100:D103 D105:D106">
    <cfRule type="expression" dxfId="34" priority="7">
      <formula>OR(#REF!="(Select…)",#REF!="n/a")</formula>
    </cfRule>
  </conditionalFormatting>
  <conditionalFormatting sqref="C93:D93">
    <cfRule type="expression" dxfId="33" priority="6">
      <formula>AND(C92="Yes")</formula>
    </cfRule>
  </conditionalFormatting>
  <conditionalFormatting sqref="C96:D96 C107:D108">
    <cfRule type="expression" dxfId="32" priority="4">
      <formula>AND($C$92="Yes")</formula>
    </cfRule>
  </conditionalFormatting>
  <dataValidations count="4">
    <dataValidation type="list" allowBlank="1" showInputMessage="1" showErrorMessage="1" error="Please select a value from the drop-down list.  (Do not change the list -- otherwise formulas in this workbook will not work correctly.)" sqref="D112">
      <formula1>"(Select…),Categorical Exclusion (CE),Environmental Assessment (EA), Environmental Impact Statement (EIS)"</formula1>
    </dataValidation>
    <dataValidation type="list" allowBlank="1" showInputMessage="1" showErrorMessage="1" error="Please select a value from the drop-down list.  (Do not change the list -- otherwise formulas in this workbook will not work correctly.)" sqref="C96">
      <formula1>"(Select…),None,10 Years,20 Years"</formula1>
    </dataValidation>
    <dataValidation type="list" allowBlank="1" showInputMessage="1" showErrorMessage="1" error="Please select a value from the drop-down list.  (Do not change the list -- otherwise formulas in this workbook will not work correctly.)" sqref="C107:D107">
      <formula1>"(Select...),Local model,FTA Simplified Trips on Projects (STOPS) model,Incremental data-driven method"</formula1>
    </dataValidation>
    <dataValidation type="list" allowBlank="1" showInputMessage="1" showErrorMessage="1" sqref="C92:D92">
      <formula1>"(Select…),Yes,No"</formula1>
    </dataValidation>
  </dataValidations>
  <printOptions horizontalCentered="1"/>
  <pageMargins left="0.75" right="0.75" top="1" bottom="1" header="0.5" footer="0.5"/>
  <pageSetup scale="84" fitToHeight="7" orientation="portrait" horizontalDpi="4294967293" verticalDpi="4294967293" r:id="rId2"/>
  <headerFooter alignWithMargins="0"/>
  <rowBreaks count="3" manualBreakCount="3">
    <brk id="46" max="16383" man="1"/>
    <brk id="90" max="16383" man="1"/>
    <brk id="140" max="16383" man="1"/>
  </rowBreaks>
  <ignoredErrors>
    <ignoredError sqref="B114 B115:C117" unlockedFormula="1"/>
  </ignoredErrors>
  <legacyDrawing r:id="rId3"/>
  <extLst>
    <ext xmlns:x14="http://schemas.microsoft.com/office/spreadsheetml/2009/9/main" uri="{78C0D931-6437-407d-A8EE-F0AAD7539E65}">
      <x14:conditionalFormattings>
        <x14:conditionalFormatting xmlns:xm="http://schemas.microsoft.com/office/excel/2006/main">
          <x14:cfRule type="expression" priority="2" id="{FAAFD886-A711-44CB-88C8-0D61ECCE22B5}">
            <xm:f>AND(Lookups!$K$20="No")</xm:f>
            <x14:dxf>
              <font>
                <color rgb="FFFF0000"/>
              </font>
            </x14:dxf>
          </x14:cfRule>
          <x14:cfRule type="expression" priority="3" id="{3B558E67-9E6A-42B3-8FBF-B66DC82D5E63}">
            <xm:f>AND(Lookups!$K$20="Yes")</xm:f>
            <x14:dxf>
              <font>
                <color rgb="FF00B050"/>
              </font>
            </x14:dxf>
          </x14:cfRule>
          <xm:sqref>E92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zoomScale="85" zoomScaleNormal="85" workbookViewId="0">
      <selection activeCell="D9" sqref="D9"/>
    </sheetView>
  </sheetViews>
  <sheetFormatPr defaultColWidth="9.33203125" defaultRowHeight="15" customHeight="1"/>
  <cols>
    <col min="1" max="1" width="6.83203125" style="43" customWidth="1"/>
    <col min="2" max="2" width="23.5" style="44" customWidth="1"/>
    <col min="3" max="3" width="28.33203125" style="43" customWidth="1"/>
    <col min="4" max="8" width="13.83203125" style="43" customWidth="1"/>
    <col min="9" max="12" width="18.83203125" style="43" customWidth="1"/>
    <col min="13" max="14" width="16.83203125" style="43" customWidth="1"/>
    <col min="15" max="16384" width="9.33203125" style="43"/>
  </cols>
  <sheetData>
    <row r="1" spans="1:16" s="7" customFormat="1" ht="20.25" customHeight="1" thickBot="1">
      <c r="A1" s="560" t="s">
        <v>388</v>
      </c>
      <c r="B1" s="561"/>
      <c r="C1" s="561"/>
      <c r="D1" s="561"/>
      <c r="E1" s="561"/>
      <c r="F1" s="561"/>
      <c r="G1" s="561"/>
      <c r="H1" s="561"/>
      <c r="I1" s="561"/>
      <c r="J1" s="561"/>
      <c r="K1" s="561"/>
      <c r="L1" s="561"/>
      <c r="M1" s="561"/>
      <c r="N1" s="562"/>
    </row>
    <row r="2" spans="1:16" s="11" customFormat="1" ht="16.5" thickBot="1">
      <c r="A2" s="648" t="s">
        <v>3</v>
      </c>
      <c r="B2" s="649"/>
      <c r="C2" s="649"/>
      <c r="D2" s="648" t="str">
        <f>+Finance!B2</f>
        <v/>
      </c>
      <c r="E2" s="649"/>
      <c r="F2" s="649"/>
      <c r="G2" s="649"/>
      <c r="H2" s="649"/>
      <c r="I2" s="649"/>
      <c r="J2" s="649"/>
      <c r="K2" s="649"/>
      <c r="L2" s="649"/>
      <c r="M2" s="649"/>
      <c r="N2" s="650"/>
    </row>
    <row r="3" spans="1:16" s="6" customFormat="1" ht="6.75" customHeight="1">
      <c r="A3" s="443"/>
      <c r="B3" s="444"/>
      <c r="C3" s="444"/>
      <c r="D3" s="444"/>
      <c r="E3" s="444"/>
      <c r="F3" s="444"/>
      <c r="G3" s="444"/>
      <c r="H3" s="444"/>
      <c r="I3" s="444"/>
      <c r="J3" s="444"/>
      <c r="K3" s="444"/>
      <c r="L3" s="444"/>
      <c r="M3" s="444"/>
      <c r="N3" s="444"/>
    </row>
    <row r="4" spans="1:16" ht="18.75" customHeight="1">
      <c r="A4" s="607" t="str">
        <f>IF('Project Description'!$C$92="Yes","*** Travel forecasts are not required for projects that qualify for warrants.  Complete only the current year transit VMT section (for use in the Env. Ben. measure) below. ***","")</f>
        <v/>
      </c>
      <c r="B4" s="607"/>
      <c r="C4" s="607"/>
      <c r="D4" s="607"/>
      <c r="E4" s="607"/>
      <c r="F4" s="607"/>
      <c r="G4" s="607"/>
      <c r="H4" s="607"/>
      <c r="I4" s="607"/>
      <c r="J4" s="607"/>
      <c r="K4" s="607"/>
      <c r="L4" s="607"/>
      <c r="M4" s="607"/>
      <c r="N4" s="607"/>
    </row>
    <row r="5" spans="1:16" ht="6.75" customHeight="1" thickBot="1">
      <c r="A5" s="89"/>
      <c r="B5" s="445"/>
      <c r="C5" s="445"/>
      <c r="D5" s="445"/>
      <c r="E5" s="445"/>
      <c r="F5" s="445"/>
      <c r="G5" s="445"/>
      <c r="H5" s="445"/>
      <c r="I5" s="445"/>
      <c r="J5" s="445"/>
      <c r="K5" s="445"/>
      <c r="L5" s="445"/>
      <c r="M5" s="445"/>
      <c r="N5" s="445"/>
    </row>
    <row r="6" spans="1:16" ht="16.5" thickBot="1">
      <c r="A6" s="612" t="s">
        <v>193</v>
      </c>
      <c r="B6" s="613"/>
      <c r="C6" s="613"/>
      <c r="D6" s="613"/>
      <c r="E6" s="613"/>
      <c r="F6" s="613"/>
      <c r="G6" s="613"/>
      <c r="H6" s="613"/>
      <c r="I6" s="613"/>
      <c r="J6" s="613"/>
      <c r="K6" s="613"/>
      <c r="L6" s="613"/>
      <c r="M6" s="613"/>
      <c r="N6" s="614"/>
    </row>
    <row r="7" spans="1:16" ht="40.5" customHeight="1">
      <c r="A7" s="661" t="s">
        <v>1</v>
      </c>
      <c r="B7" s="608" t="s">
        <v>192</v>
      </c>
      <c r="C7" s="610" t="s">
        <v>191</v>
      </c>
      <c r="D7" s="657" t="s">
        <v>269</v>
      </c>
      <c r="E7" s="659"/>
      <c r="F7" s="661" t="s">
        <v>215</v>
      </c>
      <c r="G7" s="657" t="s">
        <v>270</v>
      </c>
      <c r="H7" s="659"/>
      <c r="I7" s="621" t="s">
        <v>320</v>
      </c>
      <c r="J7" s="622"/>
      <c r="K7" s="622"/>
      <c r="L7" s="622"/>
      <c r="M7" s="622"/>
      <c r="N7" s="610"/>
    </row>
    <row r="8" spans="1:16" s="48" customFormat="1" ht="28.5" customHeight="1" thickBot="1">
      <c r="A8" s="663"/>
      <c r="B8" s="609"/>
      <c r="C8" s="611"/>
      <c r="D8" s="91" t="str">
        <f>CONCATENATE("Current Year (",'Project Description'!A96,")")</f>
        <v>Current Year ()</v>
      </c>
      <c r="E8" s="92" t="str">
        <f>CONCATENATE("Horizon (",IF('Project Description'!$C$92="Yes","N/A",IF('Project Description'!C96="(Select…)","",'Project Description'!C96)),")")</f>
        <v>Horizon ()</v>
      </c>
      <c r="F8" s="662"/>
      <c r="G8" s="91" t="str">
        <f>D8</f>
        <v>Current Year ()</v>
      </c>
      <c r="H8" s="92" t="str">
        <f>E8</f>
        <v>Horizon ()</v>
      </c>
      <c r="I8" s="623"/>
      <c r="J8" s="624"/>
      <c r="K8" s="624"/>
      <c r="L8" s="624"/>
      <c r="M8" s="624"/>
      <c r="N8" s="611"/>
    </row>
    <row r="9" spans="1:16" ht="14.25" customHeight="1">
      <c r="A9" s="93" t="s">
        <v>225</v>
      </c>
      <c r="B9" s="660" t="s">
        <v>197</v>
      </c>
      <c r="C9" s="94" t="s">
        <v>204</v>
      </c>
      <c r="D9" s="125"/>
      <c r="E9" s="126"/>
      <c r="F9" s="639"/>
      <c r="G9" s="95">
        <f>D9*F9</f>
        <v>0</v>
      </c>
      <c r="H9" s="96" t="str">
        <f>IF('Project Description'!$C$96="(Select…)","-",IF('Project Description'!$C$96="None","---",E9*F9))</f>
        <v>-</v>
      </c>
      <c r="I9" s="625" t="str">
        <f>IF('Project Description'!C107="(Select...)","(Linked from Type of Model Used for Travel Forecasts field of Project Description Template)",'Project Description'!C107)</f>
        <v>(Linked from Type of Model Used for Travel Forecasts field of Project Description Template)</v>
      </c>
      <c r="J9" s="626"/>
      <c r="K9" s="626"/>
      <c r="L9" s="626"/>
      <c r="M9" s="626"/>
      <c r="N9" s="627"/>
      <c r="P9" s="313"/>
    </row>
    <row r="10" spans="1:16" ht="14.25" customHeight="1">
      <c r="A10" s="97" t="s">
        <v>226</v>
      </c>
      <c r="B10" s="631"/>
      <c r="C10" s="98" t="s">
        <v>190</v>
      </c>
      <c r="D10" s="127"/>
      <c r="E10" s="128"/>
      <c r="F10" s="640"/>
      <c r="G10" s="99">
        <f>D10*F9</f>
        <v>0</v>
      </c>
      <c r="H10" s="100" t="str">
        <f>IF(NOT(ISNUMBER(H9)),H9,E10*F9)</f>
        <v>-</v>
      </c>
      <c r="I10" s="628"/>
      <c r="J10" s="629"/>
      <c r="K10" s="629"/>
      <c r="L10" s="629"/>
      <c r="M10" s="629"/>
      <c r="N10" s="630"/>
    </row>
    <row r="11" spans="1:16" ht="14.25" customHeight="1">
      <c r="A11" s="101" t="s">
        <v>216</v>
      </c>
      <c r="B11" s="631" t="s">
        <v>209</v>
      </c>
      <c r="C11" s="102" t="s">
        <v>204</v>
      </c>
      <c r="D11" s="129"/>
      <c r="E11" s="130"/>
      <c r="F11" s="641">
        <f>F9</f>
        <v>0</v>
      </c>
      <c r="G11" s="103">
        <f>D11*F11</f>
        <v>0</v>
      </c>
      <c r="H11" s="104" t="str">
        <f>IF(NOT(ISNUMBER(H9)),H9,E11*F11)</f>
        <v>-</v>
      </c>
      <c r="I11" s="631" t="str">
        <f>IF('Project Description'!C107="(Select...)","(Linked from Type of Model Used for Travel Forecasts field of Project Description Template)",'Project Description'!C107)</f>
        <v>(Linked from Type of Model Used for Travel Forecasts field of Project Description Template)</v>
      </c>
      <c r="J11" s="632"/>
      <c r="K11" s="632"/>
      <c r="L11" s="632"/>
      <c r="M11" s="632"/>
      <c r="N11" s="633"/>
    </row>
    <row r="12" spans="1:16" ht="14.25" customHeight="1">
      <c r="A12" s="97" t="s">
        <v>217</v>
      </c>
      <c r="B12" s="631"/>
      <c r="C12" s="98" t="s">
        <v>190</v>
      </c>
      <c r="D12" s="127"/>
      <c r="E12" s="128"/>
      <c r="F12" s="641"/>
      <c r="G12" s="99">
        <f>D12*F11</f>
        <v>0</v>
      </c>
      <c r="H12" s="100" t="str">
        <f>IF(NOT(ISNUMBER(H9)),H9,E12*F11)</f>
        <v>-</v>
      </c>
      <c r="I12" s="631"/>
      <c r="J12" s="632"/>
      <c r="K12" s="632"/>
      <c r="L12" s="632"/>
      <c r="M12" s="632"/>
      <c r="N12" s="633"/>
    </row>
    <row r="13" spans="1:16" ht="14.25" customHeight="1">
      <c r="A13" s="101" t="s">
        <v>198</v>
      </c>
      <c r="B13" s="669" t="s">
        <v>210</v>
      </c>
      <c r="C13" s="102" t="s">
        <v>204</v>
      </c>
      <c r="D13" s="129"/>
      <c r="E13" s="130"/>
      <c r="F13" s="640"/>
      <c r="G13" s="103">
        <f>D13*F13</f>
        <v>0</v>
      </c>
      <c r="H13" s="104" t="str">
        <f>IF(NOT(ISNUMBER(H9)),H9,E13*F13)</f>
        <v>-</v>
      </c>
      <c r="I13" s="634"/>
      <c r="J13" s="635"/>
      <c r="K13" s="635"/>
      <c r="L13" s="635"/>
      <c r="M13" s="635"/>
      <c r="N13" s="636"/>
    </row>
    <row r="14" spans="1:16" ht="14.25" customHeight="1">
      <c r="A14" s="97" t="s">
        <v>199</v>
      </c>
      <c r="B14" s="669"/>
      <c r="C14" s="98" t="s">
        <v>190</v>
      </c>
      <c r="D14" s="127"/>
      <c r="E14" s="128"/>
      <c r="F14" s="640"/>
      <c r="G14" s="99">
        <f>D14*F13</f>
        <v>0</v>
      </c>
      <c r="H14" s="100" t="str">
        <f>IF(NOT(ISNUMBER(H9)),H9,E14*F13)</f>
        <v>-</v>
      </c>
      <c r="I14" s="634"/>
      <c r="J14" s="635"/>
      <c r="K14" s="635"/>
      <c r="L14" s="635"/>
      <c r="M14" s="635"/>
      <c r="N14" s="636"/>
    </row>
    <row r="15" spans="1:16" ht="14.25" customHeight="1">
      <c r="A15" s="101" t="s">
        <v>200</v>
      </c>
      <c r="B15" s="669" t="s">
        <v>211</v>
      </c>
      <c r="C15" s="102" t="s">
        <v>204</v>
      </c>
      <c r="D15" s="129"/>
      <c r="E15" s="130"/>
      <c r="F15" s="640"/>
      <c r="G15" s="103">
        <f>D15*F15</f>
        <v>0</v>
      </c>
      <c r="H15" s="104" t="str">
        <f>IF(NOT(ISNUMBER(H9)),H9,E15*F15)</f>
        <v>-</v>
      </c>
      <c r="I15" s="634"/>
      <c r="J15" s="635"/>
      <c r="K15" s="635"/>
      <c r="L15" s="635"/>
      <c r="M15" s="635"/>
      <c r="N15" s="636"/>
    </row>
    <row r="16" spans="1:16" ht="14.25" customHeight="1">
      <c r="A16" s="97" t="s">
        <v>201</v>
      </c>
      <c r="B16" s="669"/>
      <c r="C16" s="98" t="s">
        <v>190</v>
      </c>
      <c r="D16" s="127"/>
      <c r="E16" s="128"/>
      <c r="F16" s="640"/>
      <c r="G16" s="99">
        <f>D16*F15</f>
        <v>0</v>
      </c>
      <c r="H16" s="100" t="str">
        <f>IF(NOT(ISNUMBER(H9)),H9,E16*F15)</f>
        <v>-</v>
      </c>
      <c r="I16" s="634"/>
      <c r="J16" s="635"/>
      <c r="K16" s="635"/>
      <c r="L16" s="635"/>
      <c r="M16" s="635"/>
      <c r="N16" s="636"/>
    </row>
    <row r="17" spans="1:14" ht="14.25" customHeight="1">
      <c r="A17" s="101" t="s">
        <v>202</v>
      </c>
      <c r="B17" s="669" t="s">
        <v>212</v>
      </c>
      <c r="C17" s="102" t="s">
        <v>204</v>
      </c>
      <c r="D17" s="129"/>
      <c r="E17" s="130"/>
      <c r="F17" s="640"/>
      <c r="G17" s="103">
        <f>D17*F17</f>
        <v>0</v>
      </c>
      <c r="H17" s="104" t="str">
        <f>IF(NOT(ISNUMBER(H9)),H9,E17*F17)</f>
        <v>-</v>
      </c>
      <c r="I17" s="634"/>
      <c r="J17" s="635"/>
      <c r="K17" s="635"/>
      <c r="L17" s="635"/>
      <c r="M17" s="635"/>
      <c r="N17" s="636"/>
    </row>
    <row r="18" spans="1:14" ht="14.25" customHeight="1">
      <c r="A18" s="97" t="s">
        <v>203</v>
      </c>
      <c r="B18" s="669"/>
      <c r="C18" s="98" t="s">
        <v>190</v>
      </c>
      <c r="D18" s="127"/>
      <c r="E18" s="128"/>
      <c r="F18" s="640"/>
      <c r="G18" s="99">
        <f>D18*F17</f>
        <v>0</v>
      </c>
      <c r="H18" s="100" t="str">
        <f>IF(NOT(ISNUMBER(H9)),H9,E18*F17)</f>
        <v>-</v>
      </c>
      <c r="I18" s="634"/>
      <c r="J18" s="635"/>
      <c r="K18" s="635"/>
      <c r="L18" s="635"/>
      <c r="M18" s="635"/>
      <c r="N18" s="636"/>
    </row>
    <row r="19" spans="1:14" ht="14.25" customHeight="1">
      <c r="A19" s="101" t="s">
        <v>205</v>
      </c>
      <c r="B19" s="669" t="s">
        <v>213</v>
      </c>
      <c r="C19" s="102" t="s">
        <v>204</v>
      </c>
      <c r="D19" s="129"/>
      <c r="E19" s="130"/>
      <c r="F19" s="640"/>
      <c r="G19" s="103">
        <f>D19*F19</f>
        <v>0</v>
      </c>
      <c r="H19" s="104" t="str">
        <f>IF(NOT(ISNUMBER(H9)),H9,E19*F19)</f>
        <v>-</v>
      </c>
      <c r="I19" s="651"/>
      <c r="J19" s="652"/>
      <c r="K19" s="652"/>
      <c r="L19" s="652"/>
      <c r="M19" s="652"/>
      <c r="N19" s="653"/>
    </row>
    <row r="20" spans="1:14" ht="14.25" customHeight="1" thickBot="1">
      <c r="A20" s="105" t="s">
        <v>206</v>
      </c>
      <c r="B20" s="670"/>
      <c r="C20" s="106" t="s">
        <v>190</v>
      </c>
      <c r="D20" s="131"/>
      <c r="E20" s="132"/>
      <c r="F20" s="682"/>
      <c r="G20" s="107">
        <f>D20*F19</f>
        <v>0</v>
      </c>
      <c r="H20" s="108" t="str">
        <f>IF(NOT(ISNUMBER(H9)),H9,E20*F19)</f>
        <v>-</v>
      </c>
      <c r="I20" s="654"/>
      <c r="J20" s="655"/>
      <c r="K20" s="655"/>
      <c r="L20" s="655"/>
      <c r="M20" s="655"/>
      <c r="N20" s="656"/>
    </row>
    <row r="21" spans="1:14" ht="14.25" customHeight="1">
      <c r="A21" s="93" t="s">
        <v>207</v>
      </c>
      <c r="B21" s="671" t="s">
        <v>271</v>
      </c>
      <c r="C21" s="94" t="s">
        <v>204</v>
      </c>
      <c r="D21" s="323" t="s">
        <v>133</v>
      </c>
      <c r="E21" s="324" t="s">
        <v>133</v>
      </c>
      <c r="F21" s="637" t="s">
        <v>133</v>
      </c>
      <c r="G21" s="95">
        <f>G9+G11+G13+G15+G17+G19</f>
        <v>0</v>
      </c>
      <c r="H21" s="96" t="str">
        <f>IF(NOT(ISNUMBER(H9)),H9,H9+H11+H13+H15+H17+H19)</f>
        <v>-</v>
      </c>
      <c r="I21" s="686" t="s">
        <v>133</v>
      </c>
      <c r="J21" s="687"/>
      <c r="K21" s="687"/>
      <c r="L21" s="687"/>
      <c r="M21" s="687"/>
      <c r="N21" s="688"/>
    </row>
    <row r="22" spans="1:14" ht="14.25" customHeight="1" thickBot="1">
      <c r="A22" s="105" t="s">
        <v>208</v>
      </c>
      <c r="B22" s="672"/>
      <c r="C22" s="106" t="s">
        <v>190</v>
      </c>
      <c r="D22" s="325" t="s">
        <v>133</v>
      </c>
      <c r="E22" s="326" t="s">
        <v>133</v>
      </c>
      <c r="F22" s="638"/>
      <c r="G22" s="107">
        <f>G10+G12+G14+G16+G18+G20</f>
        <v>0</v>
      </c>
      <c r="H22" s="108" t="str">
        <f>IF(NOT(ISNUMBER(H9)),H9,H10+H12+H14+H16+H18+H20)</f>
        <v>-</v>
      </c>
      <c r="I22" s="683" t="s">
        <v>133</v>
      </c>
      <c r="J22" s="684"/>
      <c r="K22" s="684"/>
      <c r="L22" s="684"/>
      <c r="M22" s="684"/>
      <c r="N22" s="685"/>
    </row>
    <row r="23" spans="1:14" s="415" customFormat="1" ht="28.5" customHeight="1" thickBot="1">
      <c r="A23" s="421" t="s">
        <v>315</v>
      </c>
      <c r="B23" s="664" t="s">
        <v>307</v>
      </c>
      <c r="C23" s="665"/>
      <c r="D23" s="410" t="s">
        <v>133</v>
      </c>
      <c r="E23" s="411" t="s">
        <v>133</v>
      </c>
      <c r="F23" s="412" t="s">
        <v>133</v>
      </c>
      <c r="G23" s="416">
        <f>G21+G22</f>
        <v>0</v>
      </c>
      <c r="H23" s="417" t="str">
        <f>IF(NOT(ISNUMBER(H9)),H9,H21+H22)</f>
        <v>-</v>
      </c>
      <c r="I23" s="666" t="s">
        <v>133</v>
      </c>
      <c r="J23" s="667"/>
      <c r="K23" s="667"/>
      <c r="L23" s="667"/>
      <c r="M23" s="667"/>
      <c r="N23" s="668"/>
    </row>
    <row r="24" spans="1:14" s="415" customFormat="1" ht="29.25" customHeight="1" thickBot="1">
      <c r="A24" s="421" t="s">
        <v>316</v>
      </c>
      <c r="B24" s="664" t="s">
        <v>308</v>
      </c>
      <c r="C24" s="665"/>
      <c r="D24" s="417">
        <f>D9+D10+D11+D12</f>
        <v>0</v>
      </c>
      <c r="E24" s="417" t="str">
        <f>IF(NOT(ISNUMBER(E9)),"-",E9+E10+E11+E12)</f>
        <v>-</v>
      </c>
      <c r="F24" s="412"/>
      <c r="G24" s="413"/>
      <c r="H24" s="414"/>
      <c r="I24" s="666"/>
      <c r="J24" s="667"/>
      <c r="K24" s="667"/>
      <c r="L24" s="667"/>
      <c r="M24" s="667"/>
      <c r="N24" s="668"/>
    </row>
    <row r="25" spans="1:14" s="415" customFormat="1" ht="29.25" customHeight="1" thickBot="1">
      <c r="A25" s="492">
        <v>9</v>
      </c>
      <c r="B25" s="673" t="s">
        <v>380</v>
      </c>
      <c r="C25" s="674"/>
      <c r="D25" s="495"/>
      <c r="E25" s="496"/>
      <c r="F25" s="488"/>
      <c r="G25" s="489"/>
      <c r="H25" s="489"/>
      <c r="I25" s="490"/>
      <c r="J25" s="491"/>
      <c r="K25" s="491"/>
      <c r="L25" s="491"/>
      <c r="M25" s="491"/>
      <c r="N25" s="491"/>
    </row>
    <row r="26" spans="1:14" ht="13.5" thickBot="1">
      <c r="A26" s="89"/>
      <c r="B26" s="90"/>
      <c r="C26" s="89"/>
      <c r="D26" s="89"/>
      <c r="E26" s="89"/>
      <c r="F26" s="89"/>
      <c r="G26" s="89"/>
      <c r="H26" s="89"/>
      <c r="I26" s="89"/>
      <c r="J26" s="89"/>
      <c r="K26" s="89"/>
      <c r="L26" s="89"/>
      <c r="M26" s="89"/>
      <c r="N26" s="89"/>
    </row>
    <row r="27" spans="1:14" ht="16.5" thickBot="1">
      <c r="A27" s="612" t="s">
        <v>189</v>
      </c>
      <c r="B27" s="613"/>
      <c r="C27" s="613"/>
      <c r="D27" s="613"/>
      <c r="E27" s="613"/>
      <c r="F27" s="613"/>
      <c r="G27" s="613"/>
      <c r="H27" s="613"/>
      <c r="I27" s="613"/>
      <c r="J27" s="613"/>
      <c r="K27" s="613"/>
      <c r="L27" s="613"/>
      <c r="M27" s="613"/>
      <c r="N27" s="614"/>
    </row>
    <row r="28" spans="1:14" ht="41.25" customHeight="1">
      <c r="A28" s="661" t="s">
        <v>1</v>
      </c>
      <c r="B28" s="615" t="s">
        <v>188</v>
      </c>
      <c r="C28" s="616"/>
      <c r="D28" s="657" t="s">
        <v>214</v>
      </c>
      <c r="E28" s="658"/>
      <c r="F28" s="658"/>
      <c r="G28" s="659"/>
      <c r="H28" s="661" t="s">
        <v>215</v>
      </c>
      <c r="I28" s="657" t="s">
        <v>273</v>
      </c>
      <c r="J28" s="658"/>
      <c r="K28" s="658"/>
      <c r="L28" s="659"/>
      <c r="M28" s="657" t="s">
        <v>272</v>
      </c>
      <c r="N28" s="659"/>
    </row>
    <row r="29" spans="1:14" s="48" customFormat="1" ht="12.75">
      <c r="A29" s="663"/>
      <c r="B29" s="617"/>
      <c r="C29" s="618"/>
      <c r="D29" s="642" t="str">
        <f>D8</f>
        <v>Current Year ()</v>
      </c>
      <c r="E29" s="643"/>
      <c r="F29" s="642" t="str">
        <f>E8</f>
        <v>Horizon ()</v>
      </c>
      <c r="G29" s="643"/>
      <c r="H29" s="663"/>
      <c r="I29" s="642" t="str">
        <f>D8</f>
        <v>Current Year ()</v>
      </c>
      <c r="J29" s="643"/>
      <c r="K29" s="642" t="str">
        <f>E8</f>
        <v>Horizon ()</v>
      </c>
      <c r="L29" s="643"/>
      <c r="M29" s="644" t="str">
        <f>D8</f>
        <v>Current Year ()</v>
      </c>
      <c r="N29" s="646" t="str">
        <f>E8</f>
        <v>Horizon ()</v>
      </c>
    </row>
    <row r="30" spans="1:14" s="48" customFormat="1" ht="13.5" thickBot="1">
      <c r="A30" s="663"/>
      <c r="B30" s="619"/>
      <c r="C30" s="620"/>
      <c r="D30" s="109" t="s">
        <v>276</v>
      </c>
      <c r="E30" s="110" t="s">
        <v>187</v>
      </c>
      <c r="F30" s="109" t="s">
        <v>276</v>
      </c>
      <c r="G30" s="110" t="s">
        <v>187</v>
      </c>
      <c r="H30" s="662"/>
      <c r="I30" s="109" t="s">
        <v>276</v>
      </c>
      <c r="J30" s="110" t="s">
        <v>187</v>
      </c>
      <c r="K30" s="109" t="s">
        <v>276</v>
      </c>
      <c r="L30" s="110" t="s">
        <v>187</v>
      </c>
      <c r="M30" s="645"/>
      <c r="N30" s="647"/>
    </row>
    <row r="31" spans="1:14" s="47" customFormat="1" ht="13.5" thickBot="1">
      <c r="A31" s="111">
        <v>10</v>
      </c>
      <c r="B31" s="677" t="s">
        <v>154</v>
      </c>
      <c r="C31" s="678"/>
      <c r="D31" s="133"/>
      <c r="E31" s="134"/>
      <c r="F31" s="133"/>
      <c r="G31" s="134"/>
      <c r="H31" s="380">
        <f>F9</f>
        <v>0</v>
      </c>
      <c r="I31" s="112">
        <f>D31*$H31</f>
        <v>0</v>
      </c>
      <c r="J31" s="113">
        <f t="shared" ref="J31" si="0">E31*$H31</f>
        <v>0</v>
      </c>
      <c r="K31" s="112" t="str">
        <f>IF(NOT(ISNUMBER(H9)),H9,F31*$H31)</f>
        <v>-</v>
      </c>
      <c r="L31" s="113" t="str">
        <f>IF(NOT(ISNUMBER(H9)),H9,G31*$H31)</f>
        <v>-</v>
      </c>
      <c r="M31" s="114">
        <f>J31-I31</f>
        <v>0</v>
      </c>
      <c r="N31" s="115" t="str">
        <f>IF(NOT(ISNUMBER(H9)),H9,L31-K31)</f>
        <v>-</v>
      </c>
    </row>
    <row r="32" spans="1:14" s="47" customFormat="1" ht="14.25" customHeight="1">
      <c r="A32" s="116">
        <v>11</v>
      </c>
      <c r="B32" s="679" t="s">
        <v>186</v>
      </c>
      <c r="C32" s="680"/>
      <c r="D32" s="327" t="s">
        <v>133</v>
      </c>
      <c r="E32" s="328" t="s">
        <v>133</v>
      </c>
      <c r="F32" s="327" t="s">
        <v>133</v>
      </c>
      <c r="G32" s="328" t="s">
        <v>133</v>
      </c>
      <c r="H32" s="329" t="s">
        <v>133</v>
      </c>
      <c r="I32" s="135"/>
      <c r="J32" s="136"/>
      <c r="K32" s="135"/>
      <c r="L32" s="136"/>
      <c r="M32" s="117">
        <f t="shared" ref="M32:M40" si="1">J32-I32</f>
        <v>0</v>
      </c>
      <c r="N32" s="118" t="str">
        <f>IF(NOT(ISNUMBER(H9)),H9,L32-K32)</f>
        <v>-</v>
      </c>
    </row>
    <row r="33" spans="1:14" s="47" customFormat="1" ht="14.25" customHeight="1">
      <c r="A33" s="119">
        <v>12</v>
      </c>
      <c r="B33" s="675" t="s">
        <v>185</v>
      </c>
      <c r="C33" s="676"/>
      <c r="D33" s="330" t="s">
        <v>133</v>
      </c>
      <c r="E33" s="331" t="s">
        <v>133</v>
      </c>
      <c r="F33" s="330" t="s">
        <v>133</v>
      </c>
      <c r="G33" s="331" t="s">
        <v>133</v>
      </c>
      <c r="H33" s="332" t="s">
        <v>133</v>
      </c>
      <c r="I33" s="137"/>
      <c r="J33" s="138"/>
      <c r="K33" s="137"/>
      <c r="L33" s="138"/>
      <c r="M33" s="120">
        <f t="shared" si="1"/>
        <v>0</v>
      </c>
      <c r="N33" s="121" t="str">
        <f>IF(NOT(ISNUMBER(H9)),H9,L33-K33)</f>
        <v>-</v>
      </c>
    </row>
    <row r="34" spans="1:14" s="47" customFormat="1" ht="14.25" customHeight="1">
      <c r="A34" s="119">
        <v>13</v>
      </c>
      <c r="B34" s="675" t="s">
        <v>184</v>
      </c>
      <c r="C34" s="676"/>
      <c r="D34" s="330" t="s">
        <v>133</v>
      </c>
      <c r="E34" s="331" t="s">
        <v>133</v>
      </c>
      <c r="F34" s="330" t="s">
        <v>133</v>
      </c>
      <c r="G34" s="331" t="s">
        <v>133</v>
      </c>
      <c r="H34" s="332" t="s">
        <v>133</v>
      </c>
      <c r="I34" s="137"/>
      <c r="J34" s="138"/>
      <c r="K34" s="137"/>
      <c r="L34" s="138"/>
      <c r="M34" s="120">
        <f t="shared" si="1"/>
        <v>0</v>
      </c>
      <c r="N34" s="121" t="str">
        <f>IF(NOT(ISNUMBER(H9)),H9,L34-K34)</f>
        <v>-</v>
      </c>
    </row>
    <row r="35" spans="1:14" s="47" customFormat="1" ht="14.25" customHeight="1">
      <c r="A35" s="119">
        <v>14</v>
      </c>
      <c r="B35" s="675" t="s">
        <v>183</v>
      </c>
      <c r="C35" s="676"/>
      <c r="D35" s="330" t="s">
        <v>133</v>
      </c>
      <c r="E35" s="331" t="s">
        <v>133</v>
      </c>
      <c r="F35" s="330" t="s">
        <v>133</v>
      </c>
      <c r="G35" s="331" t="s">
        <v>133</v>
      </c>
      <c r="H35" s="332" t="s">
        <v>133</v>
      </c>
      <c r="I35" s="137"/>
      <c r="J35" s="138"/>
      <c r="K35" s="137"/>
      <c r="L35" s="138"/>
      <c r="M35" s="120">
        <f t="shared" si="1"/>
        <v>0</v>
      </c>
      <c r="N35" s="121" t="str">
        <f>IF(NOT(ISNUMBER(H9)),H9,L35-K35)</f>
        <v>-</v>
      </c>
    </row>
    <row r="36" spans="1:14" s="47" customFormat="1" ht="14.25" customHeight="1">
      <c r="A36" s="119">
        <v>15</v>
      </c>
      <c r="B36" s="675" t="s">
        <v>277</v>
      </c>
      <c r="C36" s="676"/>
      <c r="D36" s="330" t="s">
        <v>133</v>
      </c>
      <c r="E36" s="331" t="s">
        <v>133</v>
      </c>
      <c r="F36" s="330" t="s">
        <v>133</v>
      </c>
      <c r="G36" s="331" t="s">
        <v>133</v>
      </c>
      <c r="H36" s="332" t="s">
        <v>133</v>
      </c>
      <c r="I36" s="137"/>
      <c r="J36" s="138"/>
      <c r="K36" s="137"/>
      <c r="L36" s="138"/>
      <c r="M36" s="120">
        <f t="shared" si="1"/>
        <v>0</v>
      </c>
      <c r="N36" s="121" t="str">
        <f>IF(NOT(ISNUMBER(H9)),H9,L36-K36)</f>
        <v>-</v>
      </c>
    </row>
    <row r="37" spans="1:14" s="47" customFormat="1" ht="14.25" customHeight="1">
      <c r="A37" s="119">
        <v>16</v>
      </c>
      <c r="B37" s="675" t="s">
        <v>278</v>
      </c>
      <c r="C37" s="676"/>
      <c r="D37" s="330" t="s">
        <v>133</v>
      </c>
      <c r="E37" s="331" t="s">
        <v>133</v>
      </c>
      <c r="F37" s="330" t="s">
        <v>133</v>
      </c>
      <c r="G37" s="331" t="s">
        <v>133</v>
      </c>
      <c r="H37" s="332" t="s">
        <v>133</v>
      </c>
      <c r="I37" s="137"/>
      <c r="J37" s="138"/>
      <c r="K37" s="137"/>
      <c r="L37" s="138"/>
      <c r="M37" s="120">
        <f t="shared" si="1"/>
        <v>0</v>
      </c>
      <c r="N37" s="121" t="str">
        <f>IF(NOT(ISNUMBER(H9)),H9,L37-K37)</f>
        <v>-</v>
      </c>
    </row>
    <row r="38" spans="1:14" s="47" customFormat="1" ht="14.25" customHeight="1">
      <c r="A38" s="119">
        <v>17</v>
      </c>
      <c r="B38" s="675" t="s">
        <v>279</v>
      </c>
      <c r="C38" s="676"/>
      <c r="D38" s="330" t="s">
        <v>133</v>
      </c>
      <c r="E38" s="331" t="s">
        <v>133</v>
      </c>
      <c r="F38" s="330" t="s">
        <v>133</v>
      </c>
      <c r="G38" s="331" t="s">
        <v>133</v>
      </c>
      <c r="H38" s="332" t="s">
        <v>133</v>
      </c>
      <c r="I38" s="137"/>
      <c r="J38" s="138"/>
      <c r="K38" s="137"/>
      <c r="L38" s="138"/>
      <c r="M38" s="120">
        <f t="shared" si="1"/>
        <v>0</v>
      </c>
      <c r="N38" s="121" t="str">
        <f>IF(NOT(ISNUMBER(H9)),H9,L38-K38)</f>
        <v>-</v>
      </c>
    </row>
    <row r="39" spans="1:14" s="47" customFormat="1" ht="14.25" customHeight="1">
      <c r="A39" s="119">
        <v>18</v>
      </c>
      <c r="B39" s="675" t="s">
        <v>280</v>
      </c>
      <c r="C39" s="676"/>
      <c r="D39" s="330" t="s">
        <v>133</v>
      </c>
      <c r="E39" s="331" t="s">
        <v>133</v>
      </c>
      <c r="F39" s="330" t="s">
        <v>133</v>
      </c>
      <c r="G39" s="331" t="s">
        <v>133</v>
      </c>
      <c r="H39" s="332" t="s">
        <v>133</v>
      </c>
      <c r="I39" s="137"/>
      <c r="J39" s="138"/>
      <c r="K39" s="137"/>
      <c r="L39" s="138"/>
      <c r="M39" s="120">
        <f t="shared" si="1"/>
        <v>0</v>
      </c>
      <c r="N39" s="121" t="str">
        <f>IF(NOT(ISNUMBER(H9)),H9,L39-K39)</f>
        <v>-</v>
      </c>
    </row>
    <row r="40" spans="1:14" s="47" customFormat="1" ht="14.25" customHeight="1" thickBot="1">
      <c r="A40" s="122">
        <v>19</v>
      </c>
      <c r="B40" s="689" t="s">
        <v>281</v>
      </c>
      <c r="C40" s="690"/>
      <c r="D40" s="333" t="s">
        <v>133</v>
      </c>
      <c r="E40" s="334" t="s">
        <v>133</v>
      </c>
      <c r="F40" s="333" t="s">
        <v>133</v>
      </c>
      <c r="G40" s="334" t="s">
        <v>133</v>
      </c>
      <c r="H40" s="335" t="s">
        <v>133</v>
      </c>
      <c r="I40" s="139"/>
      <c r="J40" s="140"/>
      <c r="K40" s="139"/>
      <c r="L40" s="140"/>
      <c r="M40" s="123">
        <f t="shared" si="1"/>
        <v>0</v>
      </c>
      <c r="N40" s="124" t="str">
        <f>IF(NOT(ISNUMBER(H9)),H9,L40-K40)</f>
        <v>-</v>
      </c>
    </row>
    <row r="41" spans="1:14" s="45" customFormat="1" ht="15" customHeight="1">
      <c r="B41" s="46"/>
    </row>
    <row r="42" spans="1:14" ht="27.75" customHeight="1">
      <c r="B42" s="681" t="s">
        <v>299</v>
      </c>
      <c r="C42" s="681"/>
      <c r="D42" s="681"/>
      <c r="E42" s="681"/>
      <c r="F42" s="681"/>
      <c r="G42" s="681"/>
      <c r="H42" s="681"/>
      <c r="I42" s="681"/>
      <c r="J42" s="681"/>
      <c r="K42" s="681"/>
      <c r="L42" s="681"/>
      <c r="M42" s="681"/>
      <c r="N42" s="681"/>
    </row>
  </sheetData>
  <sheetProtection password="83AF" sheet="1" objects="1" scenarios="1" formatCells="0" formatColumns="0" formatRows="0" insertColumns="0" insertRows="0" insertHyperlinks="0" selectLockedCells="1"/>
  <mergeCells count="63">
    <mergeCell ref="I29:J29"/>
    <mergeCell ref="B42:N42"/>
    <mergeCell ref="F19:F20"/>
    <mergeCell ref="I22:N22"/>
    <mergeCell ref="I21:N21"/>
    <mergeCell ref="M28:N28"/>
    <mergeCell ref="H28:H30"/>
    <mergeCell ref="D28:G28"/>
    <mergeCell ref="I23:N23"/>
    <mergeCell ref="B40:C40"/>
    <mergeCell ref="D29:E29"/>
    <mergeCell ref="B36:C36"/>
    <mergeCell ref="B37:C37"/>
    <mergeCell ref="F29:G29"/>
    <mergeCell ref="B34:C34"/>
    <mergeCell ref="B35:C35"/>
    <mergeCell ref="F17:F18"/>
    <mergeCell ref="B23:C23"/>
    <mergeCell ref="B39:C39"/>
    <mergeCell ref="B31:C31"/>
    <mergeCell ref="B32:C32"/>
    <mergeCell ref="B33:C33"/>
    <mergeCell ref="B38:C38"/>
    <mergeCell ref="A28:A30"/>
    <mergeCell ref="B11:B12"/>
    <mergeCell ref="B13:B14"/>
    <mergeCell ref="B15:B16"/>
    <mergeCell ref="B17:B18"/>
    <mergeCell ref="B19:B20"/>
    <mergeCell ref="B21:B22"/>
    <mergeCell ref="B25:C25"/>
    <mergeCell ref="N29:N30"/>
    <mergeCell ref="A2:C2"/>
    <mergeCell ref="D2:N2"/>
    <mergeCell ref="A1:N1"/>
    <mergeCell ref="I19:N20"/>
    <mergeCell ref="I28:L28"/>
    <mergeCell ref="B9:B10"/>
    <mergeCell ref="F7:F8"/>
    <mergeCell ref="F13:F14"/>
    <mergeCell ref="F15:F16"/>
    <mergeCell ref="D7:E7"/>
    <mergeCell ref="G7:H7"/>
    <mergeCell ref="A6:N6"/>
    <mergeCell ref="A7:A8"/>
    <mergeCell ref="B24:C24"/>
    <mergeCell ref="I24:N24"/>
    <mergeCell ref="A4:N4"/>
    <mergeCell ref="B7:B8"/>
    <mergeCell ref="C7:C8"/>
    <mergeCell ref="A27:N27"/>
    <mergeCell ref="B28:C30"/>
    <mergeCell ref="I7:N8"/>
    <mergeCell ref="I9:N10"/>
    <mergeCell ref="I11:N12"/>
    <mergeCell ref="I13:N14"/>
    <mergeCell ref="I15:N16"/>
    <mergeCell ref="I17:N18"/>
    <mergeCell ref="F21:F22"/>
    <mergeCell ref="F9:F10"/>
    <mergeCell ref="F11:F12"/>
    <mergeCell ref="K29:L29"/>
    <mergeCell ref="M29:M30"/>
  </mergeCells>
  <conditionalFormatting sqref="A4">
    <cfRule type="expression" dxfId="29" priority="80">
      <formula>AND($A4&lt;&gt;"")</formula>
    </cfRule>
  </conditionalFormatting>
  <pageMargins left="0.25" right="0.25" top="0.75" bottom="0.75" header="0.3" footer="0.3"/>
  <pageSetup scale="76" orientation="landscape" horizontalDpi="4294967293" verticalDpi="4294967293" r:id="rId1"/>
  <ignoredErrors>
    <ignoredError sqref="G10:G11 G13 G15 G17 G19 G12 G14 G16 G18" formula="1"/>
  </ignoredErrors>
  <extLst>
    <ext xmlns:x14="http://schemas.microsoft.com/office/spreadsheetml/2009/9/main" uri="{78C0D931-6437-407d-A8EE-F0AAD7539E65}">
      <x14:conditionalFormattings>
        <x14:conditionalFormatting xmlns:xm="http://schemas.microsoft.com/office/excel/2006/main">
          <x14:cfRule type="expression" priority="55" id="{C2EE7FAF-4C56-4D67-923F-A239D6900B39}">
            <xm:f>OR('Project Description'!$C$96="(Select…)",'Project Description'!$C$96="None")</xm:f>
            <x14:dxf>
              <fill>
                <patternFill>
                  <bgColor theme="0" tint="-0.14996795556505021"/>
                </patternFill>
              </fill>
            </x14:dxf>
          </x14:cfRule>
          <xm:sqref>E9:E20 F31:G31 K32:L40 E25</xm:sqref>
        </x14:conditionalFormatting>
        <x14:conditionalFormatting xmlns:xm="http://schemas.microsoft.com/office/excel/2006/main">
          <x14:cfRule type="expression" priority="2" id="{275E7973-3398-4964-8912-FCF40619E4CB}">
            <xm:f>AND('Project Description'!$C$92="Yes")</xm:f>
            <x14:dxf>
              <fill>
                <patternFill patternType="solid">
                  <fgColor theme="0"/>
                  <bgColor theme="0" tint="-0.14996795556505021"/>
                </patternFill>
              </fill>
            </x14:dxf>
          </x14:cfRule>
          <xm:sqref>D9:F20 B13:B20 D31:G31 K32:L40 D24:E25 I13:N20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showGridLines="0" zoomScale="85" zoomScaleNormal="85" workbookViewId="0">
      <selection activeCell="C16" sqref="C16"/>
    </sheetView>
  </sheetViews>
  <sheetFormatPr defaultColWidth="9.33203125" defaultRowHeight="11.25"/>
  <cols>
    <col min="1" max="1" width="5.83203125" style="2" customWidth="1"/>
    <col min="2" max="2" width="91.33203125" style="1" customWidth="1"/>
    <col min="3" max="3" width="29.83203125" style="1" customWidth="1"/>
    <col min="4" max="4" width="26.83203125" style="2" customWidth="1"/>
    <col min="5" max="5" width="70" style="2" customWidth="1"/>
    <col min="6" max="16384" width="9.33203125" style="1"/>
  </cols>
  <sheetData>
    <row r="1" spans="1:7" s="7" customFormat="1" ht="20.25" customHeight="1" thickBot="1">
      <c r="A1" s="560" t="s">
        <v>389</v>
      </c>
      <c r="B1" s="561"/>
      <c r="C1" s="561"/>
      <c r="D1" s="561"/>
      <c r="E1" s="562"/>
    </row>
    <row r="2" spans="1:7" s="11" customFormat="1" ht="16.5" thickBot="1">
      <c r="A2" s="648" t="s">
        <v>3</v>
      </c>
      <c r="B2" s="650"/>
      <c r="C2" s="648" t="str">
        <f>+Finance!B2</f>
        <v/>
      </c>
      <c r="D2" s="649"/>
      <c r="E2" s="650"/>
    </row>
    <row r="3" spans="1:7" s="35" customFormat="1" ht="6" customHeight="1">
      <c r="A3" s="141"/>
      <c r="B3" s="142"/>
      <c r="C3" s="141"/>
      <c r="D3" s="141"/>
      <c r="E3" s="141"/>
    </row>
    <row r="4" spans="1:7" s="35" customFormat="1" ht="12.75">
      <c r="A4" s="708" t="str">
        <f>IF('Project Description'!$C$92="Yes","*** Projects that qualify for warrants receive automatic Medium ratings.  Only enter current year annualized costs (for use in the Env. Ben. measure) in the Cost Effectiveness section. ***",IF('Project Description'!C96="(Select…)","*** To view Mobility Improvements, Cost Effectiveness and Congestion Relief results, specify the horizon year option in the Project Description Template ***",""))</f>
        <v>*** To view Mobility Improvements, Cost Effectiveness and Congestion Relief results, specify the horizon year option in the Project Description Template ***</v>
      </c>
      <c r="B4" s="708"/>
      <c r="C4" s="708"/>
      <c r="D4" s="708"/>
      <c r="E4" s="708"/>
    </row>
    <row r="5" spans="1:7" s="35" customFormat="1" ht="6.75" customHeight="1" thickBot="1">
      <c r="A5" s="141"/>
      <c r="B5" s="143"/>
      <c r="C5" s="141"/>
      <c r="D5" s="141"/>
      <c r="E5" s="141"/>
    </row>
    <row r="6" spans="1:7" s="35" customFormat="1" ht="16.5" thickBot="1">
      <c r="A6" s="699" t="s">
        <v>134</v>
      </c>
      <c r="B6" s="700"/>
      <c r="C6" s="700"/>
      <c r="D6" s="700"/>
      <c r="E6" s="701"/>
    </row>
    <row r="7" spans="1:7" s="35" customFormat="1" ht="12.75">
      <c r="A7" s="702" t="s">
        <v>1</v>
      </c>
      <c r="B7" s="695" t="s">
        <v>137</v>
      </c>
      <c r="C7" s="697" t="s">
        <v>161</v>
      </c>
      <c r="D7" s="698"/>
      <c r="E7" s="702" t="s">
        <v>2</v>
      </c>
    </row>
    <row r="8" spans="1:7" s="35" customFormat="1" ht="13.5" thickBot="1">
      <c r="A8" s="703"/>
      <c r="B8" s="696"/>
      <c r="C8" s="144" t="str">
        <f>'Travel Forecasts'!D8</f>
        <v>Current Year ()</v>
      </c>
      <c r="D8" s="145" t="str">
        <f>'Travel Forecasts'!E8</f>
        <v>Horizon ()</v>
      </c>
      <c r="E8" s="703"/>
    </row>
    <row r="9" spans="1:7" s="35" customFormat="1" ht="27" customHeight="1">
      <c r="A9" s="312">
        <v>1</v>
      </c>
      <c r="B9" s="146" t="s">
        <v>440</v>
      </c>
      <c r="C9" s="147">
        <f>'Travel Forecasts'!G21+2*'Travel Forecasts'!G22</f>
        <v>0</v>
      </c>
      <c r="D9" s="148" t="str">
        <f>IF(NOT(ISNUMBER('Travel Forecasts'!H21)),'Travel Forecasts'!H21,'Travel Forecasts'!H21+2*'Travel Forecasts'!H22)</f>
        <v>-</v>
      </c>
      <c r="E9" s="149" t="s">
        <v>227</v>
      </c>
    </row>
    <row r="10" spans="1:7" s="35" customFormat="1" ht="42" customHeight="1" thickBot="1">
      <c r="A10" s="150">
        <v>2</v>
      </c>
      <c r="B10" s="151" t="s">
        <v>282</v>
      </c>
      <c r="C10" s="706" t="str">
        <f>IF(Lookups!$K$20="Yes","N/A",IF(OR(Lookups!$K$20="No",Lookups!$K$20="Unclear"),"---",IF(D9="-",D9,IF(D9="---",C9,(C9+D9)/2))))</f>
        <v>-</v>
      </c>
      <c r="D10" s="707"/>
      <c r="E10" s="151" t="s">
        <v>294</v>
      </c>
    </row>
    <row r="11" spans="1:7" s="35" customFormat="1" ht="13.5" thickBot="1">
      <c r="A11" s="152"/>
      <c r="B11" s="142"/>
      <c r="C11" s="693" t="str">
        <f>IF(Lookups!$K$20="Yes",warrantedMedium,IF(Lookups!$K$20="No",doesntMeetThresholds,IF(OR(Lookups!$K$20="Unknown",C10="-",C10=0),"",VLOOKUP(C10,Lookups!B23:C27,2))))</f>
        <v/>
      </c>
      <c r="D11" s="694"/>
      <c r="E11" s="142"/>
    </row>
    <row r="12" spans="1:7" s="35" customFormat="1" ht="13.5" thickBot="1">
      <c r="A12" s="153"/>
      <c r="B12" s="142"/>
      <c r="C12" s="154"/>
      <c r="D12" s="154"/>
      <c r="E12" s="155"/>
    </row>
    <row r="13" spans="1:7" s="35" customFormat="1" ht="16.5" thickBot="1">
      <c r="A13" s="699" t="s">
        <v>147</v>
      </c>
      <c r="B13" s="700"/>
      <c r="C13" s="700"/>
      <c r="D13" s="700"/>
      <c r="E13" s="701"/>
    </row>
    <row r="14" spans="1:7" s="35" customFormat="1" ht="12.75">
      <c r="A14" s="702" t="s">
        <v>1</v>
      </c>
      <c r="B14" s="695" t="s">
        <v>137</v>
      </c>
      <c r="C14" s="697" t="s">
        <v>161</v>
      </c>
      <c r="D14" s="698"/>
      <c r="E14" s="156" t="s">
        <v>2</v>
      </c>
    </row>
    <row r="15" spans="1:7" s="35" customFormat="1" ht="13.5" thickBot="1">
      <c r="A15" s="703"/>
      <c r="B15" s="696"/>
      <c r="C15" s="336" t="str">
        <f>C8</f>
        <v>Current Year ()</v>
      </c>
      <c r="D15" s="337" t="str">
        <f>D8</f>
        <v>Horizon ()</v>
      </c>
      <c r="E15" s="159"/>
    </row>
    <row r="16" spans="1:7" s="35" customFormat="1" ht="12.75">
      <c r="A16" s="157">
        <v>3</v>
      </c>
      <c r="B16" s="422" t="s">
        <v>455</v>
      </c>
      <c r="C16" s="315"/>
      <c r="D16" s="497" t="str">
        <f>IF(NOT(ISNUMBER('Travel Forecasts'!H19)),'Travel Forecasts'!H19,C16)</f>
        <v>-</v>
      </c>
      <c r="E16" s="158" t="s">
        <v>418</v>
      </c>
      <c r="F16" s="39"/>
      <c r="G16" s="39"/>
    </row>
    <row r="17" spans="1:23" s="35" customFormat="1" ht="12.75">
      <c r="A17" s="160">
        <v>4</v>
      </c>
      <c r="B17" s="161" t="s">
        <v>173</v>
      </c>
      <c r="C17" s="163">
        <f>'Travel Forecasts'!G23</f>
        <v>0</v>
      </c>
      <c r="D17" s="164" t="str">
        <f>IF(NOT(ISNUMBER('Travel Forecasts'!H21)),'Travel Forecasts'!H21,'Travel Forecasts'!H23)</f>
        <v>-</v>
      </c>
      <c r="E17" s="162" t="s">
        <v>319</v>
      </c>
    </row>
    <row r="18" spans="1:23" s="35" customFormat="1" ht="12.75">
      <c r="A18" s="160">
        <v>5</v>
      </c>
      <c r="B18" s="161" t="s">
        <v>390</v>
      </c>
      <c r="C18" s="165">
        <f>IF(C17=0,0,C16/C17)</f>
        <v>0</v>
      </c>
      <c r="D18" s="166" t="str">
        <f>IF(NOT(ISNUMBER(D17)),D17,IF(D17=0,0,D16/D17))</f>
        <v>-</v>
      </c>
      <c r="E18" s="162" t="s">
        <v>177</v>
      </c>
      <c r="G18" s="39"/>
    </row>
    <row r="19" spans="1:23" s="35" customFormat="1" ht="42.75" customHeight="1" thickBot="1">
      <c r="A19" s="150">
        <v>6</v>
      </c>
      <c r="B19" s="167" t="s">
        <v>282</v>
      </c>
      <c r="C19" s="704" t="str">
        <f>IF(Lookups!$K$20="Yes","N/A",IF(OR(Lookups!$K$20="No",Lookups!$K$20="Unclear"),"---",IF(D18="-",D18,IF(D18="---",C18,(C18+D18)/2))))</f>
        <v>-</v>
      </c>
      <c r="D19" s="705"/>
      <c r="E19" s="167" t="s">
        <v>295</v>
      </c>
      <c r="G19" s="39"/>
    </row>
    <row r="20" spans="1:23" s="35" customFormat="1" ht="13.5" thickBot="1">
      <c r="A20" s="152"/>
      <c r="B20" s="449"/>
      <c r="C20" s="693" t="str">
        <f>IF(Lookups!$K$20="Yes",warrantedMedium,IF(Lookups!$K$20="No",doesntMeetThresholds,IF(OR(Lookups!$K$20="Unknown",C19=0,C19="-"),"",VLOOKUP(C19,Lookups!B10:C15,2))))</f>
        <v/>
      </c>
      <c r="D20" s="694"/>
      <c r="E20" s="152"/>
    </row>
    <row r="21" spans="1:23" s="35" customFormat="1" ht="13.5" thickBot="1">
      <c r="A21" s="153"/>
      <c r="B21" s="142"/>
      <c r="C21" s="153"/>
      <c r="D21" s="153"/>
      <c r="E21" s="153"/>
    </row>
    <row r="22" spans="1:23" ht="16.5" thickBot="1">
      <c r="A22" s="699" t="s">
        <v>346</v>
      </c>
      <c r="B22" s="700"/>
      <c r="C22" s="700"/>
      <c r="D22" s="700"/>
      <c r="E22" s="701"/>
      <c r="G22" s="393"/>
      <c r="H22" s="393"/>
      <c r="I22" s="393"/>
      <c r="J22" s="393"/>
      <c r="K22" s="393"/>
      <c r="L22" s="393"/>
      <c r="M22" s="393"/>
      <c r="N22" s="393"/>
      <c r="O22" s="393"/>
      <c r="P22" s="393"/>
      <c r="Q22" s="393"/>
      <c r="R22" s="393"/>
      <c r="S22" s="393"/>
      <c r="T22" s="393"/>
      <c r="U22" s="393"/>
      <c r="V22" s="393"/>
      <c r="W22" s="393"/>
    </row>
    <row r="23" spans="1:23" ht="10.15" customHeight="1">
      <c r="A23" s="702" t="s">
        <v>1</v>
      </c>
      <c r="B23" s="695" t="s">
        <v>137</v>
      </c>
      <c r="C23" s="697" t="s">
        <v>161</v>
      </c>
      <c r="D23" s="698"/>
      <c r="E23" s="702" t="s">
        <v>2</v>
      </c>
      <c r="F23" s="441"/>
      <c r="G23" s="442"/>
      <c r="H23" s="442"/>
      <c r="I23" s="442"/>
      <c r="J23" s="442"/>
      <c r="K23" s="442"/>
      <c r="L23" s="442"/>
      <c r="M23" s="393"/>
      <c r="N23" s="393"/>
      <c r="O23" s="393"/>
      <c r="P23" s="393"/>
      <c r="Q23" s="393"/>
      <c r="R23" s="393"/>
      <c r="S23" s="393"/>
      <c r="T23" s="393"/>
      <c r="U23" s="393"/>
      <c r="V23" s="393"/>
      <c r="W23" s="393"/>
    </row>
    <row r="24" spans="1:23" ht="13.5" thickBot="1">
      <c r="A24" s="703"/>
      <c r="B24" s="696"/>
      <c r="C24" s="144" t="str">
        <f>C8</f>
        <v>Current Year ()</v>
      </c>
      <c r="D24" s="145" t="str">
        <f>D8</f>
        <v>Horizon ()</v>
      </c>
      <c r="E24" s="703"/>
      <c r="F24" s="441"/>
      <c r="G24" s="441"/>
      <c r="H24" s="441"/>
      <c r="I24" s="441"/>
      <c r="J24" s="441"/>
      <c r="K24" s="441"/>
      <c r="L24" s="441"/>
    </row>
    <row r="25" spans="1:23" ht="12.75">
      <c r="A25" s="157">
        <v>7</v>
      </c>
      <c r="B25" s="422" t="s">
        <v>347</v>
      </c>
      <c r="C25" s="493">
        <f>'Travel Forecasts'!D25</f>
        <v>0</v>
      </c>
      <c r="D25" s="494" t="str">
        <f>IF('Project Description'!$C$96="(Select…)","-",IF('Project Description'!$C$96="None","---",'Travel Forecasts'!E25))</f>
        <v>-</v>
      </c>
      <c r="E25" s="448" t="s">
        <v>381</v>
      </c>
      <c r="F25" s="440"/>
      <c r="G25" s="440"/>
      <c r="H25" s="440"/>
      <c r="I25" s="440"/>
      <c r="J25" s="440"/>
      <c r="K25" s="441"/>
      <c r="L25" s="441"/>
    </row>
    <row r="26" spans="1:23" s="35" customFormat="1" ht="42.75" customHeight="1" thickBot="1">
      <c r="A26" s="446">
        <v>8</v>
      </c>
      <c r="B26" s="447" t="s">
        <v>282</v>
      </c>
      <c r="C26" s="691" t="str">
        <f>IF(Lookups!$K$20="Yes","N/A",IF(OR(Lookups!$K$20="No",Lookups!$K$20="Unclear"),"---",IF(D25="-",D25,IF(D25="---",C25,(C25+D25)/2))))</f>
        <v>-</v>
      </c>
      <c r="D26" s="692"/>
      <c r="E26" s="447" t="s">
        <v>295</v>
      </c>
      <c r="G26" s="39"/>
    </row>
    <row r="27" spans="1:23" ht="13.5" thickBot="1">
      <c r="A27" s="438"/>
      <c r="C27" s="693" t="str">
        <f>IF(Lookups!$K$20="Yes",warrantedMedium,IF(Lookups!$K$20="No",doesntMeetThresholds,IF(OR(Lookups!$K$20="Unknown",C26=0,C26="-"),"",VLOOKUP(C26,Lookups!B33:C37,2))))</f>
        <v/>
      </c>
      <c r="D27" s="694"/>
      <c r="E27" s="440"/>
      <c r="F27" s="440"/>
      <c r="G27" s="440"/>
      <c r="H27" s="440"/>
      <c r="I27" s="440"/>
      <c r="J27" s="440"/>
      <c r="K27" s="441"/>
      <c r="L27" s="441"/>
    </row>
    <row r="28" spans="1:23" ht="12.75">
      <c r="A28" s="438"/>
      <c r="F28" s="441"/>
      <c r="G28" s="441"/>
      <c r="H28" s="441"/>
      <c r="I28" s="441"/>
      <c r="J28" s="441"/>
      <c r="K28" s="441"/>
      <c r="L28" s="441"/>
    </row>
    <row r="29" spans="1:23" ht="12.75">
      <c r="A29" s="438"/>
    </row>
    <row r="30" spans="1:23" ht="12.75">
      <c r="A30" s="438"/>
    </row>
    <row r="31" spans="1:23" ht="12.75">
      <c r="A31" s="438"/>
    </row>
    <row r="32" spans="1:23">
      <c r="A32" s="439"/>
    </row>
  </sheetData>
  <sheetProtection algorithmName="SHA-512" hashValue="I9Xwn+yB4OY414rXa2qlh1CwQY1wwFhRfP73zLD2ITc6zj3EhWQunQr7DAGS+JT7s76PmKE3dv0ZxDs+w/bEYw==" saltValue="kBzvX3Er+XxcamTGQmAmVA==" spinCount="100000" sheet="1" formatCells="0" formatColumns="0" formatRows="0" insertColumns="0" insertRows="0" insertHyperlinks="0" selectLockedCells="1"/>
  <customSheetViews>
    <customSheetView guid="{AB5399CE-BEB7-40AA-A66C-46449E135DF8}" showGridLines="0" fitToPage="1">
      <selection activeCell="D5" sqref="D5"/>
      <pageMargins left="0.4" right="0.4" top="0.5" bottom="0.5" header="0.5" footer="0.5"/>
      <printOptions horizontalCentered="1"/>
      <pageSetup scale="84" orientation="landscape" r:id="rId1"/>
      <headerFooter alignWithMargins="0"/>
    </customSheetView>
  </customSheetViews>
  <mergeCells count="24">
    <mergeCell ref="A1:E1"/>
    <mergeCell ref="A2:B2"/>
    <mergeCell ref="C19:D19"/>
    <mergeCell ref="C10:D10"/>
    <mergeCell ref="C2:E2"/>
    <mergeCell ref="A6:E6"/>
    <mergeCell ref="A13:E13"/>
    <mergeCell ref="A7:A8"/>
    <mergeCell ref="B7:B8"/>
    <mergeCell ref="C7:D7"/>
    <mergeCell ref="E7:E8"/>
    <mergeCell ref="A14:A15"/>
    <mergeCell ref="A4:E4"/>
    <mergeCell ref="C26:D26"/>
    <mergeCell ref="C11:D11"/>
    <mergeCell ref="C20:D20"/>
    <mergeCell ref="C27:D27"/>
    <mergeCell ref="B14:B15"/>
    <mergeCell ref="C14:D14"/>
    <mergeCell ref="A22:E22"/>
    <mergeCell ref="A23:A24"/>
    <mergeCell ref="B23:B24"/>
    <mergeCell ref="C23:D23"/>
    <mergeCell ref="E23:E24"/>
  </mergeCells>
  <phoneticPr fontId="0" type="noConversion"/>
  <conditionalFormatting sqref="A4">
    <cfRule type="expression" dxfId="26" priority="80">
      <formula>AND($A4&lt;&gt;"")</formula>
    </cfRule>
  </conditionalFormatting>
  <printOptions horizontalCentered="1"/>
  <pageMargins left="0.25" right="0.25" top="0.25" bottom="0.25" header="0.05" footer="0.05"/>
  <pageSetup scale="75" orientation="landscape" horizontalDpi="4294967293" verticalDpi="4294967293"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6"/>
  <sheetViews>
    <sheetView showGridLines="0" topLeftCell="A244" zoomScaleNormal="100" workbookViewId="0">
      <selection activeCell="J260" sqref="J260"/>
    </sheetView>
  </sheetViews>
  <sheetFormatPr defaultColWidth="9.33203125" defaultRowHeight="15"/>
  <cols>
    <col min="1" max="1" width="37.83203125" style="3" customWidth="1"/>
    <col min="2" max="2" width="43.6640625" style="3" customWidth="1"/>
    <col min="3" max="6" width="11.83203125" style="3" customWidth="1"/>
    <col min="7" max="7" width="14.1640625" style="3" customWidth="1"/>
    <col min="8" max="16384" width="9.33203125" style="3"/>
  </cols>
  <sheetData>
    <row r="1" spans="1:7" s="7" customFormat="1" ht="18.75" thickBot="1">
      <c r="A1" s="560" t="s">
        <v>391</v>
      </c>
      <c r="B1" s="561"/>
      <c r="C1" s="561"/>
      <c r="D1" s="561"/>
      <c r="E1" s="561"/>
      <c r="F1" s="561"/>
      <c r="G1" s="562"/>
    </row>
    <row r="2" spans="1:7" s="11" customFormat="1" ht="16.5" thickBot="1">
      <c r="A2" s="168" t="s">
        <v>3</v>
      </c>
      <c r="B2" s="648" t="str">
        <f>IF('Project Description'!B2:D2&lt;&gt;"",+'Project Description'!B2:D2,"")</f>
        <v/>
      </c>
      <c r="C2" s="649"/>
      <c r="D2" s="649"/>
      <c r="E2" s="649"/>
      <c r="F2" s="649"/>
      <c r="G2" s="650"/>
    </row>
    <row r="3" spans="1:7" s="8" customFormat="1" ht="13.5" thickBot="1">
      <c r="A3" s="782"/>
      <c r="B3" s="783"/>
      <c r="C3" s="783"/>
      <c r="D3" s="783"/>
      <c r="E3" s="783"/>
      <c r="F3" s="783"/>
      <c r="G3" s="784"/>
    </row>
    <row r="4" spans="1:7" s="8" customFormat="1" ht="13.5" thickBot="1">
      <c r="A4" s="584" t="s">
        <v>264</v>
      </c>
      <c r="B4" s="585"/>
      <c r="C4" s="585"/>
      <c r="D4" s="585"/>
      <c r="E4" s="585"/>
      <c r="F4" s="585"/>
      <c r="G4" s="586"/>
    </row>
    <row r="5" spans="1:7" s="8" customFormat="1" ht="12.75" customHeight="1">
      <c r="A5" s="169" t="s">
        <v>296</v>
      </c>
      <c r="B5" s="170"/>
      <c r="C5" s="848" t="str">
        <f>'Travel Forecasts'!D8</f>
        <v>Current Year ()</v>
      </c>
      <c r="D5" s="849"/>
      <c r="E5" s="848" t="str">
        <f>'Travel Forecasts'!E8</f>
        <v>Horizon ()</v>
      </c>
      <c r="F5" s="849"/>
      <c r="G5" s="595" t="s">
        <v>57</v>
      </c>
    </row>
    <row r="6" spans="1:7" s="8" customFormat="1" ht="13.5" thickBot="1">
      <c r="A6" s="376" t="s">
        <v>137</v>
      </c>
      <c r="B6" s="67"/>
      <c r="C6" s="850"/>
      <c r="D6" s="851"/>
      <c r="E6" s="850"/>
      <c r="F6" s="851"/>
      <c r="G6" s="597"/>
    </row>
    <row r="7" spans="1:7" s="8" customFormat="1" ht="12.75">
      <c r="A7" s="795" t="s">
        <v>58</v>
      </c>
      <c r="B7" s="796"/>
      <c r="C7" s="797"/>
      <c r="D7" s="797"/>
      <c r="E7" s="797"/>
      <c r="F7" s="797"/>
      <c r="G7" s="72"/>
    </row>
    <row r="8" spans="1:7" s="8" customFormat="1" ht="12.75">
      <c r="A8" s="830" t="s">
        <v>59</v>
      </c>
      <c r="B8" s="831"/>
      <c r="C8" s="829"/>
      <c r="D8" s="829"/>
      <c r="E8" s="829"/>
      <c r="F8" s="829"/>
      <c r="G8" s="171" t="str">
        <f>IF('Project Description'!$C$96="(Select…)","-",IF('Project Description'!$C$96="None","---",IF(C8&lt;&gt;0,(E8-C8)/C8,0)))</f>
        <v>-</v>
      </c>
    </row>
    <row r="9" spans="1:7" s="8" customFormat="1" ht="13.5" thickBot="1">
      <c r="A9" s="832" t="s">
        <v>60</v>
      </c>
      <c r="B9" s="833"/>
      <c r="C9" s="834"/>
      <c r="D9" s="834"/>
      <c r="E9" s="834"/>
      <c r="F9" s="834"/>
      <c r="G9" s="172" t="str">
        <f>IF(NOT(ISNUMBER(G$8)),G$8,IF(C9&lt;&gt;0,(E9-C9)/C9,0))</f>
        <v>-</v>
      </c>
    </row>
    <row r="10" spans="1:7" s="8" customFormat="1" ht="13.5" thickBot="1">
      <c r="A10" s="823"/>
      <c r="B10" s="824"/>
      <c r="C10" s="824"/>
      <c r="D10" s="824"/>
      <c r="E10" s="824"/>
      <c r="F10" s="824"/>
      <c r="G10" s="825"/>
    </row>
    <row r="11" spans="1:7" s="8" customFormat="1" ht="12.75">
      <c r="A11" s="804" t="s">
        <v>69</v>
      </c>
      <c r="B11" s="805"/>
      <c r="C11" s="740"/>
      <c r="D11" s="740"/>
      <c r="E11" s="740"/>
      <c r="F11" s="740"/>
      <c r="G11" s="173"/>
    </row>
    <row r="12" spans="1:7" s="8" customFormat="1" ht="12.75">
      <c r="A12" s="726" t="s">
        <v>60</v>
      </c>
      <c r="B12" s="727"/>
      <c r="C12" s="798"/>
      <c r="D12" s="799"/>
      <c r="E12" s="800"/>
      <c r="F12" s="801"/>
      <c r="G12" s="174" t="str">
        <f>IF(NOT(ISNUMBER(G$8)),G$8,IF(C12&lt;&gt;0,(E12-C12)/C12,0))</f>
        <v>-</v>
      </c>
    </row>
    <row r="13" spans="1:7" s="8" customFormat="1" ht="12.75">
      <c r="A13" s="751" t="s">
        <v>61</v>
      </c>
      <c r="B13" s="752"/>
      <c r="C13" s="802">
        <f>IF(C9&lt;&gt;0,+C12/C9,0)</f>
        <v>0</v>
      </c>
      <c r="D13" s="803"/>
      <c r="E13" s="802" t="str">
        <f>IF(NOT(ISNUMBER(G$8)),G$8,IF(E9&lt;&gt;0,+E12/E9,0))</f>
        <v>-</v>
      </c>
      <c r="F13" s="803"/>
      <c r="G13" s="338" t="s">
        <v>133</v>
      </c>
    </row>
    <row r="14" spans="1:7" s="8" customFormat="1" ht="12.75">
      <c r="A14" s="175" t="s">
        <v>182</v>
      </c>
      <c r="B14" s="176"/>
      <c r="C14" s="843"/>
      <c r="D14" s="843"/>
      <c r="E14" s="814" t="str">
        <f>IF(NOT(ISNUMBER(G$8)),G$8,+C14)</f>
        <v>-</v>
      </c>
      <c r="F14" s="814"/>
      <c r="G14" s="339" t="s">
        <v>133</v>
      </c>
    </row>
    <row r="15" spans="1:7" s="8" customFormat="1" ht="13.5" thickBot="1">
      <c r="A15" s="760" t="s">
        <v>141</v>
      </c>
      <c r="B15" s="761"/>
      <c r="C15" s="806">
        <f>IF(C14&lt;&gt;0,C12/C14,0)</f>
        <v>0</v>
      </c>
      <c r="D15" s="807"/>
      <c r="E15" s="806" t="str">
        <f>IF(NOT(ISNUMBER(G$8)),G$8,IF(E14&gt;0,E12/E14,0))</f>
        <v>-</v>
      </c>
      <c r="F15" s="807"/>
      <c r="G15" s="340" t="s">
        <v>133</v>
      </c>
    </row>
    <row r="16" spans="1:7" s="8" customFormat="1" ht="13.5" thickBot="1">
      <c r="A16" s="782"/>
      <c r="B16" s="783"/>
      <c r="C16" s="783"/>
      <c r="D16" s="783"/>
      <c r="E16" s="783"/>
      <c r="F16" s="783"/>
      <c r="G16" s="784"/>
    </row>
    <row r="17" spans="1:7" s="8" customFormat="1" ht="12.75">
      <c r="A17" s="738" t="s">
        <v>62</v>
      </c>
      <c r="B17" s="739"/>
      <c r="C17" s="740"/>
      <c r="D17" s="740"/>
      <c r="E17" s="740"/>
      <c r="F17" s="740"/>
      <c r="G17" s="173"/>
    </row>
    <row r="18" spans="1:7" s="8" customFormat="1" ht="12.75">
      <c r="A18" s="827" t="s">
        <v>59</v>
      </c>
      <c r="B18" s="828"/>
      <c r="C18" s="829"/>
      <c r="D18" s="829"/>
      <c r="E18" s="829"/>
      <c r="F18" s="829"/>
      <c r="G18" s="174" t="str">
        <f t="shared" ref="G18:G19" si="0">IF(NOT(ISNUMBER(G$8)),G$8,IF(C18&lt;&gt;0,(E18-C18)/C18,0))</f>
        <v>-</v>
      </c>
    </row>
    <row r="19" spans="1:7" s="8" customFormat="1" ht="12.75">
      <c r="A19" s="808" t="s">
        <v>60</v>
      </c>
      <c r="B19" s="809"/>
      <c r="C19" s="826"/>
      <c r="D19" s="826"/>
      <c r="E19" s="826"/>
      <c r="F19" s="826"/>
      <c r="G19" s="174" t="str">
        <f t="shared" si="0"/>
        <v>-</v>
      </c>
    </row>
    <row r="20" spans="1:7" s="8" customFormat="1" ht="12.75">
      <c r="A20" s="808" t="s">
        <v>166</v>
      </c>
      <c r="B20" s="809"/>
      <c r="C20" s="810">
        <f>IF(C8&gt;0,C18/C8,0)</f>
        <v>0</v>
      </c>
      <c r="D20" s="810"/>
      <c r="E20" s="810" t="str">
        <f>IF(NOT(ISNUMBER(G$8)),G$8,IF(E8&gt;0,E18/E8,0))</f>
        <v>-</v>
      </c>
      <c r="F20" s="810"/>
      <c r="G20" s="338" t="s">
        <v>133</v>
      </c>
    </row>
    <row r="21" spans="1:7" s="8" customFormat="1" ht="12.75">
      <c r="A21" s="808" t="s">
        <v>61</v>
      </c>
      <c r="B21" s="809"/>
      <c r="C21" s="810">
        <f>IF(C9&gt;0,C19/C9,0)</f>
        <v>0</v>
      </c>
      <c r="D21" s="810"/>
      <c r="E21" s="810" t="str">
        <f>IF(NOT(ISNUMBER(G$8)),G$8,IF(E9&gt;0,E19/E9,0))</f>
        <v>-</v>
      </c>
      <c r="F21" s="810"/>
      <c r="G21" s="338" t="s">
        <v>133</v>
      </c>
    </row>
    <row r="22" spans="1:7" s="8" customFormat="1" ht="12.75">
      <c r="A22" s="808" t="s">
        <v>63</v>
      </c>
      <c r="B22" s="809"/>
      <c r="C22" s="815"/>
      <c r="D22" s="815"/>
      <c r="E22" s="814" t="str">
        <f>IF(NOT(ISNUMBER(G$8)),G$8,+C22)</f>
        <v>-</v>
      </c>
      <c r="F22" s="814"/>
      <c r="G22" s="338" t="s">
        <v>133</v>
      </c>
    </row>
    <row r="23" spans="1:7" s="8" customFormat="1" ht="12.75">
      <c r="A23" s="808" t="s">
        <v>64</v>
      </c>
      <c r="B23" s="809"/>
      <c r="C23" s="816">
        <f>IF(C$22&lt;&gt;0,C18/C$22,0)</f>
        <v>0</v>
      </c>
      <c r="D23" s="816"/>
      <c r="E23" s="816" t="str">
        <f>IF(NOT(ISNUMBER(G$8)),G$8,IF(E$22&lt;&gt;0,E18/E$22,0))</f>
        <v>-</v>
      </c>
      <c r="F23" s="816"/>
      <c r="G23" s="338" t="s">
        <v>133</v>
      </c>
    </row>
    <row r="24" spans="1:7" s="8" customFormat="1" ht="13.5" thickBot="1">
      <c r="A24" s="820" t="s">
        <v>65</v>
      </c>
      <c r="B24" s="821"/>
      <c r="C24" s="822">
        <f>IF(C$22&lt;&gt;0,C19/C$22,0)</f>
        <v>0</v>
      </c>
      <c r="D24" s="822"/>
      <c r="E24" s="822" t="str">
        <f>IF(NOT(ISNUMBER(G$8)),G$8,IF(E$22&lt;&gt;0,E19/E$22,0))</f>
        <v>-</v>
      </c>
      <c r="F24" s="822"/>
      <c r="G24" s="341" t="s">
        <v>133</v>
      </c>
    </row>
    <row r="25" spans="1:7" s="8" customFormat="1" ht="13.5" thickBot="1">
      <c r="A25" s="177"/>
      <c r="B25" s="178"/>
      <c r="C25" s="178"/>
      <c r="D25" s="178"/>
      <c r="E25" s="178"/>
      <c r="F25" s="178"/>
      <c r="G25" s="178"/>
    </row>
    <row r="26" spans="1:7" s="8" customFormat="1" ht="12.75">
      <c r="A26" s="738" t="s">
        <v>267</v>
      </c>
      <c r="B26" s="739"/>
      <c r="C26" s="740"/>
      <c r="D26" s="740"/>
      <c r="E26" s="740"/>
      <c r="F26" s="740"/>
      <c r="G26" s="173"/>
    </row>
    <row r="27" spans="1:7" s="8" customFormat="1" ht="12.75">
      <c r="A27" s="726" t="s">
        <v>164</v>
      </c>
      <c r="B27" s="727"/>
      <c r="C27" s="741">
        <f>C52+C56+C60+C64+C68</f>
        <v>0</v>
      </c>
      <c r="D27" s="741"/>
      <c r="E27" s="742" t="s">
        <v>133</v>
      </c>
      <c r="F27" s="743"/>
      <c r="G27" s="342" t="s">
        <v>133</v>
      </c>
    </row>
    <row r="28" spans="1:7" s="8" customFormat="1" ht="12.75">
      <c r="A28" s="744" t="s">
        <v>165</v>
      </c>
      <c r="B28" s="745"/>
      <c r="C28" s="741">
        <f>C53+C57+C61+C65+C69</f>
        <v>0</v>
      </c>
      <c r="D28" s="741"/>
      <c r="E28" s="742" t="s">
        <v>133</v>
      </c>
      <c r="F28" s="743"/>
      <c r="G28" s="342" t="s">
        <v>133</v>
      </c>
    </row>
    <row r="29" spans="1:7" s="8" customFormat="1" ht="13.5" thickBot="1">
      <c r="A29" s="818" t="s">
        <v>196</v>
      </c>
      <c r="B29" s="819"/>
      <c r="C29" s="762"/>
      <c r="D29" s="763"/>
      <c r="E29" s="764" t="s">
        <v>133</v>
      </c>
      <c r="F29" s="765"/>
      <c r="G29" s="343" t="s">
        <v>133</v>
      </c>
    </row>
    <row r="30" spans="1:7" s="8" customFormat="1" ht="13.5" thickBot="1">
      <c r="A30" s="179"/>
      <c r="B30" s="180"/>
      <c r="C30" s="180"/>
      <c r="D30" s="180"/>
      <c r="E30" s="180"/>
      <c r="F30" s="180"/>
      <c r="G30" s="180"/>
    </row>
    <row r="31" spans="1:7" s="8" customFormat="1" ht="12.75">
      <c r="A31" s="811" t="s">
        <v>229</v>
      </c>
      <c r="B31" s="812"/>
      <c r="C31" s="812"/>
      <c r="D31" s="812"/>
      <c r="E31" s="812"/>
      <c r="F31" s="812"/>
      <c r="G31" s="813"/>
    </row>
    <row r="32" spans="1:7" s="8" customFormat="1" ht="12.75">
      <c r="A32" s="726" t="s">
        <v>164</v>
      </c>
      <c r="B32" s="727"/>
      <c r="C32" s="817">
        <f>C77+C86+C95+C104+C113+C122+C131+C143+C152+C161+C170+C179+C188+C197+C209+C218+C227+C236+C245+C254</f>
        <v>0</v>
      </c>
      <c r="D32" s="817"/>
      <c r="E32" s="742" t="s">
        <v>133</v>
      </c>
      <c r="F32" s="743"/>
      <c r="G32" s="342" t="s">
        <v>133</v>
      </c>
    </row>
    <row r="33" spans="1:7" s="8" customFormat="1" ht="12.75">
      <c r="A33" s="744" t="s">
        <v>165</v>
      </c>
      <c r="B33" s="745"/>
      <c r="C33" s="718"/>
      <c r="D33" s="718"/>
      <c r="E33" s="742" t="s">
        <v>133</v>
      </c>
      <c r="F33" s="743"/>
      <c r="G33" s="342" t="s">
        <v>133</v>
      </c>
    </row>
    <row r="34" spans="1:7" s="8" customFormat="1" ht="12.75">
      <c r="A34" s="751" t="s">
        <v>66</v>
      </c>
      <c r="B34" s="752"/>
      <c r="C34" s="817">
        <f>+C78+C87+C96+C105+C114+C123+C132+C144+C153+C162+C171+C180+C189+C198+C210+C219+C228+C237+C246+C255</f>
        <v>0</v>
      </c>
      <c r="D34" s="817"/>
      <c r="E34" s="817" t="str">
        <f>IF(NOT(ISNUMBER(G$8)),G$8,+E78+E87+E96+E105+E114+E123+E132+E144+E153+E162+E171+E180+E189+E198+E210+E219+E228+E237+E246+E255)</f>
        <v>-</v>
      </c>
      <c r="F34" s="817"/>
      <c r="G34" s="174" t="str">
        <f t="shared" ref="G34:G35" si="1">IF(NOT(ISNUMBER(G$8)),G$8,IF(C34&lt;&gt;0,(E34-C34)/C34,0))</f>
        <v>-</v>
      </c>
    </row>
    <row r="35" spans="1:7" s="8" customFormat="1" ht="12.75">
      <c r="A35" s="734" t="s">
        <v>309</v>
      </c>
      <c r="B35" s="735"/>
      <c r="C35" s="817">
        <f>+C79+C88+C97+C106+C115+C124+C133+C145+C154+C163+C172+C181+C190+C199+C211+C220+C229+C238+C247+C256</f>
        <v>0</v>
      </c>
      <c r="D35" s="817"/>
      <c r="E35" s="817" t="str">
        <f>IF(NOT(ISNUMBER(G$8)),G$8,+E79+E88+E97+E106+E115+E124+E133+E145+E154+E163+E172+E181+E190+E199+E211+E220+E229+E238+E247+E256)</f>
        <v>-</v>
      </c>
      <c r="F35" s="817"/>
      <c r="G35" s="174" t="str">
        <f t="shared" si="1"/>
        <v>-</v>
      </c>
    </row>
    <row r="36" spans="1:7" s="8" customFormat="1" ht="12.75" customHeight="1">
      <c r="A36" s="734" t="s">
        <v>318</v>
      </c>
      <c r="B36" s="748"/>
      <c r="C36" s="746"/>
      <c r="D36" s="747"/>
      <c r="E36" s="418"/>
      <c r="F36" s="419"/>
      <c r="G36" s="420"/>
    </row>
    <row r="37" spans="1:7" s="8" customFormat="1" ht="12.75">
      <c r="A37" s="751" t="s">
        <v>138</v>
      </c>
      <c r="B37" s="752"/>
      <c r="C37" s="766">
        <f>+C80+C89+C98+C107+C116+C125+C134+C146+C155+C164+C173+C182+C191+C200+C212+C221+C230+C239+C248+C257</f>
        <v>0</v>
      </c>
      <c r="D37" s="767"/>
      <c r="E37" s="844" t="str">
        <f>IF(NOT(ISNUMBER(G$8)),G$8,C37)</f>
        <v>-</v>
      </c>
      <c r="F37" s="845"/>
      <c r="G37" s="344" t="s">
        <v>133</v>
      </c>
    </row>
    <row r="38" spans="1:7" s="8" customFormat="1" ht="12.75">
      <c r="A38" s="751" t="s">
        <v>298</v>
      </c>
      <c r="B38" s="752"/>
      <c r="C38" s="736">
        <f>IF(C$37&lt;&gt;0,C32/C$37,0)</f>
        <v>0</v>
      </c>
      <c r="D38" s="737"/>
      <c r="E38" s="846" t="s">
        <v>133</v>
      </c>
      <c r="F38" s="847"/>
      <c r="G38" s="344" t="s">
        <v>133</v>
      </c>
    </row>
    <row r="39" spans="1:7" s="8" customFormat="1" ht="12.75">
      <c r="A39" s="751" t="s">
        <v>64</v>
      </c>
      <c r="B39" s="752"/>
      <c r="C39" s="736">
        <f>IF(C$37&lt;&gt;0,C34/C$37,0)</f>
        <v>0</v>
      </c>
      <c r="D39" s="737"/>
      <c r="E39" s="736" t="str">
        <f>IF(NOT(ISNUMBER(G$8)),G$8,IF(E$37&lt;&gt;0,E34/E$37,0))</f>
        <v>-</v>
      </c>
      <c r="F39" s="737"/>
      <c r="G39" s="344" t="s">
        <v>133</v>
      </c>
    </row>
    <row r="40" spans="1:7" s="8" customFormat="1" ht="12.75">
      <c r="A40" s="751" t="s">
        <v>68</v>
      </c>
      <c r="B40" s="752"/>
      <c r="C40" s="736">
        <f>IF(C$37&lt;&gt;0,C35/C$37,0)</f>
        <v>0</v>
      </c>
      <c r="D40" s="737"/>
      <c r="E40" s="736" t="str">
        <f>IF(NOT(ISNUMBER(G$8)),G$8,IF(E$37&lt;&gt;0,E35/E$37,0))</f>
        <v>-</v>
      </c>
      <c r="F40" s="737"/>
      <c r="G40" s="344" t="s">
        <v>133</v>
      </c>
    </row>
    <row r="41" spans="1:7" s="8" customFormat="1" ht="13.5" thickBot="1">
      <c r="A41" s="768" t="s">
        <v>167</v>
      </c>
      <c r="B41" s="769"/>
      <c r="C41" s="770">
        <f>IF(C32&lt;&gt;0,C33/C32,0)</f>
        <v>0</v>
      </c>
      <c r="D41" s="771"/>
      <c r="E41" s="772" t="s">
        <v>133</v>
      </c>
      <c r="F41" s="773"/>
      <c r="G41" s="345" t="s">
        <v>133</v>
      </c>
    </row>
    <row r="42" spans="1:7" s="10" customFormat="1" ht="13.5" thickBot="1">
      <c r="A42" s="182"/>
      <c r="B42" s="182"/>
      <c r="C42" s="182"/>
      <c r="D42" s="182"/>
      <c r="E42" s="182"/>
      <c r="F42" s="182"/>
      <c r="G42" s="182"/>
    </row>
    <row r="43" spans="1:7" s="8" customFormat="1" ht="12.75" customHeight="1">
      <c r="A43" s="811" t="s">
        <v>301</v>
      </c>
      <c r="B43" s="812"/>
      <c r="C43" s="812"/>
      <c r="D43" s="812"/>
      <c r="E43" s="812"/>
      <c r="F43" s="812"/>
      <c r="G43" s="813"/>
    </row>
    <row r="44" spans="1:7" s="8" customFormat="1" ht="12.75">
      <c r="A44" s="726" t="s">
        <v>265</v>
      </c>
      <c r="B44" s="727"/>
      <c r="C44" s="858">
        <f>IF(C32=0,0,C33/C32)</f>
        <v>0</v>
      </c>
      <c r="D44" s="858"/>
      <c r="E44" s="742" t="s">
        <v>133</v>
      </c>
      <c r="F44" s="743"/>
      <c r="G44" s="342" t="s">
        <v>133</v>
      </c>
    </row>
    <row r="45" spans="1:7" s="8" customFormat="1" ht="12.75">
      <c r="A45" s="744" t="s">
        <v>266</v>
      </c>
      <c r="B45" s="745"/>
      <c r="C45" s="858">
        <f>IF(C27=0,0,C28/C27)</f>
        <v>0</v>
      </c>
      <c r="D45" s="858"/>
      <c r="E45" s="742" t="s">
        <v>133</v>
      </c>
      <c r="F45" s="743"/>
      <c r="G45" s="342" t="s">
        <v>133</v>
      </c>
    </row>
    <row r="46" spans="1:7" s="8" customFormat="1" ht="27" customHeight="1" thickBot="1">
      <c r="A46" s="818" t="s">
        <v>268</v>
      </c>
      <c r="B46" s="819"/>
      <c r="C46" s="854">
        <f>IF(C45=0,0,C44/C45)</f>
        <v>0</v>
      </c>
      <c r="D46" s="855"/>
      <c r="E46" s="856" t="s">
        <v>133</v>
      </c>
      <c r="F46" s="857"/>
      <c r="G46" s="346" t="s">
        <v>133</v>
      </c>
    </row>
    <row r="47" spans="1:7" s="8" customFormat="1" ht="11.45" customHeight="1" thickBot="1">
      <c r="A47" s="179"/>
      <c r="B47" s="180"/>
      <c r="C47" s="180"/>
      <c r="D47" s="180"/>
      <c r="E47" s="180"/>
      <c r="F47" s="180"/>
      <c r="G47" s="180"/>
    </row>
    <row r="48" spans="1:7" s="8" customFormat="1" ht="13.5" thickBot="1">
      <c r="A48" s="709" t="s">
        <v>263</v>
      </c>
      <c r="B48" s="710"/>
      <c r="C48" s="710"/>
      <c r="D48" s="710"/>
      <c r="E48" s="710"/>
      <c r="F48" s="710"/>
      <c r="G48" s="711"/>
    </row>
    <row r="49" spans="1:7" s="8" customFormat="1" ht="13.5" customHeight="1" thickBot="1">
      <c r="A49" s="73"/>
      <c r="B49" s="74"/>
      <c r="C49" s="584" t="s">
        <v>153</v>
      </c>
      <c r="D49" s="586"/>
      <c r="E49" s="584"/>
      <c r="F49" s="585"/>
      <c r="G49" s="75"/>
    </row>
    <row r="50" spans="1:7" s="8" customFormat="1" ht="10.15" customHeight="1" thickBot="1">
      <c r="A50" s="782"/>
      <c r="B50" s="783"/>
      <c r="C50" s="783"/>
      <c r="D50" s="783"/>
      <c r="E50" s="783"/>
      <c r="F50" s="783"/>
      <c r="G50" s="784"/>
    </row>
    <row r="51" spans="1:7" s="8" customFormat="1" ht="12.75">
      <c r="A51" s="183" t="s">
        <v>230</v>
      </c>
      <c r="B51" s="184" t="s">
        <v>231</v>
      </c>
      <c r="C51" s="712"/>
      <c r="D51" s="713"/>
      <c r="E51" s="713"/>
      <c r="F51" s="713"/>
      <c r="G51" s="714"/>
    </row>
    <row r="52" spans="1:7" s="8" customFormat="1" ht="12.75">
      <c r="A52" s="726" t="s">
        <v>310</v>
      </c>
      <c r="B52" s="727"/>
      <c r="C52" s="718"/>
      <c r="D52" s="718"/>
      <c r="E52" s="728"/>
      <c r="F52" s="729"/>
      <c r="G52" s="185"/>
    </row>
    <row r="53" spans="1:7" s="8" customFormat="1" ht="13.5" thickBot="1">
      <c r="A53" s="730" t="s">
        <v>165</v>
      </c>
      <c r="B53" s="731"/>
      <c r="C53" s="723"/>
      <c r="D53" s="723"/>
      <c r="E53" s="732"/>
      <c r="F53" s="733"/>
      <c r="G53" s="181"/>
    </row>
    <row r="54" spans="1:7" s="8" customFormat="1" ht="11.45" customHeight="1" thickBot="1">
      <c r="A54" s="179"/>
      <c r="B54" s="180"/>
      <c r="C54" s="180"/>
      <c r="D54" s="180"/>
      <c r="E54" s="180"/>
      <c r="F54" s="180"/>
      <c r="G54" s="186"/>
    </row>
    <row r="55" spans="1:7" s="8" customFormat="1" ht="12.75" customHeight="1">
      <c r="A55" s="183" t="s">
        <v>232</v>
      </c>
      <c r="B55" s="184" t="s">
        <v>231</v>
      </c>
      <c r="C55" s="712"/>
      <c r="D55" s="713"/>
      <c r="E55" s="713"/>
      <c r="F55" s="713"/>
      <c r="G55" s="714"/>
    </row>
    <row r="56" spans="1:7" s="8" customFormat="1" ht="12.75">
      <c r="A56" s="726" t="s">
        <v>164</v>
      </c>
      <c r="B56" s="727"/>
      <c r="C56" s="718"/>
      <c r="D56" s="718"/>
      <c r="E56" s="728"/>
      <c r="F56" s="729"/>
      <c r="G56" s="185"/>
    </row>
    <row r="57" spans="1:7" s="8" customFormat="1" ht="13.5" thickBot="1">
      <c r="A57" s="730" t="s">
        <v>165</v>
      </c>
      <c r="B57" s="731"/>
      <c r="C57" s="723"/>
      <c r="D57" s="723"/>
      <c r="E57" s="732"/>
      <c r="F57" s="733"/>
      <c r="G57" s="181"/>
    </row>
    <row r="58" spans="1:7" s="8" customFormat="1" ht="11.45" customHeight="1" thickBot="1">
      <c r="A58" s="179"/>
      <c r="B58" s="180"/>
      <c r="C58" s="180"/>
      <c r="D58" s="180"/>
      <c r="E58" s="180"/>
      <c r="F58" s="180"/>
      <c r="G58" s="186"/>
    </row>
    <row r="59" spans="1:7" s="8" customFormat="1" ht="12.75" customHeight="1">
      <c r="A59" s="183" t="s">
        <v>233</v>
      </c>
      <c r="B59" s="184" t="s">
        <v>231</v>
      </c>
      <c r="C59" s="715"/>
      <c r="D59" s="713"/>
      <c r="E59" s="713"/>
      <c r="F59" s="713"/>
      <c r="G59" s="714"/>
    </row>
    <row r="60" spans="1:7" s="8" customFormat="1" ht="12.75" customHeight="1">
      <c r="A60" s="726" t="s">
        <v>164</v>
      </c>
      <c r="B60" s="727"/>
      <c r="C60" s="718"/>
      <c r="D60" s="718"/>
      <c r="E60" s="728"/>
      <c r="F60" s="729"/>
      <c r="G60" s="185"/>
    </row>
    <row r="61" spans="1:7" s="8" customFormat="1" ht="13.5" thickBot="1">
      <c r="A61" s="730" t="s">
        <v>165</v>
      </c>
      <c r="B61" s="731"/>
      <c r="C61" s="723"/>
      <c r="D61" s="723"/>
      <c r="E61" s="732"/>
      <c r="F61" s="733"/>
      <c r="G61" s="181"/>
    </row>
    <row r="62" spans="1:7" s="8" customFormat="1" ht="11.45" customHeight="1" thickBot="1">
      <c r="A62" s="179"/>
      <c r="B62" s="180"/>
      <c r="C62" s="180"/>
      <c r="D62" s="180"/>
      <c r="E62" s="180"/>
      <c r="F62" s="180"/>
      <c r="G62" s="186"/>
    </row>
    <row r="63" spans="1:7" s="8" customFormat="1" ht="12.75" customHeight="1">
      <c r="A63" s="183" t="s">
        <v>234</v>
      </c>
      <c r="B63" s="184" t="s">
        <v>231</v>
      </c>
      <c r="C63" s="715"/>
      <c r="D63" s="713"/>
      <c r="E63" s="713"/>
      <c r="F63" s="713"/>
      <c r="G63" s="714"/>
    </row>
    <row r="64" spans="1:7" s="8" customFormat="1" ht="12.75" customHeight="1">
      <c r="A64" s="726" t="s">
        <v>164</v>
      </c>
      <c r="B64" s="727"/>
      <c r="C64" s="718"/>
      <c r="D64" s="718"/>
      <c r="E64" s="728"/>
      <c r="F64" s="729"/>
      <c r="G64" s="185"/>
    </row>
    <row r="65" spans="1:7" s="8" customFormat="1" ht="13.5" thickBot="1">
      <c r="A65" s="730" t="s">
        <v>165</v>
      </c>
      <c r="B65" s="731"/>
      <c r="C65" s="723"/>
      <c r="D65" s="723"/>
      <c r="E65" s="732"/>
      <c r="F65" s="733"/>
      <c r="G65" s="181"/>
    </row>
    <row r="66" spans="1:7" s="379" customFormat="1" ht="12" customHeight="1" thickBot="1">
      <c r="A66" s="396"/>
      <c r="B66" s="392"/>
      <c r="C66" s="392"/>
      <c r="D66" s="392"/>
      <c r="E66" s="392"/>
      <c r="F66" s="392"/>
      <c r="G66" s="397"/>
    </row>
    <row r="67" spans="1:7" s="379" customFormat="1" ht="12.75" customHeight="1">
      <c r="A67" s="398" t="s">
        <v>235</v>
      </c>
      <c r="B67" s="399" t="s">
        <v>231</v>
      </c>
      <c r="C67" s="715"/>
      <c r="D67" s="713"/>
      <c r="E67" s="713"/>
      <c r="F67" s="713"/>
      <c r="G67" s="714"/>
    </row>
    <row r="68" spans="1:7" s="379" customFormat="1" ht="12.75" customHeight="1">
      <c r="A68" s="716" t="s">
        <v>164</v>
      </c>
      <c r="B68" s="717"/>
      <c r="C68" s="718"/>
      <c r="D68" s="718"/>
      <c r="E68" s="719"/>
      <c r="F68" s="720"/>
      <c r="G68" s="400"/>
    </row>
    <row r="69" spans="1:7" s="379" customFormat="1" ht="13.5" thickBot="1">
      <c r="A69" s="721" t="s">
        <v>165</v>
      </c>
      <c r="B69" s="722"/>
      <c r="C69" s="723"/>
      <c r="D69" s="723"/>
      <c r="E69" s="724"/>
      <c r="F69" s="725"/>
      <c r="G69" s="401"/>
    </row>
    <row r="70" spans="1:7" s="379" customFormat="1" ht="13.5" thickBot="1">
      <c r="A70" s="835"/>
      <c r="B70" s="835"/>
      <c r="C70" s="835"/>
      <c r="D70" s="835"/>
      <c r="E70" s="835"/>
      <c r="F70" s="835"/>
      <c r="G70" s="835"/>
    </row>
    <row r="71" spans="1:7" s="7" customFormat="1" ht="18.75" thickBot="1">
      <c r="A71" s="560" t="s">
        <v>412</v>
      </c>
      <c r="B71" s="561"/>
      <c r="C71" s="561"/>
      <c r="D71" s="561"/>
      <c r="E71" s="561"/>
      <c r="F71" s="561"/>
      <c r="G71" s="562"/>
    </row>
    <row r="72" spans="1:7" s="8" customFormat="1" ht="13.5" thickBot="1">
      <c r="A72" s="187"/>
      <c r="B72" s="187"/>
      <c r="C72" s="188"/>
      <c r="D72" s="188"/>
      <c r="E72" s="189"/>
      <c r="F72" s="188"/>
      <c r="G72" s="190"/>
    </row>
    <row r="73" spans="1:7" s="8" customFormat="1" ht="13.5" thickBot="1">
      <c r="A73" s="584" t="s">
        <v>314</v>
      </c>
      <c r="B73" s="585"/>
      <c r="C73" s="585"/>
      <c r="D73" s="585"/>
      <c r="E73" s="585"/>
      <c r="F73" s="585"/>
      <c r="G73" s="586"/>
    </row>
    <row r="74" spans="1:7" s="8" customFormat="1" ht="13.5" thickBot="1">
      <c r="A74" s="73"/>
      <c r="B74" s="74"/>
      <c r="C74" s="584" t="s">
        <v>153</v>
      </c>
      <c r="D74" s="586"/>
      <c r="E74" s="584" t="s">
        <v>228</v>
      </c>
      <c r="F74" s="586"/>
      <c r="G74" s="191" t="s">
        <v>57</v>
      </c>
    </row>
    <row r="75" spans="1:7" s="8" customFormat="1" ht="13.5" thickBot="1">
      <c r="A75" s="179"/>
      <c r="B75" s="180"/>
      <c r="C75" s="180"/>
      <c r="D75" s="180"/>
      <c r="E75" s="180"/>
      <c r="F75" s="180"/>
      <c r="G75" s="186"/>
    </row>
    <row r="76" spans="1:7" s="8" customFormat="1" ht="12.75">
      <c r="A76" s="192" t="s">
        <v>311</v>
      </c>
      <c r="B76" s="193" t="s">
        <v>139</v>
      </c>
      <c r="C76" s="749"/>
      <c r="D76" s="749"/>
      <c r="E76" s="749"/>
      <c r="F76" s="749"/>
      <c r="G76" s="750"/>
    </row>
    <row r="77" spans="1:7" s="8" customFormat="1" ht="12.75">
      <c r="A77" s="726" t="s">
        <v>164</v>
      </c>
      <c r="B77" s="727"/>
      <c r="C77" s="774"/>
      <c r="D77" s="775"/>
      <c r="E77" s="742" t="s">
        <v>133</v>
      </c>
      <c r="F77" s="743"/>
      <c r="G77" s="342" t="s">
        <v>133</v>
      </c>
    </row>
    <row r="78" spans="1:7" s="8" customFormat="1" ht="12.75">
      <c r="A78" s="751" t="s">
        <v>66</v>
      </c>
      <c r="B78" s="752"/>
      <c r="C78" s="755"/>
      <c r="D78" s="756"/>
      <c r="E78" s="755"/>
      <c r="F78" s="756"/>
      <c r="G78" s="194" t="str">
        <f>IF(NOT(ISNUMBER(G$8)),G$8,IF(C78&lt;&gt;0,(E78-C78)/C78,0))</f>
        <v>-</v>
      </c>
    </row>
    <row r="79" spans="1:7" s="8" customFormat="1" ht="12.75">
      <c r="A79" s="751" t="s">
        <v>67</v>
      </c>
      <c r="B79" s="752"/>
      <c r="C79" s="753"/>
      <c r="D79" s="754"/>
      <c r="E79" s="755"/>
      <c r="F79" s="756"/>
      <c r="G79" s="194" t="str">
        <f>IF(NOT(ISNUMBER(G$8)),G$8,IF(C79&lt;&gt;0,(E79-C79)/C79,0))</f>
        <v>-</v>
      </c>
    </row>
    <row r="80" spans="1:7" s="8" customFormat="1" ht="12.75">
      <c r="A80" s="757" t="s">
        <v>140</v>
      </c>
      <c r="B80" s="752"/>
      <c r="C80" s="788"/>
      <c r="D80" s="789"/>
      <c r="E80" s="776" t="str">
        <f>IF(NOT(ISNUMBER(G$8)),G$8,C80)</f>
        <v>-</v>
      </c>
      <c r="F80" s="777"/>
      <c r="G80" s="344" t="s">
        <v>133</v>
      </c>
    </row>
    <row r="81" spans="1:7" s="8" customFormat="1" ht="12.75">
      <c r="A81" s="751" t="s">
        <v>298</v>
      </c>
      <c r="B81" s="752"/>
      <c r="C81" s="758">
        <f>IF(C80&lt;&gt;0,C77/C80,0)</f>
        <v>0</v>
      </c>
      <c r="D81" s="759"/>
      <c r="E81" s="742" t="s">
        <v>133</v>
      </c>
      <c r="F81" s="743"/>
      <c r="G81" s="344" t="s">
        <v>133</v>
      </c>
    </row>
    <row r="82" spans="1:7" s="8" customFormat="1" ht="12.75">
      <c r="A82" s="751" t="s">
        <v>64</v>
      </c>
      <c r="B82" s="752"/>
      <c r="C82" s="758">
        <f>IF(C80&lt;&gt;0,C78/C80,0)</f>
        <v>0</v>
      </c>
      <c r="D82" s="759"/>
      <c r="E82" s="758" t="str">
        <f>IF(NOT(ISNUMBER(G$8)),G$8,IF(E80&lt;&gt;0,E78/E80,0))</f>
        <v>-</v>
      </c>
      <c r="F82" s="759"/>
      <c r="G82" s="344" t="s">
        <v>133</v>
      </c>
    </row>
    <row r="83" spans="1:7" s="8" customFormat="1" ht="13.5" thickBot="1">
      <c r="A83" s="760" t="s">
        <v>68</v>
      </c>
      <c r="B83" s="761"/>
      <c r="C83" s="778">
        <f>IF(C80&lt;&gt;0,C79/C80,0)</f>
        <v>0</v>
      </c>
      <c r="D83" s="779"/>
      <c r="E83" s="778" t="str">
        <f>IF(NOT(ISNUMBER(G$8)),G$8,IF(E80&lt;&gt;0,E79/E80,0))</f>
        <v>-</v>
      </c>
      <c r="F83" s="779"/>
      <c r="G83" s="343" t="s">
        <v>133</v>
      </c>
    </row>
    <row r="84" spans="1:7" s="8" customFormat="1" ht="13.5" thickBot="1">
      <c r="A84" s="782"/>
      <c r="B84" s="783"/>
      <c r="C84" s="783"/>
      <c r="D84" s="783"/>
      <c r="E84" s="783"/>
      <c r="F84" s="783"/>
      <c r="G84" s="784"/>
    </row>
    <row r="85" spans="1:7" s="8" customFormat="1" ht="12.75">
      <c r="A85" s="192" t="s">
        <v>71</v>
      </c>
      <c r="B85" s="193" t="s">
        <v>139</v>
      </c>
      <c r="C85" s="749"/>
      <c r="D85" s="749"/>
      <c r="E85" s="749"/>
      <c r="F85" s="749"/>
      <c r="G85" s="750"/>
    </row>
    <row r="86" spans="1:7" s="8" customFormat="1" ht="12.75">
      <c r="A86" s="726" t="s">
        <v>164</v>
      </c>
      <c r="B86" s="727"/>
      <c r="C86" s="774"/>
      <c r="D86" s="775"/>
      <c r="E86" s="742" t="s">
        <v>133</v>
      </c>
      <c r="F86" s="743"/>
      <c r="G86" s="342" t="s">
        <v>133</v>
      </c>
    </row>
    <row r="87" spans="1:7" s="8" customFormat="1" ht="12.75">
      <c r="A87" s="751" t="s">
        <v>66</v>
      </c>
      <c r="B87" s="752"/>
      <c r="C87" s="755"/>
      <c r="D87" s="756"/>
      <c r="E87" s="755"/>
      <c r="F87" s="756"/>
      <c r="G87" s="194" t="str">
        <f>IF(NOT(ISNUMBER(G$8)),G$8,IF(C87&lt;&gt;0,(E87-C87)/C87,0))</f>
        <v>-</v>
      </c>
    </row>
    <row r="88" spans="1:7" s="8" customFormat="1" ht="12.75">
      <c r="A88" s="751" t="s">
        <v>67</v>
      </c>
      <c r="B88" s="752"/>
      <c r="C88" s="753"/>
      <c r="D88" s="754"/>
      <c r="E88" s="755"/>
      <c r="F88" s="756"/>
      <c r="G88" s="194" t="str">
        <f>IF(NOT(ISNUMBER(G$8)),G$8,IF(C88&lt;&gt;0,(E88-C88)/C88,0))</f>
        <v>-</v>
      </c>
    </row>
    <row r="89" spans="1:7" s="8" customFormat="1" ht="12.75">
      <c r="A89" s="757" t="s">
        <v>140</v>
      </c>
      <c r="B89" s="752"/>
      <c r="C89" s="788"/>
      <c r="D89" s="789"/>
      <c r="E89" s="776" t="str">
        <f>IF(NOT(ISNUMBER(G$8)),G$8,C89)</f>
        <v>-</v>
      </c>
      <c r="F89" s="777"/>
      <c r="G89" s="344" t="s">
        <v>133</v>
      </c>
    </row>
    <row r="90" spans="1:7" s="8" customFormat="1" ht="12.75" customHeight="1">
      <c r="A90" s="751" t="s">
        <v>298</v>
      </c>
      <c r="B90" s="752"/>
      <c r="C90" s="758">
        <f>IF(C89&lt;&gt;0,C86/C89,0)</f>
        <v>0</v>
      </c>
      <c r="D90" s="759"/>
      <c r="E90" s="742" t="s">
        <v>133</v>
      </c>
      <c r="F90" s="743"/>
      <c r="G90" s="344" t="s">
        <v>133</v>
      </c>
    </row>
    <row r="91" spans="1:7" s="8" customFormat="1" ht="12.75" customHeight="1">
      <c r="A91" s="751" t="s">
        <v>64</v>
      </c>
      <c r="B91" s="752"/>
      <c r="C91" s="758">
        <f>IF(C89&lt;&gt;0,C87/C89,0)</f>
        <v>0</v>
      </c>
      <c r="D91" s="759"/>
      <c r="E91" s="758" t="str">
        <f>IF(NOT(ISNUMBER(G$8)),G$8,IF(E89&lt;&gt;0,E87/E89,0))</f>
        <v>-</v>
      </c>
      <c r="F91" s="759"/>
      <c r="G91" s="344" t="s">
        <v>133</v>
      </c>
    </row>
    <row r="92" spans="1:7" s="8" customFormat="1" ht="13.5" customHeight="1" thickBot="1">
      <c r="A92" s="760" t="s">
        <v>68</v>
      </c>
      <c r="B92" s="761"/>
      <c r="C92" s="778">
        <f>IF(C89&lt;&gt;0,C88/C89,0)</f>
        <v>0</v>
      </c>
      <c r="D92" s="779"/>
      <c r="E92" s="778" t="str">
        <f>IF(NOT(ISNUMBER(G$8)),G$8,IF(E89&lt;&gt;0,E88/E89,0))</f>
        <v>-</v>
      </c>
      <c r="F92" s="779"/>
      <c r="G92" s="343" t="s">
        <v>133</v>
      </c>
    </row>
    <row r="93" spans="1:7" s="8" customFormat="1" ht="13.5" thickBot="1">
      <c r="A93" s="782"/>
      <c r="B93" s="783"/>
      <c r="C93" s="783"/>
      <c r="D93" s="783"/>
      <c r="E93" s="783"/>
      <c r="F93" s="783"/>
      <c r="G93" s="784"/>
    </row>
    <row r="94" spans="1:7" s="8" customFormat="1" ht="12.75">
      <c r="A94" s="192" t="s">
        <v>70</v>
      </c>
      <c r="B94" s="193" t="s">
        <v>139</v>
      </c>
      <c r="C94" s="749"/>
      <c r="D94" s="749"/>
      <c r="E94" s="749"/>
      <c r="F94" s="749"/>
      <c r="G94" s="750"/>
    </row>
    <row r="95" spans="1:7" s="8" customFormat="1" ht="12.75">
      <c r="A95" s="726" t="s">
        <v>164</v>
      </c>
      <c r="B95" s="727"/>
      <c r="C95" s="774"/>
      <c r="D95" s="775"/>
      <c r="E95" s="742" t="s">
        <v>133</v>
      </c>
      <c r="F95" s="743"/>
      <c r="G95" s="342" t="s">
        <v>133</v>
      </c>
    </row>
    <row r="96" spans="1:7" s="8" customFormat="1" ht="12.75">
      <c r="A96" s="751" t="s">
        <v>66</v>
      </c>
      <c r="B96" s="752"/>
      <c r="C96" s="755"/>
      <c r="D96" s="756"/>
      <c r="E96" s="755"/>
      <c r="F96" s="756"/>
      <c r="G96" s="194" t="str">
        <f>IF(NOT(ISNUMBER(G$8)),G$8,IF(C96&lt;&gt;0,(E96-C96)/C96,0))</f>
        <v>-</v>
      </c>
    </row>
    <row r="97" spans="1:7" s="8" customFormat="1" ht="12.75">
      <c r="A97" s="751" t="s">
        <v>67</v>
      </c>
      <c r="B97" s="752"/>
      <c r="C97" s="753"/>
      <c r="D97" s="754"/>
      <c r="E97" s="755"/>
      <c r="F97" s="756"/>
      <c r="G97" s="194" t="str">
        <f>IF(NOT(ISNUMBER(G$8)),G$8,IF(C97&lt;&gt;0,(E97-C97)/C97,0))</f>
        <v>-</v>
      </c>
    </row>
    <row r="98" spans="1:7" s="8" customFormat="1" ht="12.75">
      <c r="A98" s="757" t="s">
        <v>140</v>
      </c>
      <c r="B98" s="752"/>
      <c r="C98" s="788"/>
      <c r="D98" s="789"/>
      <c r="E98" s="776" t="str">
        <f>IF(NOT(ISNUMBER(G$8)),G$8,C98)</f>
        <v>-</v>
      </c>
      <c r="F98" s="777"/>
      <c r="G98" s="344" t="s">
        <v>133</v>
      </c>
    </row>
    <row r="99" spans="1:7" s="8" customFormat="1" ht="12.75" customHeight="1">
      <c r="A99" s="751" t="s">
        <v>298</v>
      </c>
      <c r="B99" s="752"/>
      <c r="C99" s="758">
        <f>IF(C98&lt;&gt;0,C95/C98,0)</f>
        <v>0</v>
      </c>
      <c r="D99" s="759"/>
      <c r="E99" s="742" t="s">
        <v>133</v>
      </c>
      <c r="F99" s="743"/>
      <c r="G99" s="344" t="s">
        <v>133</v>
      </c>
    </row>
    <row r="100" spans="1:7" s="8" customFormat="1" ht="12.75" customHeight="1">
      <c r="A100" s="751" t="s">
        <v>64</v>
      </c>
      <c r="B100" s="752"/>
      <c r="C100" s="758">
        <f>IF(C98&lt;&gt;0,C96/C98,0)</f>
        <v>0</v>
      </c>
      <c r="D100" s="759"/>
      <c r="E100" s="758" t="str">
        <f>IF(NOT(ISNUMBER(G$8)),G$8,IF(E98&lt;&gt;0,E96/E98,0))</f>
        <v>-</v>
      </c>
      <c r="F100" s="759"/>
      <c r="G100" s="344" t="s">
        <v>133</v>
      </c>
    </row>
    <row r="101" spans="1:7" s="8" customFormat="1" ht="13.5" customHeight="1" thickBot="1">
      <c r="A101" s="760" t="s">
        <v>68</v>
      </c>
      <c r="B101" s="761"/>
      <c r="C101" s="778">
        <f>IF(C98&lt;&gt;0,C97/C98,0)</f>
        <v>0</v>
      </c>
      <c r="D101" s="779"/>
      <c r="E101" s="778" t="str">
        <f>IF(NOT(ISNUMBER(G$8)),G$8,IF(E98&lt;&gt;0,E97/E98,0))</f>
        <v>-</v>
      </c>
      <c r="F101" s="779"/>
      <c r="G101" s="343" t="s">
        <v>133</v>
      </c>
    </row>
    <row r="102" spans="1:7" s="8" customFormat="1" ht="13.5" thickBot="1">
      <c r="A102" s="782"/>
      <c r="B102" s="783"/>
      <c r="C102" s="783"/>
      <c r="D102" s="783"/>
      <c r="E102" s="783"/>
      <c r="F102" s="783"/>
      <c r="G102" s="784"/>
    </row>
    <row r="103" spans="1:7" s="8" customFormat="1" ht="12.75">
      <c r="A103" s="192" t="s">
        <v>116</v>
      </c>
      <c r="B103" s="193" t="s">
        <v>139</v>
      </c>
      <c r="C103" s="749"/>
      <c r="D103" s="749"/>
      <c r="E103" s="749"/>
      <c r="F103" s="749"/>
      <c r="G103" s="750"/>
    </row>
    <row r="104" spans="1:7" s="8" customFormat="1" ht="12.75">
      <c r="A104" s="726" t="s">
        <v>164</v>
      </c>
      <c r="B104" s="727"/>
      <c r="C104" s="774"/>
      <c r="D104" s="775"/>
      <c r="E104" s="742" t="s">
        <v>133</v>
      </c>
      <c r="F104" s="743"/>
      <c r="G104" s="342" t="s">
        <v>133</v>
      </c>
    </row>
    <row r="105" spans="1:7" s="8" customFormat="1" ht="12.75">
      <c r="A105" s="751" t="s">
        <v>66</v>
      </c>
      <c r="B105" s="752"/>
      <c r="C105" s="755"/>
      <c r="D105" s="756"/>
      <c r="E105" s="755"/>
      <c r="F105" s="756"/>
      <c r="G105" s="194" t="str">
        <f>IF(NOT(ISNUMBER(G$8)),G$8,IF(C105&lt;&gt;0,(E105-C105)/C105,0))</f>
        <v>-</v>
      </c>
    </row>
    <row r="106" spans="1:7" s="8" customFormat="1" ht="12.75">
      <c r="A106" s="751" t="s">
        <v>67</v>
      </c>
      <c r="B106" s="752"/>
      <c r="C106" s="753"/>
      <c r="D106" s="754"/>
      <c r="E106" s="755"/>
      <c r="F106" s="756"/>
      <c r="G106" s="194" t="str">
        <f>IF(NOT(ISNUMBER(G$8)),G$8,IF(C106&lt;&gt;0,(E106-C106)/C106,0))</f>
        <v>-</v>
      </c>
    </row>
    <row r="107" spans="1:7" s="8" customFormat="1" ht="12.75">
      <c r="A107" s="757" t="s">
        <v>140</v>
      </c>
      <c r="B107" s="752"/>
      <c r="C107" s="788"/>
      <c r="D107" s="789"/>
      <c r="E107" s="776" t="str">
        <f>IF(NOT(ISNUMBER(G$8)),G$8,C107)</f>
        <v>-</v>
      </c>
      <c r="F107" s="777"/>
      <c r="G107" s="344" t="s">
        <v>133</v>
      </c>
    </row>
    <row r="108" spans="1:7" s="8" customFormat="1" ht="12.75" customHeight="1">
      <c r="A108" s="751" t="s">
        <v>298</v>
      </c>
      <c r="B108" s="752"/>
      <c r="C108" s="758">
        <f>IF(C107&lt;&gt;0,C104/C107,0)</f>
        <v>0</v>
      </c>
      <c r="D108" s="759"/>
      <c r="E108" s="742" t="s">
        <v>133</v>
      </c>
      <c r="F108" s="743"/>
      <c r="G108" s="344" t="s">
        <v>133</v>
      </c>
    </row>
    <row r="109" spans="1:7" s="8" customFormat="1" ht="12.75" customHeight="1">
      <c r="A109" s="751" t="s">
        <v>64</v>
      </c>
      <c r="B109" s="752"/>
      <c r="C109" s="758">
        <f>IF(C107&lt;&gt;0,C105/C107,0)</f>
        <v>0</v>
      </c>
      <c r="D109" s="759"/>
      <c r="E109" s="758" t="str">
        <f>IF(NOT(ISNUMBER(G$8)),G$8,IF(E107&lt;&gt;0,E105/E107,0))</f>
        <v>-</v>
      </c>
      <c r="F109" s="759"/>
      <c r="G109" s="344" t="s">
        <v>133</v>
      </c>
    </row>
    <row r="110" spans="1:7" s="8" customFormat="1" ht="13.5" customHeight="1" thickBot="1">
      <c r="A110" s="760" t="s">
        <v>68</v>
      </c>
      <c r="B110" s="761"/>
      <c r="C110" s="778">
        <f>IF(C107&lt;&gt;0,C106/C107,0)</f>
        <v>0</v>
      </c>
      <c r="D110" s="779"/>
      <c r="E110" s="778" t="str">
        <f>IF(NOT(ISNUMBER(G$8)),G$8,IF(E107&lt;&gt;0,E106/E107,0))</f>
        <v>-</v>
      </c>
      <c r="F110" s="779"/>
      <c r="G110" s="343" t="s">
        <v>133</v>
      </c>
    </row>
    <row r="111" spans="1:7" s="8" customFormat="1" ht="13.5" thickBot="1">
      <c r="A111" s="782"/>
      <c r="B111" s="783"/>
      <c r="C111" s="783"/>
      <c r="D111" s="783"/>
      <c r="E111" s="783"/>
      <c r="F111" s="783"/>
      <c r="G111" s="784"/>
    </row>
    <row r="112" spans="1:7" s="8" customFormat="1" ht="12.75">
      <c r="A112" s="192" t="s">
        <v>115</v>
      </c>
      <c r="B112" s="193" t="s">
        <v>139</v>
      </c>
      <c r="C112" s="749"/>
      <c r="D112" s="749"/>
      <c r="E112" s="749"/>
      <c r="F112" s="749"/>
      <c r="G112" s="750"/>
    </row>
    <row r="113" spans="1:7" s="8" customFormat="1" ht="12.75">
      <c r="A113" s="726" t="s">
        <v>164</v>
      </c>
      <c r="B113" s="727"/>
      <c r="C113" s="774"/>
      <c r="D113" s="775"/>
      <c r="E113" s="742" t="s">
        <v>133</v>
      </c>
      <c r="F113" s="743"/>
      <c r="G113" s="342" t="s">
        <v>133</v>
      </c>
    </row>
    <row r="114" spans="1:7" s="8" customFormat="1" ht="12.75">
      <c r="A114" s="751" t="s">
        <v>66</v>
      </c>
      <c r="B114" s="752"/>
      <c r="C114" s="755"/>
      <c r="D114" s="756"/>
      <c r="E114" s="755"/>
      <c r="F114" s="756"/>
      <c r="G114" s="194" t="str">
        <f>IF(NOT(ISNUMBER(G$8)),G$8,IF(C114&lt;&gt;0,(E114-C114)/C114,0))</f>
        <v>-</v>
      </c>
    </row>
    <row r="115" spans="1:7" s="8" customFormat="1" ht="12.75">
      <c r="A115" s="751" t="s">
        <v>67</v>
      </c>
      <c r="B115" s="752"/>
      <c r="C115" s="753"/>
      <c r="D115" s="754"/>
      <c r="E115" s="755"/>
      <c r="F115" s="756"/>
      <c r="G115" s="194" t="str">
        <f>IF(NOT(ISNUMBER(G$8)),G$8,IF(C115&lt;&gt;0,(E115-C115)/C115,0))</f>
        <v>-</v>
      </c>
    </row>
    <row r="116" spans="1:7" s="8" customFormat="1" ht="12.75">
      <c r="A116" s="757" t="s">
        <v>140</v>
      </c>
      <c r="B116" s="752"/>
      <c r="C116" s="788"/>
      <c r="D116" s="789"/>
      <c r="E116" s="776" t="str">
        <f>IF(NOT(ISNUMBER(G$8)),G$8,C116)</f>
        <v>-</v>
      </c>
      <c r="F116" s="777"/>
      <c r="G116" s="344" t="s">
        <v>133</v>
      </c>
    </row>
    <row r="117" spans="1:7" s="8" customFormat="1" ht="12.75" customHeight="1">
      <c r="A117" s="751" t="s">
        <v>298</v>
      </c>
      <c r="B117" s="752"/>
      <c r="C117" s="758">
        <f>IF(C116&lt;&gt;0,C113/C116,0)</f>
        <v>0</v>
      </c>
      <c r="D117" s="759"/>
      <c r="E117" s="742" t="s">
        <v>133</v>
      </c>
      <c r="F117" s="743"/>
      <c r="G117" s="344" t="s">
        <v>133</v>
      </c>
    </row>
    <row r="118" spans="1:7" s="8" customFormat="1" ht="12.75" customHeight="1">
      <c r="A118" s="751" t="s">
        <v>64</v>
      </c>
      <c r="B118" s="752"/>
      <c r="C118" s="758">
        <f>IF(C116&lt;&gt;0,C114/C116,0)</f>
        <v>0</v>
      </c>
      <c r="D118" s="759"/>
      <c r="E118" s="758" t="str">
        <f>IF(NOT(ISNUMBER(G$8)),G$8,IF(E116&lt;&gt;0,E114/E116,0))</f>
        <v>-</v>
      </c>
      <c r="F118" s="759"/>
      <c r="G118" s="344" t="s">
        <v>133</v>
      </c>
    </row>
    <row r="119" spans="1:7" s="8" customFormat="1" ht="13.5" customHeight="1" thickBot="1">
      <c r="A119" s="760" t="s">
        <v>68</v>
      </c>
      <c r="B119" s="761"/>
      <c r="C119" s="778">
        <f>IF(C116&lt;&gt;0,C115/C116,0)</f>
        <v>0</v>
      </c>
      <c r="D119" s="779"/>
      <c r="E119" s="778" t="str">
        <f>IF(NOT(ISNUMBER(G$8)),G$8,IF(E116&lt;&gt;0,E115/E116,0))</f>
        <v>-</v>
      </c>
      <c r="F119" s="779"/>
      <c r="G119" s="343" t="s">
        <v>133</v>
      </c>
    </row>
    <row r="120" spans="1:7" s="8" customFormat="1" ht="13.5" thickBot="1">
      <c r="A120" s="195"/>
      <c r="B120" s="196"/>
      <c r="C120" s="197"/>
      <c r="D120" s="197"/>
      <c r="E120" s="197"/>
      <c r="F120" s="197"/>
      <c r="G120" s="198"/>
    </row>
    <row r="121" spans="1:7" s="8" customFormat="1" ht="12.75">
      <c r="A121" s="192" t="s">
        <v>114</v>
      </c>
      <c r="B121" s="193" t="s">
        <v>139</v>
      </c>
      <c r="C121" s="749"/>
      <c r="D121" s="749"/>
      <c r="E121" s="749"/>
      <c r="F121" s="749"/>
      <c r="G121" s="750"/>
    </row>
    <row r="122" spans="1:7" s="8" customFormat="1" ht="12.75">
      <c r="A122" s="726" t="s">
        <v>164</v>
      </c>
      <c r="B122" s="727"/>
      <c r="C122" s="774"/>
      <c r="D122" s="775"/>
      <c r="E122" s="742" t="s">
        <v>133</v>
      </c>
      <c r="F122" s="743"/>
      <c r="G122" s="342" t="s">
        <v>133</v>
      </c>
    </row>
    <row r="123" spans="1:7" s="8" customFormat="1" ht="12.75">
      <c r="A123" s="751" t="s">
        <v>66</v>
      </c>
      <c r="B123" s="752"/>
      <c r="C123" s="755"/>
      <c r="D123" s="756"/>
      <c r="E123" s="755"/>
      <c r="F123" s="756"/>
      <c r="G123" s="194" t="str">
        <f>IF(NOT(ISNUMBER(G$8)),G$8,IF(C123&lt;&gt;0,(E123-C123)/C123,0))</f>
        <v>-</v>
      </c>
    </row>
    <row r="124" spans="1:7" s="8" customFormat="1" ht="12.75">
      <c r="A124" s="751" t="s">
        <v>67</v>
      </c>
      <c r="B124" s="752"/>
      <c r="C124" s="753"/>
      <c r="D124" s="754"/>
      <c r="E124" s="755"/>
      <c r="F124" s="756"/>
      <c r="G124" s="194" t="str">
        <f>IF(NOT(ISNUMBER(G$8)),G$8,IF(C124&lt;&gt;0,(E124-C124)/C124,0))</f>
        <v>-</v>
      </c>
    </row>
    <row r="125" spans="1:7" s="8" customFormat="1" ht="12.75">
      <c r="A125" s="757" t="s">
        <v>140</v>
      </c>
      <c r="B125" s="752"/>
      <c r="C125" s="788"/>
      <c r="D125" s="789"/>
      <c r="E125" s="776" t="str">
        <f>IF(NOT(ISNUMBER(G$8)),G$8,C125)</f>
        <v>-</v>
      </c>
      <c r="F125" s="777"/>
      <c r="G125" s="344" t="s">
        <v>133</v>
      </c>
    </row>
    <row r="126" spans="1:7" s="8" customFormat="1" ht="12.75" customHeight="1">
      <c r="A126" s="751" t="s">
        <v>298</v>
      </c>
      <c r="B126" s="752"/>
      <c r="C126" s="758">
        <f>IF(C125&lt;&gt;0,C122/C125,0)</f>
        <v>0</v>
      </c>
      <c r="D126" s="759"/>
      <c r="E126" s="742" t="s">
        <v>133</v>
      </c>
      <c r="F126" s="743"/>
      <c r="G126" s="344" t="s">
        <v>133</v>
      </c>
    </row>
    <row r="127" spans="1:7" s="8" customFormat="1" ht="12.75" customHeight="1">
      <c r="A127" s="751" t="s">
        <v>64</v>
      </c>
      <c r="B127" s="752"/>
      <c r="C127" s="758">
        <f>IF(C125&lt;&gt;0,C123/C125,0)</f>
        <v>0</v>
      </c>
      <c r="D127" s="759"/>
      <c r="E127" s="758" t="str">
        <f>IF(NOT(ISNUMBER(G$8)),G$8,IF(E125&lt;&gt;0,E123/E125,0))</f>
        <v>-</v>
      </c>
      <c r="F127" s="759"/>
      <c r="G127" s="344" t="s">
        <v>133</v>
      </c>
    </row>
    <row r="128" spans="1:7" s="8" customFormat="1" ht="13.5" customHeight="1" thickBot="1">
      <c r="A128" s="760" t="s">
        <v>68</v>
      </c>
      <c r="B128" s="761"/>
      <c r="C128" s="778">
        <f>IF(C125&lt;&gt;0,C124/C125,0)</f>
        <v>0</v>
      </c>
      <c r="D128" s="779"/>
      <c r="E128" s="778" t="str">
        <f>IF(NOT(ISNUMBER(G$8)),G$8,IF(E125&lt;&gt;0,E124/E125,0))</f>
        <v>-</v>
      </c>
      <c r="F128" s="779"/>
      <c r="G128" s="343" t="s">
        <v>133</v>
      </c>
    </row>
    <row r="129" spans="1:7" s="8" customFormat="1" ht="13.5" thickBot="1">
      <c r="A129" s="782"/>
      <c r="B129" s="783"/>
      <c r="C129" s="783"/>
      <c r="D129" s="783"/>
      <c r="E129" s="783"/>
      <c r="F129" s="783"/>
      <c r="G129" s="784"/>
    </row>
    <row r="130" spans="1:7" s="8" customFormat="1" ht="12.75">
      <c r="A130" s="192" t="s">
        <v>113</v>
      </c>
      <c r="B130" s="193" t="s">
        <v>139</v>
      </c>
      <c r="C130" s="749"/>
      <c r="D130" s="749"/>
      <c r="E130" s="749"/>
      <c r="F130" s="749"/>
      <c r="G130" s="750"/>
    </row>
    <row r="131" spans="1:7" s="8" customFormat="1" ht="12.75">
      <c r="A131" s="726" t="s">
        <v>164</v>
      </c>
      <c r="B131" s="727"/>
      <c r="C131" s="774"/>
      <c r="D131" s="775"/>
      <c r="E131" s="742" t="s">
        <v>133</v>
      </c>
      <c r="F131" s="743"/>
      <c r="G131" s="342" t="s">
        <v>133</v>
      </c>
    </row>
    <row r="132" spans="1:7" s="8" customFormat="1" ht="12.75">
      <c r="A132" s="751" t="s">
        <v>66</v>
      </c>
      <c r="B132" s="752"/>
      <c r="C132" s="755"/>
      <c r="D132" s="756"/>
      <c r="E132" s="755"/>
      <c r="F132" s="756"/>
      <c r="G132" s="194" t="str">
        <f>IF(NOT(ISNUMBER(G$8)),G$8,IF(C132&lt;&gt;0,(E132-C132)/C132,0))</f>
        <v>-</v>
      </c>
    </row>
    <row r="133" spans="1:7" s="8" customFormat="1" ht="12.75">
      <c r="A133" s="751" t="s">
        <v>67</v>
      </c>
      <c r="B133" s="752"/>
      <c r="C133" s="753"/>
      <c r="D133" s="754"/>
      <c r="E133" s="755"/>
      <c r="F133" s="756"/>
      <c r="G133" s="194" t="str">
        <f>IF(NOT(ISNUMBER(G$8)),G$8,IF(C133&lt;&gt;0,(E133-C133)/C133,0))</f>
        <v>-</v>
      </c>
    </row>
    <row r="134" spans="1:7" s="8" customFormat="1" ht="12.75">
      <c r="A134" s="757" t="s">
        <v>140</v>
      </c>
      <c r="B134" s="752"/>
      <c r="C134" s="788"/>
      <c r="D134" s="789"/>
      <c r="E134" s="776" t="str">
        <f>IF(NOT(ISNUMBER(G$8)),G$8,C134)</f>
        <v>-</v>
      </c>
      <c r="F134" s="777"/>
      <c r="G134" s="344" t="s">
        <v>133</v>
      </c>
    </row>
    <row r="135" spans="1:7" s="8" customFormat="1" ht="12.75" customHeight="1">
      <c r="A135" s="751" t="s">
        <v>298</v>
      </c>
      <c r="B135" s="752"/>
      <c r="C135" s="758">
        <f>IF(C134&lt;&gt;0,C131/C134,0)</f>
        <v>0</v>
      </c>
      <c r="D135" s="759"/>
      <c r="E135" s="742" t="s">
        <v>133</v>
      </c>
      <c r="F135" s="743"/>
      <c r="G135" s="344" t="s">
        <v>133</v>
      </c>
    </row>
    <row r="136" spans="1:7" s="8" customFormat="1" ht="12.75" customHeight="1">
      <c r="A136" s="751" t="s">
        <v>64</v>
      </c>
      <c r="B136" s="752"/>
      <c r="C136" s="758">
        <f>IF(C134&lt;&gt;0,C132/C134,0)</f>
        <v>0</v>
      </c>
      <c r="D136" s="759"/>
      <c r="E136" s="758" t="str">
        <f>IF(NOT(ISNUMBER(G$8)),G$8,IF(E134&lt;&gt;0,E132/E134,0))</f>
        <v>-</v>
      </c>
      <c r="F136" s="759"/>
      <c r="G136" s="344" t="s">
        <v>133</v>
      </c>
    </row>
    <row r="137" spans="1:7" s="8" customFormat="1" ht="13.5" customHeight="1" thickBot="1">
      <c r="A137" s="760" t="s">
        <v>68</v>
      </c>
      <c r="B137" s="761"/>
      <c r="C137" s="778">
        <f>IF(C134&lt;&gt;0,C133/C134,0)</f>
        <v>0</v>
      </c>
      <c r="D137" s="779"/>
      <c r="E137" s="778" t="str">
        <f>IF(NOT(ISNUMBER(G$8)),G$8,IF(E134&lt;&gt;0,E133/E134,0))</f>
        <v>-</v>
      </c>
      <c r="F137" s="779"/>
      <c r="G137" s="343" t="s">
        <v>133</v>
      </c>
    </row>
    <row r="138" spans="1:7" s="8" customFormat="1" ht="13.5" thickBot="1">
      <c r="A138" s="787"/>
      <c r="B138" s="787"/>
      <c r="C138" s="787"/>
      <c r="D138" s="787"/>
      <c r="E138" s="787"/>
      <c r="F138" s="787"/>
      <c r="G138" s="787"/>
    </row>
    <row r="139" spans="1:7" s="7" customFormat="1" ht="18.75" thickBot="1">
      <c r="A139" s="560" t="s">
        <v>413</v>
      </c>
      <c r="B139" s="561"/>
      <c r="C139" s="561"/>
      <c r="D139" s="561"/>
      <c r="E139" s="561"/>
      <c r="F139" s="561"/>
      <c r="G139" s="562"/>
    </row>
    <row r="140" spans="1:7" s="8" customFormat="1" ht="13.5" thickBot="1">
      <c r="A140" s="73"/>
      <c r="B140" s="74"/>
      <c r="C140" s="584" t="s">
        <v>153</v>
      </c>
      <c r="D140" s="586"/>
      <c r="E140" s="584" t="s">
        <v>228</v>
      </c>
      <c r="F140" s="586"/>
      <c r="G140" s="191" t="s">
        <v>57</v>
      </c>
    </row>
    <row r="141" spans="1:7" s="8" customFormat="1" ht="13.5" thickBot="1">
      <c r="A141" s="782"/>
      <c r="B141" s="783"/>
      <c r="C141" s="783"/>
      <c r="D141" s="783"/>
      <c r="E141" s="783"/>
      <c r="F141" s="783"/>
      <c r="G141" s="784"/>
    </row>
    <row r="142" spans="1:7" s="8" customFormat="1" ht="12.75">
      <c r="A142" s="192" t="s">
        <v>112</v>
      </c>
      <c r="B142" s="193" t="s">
        <v>139</v>
      </c>
      <c r="C142" s="749"/>
      <c r="D142" s="749"/>
      <c r="E142" s="749"/>
      <c r="F142" s="749"/>
      <c r="G142" s="750"/>
    </row>
    <row r="143" spans="1:7" s="8" customFormat="1" ht="12.75">
      <c r="A143" s="726" t="s">
        <v>164</v>
      </c>
      <c r="B143" s="727"/>
      <c r="C143" s="774"/>
      <c r="D143" s="775"/>
      <c r="E143" s="742" t="s">
        <v>133</v>
      </c>
      <c r="F143" s="743"/>
      <c r="G143" s="342" t="s">
        <v>133</v>
      </c>
    </row>
    <row r="144" spans="1:7" s="8" customFormat="1" ht="12.75">
      <c r="A144" s="751" t="s">
        <v>66</v>
      </c>
      <c r="B144" s="752"/>
      <c r="C144" s="755"/>
      <c r="D144" s="756"/>
      <c r="E144" s="755"/>
      <c r="F144" s="756"/>
      <c r="G144" s="194" t="str">
        <f>IF(NOT(ISNUMBER(G$8)),G$8,IF(C144&lt;&gt;0,(E144-C144)/C144,0))</f>
        <v>-</v>
      </c>
    </row>
    <row r="145" spans="1:7" s="8" customFormat="1" ht="12.75">
      <c r="A145" s="751" t="s">
        <v>67</v>
      </c>
      <c r="B145" s="752"/>
      <c r="C145" s="753"/>
      <c r="D145" s="754"/>
      <c r="E145" s="755"/>
      <c r="F145" s="756"/>
      <c r="G145" s="194" t="str">
        <f>IF(NOT(ISNUMBER(G$8)),G$8,IF(C145&lt;&gt;0,(E145-C145)/C145,0))</f>
        <v>-</v>
      </c>
    </row>
    <row r="146" spans="1:7" s="8" customFormat="1" ht="12.75">
      <c r="A146" s="757" t="s">
        <v>140</v>
      </c>
      <c r="B146" s="752"/>
      <c r="C146" s="788"/>
      <c r="D146" s="789"/>
      <c r="E146" s="776" t="str">
        <f>IF(NOT(ISNUMBER(G$8)),G$8,C146)</f>
        <v>-</v>
      </c>
      <c r="F146" s="777"/>
      <c r="G146" s="344" t="s">
        <v>133</v>
      </c>
    </row>
    <row r="147" spans="1:7" s="8" customFormat="1" ht="12.75" customHeight="1">
      <c r="A147" s="751" t="s">
        <v>298</v>
      </c>
      <c r="B147" s="752"/>
      <c r="C147" s="758">
        <f>IF(C146&lt;&gt;0,C143/C146,0)</f>
        <v>0</v>
      </c>
      <c r="D147" s="759"/>
      <c r="E147" s="742" t="s">
        <v>133</v>
      </c>
      <c r="F147" s="743"/>
      <c r="G147" s="344" t="s">
        <v>133</v>
      </c>
    </row>
    <row r="148" spans="1:7" s="8" customFormat="1" ht="12.75" customHeight="1">
      <c r="A148" s="751" t="s">
        <v>64</v>
      </c>
      <c r="B148" s="752"/>
      <c r="C148" s="758">
        <f>IF(C146&lt;&gt;0,C144/C146,0)</f>
        <v>0</v>
      </c>
      <c r="D148" s="759"/>
      <c r="E148" s="758" t="str">
        <f>IF(NOT(ISNUMBER(G$8)),G$8,IF(E146&lt;&gt;0,E144/E146,0))</f>
        <v>-</v>
      </c>
      <c r="F148" s="759"/>
      <c r="G148" s="344" t="s">
        <v>133</v>
      </c>
    </row>
    <row r="149" spans="1:7" s="8" customFormat="1" ht="13.5" customHeight="1" thickBot="1">
      <c r="A149" s="760" t="s">
        <v>68</v>
      </c>
      <c r="B149" s="761"/>
      <c r="C149" s="778">
        <f>IF(C146&lt;&gt;0,C145/C146,0)</f>
        <v>0</v>
      </c>
      <c r="D149" s="779"/>
      <c r="E149" s="778" t="str">
        <f>IF(NOT(ISNUMBER(G$8)),G$8,IF(E146&lt;&gt;0,E145/E146,0))</f>
        <v>-</v>
      </c>
      <c r="F149" s="779"/>
      <c r="G149" s="343" t="s">
        <v>133</v>
      </c>
    </row>
    <row r="150" spans="1:7" s="8" customFormat="1" ht="13.5" thickBot="1">
      <c r="A150" s="782"/>
      <c r="B150" s="783"/>
      <c r="C150" s="783"/>
      <c r="D150" s="783"/>
      <c r="E150" s="783"/>
      <c r="F150" s="783"/>
      <c r="G150" s="784"/>
    </row>
    <row r="151" spans="1:7" s="8" customFormat="1" ht="12.75">
      <c r="A151" s="192" t="s">
        <v>111</v>
      </c>
      <c r="B151" s="193" t="s">
        <v>139</v>
      </c>
      <c r="C151" s="749"/>
      <c r="D151" s="749"/>
      <c r="E151" s="749"/>
      <c r="F151" s="749"/>
      <c r="G151" s="750"/>
    </row>
    <row r="152" spans="1:7" s="8" customFormat="1" ht="12.75">
      <c r="A152" s="726" t="s">
        <v>164</v>
      </c>
      <c r="B152" s="727"/>
      <c r="C152" s="774"/>
      <c r="D152" s="775"/>
      <c r="E152" s="742" t="s">
        <v>133</v>
      </c>
      <c r="F152" s="743"/>
      <c r="G152" s="342" t="s">
        <v>133</v>
      </c>
    </row>
    <row r="153" spans="1:7" s="8" customFormat="1" ht="12.75">
      <c r="A153" s="751" t="s">
        <v>66</v>
      </c>
      <c r="B153" s="752"/>
      <c r="C153" s="755"/>
      <c r="D153" s="756"/>
      <c r="E153" s="755"/>
      <c r="F153" s="756"/>
      <c r="G153" s="194" t="str">
        <f>IF(NOT(ISNUMBER(G$8)),G$8,IF(C153&lt;&gt;0,(E153-C153)/C153,0))</f>
        <v>-</v>
      </c>
    </row>
    <row r="154" spans="1:7" s="8" customFormat="1" ht="12.75">
      <c r="A154" s="751" t="s">
        <v>67</v>
      </c>
      <c r="B154" s="752"/>
      <c r="C154" s="753"/>
      <c r="D154" s="754"/>
      <c r="E154" s="755"/>
      <c r="F154" s="756"/>
      <c r="G154" s="194" t="str">
        <f>IF(NOT(ISNUMBER(G$8)),G$8,IF(C154&lt;&gt;0,(E154-C154)/C154,0))</f>
        <v>-</v>
      </c>
    </row>
    <row r="155" spans="1:7" s="8" customFormat="1" ht="12.75">
      <c r="A155" s="757" t="s">
        <v>140</v>
      </c>
      <c r="B155" s="752"/>
      <c r="C155" s="785"/>
      <c r="D155" s="786"/>
      <c r="E155" s="776" t="str">
        <f>IF(NOT(ISNUMBER(G$8)),G$8,C155)</f>
        <v>-</v>
      </c>
      <c r="F155" s="777"/>
      <c r="G155" s="344" t="s">
        <v>133</v>
      </c>
    </row>
    <row r="156" spans="1:7" s="8" customFormat="1" ht="12.75" customHeight="1">
      <c r="A156" s="751" t="s">
        <v>298</v>
      </c>
      <c r="B156" s="752"/>
      <c r="C156" s="758">
        <f>IF(C155&lt;&gt;0,C152/C155,0)</f>
        <v>0</v>
      </c>
      <c r="D156" s="759"/>
      <c r="E156" s="742" t="s">
        <v>133</v>
      </c>
      <c r="F156" s="743"/>
      <c r="G156" s="344" t="s">
        <v>133</v>
      </c>
    </row>
    <row r="157" spans="1:7" s="8" customFormat="1" ht="12.75" customHeight="1">
      <c r="A157" s="751" t="s">
        <v>64</v>
      </c>
      <c r="B157" s="752"/>
      <c r="C157" s="758">
        <f>IF(C155&lt;&gt;0,C153/C155,0)</f>
        <v>0</v>
      </c>
      <c r="D157" s="759"/>
      <c r="E157" s="758" t="str">
        <f>IF(NOT(ISNUMBER(G$8)),G$8,IF(E155&lt;&gt;0,E153/E155,0))</f>
        <v>-</v>
      </c>
      <c r="F157" s="759"/>
      <c r="G157" s="344" t="s">
        <v>133</v>
      </c>
    </row>
    <row r="158" spans="1:7" s="8" customFormat="1" ht="13.5" customHeight="1" thickBot="1">
      <c r="A158" s="760" t="s">
        <v>68</v>
      </c>
      <c r="B158" s="761"/>
      <c r="C158" s="778">
        <f>IF(C155&lt;&gt;0,C154/C155,0)</f>
        <v>0</v>
      </c>
      <c r="D158" s="779"/>
      <c r="E158" s="778" t="str">
        <f>IF(NOT(ISNUMBER(G$8)),G$8,IF(E155&lt;&gt;0,E154/E155,0))</f>
        <v>-</v>
      </c>
      <c r="F158" s="779"/>
      <c r="G158" s="343" t="s">
        <v>133</v>
      </c>
    </row>
    <row r="159" spans="1:7" s="8" customFormat="1" ht="13.5" thickBot="1">
      <c r="A159" s="782"/>
      <c r="B159" s="783"/>
      <c r="C159" s="783"/>
      <c r="D159" s="783"/>
      <c r="E159" s="783"/>
      <c r="F159" s="783"/>
      <c r="G159" s="784"/>
    </row>
    <row r="160" spans="1:7" s="8" customFormat="1" ht="12.75">
      <c r="A160" s="192" t="s">
        <v>110</v>
      </c>
      <c r="B160" s="193" t="s">
        <v>139</v>
      </c>
      <c r="C160" s="749"/>
      <c r="D160" s="749"/>
      <c r="E160" s="749"/>
      <c r="F160" s="749"/>
      <c r="G160" s="750"/>
    </row>
    <row r="161" spans="1:7" s="8" customFormat="1" ht="12.75">
      <c r="A161" s="726" t="s">
        <v>164</v>
      </c>
      <c r="B161" s="727"/>
      <c r="C161" s="774"/>
      <c r="D161" s="775"/>
      <c r="E161" s="742" t="s">
        <v>133</v>
      </c>
      <c r="F161" s="743"/>
      <c r="G161" s="342" t="s">
        <v>133</v>
      </c>
    </row>
    <row r="162" spans="1:7" s="8" customFormat="1" ht="12.75">
      <c r="A162" s="751" t="s">
        <v>66</v>
      </c>
      <c r="B162" s="752"/>
      <c r="C162" s="755"/>
      <c r="D162" s="756"/>
      <c r="E162" s="755"/>
      <c r="F162" s="756"/>
      <c r="G162" s="194" t="str">
        <f>IF(NOT(ISNUMBER(G$8)),G$8,IF(C162&lt;&gt;0,(E162-C162)/C162,0))</f>
        <v>-</v>
      </c>
    </row>
    <row r="163" spans="1:7" s="8" customFormat="1" ht="12.75">
      <c r="A163" s="751" t="s">
        <v>67</v>
      </c>
      <c r="B163" s="752"/>
      <c r="C163" s="753"/>
      <c r="D163" s="754"/>
      <c r="E163" s="755"/>
      <c r="F163" s="756"/>
      <c r="G163" s="194" t="str">
        <f>IF(NOT(ISNUMBER(G$8)),G$8,IF(C163&lt;&gt;0,(E163-C163)/C163,0))</f>
        <v>-</v>
      </c>
    </row>
    <row r="164" spans="1:7" s="8" customFormat="1" ht="12.75">
      <c r="A164" s="757" t="s">
        <v>140</v>
      </c>
      <c r="B164" s="752"/>
      <c r="C164" s="788"/>
      <c r="D164" s="789"/>
      <c r="E164" s="776" t="str">
        <f>IF(NOT(ISNUMBER(G$8)),G$8,C164)</f>
        <v>-</v>
      </c>
      <c r="F164" s="777"/>
      <c r="G164" s="344" t="s">
        <v>133</v>
      </c>
    </row>
    <row r="165" spans="1:7" s="8" customFormat="1" ht="12.75" customHeight="1">
      <c r="A165" s="751" t="s">
        <v>298</v>
      </c>
      <c r="B165" s="752"/>
      <c r="C165" s="758">
        <f>IF(C164&lt;&gt;0,C161/C164,0)</f>
        <v>0</v>
      </c>
      <c r="D165" s="759"/>
      <c r="E165" s="742" t="s">
        <v>133</v>
      </c>
      <c r="F165" s="743"/>
      <c r="G165" s="344" t="s">
        <v>133</v>
      </c>
    </row>
    <row r="166" spans="1:7" s="8" customFormat="1" ht="12.75" customHeight="1">
      <c r="A166" s="751" t="s">
        <v>64</v>
      </c>
      <c r="B166" s="752"/>
      <c r="C166" s="758">
        <f>IF(C164&lt;&gt;0,C162/C164,0)</f>
        <v>0</v>
      </c>
      <c r="D166" s="759"/>
      <c r="E166" s="758" t="str">
        <f>IF(NOT(ISNUMBER(G$8)),G$8,IF(E164&lt;&gt;0,E162/E164,0))</f>
        <v>-</v>
      </c>
      <c r="F166" s="759"/>
      <c r="G166" s="344" t="s">
        <v>133</v>
      </c>
    </row>
    <row r="167" spans="1:7" s="8" customFormat="1" ht="13.5" customHeight="1" thickBot="1">
      <c r="A167" s="760" t="s">
        <v>68</v>
      </c>
      <c r="B167" s="761"/>
      <c r="C167" s="778">
        <f>IF(C164&lt;&gt;0,C163/C164,0)</f>
        <v>0</v>
      </c>
      <c r="D167" s="779"/>
      <c r="E167" s="778" t="str">
        <f>IF(NOT(ISNUMBER(G$8)),G$8,IF(E164&lt;&gt;0,E163/E164,0))</f>
        <v>-</v>
      </c>
      <c r="F167" s="779"/>
      <c r="G167" s="343" t="s">
        <v>133</v>
      </c>
    </row>
    <row r="168" spans="1:7" s="8" customFormat="1" ht="13.5" thickBot="1">
      <c r="A168" s="782"/>
      <c r="B168" s="783"/>
      <c r="C168" s="783"/>
      <c r="D168" s="783"/>
      <c r="E168" s="783"/>
      <c r="F168" s="783"/>
      <c r="G168" s="784"/>
    </row>
    <row r="169" spans="1:7" s="8" customFormat="1" ht="12.75">
      <c r="A169" s="192" t="s">
        <v>109</v>
      </c>
      <c r="B169" s="193" t="s">
        <v>139</v>
      </c>
      <c r="C169" s="749"/>
      <c r="D169" s="749"/>
      <c r="E169" s="749"/>
      <c r="F169" s="749"/>
      <c r="G169" s="750"/>
    </row>
    <row r="170" spans="1:7" s="8" customFormat="1" ht="12.75">
      <c r="A170" s="726" t="s">
        <v>164</v>
      </c>
      <c r="B170" s="727"/>
      <c r="C170" s="774"/>
      <c r="D170" s="775"/>
      <c r="E170" s="742" t="s">
        <v>133</v>
      </c>
      <c r="F170" s="743"/>
      <c r="G170" s="342" t="s">
        <v>133</v>
      </c>
    </row>
    <row r="171" spans="1:7" s="8" customFormat="1" ht="12.75">
      <c r="A171" s="751" t="s">
        <v>66</v>
      </c>
      <c r="B171" s="752"/>
      <c r="C171" s="755"/>
      <c r="D171" s="756"/>
      <c r="E171" s="755"/>
      <c r="F171" s="756"/>
      <c r="G171" s="194" t="str">
        <f>IF(NOT(ISNUMBER(G$8)),G$8,IF(C171&lt;&gt;0,(E171-C171)/C171,0))</f>
        <v>-</v>
      </c>
    </row>
    <row r="172" spans="1:7" s="8" customFormat="1" ht="12.75">
      <c r="A172" s="751" t="s">
        <v>67</v>
      </c>
      <c r="B172" s="752"/>
      <c r="C172" s="753"/>
      <c r="D172" s="754"/>
      <c r="E172" s="755"/>
      <c r="F172" s="756"/>
      <c r="G172" s="194" t="str">
        <f>IF(NOT(ISNUMBER(G$8)),G$8,IF(C172&lt;&gt;0,(E172-C172)/C172,0))</f>
        <v>-</v>
      </c>
    </row>
    <row r="173" spans="1:7" s="8" customFormat="1" ht="12.75">
      <c r="A173" s="757" t="s">
        <v>140</v>
      </c>
      <c r="B173" s="752"/>
      <c r="C173" s="788"/>
      <c r="D173" s="789"/>
      <c r="E173" s="776" t="str">
        <f>IF(NOT(ISNUMBER(G$8)),G$8,C173)</f>
        <v>-</v>
      </c>
      <c r="F173" s="777"/>
      <c r="G173" s="344" t="s">
        <v>133</v>
      </c>
    </row>
    <row r="174" spans="1:7" s="8" customFormat="1" ht="12.75" customHeight="1">
      <c r="A174" s="751" t="s">
        <v>298</v>
      </c>
      <c r="B174" s="752"/>
      <c r="C174" s="758">
        <f>IF(C173&lt;&gt;0,C170/C173,0)</f>
        <v>0</v>
      </c>
      <c r="D174" s="759"/>
      <c r="E174" s="742" t="s">
        <v>133</v>
      </c>
      <c r="F174" s="743"/>
      <c r="G174" s="344" t="s">
        <v>133</v>
      </c>
    </row>
    <row r="175" spans="1:7" s="8" customFormat="1" ht="12.75" customHeight="1">
      <c r="A175" s="751" t="s">
        <v>64</v>
      </c>
      <c r="B175" s="752"/>
      <c r="C175" s="758">
        <f>IF(C173&lt;&gt;0,C171/C173,0)</f>
        <v>0</v>
      </c>
      <c r="D175" s="759"/>
      <c r="E175" s="758" t="str">
        <f>IF(NOT(ISNUMBER(G$8)),G$8,IF(E173&lt;&gt;0,E171/E173,0))</f>
        <v>-</v>
      </c>
      <c r="F175" s="759"/>
      <c r="G175" s="344" t="s">
        <v>133</v>
      </c>
    </row>
    <row r="176" spans="1:7" s="8" customFormat="1" ht="13.5" customHeight="1" thickBot="1">
      <c r="A176" s="760" t="s">
        <v>68</v>
      </c>
      <c r="B176" s="761"/>
      <c r="C176" s="778">
        <f>IF(C173&lt;&gt;0,C172/C173,0)</f>
        <v>0</v>
      </c>
      <c r="D176" s="779"/>
      <c r="E176" s="778" t="str">
        <f>IF(NOT(ISNUMBER(G$8)),G$8,IF(E173&lt;&gt;0,E172/E173,0))</f>
        <v>-</v>
      </c>
      <c r="F176" s="779"/>
      <c r="G176" s="343" t="s">
        <v>133</v>
      </c>
    </row>
    <row r="177" spans="1:7" s="8" customFormat="1" ht="13.5" thickBot="1">
      <c r="A177" s="782"/>
      <c r="B177" s="783"/>
      <c r="C177" s="783"/>
      <c r="D177" s="783"/>
      <c r="E177" s="783"/>
      <c r="F177" s="783"/>
      <c r="G177" s="784"/>
    </row>
    <row r="178" spans="1:7" s="8" customFormat="1" ht="12.75">
      <c r="A178" s="192" t="s">
        <v>108</v>
      </c>
      <c r="B178" s="193" t="s">
        <v>139</v>
      </c>
      <c r="C178" s="749"/>
      <c r="D178" s="749"/>
      <c r="E178" s="749"/>
      <c r="F178" s="749"/>
      <c r="G178" s="750"/>
    </row>
    <row r="179" spans="1:7" s="8" customFormat="1" ht="12.75">
      <c r="A179" s="726" t="s">
        <v>164</v>
      </c>
      <c r="B179" s="727"/>
      <c r="C179" s="774"/>
      <c r="D179" s="775"/>
      <c r="E179" s="742" t="s">
        <v>133</v>
      </c>
      <c r="F179" s="743"/>
      <c r="G179" s="342" t="s">
        <v>133</v>
      </c>
    </row>
    <row r="180" spans="1:7" s="8" customFormat="1" ht="12.75">
      <c r="A180" s="751" t="s">
        <v>66</v>
      </c>
      <c r="B180" s="752"/>
      <c r="C180" s="755"/>
      <c r="D180" s="756"/>
      <c r="E180" s="755"/>
      <c r="F180" s="756"/>
      <c r="G180" s="194" t="str">
        <f>IF(NOT(ISNUMBER(G$8)),G$8,IF(C180&lt;&gt;0,(E180-C180)/C180,0))</f>
        <v>-</v>
      </c>
    </row>
    <row r="181" spans="1:7" s="8" customFormat="1" ht="12.75">
      <c r="A181" s="751" t="s">
        <v>67</v>
      </c>
      <c r="B181" s="752"/>
      <c r="C181" s="753"/>
      <c r="D181" s="754"/>
      <c r="E181" s="755"/>
      <c r="F181" s="756"/>
      <c r="G181" s="194" t="str">
        <f>IF(NOT(ISNUMBER(G$8)),G$8,IF(C181&lt;&gt;0,(E181-C181)/C181,0))</f>
        <v>-</v>
      </c>
    </row>
    <row r="182" spans="1:7" s="8" customFormat="1" ht="12.75">
      <c r="A182" s="757" t="s">
        <v>140</v>
      </c>
      <c r="B182" s="752"/>
      <c r="C182" s="788"/>
      <c r="D182" s="789"/>
      <c r="E182" s="776" t="str">
        <f>IF(NOT(ISNUMBER(G$8)),G$8,C182)</f>
        <v>-</v>
      </c>
      <c r="F182" s="777"/>
      <c r="G182" s="344" t="s">
        <v>133</v>
      </c>
    </row>
    <row r="183" spans="1:7" s="8" customFormat="1" ht="12.75" customHeight="1">
      <c r="A183" s="751" t="s">
        <v>298</v>
      </c>
      <c r="B183" s="752"/>
      <c r="C183" s="758">
        <f>IF(C182&lt;&gt;0,C179/C182,0)</f>
        <v>0</v>
      </c>
      <c r="D183" s="759"/>
      <c r="E183" s="742" t="s">
        <v>133</v>
      </c>
      <c r="F183" s="743"/>
      <c r="G183" s="344" t="s">
        <v>133</v>
      </c>
    </row>
    <row r="184" spans="1:7" s="8" customFormat="1" ht="12.75" customHeight="1">
      <c r="A184" s="751" t="s">
        <v>64</v>
      </c>
      <c r="B184" s="752"/>
      <c r="C184" s="758">
        <f>IF(C182&lt;&gt;0,C180/C182,0)</f>
        <v>0</v>
      </c>
      <c r="D184" s="759"/>
      <c r="E184" s="758" t="str">
        <f>IF(NOT(ISNUMBER(G$8)),G$8,IF(E182&lt;&gt;0,E180/E182,0))</f>
        <v>-</v>
      </c>
      <c r="F184" s="759"/>
      <c r="G184" s="344" t="s">
        <v>133</v>
      </c>
    </row>
    <row r="185" spans="1:7" s="8" customFormat="1" ht="13.5" customHeight="1" thickBot="1">
      <c r="A185" s="760" t="s">
        <v>68</v>
      </c>
      <c r="B185" s="761"/>
      <c r="C185" s="778">
        <f>IF(C182&lt;&gt;0,C181/C182,0)</f>
        <v>0</v>
      </c>
      <c r="D185" s="779"/>
      <c r="E185" s="778" t="str">
        <f>IF(NOT(ISNUMBER(G$8)),G$8,IF(E182&lt;&gt;0,E181/E182,0))</f>
        <v>-</v>
      </c>
      <c r="F185" s="779"/>
      <c r="G185" s="343" t="s">
        <v>133</v>
      </c>
    </row>
    <row r="186" spans="1:7" s="8" customFormat="1" ht="13.5" thickBot="1">
      <c r="A186" s="195"/>
      <c r="B186" s="196"/>
      <c r="C186" s="197"/>
      <c r="D186" s="197"/>
      <c r="E186" s="197"/>
      <c r="F186" s="197"/>
      <c r="G186" s="198"/>
    </row>
    <row r="187" spans="1:7" s="8" customFormat="1" ht="12.75">
      <c r="A187" s="192" t="s">
        <v>122</v>
      </c>
      <c r="B187" s="193" t="s">
        <v>139</v>
      </c>
      <c r="C187" s="749"/>
      <c r="D187" s="749"/>
      <c r="E187" s="749"/>
      <c r="F187" s="749"/>
      <c r="G187" s="750"/>
    </row>
    <row r="188" spans="1:7" s="8" customFormat="1" ht="12.75">
      <c r="A188" s="726" t="s">
        <v>164</v>
      </c>
      <c r="B188" s="727"/>
      <c r="C188" s="774"/>
      <c r="D188" s="775"/>
      <c r="E188" s="742" t="s">
        <v>133</v>
      </c>
      <c r="F188" s="743"/>
      <c r="G188" s="342" t="s">
        <v>133</v>
      </c>
    </row>
    <row r="189" spans="1:7" s="8" customFormat="1" ht="12.75">
      <c r="A189" s="751" t="s">
        <v>66</v>
      </c>
      <c r="B189" s="752"/>
      <c r="C189" s="755"/>
      <c r="D189" s="756"/>
      <c r="E189" s="755"/>
      <c r="F189" s="756"/>
      <c r="G189" s="194" t="str">
        <f>IF(NOT(ISNUMBER(G$8)),G$8,IF(C189&lt;&gt;0,(E189-C189)/C189,0))</f>
        <v>-</v>
      </c>
    </row>
    <row r="190" spans="1:7" s="8" customFormat="1" ht="12.75">
      <c r="A190" s="751" t="s">
        <v>67</v>
      </c>
      <c r="B190" s="752"/>
      <c r="C190" s="753"/>
      <c r="D190" s="754"/>
      <c r="E190" s="755"/>
      <c r="F190" s="756"/>
      <c r="G190" s="194" t="str">
        <f>IF(NOT(ISNUMBER(G$8)),G$8,IF(C190&lt;&gt;0,(E190-C190)/C190,0))</f>
        <v>-</v>
      </c>
    </row>
    <row r="191" spans="1:7" s="8" customFormat="1" ht="12.75">
      <c r="A191" s="757" t="s">
        <v>140</v>
      </c>
      <c r="B191" s="752"/>
      <c r="C191" s="788"/>
      <c r="D191" s="789"/>
      <c r="E191" s="776" t="str">
        <f>IF(NOT(ISNUMBER(G$8)),G$8,C191)</f>
        <v>-</v>
      </c>
      <c r="F191" s="777"/>
      <c r="G191" s="344" t="s">
        <v>133</v>
      </c>
    </row>
    <row r="192" spans="1:7" s="8" customFormat="1" ht="12.75" customHeight="1">
      <c r="A192" s="751" t="s">
        <v>298</v>
      </c>
      <c r="B192" s="752"/>
      <c r="C192" s="758">
        <f>IF(C191&lt;&gt;0,C188/C191,0)</f>
        <v>0</v>
      </c>
      <c r="D192" s="759"/>
      <c r="E192" s="742" t="s">
        <v>133</v>
      </c>
      <c r="F192" s="743"/>
      <c r="G192" s="344" t="s">
        <v>133</v>
      </c>
    </row>
    <row r="193" spans="1:7" s="8" customFormat="1" ht="12.75" customHeight="1">
      <c r="A193" s="751" t="s">
        <v>64</v>
      </c>
      <c r="B193" s="752"/>
      <c r="C193" s="758">
        <f>IF(C191&lt;&gt;0,C189/C191,0)</f>
        <v>0</v>
      </c>
      <c r="D193" s="759"/>
      <c r="E193" s="758" t="str">
        <f>IF(NOT(ISNUMBER(G$8)),G$8,IF(E191&lt;&gt;0,E189/E191,0))</f>
        <v>-</v>
      </c>
      <c r="F193" s="759"/>
      <c r="G193" s="344" t="s">
        <v>133</v>
      </c>
    </row>
    <row r="194" spans="1:7" s="8" customFormat="1" ht="13.5" customHeight="1" thickBot="1">
      <c r="A194" s="760" t="s">
        <v>68</v>
      </c>
      <c r="B194" s="761"/>
      <c r="C194" s="778">
        <f>IF(C191&lt;&gt;0,C190/C191,0)</f>
        <v>0</v>
      </c>
      <c r="D194" s="779"/>
      <c r="E194" s="778" t="str">
        <f>IF(NOT(ISNUMBER(G$8)),G$8,IF(E191&lt;&gt;0,E190/E191,0))</f>
        <v>-</v>
      </c>
      <c r="F194" s="779"/>
      <c r="G194" s="343" t="s">
        <v>133</v>
      </c>
    </row>
    <row r="195" spans="1:7" s="8" customFormat="1" ht="13.5" thickBot="1">
      <c r="A195" s="195"/>
      <c r="B195" s="196"/>
      <c r="C195" s="197"/>
      <c r="D195" s="197"/>
      <c r="E195" s="197"/>
      <c r="F195" s="197"/>
      <c r="G195" s="198"/>
    </row>
    <row r="196" spans="1:7" s="8" customFormat="1" ht="12.75">
      <c r="A196" s="192" t="s">
        <v>121</v>
      </c>
      <c r="B196" s="193" t="s">
        <v>139</v>
      </c>
      <c r="C196" s="749"/>
      <c r="D196" s="749"/>
      <c r="E196" s="749"/>
      <c r="F196" s="749"/>
      <c r="G196" s="750"/>
    </row>
    <row r="197" spans="1:7" s="8" customFormat="1" ht="12.75">
      <c r="A197" s="726" t="s">
        <v>164</v>
      </c>
      <c r="B197" s="727"/>
      <c r="C197" s="774"/>
      <c r="D197" s="775"/>
      <c r="E197" s="742" t="s">
        <v>133</v>
      </c>
      <c r="F197" s="743"/>
      <c r="G197" s="342" t="s">
        <v>133</v>
      </c>
    </row>
    <row r="198" spans="1:7" s="8" customFormat="1" ht="12.75">
      <c r="A198" s="751" t="s">
        <v>66</v>
      </c>
      <c r="B198" s="752"/>
      <c r="C198" s="755"/>
      <c r="D198" s="756"/>
      <c r="E198" s="755"/>
      <c r="F198" s="756"/>
      <c r="G198" s="194" t="str">
        <f>IF(NOT(ISNUMBER(G$8)),G$8,IF(C198&lt;&gt;0,(E198-C198)/C198,0))</f>
        <v>-</v>
      </c>
    </row>
    <row r="199" spans="1:7" s="8" customFormat="1" ht="12.75">
      <c r="A199" s="751" t="s">
        <v>67</v>
      </c>
      <c r="B199" s="752"/>
      <c r="C199" s="753"/>
      <c r="D199" s="754"/>
      <c r="E199" s="755"/>
      <c r="F199" s="756"/>
      <c r="G199" s="194" t="str">
        <f>IF(NOT(ISNUMBER(G$8)),G$8,IF(C199&lt;&gt;0,(E199-C199)/C199,0))</f>
        <v>-</v>
      </c>
    </row>
    <row r="200" spans="1:7" s="8" customFormat="1" ht="12.75">
      <c r="A200" s="757" t="s">
        <v>140</v>
      </c>
      <c r="B200" s="752"/>
      <c r="C200" s="788"/>
      <c r="D200" s="789"/>
      <c r="E200" s="776" t="str">
        <f>IF(NOT(ISNUMBER(G$8)),G$8,C200)</f>
        <v>-</v>
      </c>
      <c r="F200" s="777"/>
      <c r="G200" s="344" t="s">
        <v>133</v>
      </c>
    </row>
    <row r="201" spans="1:7" s="8" customFormat="1" ht="12.75" customHeight="1">
      <c r="A201" s="751" t="s">
        <v>298</v>
      </c>
      <c r="B201" s="752"/>
      <c r="C201" s="758">
        <f>IF(C200&lt;&gt;0,C197/C200,0)</f>
        <v>0</v>
      </c>
      <c r="D201" s="759"/>
      <c r="E201" s="742" t="s">
        <v>133</v>
      </c>
      <c r="F201" s="743"/>
      <c r="G201" s="344" t="s">
        <v>133</v>
      </c>
    </row>
    <row r="202" spans="1:7" s="8" customFormat="1" ht="12.75" customHeight="1">
      <c r="A202" s="751" t="s">
        <v>64</v>
      </c>
      <c r="B202" s="752"/>
      <c r="C202" s="758">
        <f>IF(C200&lt;&gt;0,C198/C200,0)</f>
        <v>0</v>
      </c>
      <c r="D202" s="759"/>
      <c r="E202" s="758" t="str">
        <f>IF(NOT(ISNUMBER(G$8)),G$8,IF(E200&lt;&gt;0,E198/E200,0))</f>
        <v>-</v>
      </c>
      <c r="F202" s="759"/>
      <c r="G202" s="344" t="s">
        <v>133</v>
      </c>
    </row>
    <row r="203" spans="1:7" s="8" customFormat="1" ht="13.5" customHeight="1" thickBot="1">
      <c r="A203" s="760" t="s">
        <v>68</v>
      </c>
      <c r="B203" s="761"/>
      <c r="C203" s="778">
        <f>IF(C200&lt;&gt;0,C199/C200,0)</f>
        <v>0</v>
      </c>
      <c r="D203" s="779"/>
      <c r="E203" s="778" t="str">
        <f>IF(NOT(ISNUMBER(G$8)),G$8,IF(E200&lt;&gt;0,E199/E200,0))</f>
        <v>-</v>
      </c>
      <c r="F203" s="779"/>
      <c r="G203" s="343" t="s">
        <v>133</v>
      </c>
    </row>
    <row r="204" spans="1:7" s="8" customFormat="1" ht="13.5" thickBot="1">
      <c r="A204" s="787"/>
      <c r="B204" s="787"/>
      <c r="C204" s="787"/>
      <c r="D204" s="787"/>
      <c r="E204" s="787"/>
      <c r="F204" s="787"/>
      <c r="G204" s="787"/>
    </row>
    <row r="205" spans="1:7" s="7" customFormat="1" ht="18.75" thickBot="1">
      <c r="A205" s="560" t="s">
        <v>414</v>
      </c>
      <c r="B205" s="561"/>
      <c r="C205" s="561"/>
      <c r="D205" s="561"/>
      <c r="E205" s="561"/>
      <c r="F205" s="561"/>
      <c r="G205" s="562"/>
    </row>
    <row r="206" spans="1:7" s="8" customFormat="1" ht="13.5" thickBot="1">
      <c r="A206" s="73"/>
      <c r="B206" s="74"/>
      <c r="C206" s="584" t="s">
        <v>153</v>
      </c>
      <c r="D206" s="586"/>
      <c r="E206" s="584" t="s">
        <v>228</v>
      </c>
      <c r="F206" s="586"/>
      <c r="G206" s="191" t="s">
        <v>57</v>
      </c>
    </row>
    <row r="207" spans="1:7" s="8" customFormat="1" ht="13.5" thickBot="1">
      <c r="A207" s="782"/>
      <c r="B207" s="783"/>
      <c r="C207" s="783"/>
      <c r="D207" s="783"/>
      <c r="E207" s="783"/>
      <c r="F207" s="783"/>
      <c r="G207" s="784"/>
    </row>
    <row r="208" spans="1:7" s="8" customFormat="1" ht="12.75">
      <c r="A208" s="192" t="s">
        <v>119</v>
      </c>
      <c r="B208" s="193" t="s">
        <v>139</v>
      </c>
      <c r="C208" s="749"/>
      <c r="D208" s="749"/>
      <c r="E208" s="749"/>
      <c r="F208" s="749"/>
      <c r="G208" s="750"/>
    </row>
    <row r="209" spans="1:7" s="8" customFormat="1" ht="12.75">
      <c r="A209" s="726" t="s">
        <v>164</v>
      </c>
      <c r="B209" s="727"/>
      <c r="C209" s="774"/>
      <c r="D209" s="775"/>
      <c r="E209" s="742" t="s">
        <v>133</v>
      </c>
      <c r="F209" s="743"/>
      <c r="G209" s="342" t="s">
        <v>133</v>
      </c>
    </row>
    <row r="210" spans="1:7" s="8" customFormat="1" ht="12.75">
      <c r="A210" s="751" t="s">
        <v>66</v>
      </c>
      <c r="B210" s="752"/>
      <c r="C210" s="755"/>
      <c r="D210" s="756"/>
      <c r="E210" s="755"/>
      <c r="F210" s="756"/>
      <c r="G210" s="194" t="str">
        <f>IF(NOT(ISNUMBER(G$8)),G$8,IF(C210&lt;&gt;0,(E210-C210)/C210,0))</f>
        <v>-</v>
      </c>
    </row>
    <row r="211" spans="1:7" s="8" customFormat="1" ht="12.75">
      <c r="A211" s="751" t="s">
        <v>67</v>
      </c>
      <c r="B211" s="752"/>
      <c r="C211" s="753"/>
      <c r="D211" s="754"/>
      <c r="E211" s="755"/>
      <c r="F211" s="756"/>
      <c r="G211" s="194" t="str">
        <f>IF(NOT(ISNUMBER(G$8)),G$8,IF(C211&lt;&gt;0,(E211-C211)/C211,0))</f>
        <v>-</v>
      </c>
    </row>
    <row r="212" spans="1:7" s="8" customFormat="1" ht="12.75">
      <c r="A212" s="757" t="s">
        <v>140</v>
      </c>
      <c r="B212" s="752"/>
      <c r="C212" s="788"/>
      <c r="D212" s="789"/>
      <c r="E212" s="776" t="str">
        <f>IF(NOT(ISNUMBER(G$8)),G$8,C212)</f>
        <v>-</v>
      </c>
      <c r="F212" s="777"/>
      <c r="G212" s="344" t="s">
        <v>133</v>
      </c>
    </row>
    <row r="213" spans="1:7" s="8" customFormat="1" ht="12.75" customHeight="1">
      <c r="A213" s="751" t="s">
        <v>298</v>
      </c>
      <c r="B213" s="752"/>
      <c r="C213" s="758">
        <f>IF(C212&lt;&gt;0,C209/C212,0)</f>
        <v>0</v>
      </c>
      <c r="D213" s="759"/>
      <c r="E213" s="742" t="s">
        <v>133</v>
      </c>
      <c r="F213" s="743"/>
      <c r="G213" s="344" t="s">
        <v>133</v>
      </c>
    </row>
    <row r="214" spans="1:7" s="8" customFormat="1" ht="12.75" customHeight="1">
      <c r="A214" s="751" t="s">
        <v>64</v>
      </c>
      <c r="B214" s="752"/>
      <c r="C214" s="758">
        <f>IF(C212&lt;&gt;0,C210/C212,0)</f>
        <v>0</v>
      </c>
      <c r="D214" s="759"/>
      <c r="E214" s="758" t="str">
        <f>IF(NOT(ISNUMBER(G$8)),G$8,IF(E212&lt;&gt;0,E210/E212,0))</f>
        <v>-</v>
      </c>
      <c r="F214" s="759"/>
      <c r="G214" s="344" t="s">
        <v>133</v>
      </c>
    </row>
    <row r="215" spans="1:7" s="8" customFormat="1" ht="13.5" customHeight="1" thickBot="1">
      <c r="A215" s="760" t="s">
        <v>68</v>
      </c>
      <c r="B215" s="761"/>
      <c r="C215" s="778">
        <f>IF(C212&lt;&gt;0,C211/C212,0)</f>
        <v>0</v>
      </c>
      <c r="D215" s="779"/>
      <c r="E215" s="778" t="str">
        <f>IF(NOT(ISNUMBER(G$8)),G$8,IF(E212&lt;&gt;0,E211/E212,0))</f>
        <v>-</v>
      </c>
      <c r="F215" s="779"/>
      <c r="G215" s="343" t="s">
        <v>133</v>
      </c>
    </row>
    <row r="216" spans="1:7" s="8" customFormat="1" ht="13.5" thickBot="1">
      <c r="A216" s="782"/>
      <c r="B216" s="783"/>
      <c r="C216" s="783"/>
      <c r="D216" s="783"/>
      <c r="E216" s="783"/>
      <c r="F216" s="783"/>
      <c r="G216" s="784"/>
    </row>
    <row r="217" spans="1:7" s="8" customFormat="1" ht="12.75">
      <c r="A217" s="192" t="s">
        <v>120</v>
      </c>
      <c r="B217" s="193" t="s">
        <v>139</v>
      </c>
      <c r="C217" s="749"/>
      <c r="D217" s="749"/>
      <c r="E217" s="749"/>
      <c r="F217" s="749"/>
      <c r="G217" s="750"/>
    </row>
    <row r="218" spans="1:7" s="8" customFormat="1" ht="12.75">
      <c r="A218" s="726" t="s">
        <v>164</v>
      </c>
      <c r="B218" s="727"/>
      <c r="C218" s="774"/>
      <c r="D218" s="775"/>
      <c r="E218" s="742" t="s">
        <v>133</v>
      </c>
      <c r="F218" s="743"/>
      <c r="G218" s="342" t="s">
        <v>133</v>
      </c>
    </row>
    <row r="219" spans="1:7" s="8" customFormat="1" ht="12.75">
      <c r="A219" s="751" t="s">
        <v>66</v>
      </c>
      <c r="B219" s="752"/>
      <c r="C219" s="755"/>
      <c r="D219" s="756"/>
      <c r="E219" s="755"/>
      <c r="F219" s="756"/>
      <c r="G219" s="194" t="str">
        <f>IF(NOT(ISNUMBER(G$8)),G$8,IF(C219&lt;&gt;0,(E219-C219)/C219,0))</f>
        <v>-</v>
      </c>
    </row>
    <row r="220" spans="1:7" s="8" customFormat="1" ht="12.75">
      <c r="A220" s="751" t="s">
        <v>67</v>
      </c>
      <c r="B220" s="752"/>
      <c r="C220" s="753"/>
      <c r="D220" s="754"/>
      <c r="E220" s="755"/>
      <c r="F220" s="756"/>
      <c r="G220" s="194" t="str">
        <f>IF(NOT(ISNUMBER(G$8)),G$8,IF(C220&lt;&gt;0,(E220-C220)/C220,0))</f>
        <v>-</v>
      </c>
    </row>
    <row r="221" spans="1:7" s="8" customFormat="1" ht="12.75">
      <c r="A221" s="757" t="s">
        <v>140</v>
      </c>
      <c r="B221" s="752"/>
      <c r="C221" s="788"/>
      <c r="D221" s="789"/>
      <c r="E221" s="776" t="str">
        <f>IF(NOT(ISNUMBER(G$8)),G$8,C221)</f>
        <v>-</v>
      </c>
      <c r="F221" s="777"/>
      <c r="G221" s="344" t="s">
        <v>133</v>
      </c>
    </row>
    <row r="222" spans="1:7" s="8" customFormat="1" ht="12.75" customHeight="1">
      <c r="A222" s="751" t="s">
        <v>298</v>
      </c>
      <c r="B222" s="752"/>
      <c r="C222" s="758">
        <f>IF(C221&lt;&gt;0,C218/C221,0)</f>
        <v>0</v>
      </c>
      <c r="D222" s="759"/>
      <c r="E222" s="742" t="s">
        <v>133</v>
      </c>
      <c r="F222" s="743"/>
      <c r="G222" s="344" t="s">
        <v>133</v>
      </c>
    </row>
    <row r="223" spans="1:7" s="8" customFormat="1" ht="12.75" customHeight="1">
      <c r="A223" s="751" t="s">
        <v>64</v>
      </c>
      <c r="B223" s="752"/>
      <c r="C223" s="758">
        <f>IF(C221&lt;&gt;0,C219/C221,0)</f>
        <v>0</v>
      </c>
      <c r="D223" s="759"/>
      <c r="E223" s="758" t="str">
        <f>IF(NOT(ISNUMBER(G$8)),G$8,IF(E221&lt;&gt;0,E219/E221,0))</f>
        <v>-</v>
      </c>
      <c r="F223" s="759"/>
      <c r="G223" s="344" t="s">
        <v>133</v>
      </c>
    </row>
    <row r="224" spans="1:7" s="8" customFormat="1" ht="13.5" customHeight="1" thickBot="1">
      <c r="A224" s="760" t="s">
        <v>68</v>
      </c>
      <c r="B224" s="761"/>
      <c r="C224" s="778">
        <f>IF(C221&lt;&gt;0,C220/C221,0)</f>
        <v>0</v>
      </c>
      <c r="D224" s="779"/>
      <c r="E224" s="778" t="str">
        <f>IF(NOT(ISNUMBER(G$8)),G$8,IF(E221&lt;&gt;0,E220/E221,0))</f>
        <v>-</v>
      </c>
      <c r="F224" s="779"/>
      <c r="G224" s="343" t="s">
        <v>133</v>
      </c>
    </row>
    <row r="225" spans="1:7" s="8" customFormat="1" ht="13.5" thickBot="1">
      <c r="A225" s="782"/>
      <c r="B225" s="783"/>
      <c r="C225" s="783"/>
      <c r="D225" s="783"/>
      <c r="E225" s="783"/>
      <c r="F225" s="783"/>
      <c r="G225" s="784"/>
    </row>
    <row r="226" spans="1:7" s="8" customFormat="1" ht="12.75">
      <c r="A226" s="192" t="s">
        <v>117</v>
      </c>
      <c r="B226" s="193" t="s">
        <v>139</v>
      </c>
      <c r="C226" s="749"/>
      <c r="D226" s="749"/>
      <c r="E226" s="749"/>
      <c r="F226" s="749"/>
      <c r="G226" s="750"/>
    </row>
    <row r="227" spans="1:7" s="8" customFormat="1" ht="12.75">
      <c r="A227" s="726" t="s">
        <v>164</v>
      </c>
      <c r="B227" s="727"/>
      <c r="C227" s="774"/>
      <c r="D227" s="775"/>
      <c r="E227" s="742" t="s">
        <v>133</v>
      </c>
      <c r="F227" s="743"/>
      <c r="G227" s="342" t="s">
        <v>133</v>
      </c>
    </row>
    <row r="228" spans="1:7" s="8" customFormat="1" ht="12.75">
      <c r="A228" s="751" t="s">
        <v>66</v>
      </c>
      <c r="B228" s="752"/>
      <c r="C228" s="755"/>
      <c r="D228" s="756"/>
      <c r="E228" s="755"/>
      <c r="F228" s="756"/>
      <c r="G228" s="194" t="str">
        <f>IF(NOT(ISNUMBER(G$8)),G$8,IF(C228&lt;&gt;0,(E228-C228)/C228,0))</f>
        <v>-</v>
      </c>
    </row>
    <row r="229" spans="1:7" s="8" customFormat="1" ht="12.75">
      <c r="A229" s="751" t="s">
        <v>67</v>
      </c>
      <c r="B229" s="752"/>
      <c r="C229" s="753"/>
      <c r="D229" s="754"/>
      <c r="E229" s="755"/>
      <c r="F229" s="756"/>
      <c r="G229" s="194" t="str">
        <f>IF(NOT(ISNUMBER(G$8)),G$8,IF(C229&lt;&gt;0,(E229-C229)/C229,0))</f>
        <v>-</v>
      </c>
    </row>
    <row r="230" spans="1:7" s="8" customFormat="1" ht="12.75">
      <c r="A230" s="757" t="s">
        <v>140</v>
      </c>
      <c r="B230" s="752"/>
      <c r="C230" s="788"/>
      <c r="D230" s="789"/>
      <c r="E230" s="776" t="str">
        <f>IF(NOT(ISNUMBER(G$8)),G$8,C230)</f>
        <v>-</v>
      </c>
      <c r="F230" s="777"/>
      <c r="G230" s="344" t="s">
        <v>133</v>
      </c>
    </row>
    <row r="231" spans="1:7" s="8" customFormat="1" ht="12.75" customHeight="1">
      <c r="A231" s="751" t="s">
        <v>298</v>
      </c>
      <c r="B231" s="752"/>
      <c r="C231" s="758">
        <f>IF(C230&lt;&gt;0,C227/C230,0)</f>
        <v>0</v>
      </c>
      <c r="D231" s="759"/>
      <c r="E231" s="742" t="s">
        <v>133</v>
      </c>
      <c r="F231" s="743"/>
      <c r="G231" s="344" t="s">
        <v>133</v>
      </c>
    </row>
    <row r="232" spans="1:7" s="8" customFormat="1" ht="12.75" customHeight="1">
      <c r="A232" s="751" t="s">
        <v>64</v>
      </c>
      <c r="B232" s="752"/>
      <c r="C232" s="758">
        <f>IF(C230&lt;&gt;0,C228/C230,0)</f>
        <v>0</v>
      </c>
      <c r="D232" s="759"/>
      <c r="E232" s="758" t="str">
        <f>IF(NOT(ISNUMBER(G$8)),G$8,IF(E230&lt;&gt;0,E228/E230,0))</f>
        <v>-</v>
      </c>
      <c r="F232" s="759"/>
      <c r="G232" s="344" t="s">
        <v>133</v>
      </c>
    </row>
    <row r="233" spans="1:7" s="8" customFormat="1" ht="13.5" customHeight="1" thickBot="1">
      <c r="A233" s="760" t="s">
        <v>68</v>
      </c>
      <c r="B233" s="761"/>
      <c r="C233" s="778">
        <f>IF(C230&lt;&gt;0,C229/C230,0)</f>
        <v>0</v>
      </c>
      <c r="D233" s="779"/>
      <c r="E233" s="778" t="str">
        <f>IF(NOT(ISNUMBER(G$8)),G$8,IF(E230&lt;&gt;0,E229/E230,0))</f>
        <v>-</v>
      </c>
      <c r="F233" s="779"/>
      <c r="G233" s="343" t="s">
        <v>133</v>
      </c>
    </row>
    <row r="234" spans="1:7" s="8" customFormat="1" ht="13.5" thickBot="1">
      <c r="A234" s="782"/>
      <c r="B234" s="783"/>
      <c r="C234" s="783"/>
      <c r="D234" s="783"/>
      <c r="E234" s="783"/>
      <c r="F234" s="783"/>
      <c r="G234" s="784"/>
    </row>
    <row r="235" spans="1:7" s="8" customFormat="1" ht="12.75">
      <c r="A235" s="192" t="s">
        <v>118</v>
      </c>
      <c r="B235" s="193" t="s">
        <v>139</v>
      </c>
      <c r="C235" s="749"/>
      <c r="D235" s="749"/>
      <c r="E235" s="749"/>
      <c r="F235" s="749"/>
      <c r="G235" s="750"/>
    </row>
    <row r="236" spans="1:7" s="8" customFormat="1" ht="12.75">
      <c r="A236" s="726" t="s">
        <v>164</v>
      </c>
      <c r="B236" s="727"/>
      <c r="C236" s="774"/>
      <c r="D236" s="775"/>
      <c r="E236" s="742" t="s">
        <v>133</v>
      </c>
      <c r="F236" s="743"/>
      <c r="G236" s="342" t="s">
        <v>133</v>
      </c>
    </row>
    <row r="237" spans="1:7" s="8" customFormat="1" ht="12.75">
      <c r="A237" s="751" t="s">
        <v>66</v>
      </c>
      <c r="B237" s="752"/>
      <c r="C237" s="755"/>
      <c r="D237" s="756"/>
      <c r="E237" s="755"/>
      <c r="F237" s="756"/>
      <c r="G237" s="194" t="str">
        <f>IF(NOT(ISNUMBER(G$8)),G$8,IF(C237&lt;&gt;0,(E237-C237)/C237,0))</f>
        <v>-</v>
      </c>
    </row>
    <row r="238" spans="1:7" s="8" customFormat="1" ht="12.75">
      <c r="A238" s="751" t="s">
        <v>67</v>
      </c>
      <c r="B238" s="752"/>
      <c r="C238" s="753"/>
      <c r="D238" s="754"/>
      <c r="E238" s="755"/>
      <c r="F238" s="756"/>
      <c r="G238" s="194" t="str">
        <f>IF(NOT(ISNUMBER(G$8)),G$8,IF(C238&lt;&gt;0,(E238-C238)/C238,0))</f>
        <v>-</v>
      </c>
    </row>
    <row r="239" spans="1:7" s="8" customFormat="1" ht="12.75">
      <c r="A239" s="757" t="s">
        <v>140</v>
      </c>
      <c r="B239" s="752"/>
      <c r="C239" s="788"/>
      <c r="D239" s="789"/>
      <c r="E239" s="776" t="str">
        <f>IF(NOT(ISNUMBER(G$8)),G$8,C239)</f>
        <v>-</v>
      </c>
      <c r="F239" s="777"/>
      <c r="G239" s="344" t="s">
        <v>133</v>
      </c>
    </row>
    <row r="240" spans="1:7" s="8" customFormat="1" ht="12.75" customHeight="1">
      <c r="A240" s="751" t="s">
        <v>298</v>
      </c>
      <c r="B240" s="752"/>
      <c r="C240" s="758">
        <f>IF(C239&lt;&gt;0,C236/C239,0)</f>
        <v>0</v>
      </c>
      <c r="D240" s="759"/>
      <c r="E240" s="742" t="s">
        <v>133</v>
      </c>
      <c r="F240" s="743"/>
      <c r="G240" s="344" t="s">
        <v>133</v>
      </c>
    </row>
    <row r="241" spans="1:7" s="8" customFormat="1" ht="12.75" customHeight="1">
      <c r="A241" s="751" t="s">
        <v>64</v>
      </c>
      <c r="B241" s="752"/>
      <c r="C241" s="758">
        <f>IF(C239&lt;&gt;0,C237/C239,0)</f>
        <v>0</v>
      </c>
      <c r="D241" s="759"/>
      <c r="E241" s="758" t="str">
        <f>IF(NOT(ISNUMBER(G$8)),G$8,IF(E239&lt;&gt;0,E237/E239,0))</f>
        <v>-</v>
      </c>
      <c r="F241" s="759"/>
      <c r="G241" s="344" t="s">
        <v>133</v>
      </c>
    </row>
    <row r="242" spans="1:7" s="8" customFormat="1" ht="13.5" customHeight="1" thickBot="1">
      <c r="A242" s="760" t="s">
        <v>68</v>
      </c>
      <c r="B242" s="761"/>
      <c r="C242" s="778">
        <f>IF(C239&lt;&gt;0,C238/C239,0)</f>
        <v>0</v>
      </c>
      <c r="D242" s="779"/>
      <c r="E242" s="778" t="str">
        <f>IF(NOT(ISNUMBER(G$8)),G$8,IF(E239&lt;&gt;0,E238/E239,0))</f>
        <v>-</v>
      </c>
      <c r="F242" s="779"/>
      <c r="G242" s="343" t="s">
        <v>133</v>
      </c>
    </row>
    <row r="243" spans="1:7" s="8" customFormat="1" ht="13.5" thickBot="1">
      <c r="A243" s="782"/>
      <c r="B243" s="783"/>
      <c r="C243" s="783"/>
      <c r="D243" s="783"/>
      <c r="E243" s="783"/>
      <c r="F243" s="783"/>
      <c r="G243" s="784"/>
    </row>
    <row r="244" spans="1:7" s="8" customFormat="1" ht="12.75">
      <c r="A244" s="192" t="s">
        <v>124</v>
      </c>
      <c r="B244" s="193" t="s">
        <v>139</v>
      </c>
      <c r="C244" s="749"/>
      <c r="D244" s="749"/>
      <c r="E244" s="749"/>
      <c r="F244" s="749"/>
      <c r="G244" s="750"/>
    </row>
    <row r="245" spans="1:7" s="8" customFormat="1" ht="12.75">
      <c r="A245" s="726" t="s">
        <v>164</v>
      </c>
      <c r="B245" s="727"/>
      <c r="C245" s="774"/>
      <c r="D245" s="775"/>
      <c r="E245" s="742" t="s">
        <v>133</v>
      </c>
      <c r="F245" s="743"/>
      <c r="G245" s="342" t="s">
        <v>133</v>
      </c>
    </row>
    <row r="246" spans="1:7" s="8" customFormat="1" ht="12.75">
      <c r="A246" s="751" t="s">
        <v>66</v>
      </c>
      <c r="B246" s="752"/>
      <c r="C246" s="755"/>
      <c r="D246" s="756"/>
      <c r="E246" s="755"/>
      <c r="F246" s="756"/>
      <c r="G246" s="194" t="str">
        <f>IF(NOT(ISNUMBER(G$8)),G$8,IF(C246&lt;&gt;0,(E246-C246)/C246,0))</f>
        <v>-</v>
      </c>
    </row>
    <row r="247" spans="1:7" s="8" customFormat="1" ht="12.75">
      <c r="A247" s="751" t="s">
        <v>67</v>
      </c>
      <c r="B247" s="752"/>
      <c r="C247" s="753"/>
      <c r="D247" s="754"/>
      <c r="E247" s="755"/>
      <c r="F247" s="756"/>
      <c r="G247" s="194" t="str">
        <f>IF(NOT(ISNUMBER(G$8)),G$8,IF(C247&lt;&gt;0,(E247-C247)/C247,0))</f>
        <v>-</v>
      </c>
    </row>
    <row r="248" spans="1:7" s="8" customFormat="1" ht="12.75">
      <c r="A248" s="757" t="s">
        <v>140</v>
      </c>
      <c r="B248" s="752"/>
      <c r="C248" s="788"/>
      <c r="D248" s="789"/>
      <c r="E248" s="776" t="str">
        <f>IF(NOT(ISNUMBER(G$8)),G$8,C248)</f>
        <v>-</v>
      </c>
      <c r="F248" s="777"/>
      <c r="G248" s="344" t="s">
        <v>133</v>
      </c>
    </row>
    <row r="249" spans="1:7" s="8" customFormat="1" ht="12.75" customHeight="1">
      <c r="A249" s="751" t="s">
        <v>298</v>
      </c>
      <c r="B249" s="752"/>
      <c r="C249" s="758">
        <f>IF(C248&lt;&gt;0,C245/C248,0)</f>
        <v>0</v>
      </c>
      <c r="D249" s="759"/>
      <c r="E249" s="742" t="s">
        <v>133</v>
      </c>
      <c r="F249" s="743"/>
      <c r="G249" s="344" t="s">
        <v>133</v>
      </c>
    </row>
    <row r="250" spans="1:7" s="8" customFormat="1" ht="12.75" customHeight="1">
      <c r="A250" s="751" t="s">
        <v>64</v>
      </c>
      <c r="B250" s="752"/>
      <c r="C250" s="758">
        <f>IF(C248&lt;&gt;0,C246/C248,0)</f>
        <v>0</v>
      </c>
      <c r="D250" s="759"/>
      <c r="E250" s="758" t="str">
        <f>IF(NOT(ISNUMBER(G$8)),G$8,IF(E248&lt;&gt;0,E246/E248,0))</f>
        <v>-</v>
      </c>
      <c r="F250" s="759"/>
      <c r="G250" s="344" t="s">
        <v>133</v>
      </c>
    </row>
    <row r="251" spans="1:7" s="8" customFormat="1" ht="13.5" customHeight="1" thickBot="1">
      <c r="A251" s="760" t="s">
        <v>68</v>
      </c>
      <c r="B251" s="761"/>
      <c r="C251" s="778">
        <f>IF(C248&lt;&gt;0,C247/C248,0)</f>
        <v>0</v>
      </c>
      <c r="D251" s="779"/>
      <c r="E251" s="778" t="str">
        <f>IF(NOT(ISNUMBER(G$8)),G$8,IF(E248&lt;&gt;0,E247/E248,0))</f>
        <v>-</v>
      </c>
      <c r="F251" s="779"/>
      <c r="G251" s="343" t="s">
        <v>133</v>
      </c>
    </row>
    <row r="252" spans="1:7" s="379" customFormat="1" ht="13.5" thickBot="1">
      <c r="A252" s="840"/>
      <c r="B252" s="841"/>
      <c r="C252" s="841"/>
      <c r="D252" s="841"/>
      <c r="E252" s="841"/>
      <c r="F252" s="841"/>
      <c r="G252" s="842"/>
    </row>
    <row r="253" spans="1:7" s="379" customFormat="1" ht="12.75">
      <c r="A253" s="402" t="s">
        <v>123</v>
      </c>
      <c r="B253" s="403" t="s">
        <v>139</v>
      </c>
      <c r="C253" s="749"/>
      <c r="D253" s="749"/>
      <c r="E253" s="749"/>
      <c r="F253" s="749"/>
      <c r="G253" s="750"/>
    </row>
    <row r="254" spans="1:7" s="379" customFormat="1" ht="12.75">
      <c r="A254" s="716" t="s">
        <v>164</v>
      </c>
      <c r="B254" s="717"/>
      <c r="C254" s="774"/>
      <c r="D254" s="775"/>
      <c r="E254" s="780" t="s">
        <v>133</v>
      </c>
      <c r="F254" s="781"/>
      <c r="G254" s="404" t="s">
        <v>133</v>
      </c>
    </row>
    <row r="255" spans="1:7" s="379" customFormat="1" ht="12.75">
      <c r="A255" s="863" t="s">
        <v>66</v>
      </c>
      <c r="B255" s="837"/>
      <c r="C255" s="755"/>
      <c r="D255" s="756"/>
      <c r="E255" s="755"/>
      <c r="F255" s="756"/>
      <c r="G255" s="405" t="str">
        <f>IF(NOT(ISNUMBER(G$8)),G$8,IF(C255&lt;&gt;0,(E255-C255)/C255,0))</f>
        <v>-</v>
      </c>
    </row>
    <row r="256" spans="1:7" s="379" customFormat="1" ht="12.75">
      <c r="A256" s="863" t="s">
        <v>67</v>
      </c>
      <c r="B256" s="837"/>
      <c r="C256" s="753"/>
      <c r="D256" s="754"/>
      <c r="E256" s="755"/>
      <c r="F256" s="756"/>
      <c r="G256" s="405" t="str">
        <f>IF(NOT(ISNUMBER(G$8)),G$8,IF(C256&lt;&gt;0,(E256-C256)/C256,0))</f>
        <v>-</v>
      </c>
    </row>
    <row r="257" spans="1:7" s="379" customFormat="1" ht="12.75">
      <c r="A257" s="836" t="s">
        <v>140</v>
      </c>
      <c r="B257" s="837"/>
      <c r="C257" s="788"/>
      <c r="D257" s="789"/>
      <c r="E257" s="838" t="str">
        <f>IF(NOT(ISNUMBER(G$8)),G$8,C257)</f>
        <v>-</v>
      </c>
      <c r="F257" s="839"/>
      <c r="G257" s="406" t="s">
        <v>133</v>
      </c>
    </row>
    <row r="258" spans="1:7" s="379" customFormat="1" ht="12.75" customHeight="1">
      <c r="A258" s="863" t="s">
        <v>298</v>
      </c>
      <c r="B258" s="837"/>
      <c r="C258" s="864">
        <f>IF(C257&lt;&gt;0,C254/C257,0)</f>
        <v>0</v>
      </c>
      <c r="D258" s="865"/>
      <c r="E258" s="780" t="s">
        <v>133</v>
      </c>
      <c r="F258" s="781"/>
      <c r="G258" s="406" t="s">
        <v>133</v>
      </c>
    </row>
    <row r="259" spans="1:7" s="379" customFormat="1" ht="12.75" customHeight="1">
      <c r="A259" s="863" t="s">
        <v>64</v>
      </c>
      <c r="B259" s="837"/>
      <c r="C259" s="864">
        <f>IF(C257&lt;&gt;0,C255/C257,0)</f>
        <v>0</v>
      </c>
      <c r="D259" s="865"/>
      <c r="E259" s="864" t="str">
        <f>IF(NOT(ISNUMBER(G$8)),G$8,IF(E257&lt;&gt;0,E255/E257,0))</f>
        <v>-</v>
      </c>
      <c r="F259" s="865"/>
      <c r="G259" s="406" t="s">
        <v>133</v>
      </c>
    </row>
    <row r="260" spans="1:7" s="379" customFormat="1" ht="13.5" customHeight="1" thickBot="1">
      <c r="A260" s="859" t="s">
        <v>68</v>
      </c>
      <c r="B260" s="860"/>
      <c r="C260" s="861">
        <f>IF(C257&lt;&gt;0,C256/C257,0)</f>
        <v>0</v>
      </c>
      <c r="D260" s="862"/>
      <c r="E260" s="861" t="str">
        <f>IF(NOT(ISNUMBER(G$8)),G$8,IF(E257&lt;&gt;0,E256/E257,0))</f>
        <v>-</v>
      </c>
      <c r="F260" s="862"/>
      <c r="G260" s="407" t="s">
        <v>133</v>
      </c>
    </row>
    <row r="261" spans="1:7" s="408" customFormat="1"/>
    <row r="262" spans="1:7">
      <c r="A262" s="791" t="s">
        <v>236</v>
      </c>
      <c r="B262" s="791"/>
      <c r="C262" s="791"/>
      <c r="D262" s="791"/>
      <c r="E262" s="791"/>
      <c r="F262" s="791"/>
      <c r="G262" s="791"/>
    </row>
    <row r="263" spans="1:7" ht="27" customHeight="1">
      <c r="A263" s="792" t="s">
        <v>297</v>
      </c>
      <c r="B263" s="793"/>
      <c r="C263" s="793"/>
      <c r="D263" s="793"/>
      <c r="E263" s="793"/>
      <c r="F263" s="793"/>
      <c r="G263" s="793"/>
    </row>
    <row r="264" spans="1:7" ht="39.75" customHeight="1">
      <c r="A264" s="852" t="s">
        <v>458</v>
      </c>
      <c r="B264" s="853"/>
      <c r="C264" s="853"/>
      <c r="D264" s="853"/>
      <c r="E264" s="853"/>
      <c r="F264" s="853"/>
      <c r="G264" s="853"/>
    </row>
    <row r="265" spans="1:7" s="535" customFormat="1">
      <c r="A265" s="794" t="s">
        <v>312</v>
      </c>
      <c r="B265" s="794"/>
      <c r="C265" s="794"/>
      <c r="D265" s="794"/>
      <c r="E265" s="794"/>
      <c r="F265" s="794"/>
      <c r="G265" s="794"/>
    </row>
    <row r="266" spans="1:7" s="535" customFormat="1">
      <c r="A266" s="790" t="s">
        <v>313</v>
      </c>
      <c r="B266" s="790"/>
      <c r="C266" s="790"/>
      <c r="D266" s="790"/>
      <c r="E266" s="790"/>
      <c r="F266" s="790"/>
      <c r="G266" s="790"/>
    </row>
  </sheetData>
  <sheetProtection algorithmName="SHA-512" hashValue="dlUY8pntII1+2w9GL60C34jrXliX8J5nWbpCAXkmDm4XkAsaNPZq0W2+v11tJCb+2Vy+l4iCmlsN4RRSWyFrOQ==" saltValue="s96TTq9YrRZ28UN6IBSniQ==" spinCount="100000" sheet="1" formatCells="0" formatColumns="0" formatRows="0" insertColumns="0" insertRows="0" insertHyperlinks="0" selectLockedCells="1"/>
  <customSheetViews>
    <customSheetView guid="{AB5399CE-BEB7-40AA-A66C-46449E135DF8}" showGridLines="0" topLeftCell="A215">
      <selection activeCell="C8" sqref="C8:D8"/>
      <rowBreaks count="1" manualBreakCount="1">
        <brk id="153" max="6" man="1"/>
      </rowBreaks>
      <pageMargins left="0.75" right="0.75" top="0.5" bottom="0.5" header="0.5" footer="0.5"/>
      <printOptions horizontalCentered="1"/>
      <pageSetup scale="77" fitToHeight="6" orientation="portrait" r:id="rId1"/>
      <headerFooter alignWithMargins="0"/>
    </customSheetView>
  </customSheetViews>
  <mergeCells count="621">
    <mergeCell ref="A264:G264"/>
    <mergeCell ref="A46:B46"/>
    <mergeCell ref="C46:D46"/>
    <mergeCell ref="E46:F46"/>
    <mergeCell ref="A43:G43"/>
    <mergeCell ref="A44:B44"/>
    <mergeCell ref="C44:D44"/>
    <mergeCell ref="E44:F44"/>
    <mergeCell ref="A45:B45"/>
    <mergeCell ref="C45:D45"/>
    <mergeCell ref="E45:F45"/>
    <mergeCell ref="A260:B260"/>
    <mergeCell ref="C260:D260"/>
    <mergeCell ref="E260:F260"/>
    <mergeCell ref="A258:B258"/>
    <mergeCell ref="C258:D258"/>
    <mergeCell ref="E258:F258"/>
    <mergeCell ref="A259:B259"/>
    <mergeCell ref="C259:D259"/>
    <mergeCell ref="E259:F259"/>
    <mergeCell ref="A255:B255"/>
    <mergeCell ref="C255:D255"/>
    <mergeCell ref="E255:F255"/>
    <mergeCell ref="A256:B256"/>
    <mergeCell ref="E5:F6"/>
    <mergeCell ref="A228:B228"/>
    <mergeCell ref="C228:D228"/>
    <mergeCell ref="A224:B224"/>
    <mergeCell ref="A229:B229"/>
    <mergeCell ref="C226:G226"/>
    <mergeCell ref="C229:D229"/>
    <mergeCell ref="E229:F229"/>
    <mergeCell ref="C224:D224"/>
    <mergeCell ref="E224:F224"/>
    <mergeCell ref="A225:G225"/>
    <mergeCell ref="A227:B227"/>
    <mergeCell ref="C227:D227"/>
    <mergeCell ref="E227:F227"/>
    <mergeCell ref="A215:B215"/>
    <mergeCell ref="C215:D215"/>
    <mergeCell ref="E215:F215"/>
    <mergeCell ref="C221:D221"/>
    <mergeCell ref="E221:F221"/>
    <mergeCell ref="A222:B222"/>
    <mergeCell ref="C222:D222"/>
    <mergeCell ref="A211:B211"/>
    <mergeCell ref="C211:D211"/>
    <mergeCell ref="E222:F222"/>
    <mergeCell ref="A3:G3"/>
    <mergeCell ref="A50:G50"/>
    <mergeCell ref="A84:G84"/>
    <mergeCell ref="A93:G93"/>
    <mergeCell ref="E90:F90"/>
    <mergeCell ref="E91:F91"/>
    <mergeCell ref="E92:F92"/>
    <mergeCell ref="E87:F87"/>
    <mergeCell ref="E88:F88"/>
    <mergeCell ref="E14:F14"/>
    <mergeCell ref="C14:D14"/>
    <mergeCell ref="E18:F18"/>
    <mergeCell ref="A19:B19"/>
    <mergeCell ref="C19:D19"/>
    <mergeCell ref="E89:F89"/>
    <mergeCell ref="C90:D90"/>
    <mergeCell ref="C76:G76"/>
    <mergeCell ref="E35:F35"/>
    <mergeCell ref="E37:F37"/>
    <mergeCell ref="E38:F38"/>
    <mergeCell ref="E39:F39"/>
    <mergeCell ref="C87:D87"/>
    <mergeCell ref="C88:D88"/>
    <mergeCell ref="C5:D6"/>
    <mergeCell ref="C256:D256"/>
    <mergeCell ref="E256:F256"/>
    <mergeCell ref="A257:B257"/>
    <mergeCell ref="C257:D257"/>
    <mergeCell ref="E257:F257"/>
    <mergeCell ref="A245:B245"/>
    <mergeCell ref="C245:D245"/>
    <mergeCell ref="E245:F245"/>
    <mergeCell ref="A251:B251"/>
    <mergeCell ref="C251:D251"/>
    <mergeCell ref="E251:F251"/>
    <mergeCell ref="C253:G253"/>
    <mergeCell ref="A252:G252"/>
    <mergeCell ref="A249:B249"/>
    <mergeCell ref="C249:D249"/>
    <mergeCell ref="E249:F249"/>
    <mergeCell ref="A250:B250"/>
    <mergeCell ref="C250:D250"/>
    <mergeCell ref="A246:B246"/>
    <mergeCell ref="C246:D246"/>
    <mergeCell ref="E246:F246"/>
    <mergeCell ref="E250:F250"/>
    <mergeCell ref="A247:B247"/>
    <mergeCell ref="C247:D247"/>
    <mergeCell ref="E247:F247"/>
    <mergeCell ref="A248:B248"/>
    <mergeCell ref="C248:D248"/>
    <mergeCell ref="E248:F248"/>
    <mergeCell ref="A240:B240"/>
    <mergeCell ref="C240:D240"/>
    <mergeCell ref="E240:F240"/>
    <mergeCell ref="A241:B241"/>
    <mergeCell ref="C241:D241"/>
    <mergeCell ref="E241:F241"/>
    <mergeCell ref="A243:G243"/>
    <mergeCell ref="A242:B242"/>
    <mergeCell ref="C242:D242"/>
    <mergeCell ref="E242:F242"/>
    <mergeCell ref="A239:B239"/>
    <mergeCell ref="C239:D239"/>
    <mergeCell ref="E239:F239"/>
    <mergeCell ref="A204:G204"/>
    <mergeCell ref="A233:B233"/>
    <mergeCell ref="C233:D233"/>
    <mergeCell ref="E233:F233"/>
    <mergeCell ref="A230:B230"/>
    <mergeCell ref="C230:D230"/>
    <mergeCell ref="E230:F230"/>
    <mergeCell ref="A231:B231"/>
    <mergeCell ref="C232:D232"/>
    <mergeCell ref="E232:F232"/>
    <mergeCell ref="C231:D231"/>
    <mergeCell ref="E231:F231"/>
    <mergeCell ref="A236:B236"/>
    <mergeCell ref="C236:D236"/>
    <mergeCell ref="E236:F236"/>
    <mergeCell ref="A238:B238"/>
    <mergeCell ref="C238:D238"/>
    <mergeCell ref="E238:F238"/>
    <mergeCell ref="A237:B237"/>
    <mergeCell ref="A232:B232"/>
    <mergeCell ref="A223:B223"/>
    <mergeCell ref="C223:D223"/>
    <mergeCell ref="E223:F223"/>
    <mergeCell ref="A220:B220"/>
    <mergeCell ref="C220:D220"/>
    <mergeCell ref="E220:F220"/>
    <mergeCell ref="A221:B221"/>
    <mergeCell ref="A219:B219"/>
    <mergeCell ref="C219:D219"/>
    <mergeCell ref="E219:F219"/>
    <mergeCell ref="A216:G216"/>
    <mergeCell ref="C217:G217"/>
    <mergeCell ref="A218:B218"/>
    <mergeCell ref="C218:D218"/>
    <mergeCell ref="E211:F211"/>
    <mergeCell ref="A212:B212"/>
    <mergeCell ref="C212:D212"/>
    <mergeCell ref="E212:F212"/>
    <mergeCell ref="A213:B213"/>
    <mergeCell ref="C213:D213"/>
    <mergeCell ref="E213:F213"/>
    <mergeCell ref="A214:B214"/>
    <mergeCell ref="C214:D214"/>
    <mergeCell ref="E214:F214"/>
    <mergeCell ref="E218:F218"/>
    <mergeCell ref="A207:G207"/>
    <mergeCell ref="C208:G208"/>
    <mergeCell ref="A209:B209"/>
    <mergeCell ref="C209:D209"/>
    <mergeCell ref="E209:F209"/>
    <mergeCell ref="A210:B210"/>
    <mergeCell ref="C210:D210"/>
    <mergeCell ref="E210:F210"/>
    <mergeCell ref="A201:B201"/>
    <mergeCell ref="C201:D201"/>
    <mergeCell ref="E201:F201"/>
    <mergeCell ref="A202:B202"/>
    <mergeCell ref="C202:D202"/>
    <mergeCell ref="E202:F202"/>
    <mergeCell ref="A203:B203"/>
    <mergeCell ref="C203:D203"/>
    <mergeCell ref="E203:F203"/>
    <mergeCell ref="A198:B198"/>
    <mergeCell ref="C198:D198"/>
    <mergeCell ref="E198:F198"/>
    <mergeCell ref="A199:B199"/>
    <mergeCell ref="C199:D199"/>
    <mergeCell ref="E199:F199"/>
    <mergeCell ref="A200:B200"/>
    <mergeCell ref="C200:D200"/>
    <mergeCell ref="E200:F200"/>
    <mergeCell ref="A193:B193"/>
    <mergeCell ref="C193:D193"/>
    <mergeCell ref="E193:F193"/>
    <mergeCell ref="A194:B194"/>
    <mergeCell ref="C194:D194"/>
    <mergeCell ref="E194:F194"/>
    <mergeCell ref="A168:G168"/>
    <mergeCell ref="C196:G196"/>
    <mergeCell ref="C178:G178"/>
    <mergeCell ref="A190:B190"/>
    <mergeCell ref="C190:D190"/>
    <mergeCell ref="E190:F190"/>
    <mergeCell ref="A191:B191"/>
    <mergeCell ref="C191:D191"/>
    <mergeCell ref="E191:F191"/>
    <mergeCell ref="A192:B192"/>
    <mergeCell ref="C192:D192"/>
    <mergeCell ref="E192:F192"/>
    <mergeCell ref="C182:D182"/>
    <mergeCell ref="A184:B184"/>
    <mergeCell ref="C184:D184"/>
    <mergeCell ref="E189:F189"/>
    <mergeCell ref="A176:B176"/>
    <mergeCell ref="C176:D176"/>
    <mergeCell ref="A179:B179"/>
    <mergeCell ref="A171:B171"/>
    <mergeCell ref="C171:D171"/>
    <mergeCell ref="E171:F171"/>
    <mergeCell ref="A172:B172"/>
    <mergeCell ref="C172:D172"/>
    <mergeCell ref="E172:F172"/>
    <mergeCell ref="A173:B173"/>
    <mergeCell ref="C173:D173"/>
    <mergeCell ref="E173:F173"/>
    <mergeCell ref="A174:B174"/>
    <mergeCell ref="C174:D174"/>
    <mergeCell ref="E174:F174"/>
    <mergeCell ref="A175:B175"/>
    <mergeCell ref="C175:D175"/>
    <mergeCell ref="E176:F176"/>
    <mergeCell ref="C179:D179"/>
    <mergeCell ref="E179:F179"/>
    <mergeCell ref="A177:G177"/>
    <mergeCell ref="E162:F162"/>
    <mergeCell ref="A163:B163"/>
    <mergeCell ref="C163:D163"/>
    <mergeCell ref="E163:F163"/>
    <mergeCell ref="C160:G160"/>
    <mergeCell ref="E175:F175"/>
    <mergeCell ref="A164:B164"/>
    <mergeCell ref="C164:D164"/>
    <mergeCell ref="E164:F164"/>
    <mergeCell ref="A165:B165"/>
    <mergeCell ref="C165:D165"/>
    <mergeCell ref="E165:F165"/>
    <mergeCell ref="C169:G169"/>
    <mergeCell ref="A166:B166"/>
    <mergeCell ref="C166:D166"/>
    <mergeCell ref="E166:F166"/>
    <mergeCell ref="A167:B167"/>
    <mergeCell ref="C167:D167"/>
    <mergeCell ref="E167:F167"/>
    <mergeCell ref="A170:B170"/>
    <mergeCell ref="C170:D170"/>
    <mergeCell ref="E170:F170"/>
    <mergeCell ref="C151:G151"/>
    <mergeCell ref="A148:B148"/>
    <mergeCell ref="C148:D148"/>
    <mergeCell ref="E148:F148"/>
    <mergeCell ref="A149:B149"/>
    <mergeCell ref="C149:D149"/>
    <mergeCell ref="E149:F149"/>
    <mergeCell ref="A150:G150"/>
    <mergeCell ref="A153:B153"/>
    <mergeCell ref="C153:D153"/>
    <mergeCell ref="E153:F153"/>
    <mergeCell ref="A152:B152"/>
    <mergeCell ref="C152:D152"/>
    <mergeCell ref="E152:F152"/>
    <mergeCell ref="A145:B145"/>
    <mergeCell ref="C145:D145"/>
    <mergeCell ref="E145:F145"/>
    <mergeCell ref="E143:F143"/>
    <mergeCell ref="A146:B146"/>
    <mergeCell ref="C146:D146"/>
    <mergeCell ref="E146:F146"/>
    <mergeCell ref="A147:B147"/>
    <mergeCell ref="C147:D147"/>
    <mergeCell ref="E147:F147"/>
    <mergeCell ref="A144:B144"/>
    <mergeCell ref="C144:D144"/>
    <mergeCell ref="E144:F144"/>
    <mergeCell ref="C130:G130"/>
    <mergeCell ref="C126:D126"/>
    <mergeCell ref="E126:F126"/>
    <mergeCell ref="C128:D128"/>
    <mergeCell ref="E128:F128"/>
    <mergeCell ref="A127:B127"/>
    <mergeCell ref="C127:D127"/>
    <mergeCell ref="E127:F127"/>
    <mergeCell ref="A125:B125"/>
    <mergeCell ref="C125:D125"/>
    <mergeCell ref="E125:F125"/>
    <mergeCell ref="A126:B126"/>
    <mergeCell ref="A129:G129"/>
    <mergeCell ref="A128:B128"/>
    <mergeCell ref="A122:B122"/>
    <mergeCell ref="C122:D122"/>
    <mergeCell ref="E122:F122"/>
    <mergeCell ref="A123:B123"/>
    <mergeCell ref="C123:D123"/>
    <mergeCell ref="E123:F123"/>
    <mergeCell ref="A124:B124"/>
    <mergeCell ref="C124:D124"/>
    <mergeCell ref="E124:F124"/>
    <mergeCell ref="A97:B97"/>
    <mergeCell ref="C106:D106"/>
    <mergeCell ref="E106:F106"/>
    <mergeCell ref="C89:D89"/>
    <mergeCell ref="C121:G121"/>
    <mergeCell ref="A118:B118"/>
    <mergeCell ref="C118:D118"/>
    <mergeCell ref="E118:F118"/>
    <mergeCell ref="A119:B119"/>
    <mergeCell ref="C119:D119"/>
    <mergeCell ref="E119:F119"/>
    <mergeCell ref="A108:B108"/>
    <mergeCell ref="C108:D108"/>
    <mergeCell ref="E108:F108"/>
    <mergeCell ref="C112:G112"/>
    <mergeCell ref="A109:B109"/>
    <mergeCell ref="C109:D109"/>
    <mergeCell ref="E109:F109"/>
    <mergeCell ref="A110:B110"/>
    <mergeCell ref="C110:D110"/>
    <mergeCell ref="E110:F110"/>
    <mergeCell ref="A111:G111"/>
    <mergeCell ref="E105:F105"/>
    <mergeCell ref="A102:G102"/>
    <mergeCell ref="A71:G71"/>
    <mergeCell ref="C49:D49"/>
    <mergeCell ref="E49:F49"/>
    <mergeCell ref="A79:B79"/>
    <mergeCell ref="A80:B80"/>
    <mergeCell ref="A81:B81"/>
    <mergeCell ref="A40:B40"/>
    <mergeCell ref="C40:D40"/>
    <mergeCell ref="C103:G103"/>
    <mergeCell ref="C99:D99"/>
    <mergeCell ref="E99:F99"/>
    <mergeCell ref="A100:B100"/>
    <mergeCell ref="C100:D100"/>
    <mergeCell ref="A70:G70"/>
    <mergeCell ref="E100:F100"/>
    <mergeCell ref="A86:B86"/>
    <mergeCell ref="C86:D86"/>
    <mergeCell ref="A78:B78"/>
    <mergeCell ref="C85:G85"/>
    <mergeCell ref="C101:D101"/>
    <mergeCell ref="E101:F101"/>
    <mergeCell ref="A99:B99"/>
    <mergeCell ref="C56:D56"/>
    <mergeCell ref="E56:F56"/>
    <mergeCell ref="A1:G1"/>
    <mergeCell ref="A24:B24"/>
    <mergeCell ref="C24:D24"/>
    <mergeCell ref="E24:F24"/>
    <mergeCell ref="A20:B20"/>
    <mergeCell ref="C20:D20"/>
    <mergeCell ref="B2:G2"/>
    <mergeCell ref="A10:G10"/>
    <mergeCell ref="A16:G16"/>
    <mergeCell ref="E19:F19"/>
    <mergeCell ref="E20:F20"/>
    <mergeCell ref="E23:F23"/>
    <mergeCell ref="A18:B18"/>
    <mergeCell ref="C18:D18"/>
    <mergeCell ref="A15:B15"/>
    <mergeCell ref="C15:D15"/>
    <mergeCell ref="A4:G4"/>
    <mergeCell ref="G5:G6"/>
    <mergeCell ref="A8:B8"/>
    <mergeCell ref="C8:D8"/>
    <mergeCell ref="E8:F8"/>
    <mergeCell ref="A9:B9"/>
    <mergeCell ref="C9:D9"/>
    <mergeCell ref="E9:F9"/>
    <mergeCell ref="E15:F15"/>
    <mergeCell ref="A17:B17"/>
    <mergeCell ref="C17:D17"/>
    <mergeCell ref="E17:F17"/>
    <mergeCell ref="A38:B38"/>
    <mergeCell ref="A21:B21"/>
    <mergeCell ref="C21:D21"/>
    <mergeCell ref="E21:F21"/>
    <mergeCell ref="A31:G31"/>
    <mergeCell ref="A22:B22"/>
    <mergeCell ref="E22:F22"/>
    <mergeCell ref="A23:B23"/>
    <mergeCell ref="C22:D22"/>
    <mergeCell ref="C23:D23"/>
    <mergeCell ref="E32:F32"/>
    <mergeCell ref="E34:F34"/>
    <mergeCell ref="A37:B37"/>
    <mergeCell ref="C32:D32"/>
    <mergeCell ref="C34:D34"/>
    <mergeCell ref="C35:D35"/>
    <mergeCell ref="A33:B33"/>
    <mergeCell ref="C33:D33"/>
    <mergeCell ref="E33:F33"/>
    <mergeCell ref="A29:B29"/>
    <mergeCell ref="A7:B7"/>
    <mergeCell ref="C7:D7"/>
    <mergeCell ref="E7:F7"/>
    <mergeCell ref="C12:D12"/>
    <mergeCell ref="E12:F12"/>
    <mergeCell ref="A13:B13"/>
    <mergeCell ref="C13:D13"/>
    <mergeCell ref="E13:F13"/>
    <mergeCell ref="A12:B12"/>
    <mergeCell ref="A11:B11"/>
    <mergeCell ref="C11:D11"/>
    <mergeCell ref="E11:F11"/>
    <mergeCell ref="C131:D131"/>
    <mergeCell ref="E131:F131"/>
    <mergeCell ref="A107:B107"/>
    <mergeCell ref="E82:F82"/>
    <mergeCell ref="A82:B82"/>
    <mergeCell ref="A83:B83"/>
    <mergeCell ref="C77:D77"/>
    <mergeCell ref="C78:D78"/>
    <mergeCell ref="C79:D79"/>
    <mergeCell ref="C80:D80"/>
    <mergeCell ref="C81:D81"/>
    <mergeCell ref="C82:D82"/>
    <mergeCell ref="A77:B77"/>
    <mergeCell ref="C107:D107"/>
    <mergeCell ref="E107:F107"/>
    <mergeCell ref="C94:G94"/>
    <mergeCell ref="A101:B101"/>
    <mergeCell ref="A131:B131"/>
    <mergeCell ref="E86:F86"/>
    <mergeCell ref="A88:B88"/>
    <mergeCell ref="A89:B89"/>
    <mergeCell ref="A91:B91"/>
    <mergeCell ref="A105:B105"/>
    <mergeCell ref="C105:D105"/>
    <mergeCell ref="A262:G262"/>
    <mergeCell ref="A263:G263"/>
    <mergeCell ref="A265:G265"/>
    <mergeCell ref="A104:B104"/>
    <mergeCell ref="C104:D104"/>
    <mergeCell ref="E104:F104"/>
    <mergeCell ref="A106:B106"/>
    <mergeCell ref="A113:B113"/>
    <mergeCell ref="C113:D113"/>
    <mergeCell ref="E113:F113"/>
    <mergeCell ref="A143:B143"/>
    <mergeCell ref="C143:D143"/>
    <mergeCell ref="A116:B116"/>
    <mergeCell ref="A114:B114"/>
    <mergeCell ref="C114:D114"/>
    <mergeCell ref="E114:F114"/>
    <mergeCell ref="A115:B115"/>
    <mergeCell ref="C115:D115"/>
    <mergeCell ref="E115:F115"/>
    <mergeCell ref="C116:D116"/>
    <mergeCell ref="E116:F116"/>
    <mergeCell ref="A117:B117"/>
    <mergeCell ref="C117:D117"/>
    <mergeCell ref="E117:F117"/>
    <mergeCell ref="A266:G266"/>
    <mergeCell ref="C83:D83"/>
    <mergeCell ref="E77:F77"/>
    <mergeCell ref="E78:F78"/>
    <mergeCell ref="E79:F79"/>
    <mergeCell ref="E80:F80"/>
    <mergeCell ref="E81:F81"/>
    <mergeCell ref="E83:F83"/>
    <mergeCell ref="C91:D91"/>
    <mergeCell ref="C92:D92"/>
    <mergeCell ref="A92:B92"/>
    <mergeCell ref="A98:B98"/>
    <mergeCell ref="C98:D98"/>
    <mergeCell ref="E98:F98"/>
    <mergeCell ref="A96:B96"/>
    <mergeCell ref="C96:D96"/>
    <mergeCell ref="E96:F96"/>
    <mergeCell ref="C97:D97"/>
    <mergeCell ref="E97:F97"/>
    <mergeCell ref="A90:B90"/>
    <mergeCell ref="A87:B87"/>
    <mergeCell ref="A95:B95"/>
    <mergeCell ref="C95:D95"/>
    <mergeCell ref="E95:F95"/>
    <mergeCell ref="A132:B132"/>
    <mergeCell ref="C132:D132"/>
    <mergeCell ref="E132:F132"/>
    <mergeCell ref="A133:B133"/>
    <mergeCell ref="C133:D133"/>
    <mergeCell ref="E133:F133"/>
    <mergeCell ref="A134:B134"/>
    <mergeCell ref="C134:D134"/>
    <mergeCell ref="E134:F134"/>
    <mergeCell ref="A135:B135"/>
    <mergeCell ref="C135:D135"/>
    <mergeCell ref="E135:F135"/>
    <mergeCell ref="C142:G142"/>
    <mergeCell ref="A136:B136"/>
    <mergeCell ref="C136:D136"/>
    <mergeCell ref="E136:F136"/>
    <mergeCell ref="A137:B137"/>
    <mergeCell ref="C137:D137"/>
    <mergeCell ref="E137:F137"/>
    <mergeCell ref="A141:G141"/>
    <mergeCell ref="A138:G138"/>
    <mergeCell ref="C140:D140"/>
    <mergeCell ref="E140:F140"/>
    <mergeCell ref="A139:G139"/>
    <mergeCell ref="A154:B154"/>
    <mergeCell ref="C154:D154"/>
    <mergeCell ref="E154:F154"/>
    <mergeCell ref="A155:B155"/>
    <mergeCell ref="C155:D155"/>
    <mergeCell ref="E155:F155"/>
    <mergeCell ref="A156:B156"/>
    <mergeCell ref="C156:D156"/>
    <mergeCell ref="E156:F156"/>
    <mergeCell ref="A157:B157"/>
    <mergeCell ref="C157:D157"/>
    <mergeCell ref="E157:F157"/>
    <mergeCell ref="A158:B158"/>
    <mergeCell ref="C158:D158"/>
    <mergeCell ref="A254:B254"/>
    <mergeCell ref="C254:D254"/>
    <mergeCell ref="E254:F254"/>
    <mergeCell ref="A205:G205"/>
    <mergeCell ref="C206:D206"/>
    <mergeCell ref="E206:F206"/>
    <mergeCell ref="A234:G234"/>
    <mergeCell ref="E228:F228"/>
    <mergeCell ref="C244:G244"/>
    <mergeCell ref="C237:D237"/>
    <mergeCell ref="E237:F237"/>
    <mergeCell ref="C235:G235"/>
    <mergeCell ref="E158:F158"/>
    <mergeCell ref="A159:G159"/>
    <mergeCell ref="A161:B161"/>
    <mergeCell ref="C161:D161"/>
    <mergeCell ref="E161:F161"/>
    <mergeCell ref="A162:B162"/>
    <mergeCell ref="C162:D162"/>
    <mergeCell ref="A57:B57"/>
    <mergeCell ref="C57:D57"/>
    <mergeCell ref="E61:F61"/>
    <mergeCell ref="E57:F57"/>
    <mergeCell ref="A60:B60"/>
    <mergeCell ref="C60:D60"/>
    <mergeCell ref="C74:D74"/>
    <mergeCell ref="A197:B197"/>
    <mergeCell ref="C197:D197"/>
    <mergeCell ref="E197:F197"/>
    <mergeCell ref="A183:B183"/>
    <mergeCell ref="C183:D183"/>
    <mergeCell ref="E183:F183"/>
    <mergeCell ref="A180:B180"/>
    <mergeCell ref="C180:D180"/>
    <mergeCell ref="E180:F180"/>
    <mergeCell ref="A189:B189"/>
    <mergeCell ref="C189:D189"/>
    <mergeCell ref="A188:B188"/>
    <mergeCell ref="C188:D188"/>
    <mergeCell ref="E188:F188"/>
    <mergeCell ref="E182:F182"/>
    <mergeCell ref="C185:D185"/>
    <mergeCell ref="E185:F185"/>
    <mergeCell ref="C187:G187"/>
    <mergeCell ref="A181:B181"/>
    <mergeCell ref="C181:D181"/>
    <mergeCell ref="E181:F181"/>
    <mergeCell ref="A182:B182"/>
    <mergeCell ref="E184:F184"/>
    <mergeCell ref="A185:B185"/>
    <mergeCell ref="C29:D29"/>
    <mergeCell ref="E29:F29"/>
    <mergeCell ref="A52:B52"/>
    <mergeCell ref="C52:D52"/>
    <mergeCell ref="E52:F52"/>
    <mergeCell ref="A53:B53"/>
    <mergeCell ref="C53:D53"/>
    <mergeCell ref="E53:F53"/>
    <mergeCell ref="A39:B39"/>
    <mergeCell ref="A32:B32"/>
    <mergeCell ref="C37:D37"/>
    <mergeCell ref="C38:D38"/>
    <mergeCell ref="C39:D39"/>
    <mergeCell ref="A41:B41"/>
    <mergeCell ref="C41:D41"/>
    <mergeCell ref="E41:F41"/>
    <mergeCell ref="A34:B34"/>
    <mergeCell ref="A35:B35"/>
    <mergeCell ref="E40:F40"/>
    <mergeCell ref="A26:B26"/>
    <mergeCell ref="C26:D26"/>
    <mergeCell ref="E26:F26"/>
    <mergeCell ref="A27:B27"/>
    <mergeCell ref="C27:D27"/>
    <mergeCell ref="E27:F27"/>
    <mergeCell ref="A28:B28"/>
    <mergeCell ref="C28:D28"/>
    <mergeCell ref="E28:F28"/>
    <mergeCell ref="C36:D36"/>
    <mergeCell ref="A36:B36"/>
    <mergeCell ref="E74:F74"/>
    <mergeCell ref="A48:G48"/>
    <mergeCell ref="C51:G51"/>
    <mergeCell ref="C55:G55"/>
    <mergeCell ref="C59:G59"/>
    <mergeCell ref="C63:G63"/>
    <mergeCell ref="C67:G67"/>
    <mergeCell ref="A73:G73"/>
    <mergeCell ref="A68:B68"/>
    <mergeCell ref="C68:D68"/>
    <mergeCell ref="E68:F68"/>
    <mergeCell ref="A69:B69"/>
    <mergeCell ref="C69:D69"/>
    <mergeCell ref="E69:F69"/>
    <mergeCell ref="A64:B64"/>
    <mergeCell ref="C64:D64"/>
    <mergeCell ref="E64:F64"/>
    <mergeCell ref="A65:B65"/>
    <mergeCell ref="C65:D65"/>
    <mergeCell ref="E65:F65"/>
    <mergeCell ref="E60:F60"/>
    <mergeCell ref="A61:B61"/>
    <mergeCell ref="C61:D61"/>
    <mergeCell ref="A56:B56"/>
  </mergeCells>
  <phoneticPr fontId="0" type="noConversion"/>
  <conditionalFormatting sqref="E41">
    <cfRule type="expression" dxfId="25" priority="72">
      <formula>OR(horizonyr=0,horizonyr="")</formula>
    </cfRule>
  </conditionalFormatting>
  <printOptions horizontalCentered="1"/>
  <pageMargins left="0.75" right="0.75" top="0.5" bottom="0.5" header="0.5" footer="0.5"/>
  <pageSetup scale="77" fitToHeight="0" orientation="portrait" horizontalDpi="4294967293" verticalDpi="4294967293" r:id="rId2"/>
  <headerFooter alignWithMargins="0"/>
  <rowBreaks count="3" manualBreakCount="3">
    <brk id="70" max="6" man="1"/>
    <brk id="138" max="6" man="1"/>
    <brk id="204" max="6" man="1"/>
  </rowBreaks>
  <ignoredErrors>
    <ignoredError sqref="A10:G11 B31:G31 B14 F14 A33:B33 A32:D32 F32 A50:G50 B38:D38 F38:G38 B76 A16:G17 A13:D13 A12:B12 E12:F12 C28:D28 A24:D24 A18:F18 A19:F19 A37:D37 B35:D35 F13:G13 A15:D15 F15:G15 A20:D20 A21:D21 A22:B22 A23:D23 G20:G24 F24 F23 F21 F20 A34:B34 G37 A39:D39 A40:D40 G39:G40 F37 F35 F34 F40 F39 A41:G41 C27:D27 E33:G33 D22" unlockedFormula="1"/>
  </ignoredErrors>
  <legacyDrawing r:id="rId3"/>
  <extLst>
    <ext xmlns:x14="http://schemas.microsoft.com/office/spreadsheetml/2009/9/main" uri="{78C0D931-6437-407d-A8EE-F0AAD7539E65}">
      <x14:conditionalFormattings>
        <x14:conditionalFormatting xmlns:xm="http://schemas.microsoft.com/office/excel/2006/main">
          <x14:cfRule type="expression" priority="77" id="{7B9ED466-2890-432E-9F83-8A936D55A310}">
            <xm:f>OR('Project Description'!$C$96="(Select…)",'Project Description'!$C$96="None")</xm:f>
            <x14:dxf>
              <fill>
                <patternFill>
                  <bgColor theme="0" tint="-0.14996795556505021"/>
                </patternFill>
              </fill>
            </x14:dxf>
          </x14:cfRule>
          <xm:sqref>E12 E18:F19 E8:F9 E78:F79</xm:sqref>
        </x14:conditionalFormatting>
        <x14:conditionalFormatting xmlns:xm="http://schemas.microsoft.com/office/excel/2006/main">
          <x14:cfRule type="expression" priority="20" id="{463F5B46-8E56-441B-96EC-271BC1DB8A83}">
            <xm:f>OR('Project Description'!$C$96="(Select…)",'Project Description'!$C$96="None")</xm:f>
            <x14:dxf>
              <fill>
                <patternFill>
                  <bgColor theme="0" tint="-0.14996795556505021"/>
                </patternFill>
              </fill>
            </x14:dxf>
          </x14:cfRule>
          <xm:sqref>E87:F88</xm:sqref>
        </x14:conditionalFormatting>
        <x14:conditionalFormatting xmlns:xm="http://schemas.microsoft.com/office/excel/2006/main">
          <x14:cfRule type="expression" priority="19" id="{D9CD3963-C07C-45A5-B338-922CE3272994}">
            <xm:f>OR('Project Description'!$C$96="(Select…)",'Project Description'!$C$96="None")</xm:f>
            <x14:dxf>
              <fill>
                <patternFill>
                  <bgColor theme="0" tint="-0.14996795556505021"/>
                </patternFill>
              </fill>
            </x14:dxf>
          </x14:cfRule>
          <xm:sqref>E96:F97</xm:sqref>
        </x14:conditionalFormatting>
        <x14:conditionalFormatting xmlns:xm="http://schemas.microsoft.com/office/excel/2006/main">
          <x14:cfRule type="expression" priority="18" id="{BFD8A4F5-3ACF-4A7F-AE86-D89938712E4E}">
            <xm:f>OR('Project Description'!$C$96="(Select…)",'Project Description'!$C$96="None")</xm:f>
            <x14:dxf>
              <fill>
                <patternFill>
                  <bgColor theme="0" tint="-0.14996795556505021"/>
                </patternFill>
              </fill>
            </x14:dxf>
          </x14:cfRule>
          <xm:sqref>E105:F106</xm:sqref>
        </x14:conditionalFormatting>
        <x14:conditionalFormatting xmlns:xm="http://schemas.microsoft.com/office/excel/2006/main">
          <x14:cfRule type="expression" priority="17" id="{E237F255-96A6-4CEA-8889-E422CB045A3F}">
            <xm:f>OR('Project Description'!$C$96="(Select…)",'Project Description'!$C$96="None")</xm:f>
            <x14:dxf>
              <fill>
                <patternFill>
                  <bgColor theme="0" tint="-0.14996795556505021"/>
                </patternFill>
              </fill>
            </x14:dxf>
          </x14:cfRule>
          <xm:sqref>E114:F115</xm:sqref>
        </x14:conditionalFormatting>
        <x14:conditionalFormatting xmlns:xm="http://schemas.microsoft.com/office/excel/2006/main">
          <x14:cfRule type="expression" priority="16" id="{CB637C31-538A-4E3C-A08B-35551C2C4C9B}">
            <xm:f>OR('Project Description'!$C$96="(Select…)",'Project Description'!$C$96="None")</xm:f>
            <x14:dxf>
              <fill>
                <patternFill>
                  <bgColor theme="0" tint="-0.14996795556505021"/>
                </patternFill>
              </fill>
            </x14:dxf>
          </x14:cfRule>
          <xm:sqref>E123:F124</xm:sqref>
        </x14:conditionalFormatting>
        <x14:conditionalFormatting xmlns:xm="http://schemas.microsoft.com/office/excel/2006/main">
          <x14:cfRule type="expression" priority="15" id="{0DB6A1E3-E2EB-4465-B83C-7519A375492C}">
            <xm:f>OR('Project Description'!$C$96="(Select…)",'Project Description'!$C$96="None")</xm:f>
            <x14:dxf>
              <fill>
                <patternFill>
                  <bgColor theme="0" tint="-0.14996795556505021"/>
                </patternFill>
              </fill>
            </x14:dxf>
          </x14:cfRule>
          <xm:sqref>E132:F133</xm:sqref>
        </x14:conditionalFormatting>
        <x14:conditionalFormatting xmlns:xm="http://schemas.microsoft.com/office/excel/2006/main">
          <x14:cfRule type="expression" priority="14" id="{A044FF21-574E-4CD8-8771-255FCB83557F}">
            <xm:f>OR('Project Description'!$C$96="(Select…)",'Project Description'!$C$96="None")</xm:f>
            <x14:dxf>
              <fill>
                <patternFill>
                  <bgColor theme="0" tint="-0.14996795556505021"/>
                </patternFill>
              </fill>
            </x14:dxf>
          </x14:cfRule>
          <xm:sqref>E144:F145</xm:sqref>
        </x14:conditionalFormatting>
        <x14:conditionalFormatting xmlns:xm="http://schemas.microsoft.com/office/excel/2006/main">
          <x14:cfRule type="expression" priority="13" id="{CE9DF857-BA5C-4C4B-860B-552DA275F832}">
            <xm:f>OR('Project Description'!$C$96="(Select…)",'Project Description'!$C$96="None")</xm:f>
            <x14:dxf>
              <fill>
                <patternFill>
                  <bgColor theme="0" tint="-0.14996795556505021"/>
                </patternFill>
              </fill>
            </x14:dxf>
          </x14:cfRule>
          <xm:sqref>E153:F154</xm:sqref>
        </x14:conditionalFormatting>
        <x14:conditionalFormatting xmlns:xm="http://schemas.microsoft.com/office/excel/2006/main">
          <x14:cfRule type="expression" priority="12" id="{89D30BA2-1B21-4CCB-AA54-D3A93F9B0B6B}">
            <xm:f>OR('Project Description'!$C$96="(Select…)",'Project Description'!$C$96="None")</xm:f>
            <x14:dxf>
              <fill>
                <patternFill>
                  <bgColor theme="0" tint="-0.14996795556505021"/>
                </patternFill>
              </fill>
            </x14:dxf>
          </x14:cfRule>
          <xm:sqref>E162:F163</xm:sqref>
        </x14:conditionalFormatting>
        <x14:conditionalFormatting xmlns:xm="http://schemas.microsoft.com/office/excel/2006/main">
          <x14:cfRule type="expression" priority="11" id="{AD383738-1442-4555-96DA-37E9241D2A4C}">
            <xm:f>OR('Project Description'!$C$96="(Select…)",'Project Description'!$C$96="None")</xm:f>
            <x14:dxf>
              <fill>
                <patternFill>
                  <bgColor theme="0" tint="-0.14996795556505021"/>
                </patternFill>
              </fill>
            </x14:dxf>
          </x14:cfRule>
          <xm:sqref>E171:F172</xm:sqref>
        </x14:conditionalFormatting>
        <x14:conditionalFormatting xmlns:xm="http://schemas.microsoft.com/office/excel/2006/main">
          <x14:cfRule type="expression" priority="10" id="{6E1E1C1E-EF93-48B4-99CA-654CA3D130E2}">
            <xm:f>OR('Project Description'!$C$96="(Select…)",'Project Description'!$C$96="None")</xm:f>
            <x14:dxf>
              <fill>
                <patternFill>
                  <bgColor theme="0" tint="-0.14996795556505021"/>
                </patternFill>
              </fill>
            </x14:dxf>
          </x14:cfRule>
          <xm:sqref>E180:F181</xm:sqref>
        </x14:conditionalFormatting>
        <x14:conditionalFormatting xmlns:xm="http://schemas.microsoft.com/office/excel/2006/main">
          <x14:cfRule type="expression" priority="9" id="{C4A3EEDE-F10B-4BFF-A584-F5CF4E1FAAC8}">
            <xm:f>OR('Project Description'!$C$96="(Select…)",'Project Description'!$C$96="None")</xm:f>
            <x14:dxf>
              <fill>
                <patternFill>
                  <bgColor theme="0" tint="-0.14996795556505021"/>
                </patternFill>
              </fill>
            </x14:dxf>
          </x14:cfRule>
          <xm:sqref>E189:F190</xm:sqref>
        </x14:conditionalFormatting>
        <x14:conditionalFormatting xmlns:xm="http://schemas.microsoft.com/office/excel/2006/main">
          <x14:cfRule type="expression" priority="8" id="{6AC97508-BB8A-49BE-A4C8-3E150B50225F}">
            <xm:f>OR('Project Description'!$C$96="(Select…)",'Project Description'!$C$96="None")</xm:f>
            <x14:dxf>
              <fill>
                <patternFill>
                  <bgColor theme="0" tint="-0.14996795556505021"/>
                </patternFill>
              </fill>
            </x14:dxf>
          </x14:cfRule>
          <xm:sqref>E198:F199</xm:sqref>
        </x14:conditionalFormatting>
        <x14:conditionalFormatting xmlns:xm="http://schemas.microsoft.com/office/excel/2006/main">
          <x14:cfRule type="expression" priority="7" id="{3BA96727-9A5D-49E2-B6E5-89D1B3C3CB77}">
            <xm:f>OR('Project Description'!$C$96="(Select…)",'Project Description'!$C$96="None")</xm:f>
            <x14:dxf>
              <fill>
                <patternFill>
                  <bgColor theme="0" tint="-0.14996795556505021"/>
                </patternFill>
              </fill>
            </x14:dxf>
          </x14:cfRule>
          <xm:sqref>E210:F211</xm:sqref>
        </x14:conditionalFormatting>
        <x14:conditionalFormatting xmlns:xm="http://schemas.microsoft.com/office/excel/2006/main">
          <x14:cfRule type="expression" priority="6" id="{1F24DDFB-42A9-4BC0-83F5-8D6329A8587D}">
            <xm:f>OR('Project Description'!$C$96="(Select…)",'Project Description'!$C$96="None")</xm:f>
            <x14:dxf>
              <fill>
                <patternFill>
                  <bgColor theme="0" tint="-0.14996795556505021"/>
                </patternFill>
              </fill>
            </x14:dxf>
          </x14:cfRule>
          <xm:sqref>E219:F220</xm:sqref>
        </x14:conditionalFormatting>
        <x14:conditionalFormatting xmlns:xm="http://schemas.microsoft.com/office/excel/2006/main">
          <x14:cfRule type="expression" priority="5" id="{15F1EC89-76A1-4A49-882D-F3462FE827AC}">
            <xm:f>OR('Project Description'!$C$96="(Select…)",'Project Description'!$C$96="None")</xm:f>
            <x14:dxf>
              <fill>
                <patternFill>
                  <bgColor theme="0" tint="-0.14996795556505021"/>
                </patternFill>
              </fill>
            </x14:dxf>
          </x14:cfRule>
          <xm:sqref>E228:F229</xm:sqref>
        </x14:conditionalFormatting>
        <x14:conditionalFormatting xmlns:xm="http://schemas.microsoft.com/office/excel/2006/main">
          <x14:cfRule type="expression" priority="4" id="{5A390AA2-C8E7-45A5-86F1-3A9283032204}">
            <xm:f>OR('Project Description'!$C$96="(Select…)",'Project Description'!$C$96="None")</xm:f>
            <x14:dxf>
              <fill>
                <patternFill>
                  <bgColor theme="0" tint="-0.14996795556505021"/>
                </patternFill>
              </fill>
            </x14:dxf>
          </x14:cfRule>
          <xm:sqref>E237:F238</xm:sqref>
        </x14:conditionalFormatting>
        <x14:conditionalFormatting xmlns:xm="http://schemas.microsoft.com/office/excel/2006/main">
          <x14:cfRule type="expression" priority="3" id="{8718D6E5-F83F-4558-A843-0B13D2025008}">
            <xm:f>OR('Project Description'!$C$96="(Select…)",'Project Description'!$C$96="None")</xm:f>
            <x14:dxf>
              <fill>
                <patternFill>
                  <bgColor theme="0" tint="-0.14996795556505021"/>
                </patternFill>
              </fill>
            </x14:dxf>
          </x14:cfRule>
          <xm:sqref>E246:F247</xm:sqref>
        </x14:conditionalFormatting>
        <x14:conditionalFormatting xmlns:xm="http://schemas.microsoft.com/office/excel/2006/main">
          <x14:cfRule type="expression" priority="2" id="{D11BB6F9-C287-48D8-B7AD-7DB63284ADD3}">
            <xm:f>OR('Project Description'!$C$96="(Select…)",'Project Description'!$C$96="None")</xm:f>
            <x14:dxf>
              <fill>
                <patternFill>
                  <bgColor theme="0" tint="-0.14996795556505021"/>
                </patternFill>
              </fill>
            </x14:dxf>
          </x14:cfRule>
          <xm:sqref>E255:F256</xm:sqref>
        </x14:conditionalFormatting>
        <x14:conditionalFormatting xmlns:xm="http://schemas.microsoft.com/office/excel/2006/main">
          <x14:cfRule type="expression" priority="1" id="{EB114CAA-2F9D-4F63-9A58-52A98C7F8FDF}">
            <xm:f>AND('Project Description'!$C$92="Yes")</xm:f>
            <x14:dxf>
              <fill>
                <patternFill patternType="solid">
                  <bgColor theme="0" tint="-0.14996795556505021"/>
                </patternFill>
              </fill>
            </x14:dxf>
          </x14:cfRule>
          <xm:sqref>E5:G6 E8:G9 E12:G15 E18:G24 E34:G40 E78:G83 E87:G92 E95:G101 E104:G110 E113:G119 E122:G128 E131:G137 E143:G149 E152:G158 E161:G167 E170:G176 E179:G185 E188:G194 E197:G203 E209:G215 E218:G224 E227:G233 E236:G242 E245:G251 E254:G260 E206:G206 E140:G140 E74:G74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69"/>
  <sheetViews>
    <sheetView showGridLines="0" zoomScale="75" zoomScaleNormal="75" workbookViewId="0">
      <selection activeCell="H8" sqref="H8:K8"/>
    </sheetView>
  </sheetViews>
  <sheetFormatPr defaultRowHeight="11.25"/>
  <cols>
    <col min="1" max="1" width="5.33203125" bestFit="1" customWidth="1"/>
    <col min="2" max="2" width="36.6640625" customWidth="1"/>
    <col min="3" max="3" width="13.5" customWidth="1"/>
    <col min="4" max="4" width="13.83203125" bestFit="1" customWidth="1"/>
    <col min="5" max="5" width="13.83203125" customWidth="1"/>
    <col min="6" max="6" width="14.5" customWidth="1"/>
    <col min="7" max="7" width="17.83203125" customWidth="1"/>
    <col min="8" max="8" width="13.5" customWidth="1"/>
    <col min="9" max="10" width="13.83203125" customWidth="1"/>
    <col min="11" max="11" width="13.6640625" customWidth="1"/>
    <col min="12" max="12" width="17.83203125" customWidth="1"/>
    <col min="13" max="13" width="13.6640625" customWidth="1"/>
    <col min="14" max="14" width="14" customWidth="1"/>
    <col min="15" max="15" width="13.83203125" customWidth="1"/>
    <col min="16" max="16" width="13.6640625" customWidth="1"/>
    <col min="17" max="17" width="17.83203125" customWidth="1"/>
    <col min="18" max="18" width="11.83203125" customWidth="1"/>
  </cols>
  <sheetData>
    <row r="1" spans="1:18" ht="18.75" customHeight="1" thickBot="1">
      <c r="A1" s="869" t="s">
        <v>392</v>
      </c>
      <c r="B1" s="870"/>
      <c r="C1" s="870"/>
      <c r="D1" s="870"/>
      <c r="E1" s="870"/>
      <c r="F1" s="870"/>
      <c r="G1" s="870"/>
      <c r="H1" s="870"/>
      <c r="I1" s="870"/>
      <c r="J1" s="870"/>
      <c r="K1" s="870"/>
      <c r="L1" s="870"/>
      <c r="M1" s="870"/>
      <c r="N1" s="870"/>
      <c r="O1" s="870"/>
      <c r="P1" s="870"/>
      <c r="Q1" s="871"/>
      <c r="R1" s="41"/>
    </row>
    <row r="2" spans="1:18" ht="16.5" thickBot="1">
      <c r="A2" s="943" t="s">
        <v>3</v>
      </c>
      <c r="B2" s="944"/>
      <c r="C2" s="944"/>
      <c r="D2" s="944"/>
      <c r="E2" s="945"/>
      <c r="F2" s="943" t="str">
        <f>+Finance!B2</f>
        <v/>
      </c>
      <c r="G2" s="944"/>
      <c r="H2" s="944"/>
      <c r="I2" s="944"/>
      <c r="J2" s="944"/>
      <c r="K2" s="944"/>
      <c r="L2" s="944"/>
      <c r="M2" s="944"/>
      <c r="N2" s="944"/>
      <c r="O2" s="944"/>
      <c r="P2" s="944"/>
      <c r="Q2" s="945"/>
      <c r="R2" s="40"/>
    </row>
    <row r="3" spans="1:18" s="39" customFormat="1" ht="4.5" customHeight="1">
      <c r="A3" s="377"/>
      <c r="B3" s="141"/>
      <c r="C3" s="141"/>
      <c r="D3" s="141"/>
      <c r="E3" s="141"/>
      <c r="F3" s="141"/>
      <c r="G3" s="141"/>
      <c r="H3" s="141"/>
      <c r="I3" s="141"/>
      <c r="J3" s="141"/>
      <c r="K3" s="141"/>
      <c r="L3" s="141"/>
      <c r="M3" s="141"/>
      <c r="N3" s="141"/>
      <c r="O3" s="141"/>
      <c r="P3" s="141"/>
      <c r="Q3" s="141"/>
      <c r="R3" s="38"/>
    </row>
    <row r="4" spans="1:18" s="39" customFormat="1" ht="12.75">
      <c r="A4" s="708" t="str">
        <f>IF(OR('Project Description'!C96="(Select…)",H8="(Select…)",H9="(Select…)",H10="(Select…)",H11="(Select…)"),CONCATENATE("*** To view Environmental Benefits results, specify ",IF('Project Description'!C92&lt;&gt;"Yes","the horizon year option in the Project Description Template and ",""),"the regional air quality attainment status for each criteria pollutant",IF('Project Description'!C92="Yes"," and enter additional requested information","")," below ***"),"")</f>
        <v>*** To view Environmental Benefits results, specify the horizon year option in the Project Description Template and the regional air quality attainment status for each criteria pollutant below ***</v>
      </c>
      <c r="B4" s="708"/>
      <c r="C4" s="708"/>
      <c r="D4" s="708"/>
      <c r="E4" s="708"/>
      <c r="F4" s="708"/>
      <c r="G4" s="708"/>
      <c r="H4" s="708"/>
      <c r="I4" s="708"/>
      <c r="J4" s="708"/>
      <c r="K4" s="708"/>
      <c r="L4" s="708"/>
      <c r="M4" s="708"/>
      <c r="N4" s="708"/>
      <c r="O4" s="708"/>
      <c r="P4" s="708"/>
      <c r="Q4" s="708"/>
      <c r="R4" s="38"/>
    </row>
    <row r="5" spans="1:18" s="39" customFormat="1" ht="4.5" customHeight="1" thickBot="1">
      <c r="A5" s="378"/>
      <c r="B5" s="141"/>
      <c r="C5" s="141"/>
      <c r="D5" s="141"/>
      <c r="E5" s="141"/>
      <c r="F5" s="141"/>
      <c r="G5" s="141"/>
      <c r="H5" s="141"/>
      <c r="I5" s="141"/>
      <c r="J5" s="141"/>
      <c r="K5" s="141"/>
      <c r="L5" s="141"/>
      <c r="M5" s="141"/>
      <c r="N5" s="141"/>
      <c r="O5" s="141"/>
      <c r="P5" s="141"/>
      <c r="Q5" s="141"/>
      <c r="R5" s="38"/>
    </row>
    <row r="6" spans="1:18" ht="16.5" thickBot="1">
      <c r="A6" s="699" t="s">
        <v>348</v>
      </c>
      <c r="B6" s="700"/>
      <c r="C6" s="700"/>
      <c r="D6" s="700"/>
      <c r="E6" s="700"/>
      <c r="F6" s="700"/>
      <c r="G6" s="700"/>
      <c r="H6" s="700"/>
      <c r="I6" s="700"/>
      <c r="J6" s="700"/>
      <c r="K6" s="700"/>
      <c r="L6" s="700"/>
      <c r="M6" s="700"/>
      <c r="N6" s="700"/>
      <c r="O6" s="700"/>
      <c r="P6" s="700"/>
      <c r="Q6" s="701"/>
      <c r="R6" s="40"/>
    </row>
    <row r="7" spans="1:18" s="36" customFormat="1" ht="15">
      <c r="A7" s="235" t="s">
        <v>1</v>
      </c>
      <c r="B7" s="905" t="s">
        <v>137</v>
      </c>
      <c r="C7" s="906"/>
      <c r="D7" s="906"/>
      <c r="E7" s="906"/>
      <c r="F7" s="906"/>
      <c r="G7" s="907"/>
      <c r="H7" s="917" t="s">
        <v>161</v>
      </c>
      <c r="I7" s="918"/>
      <c r="J7" s="918"/>
      <c r="K7" s="919"/>
      <c r="L7" s="317" t="s">
        <v>2</v>
      </c>
      <c r="M7" s="318"/>
      <c r="N7" s="318"/>
      <c r="O7" s="318"/>
      <c r="P7" s="318"/>
      <c r="Q7" s="319"/>
    </row>
    <row r="8" spans="1:18" ht="15">
      <c r="A8" s="236">
        <v>1</v>
      </c>
      <c r="B8" s="908" t="s">
        <v>286</v>
      </c>
      <c r="C8" s="909"/>
      <c r="D8" s="909"/>
      <c r="E8" s="909"/>
      <c r="F8" s="909"/>
      <c r="G8" s="910"/>
      <c r="H8" s="920" t="s">
        <v>194</v>
      </c>
      <c r="I8" s="921"/>
      <c r="J8" s="921"/>
      <c r="K8" s="922"/>
      <c r="L8" s="949" t="s">
        <v>274</v>
      </c>
      <c r="M8" s="950"/>
      <c r="N8" s="950"/>
      <c r="O8" s="950"/>
      <c r="P8" s="950"/>
      <c r="Q8" s="951"/>
    </row>
    <row r="9" spans="1:18" ht="15">
      <c r="A9" s="236">
        <f>A8+1</f>
        <v>2</v>
      </c>
      <c r="B9" s="908" t="s">
        <v>287</v>
      </c>
      <c r="C9" s="909"/>
      <c r="D9" s="909"/>
      <c r="E9" s="909"/>
      <c r="F9" s="909"/>
      <c r="G9" s="910"/>
      <c r="H9" s="920" t="s">
        <v>194</v>
      </c>
      <c r="I9" s="921"/>
      <c r="J9" s="921"/>
      <c r="K9" s="922"/>
      <c r="L9" s="952"/>
      <c r="M9" s="953"/>
      <c r="N9" s="953"/>
      <c r="O9" s="953"/>
      <c r="P9" s="953"/>
      <c r="Q9" s="954"/>
    </row>
    <row r="10" spans="1:18" ht="15">
      <c r="A10" s="236">
        <f t="shared" ref="A10:A11" si="0">A9+1</f>
        <v>3</v>
      </c>
      <c r="B10" s="908" t="s">
        <v>289</v>
      </c>
      <c r="C10" s="909"/>
      <c r="D10" s="909"/>
      <c r="E10" s="909"/>
      <c r="F10" s="909"/>
      <c r="G10" s="910"/>
      <c r="H10" s="920" t="s">
        <v>194</v>
      </c>
      <c r="I10" s="921"/>
      <c r="J10" s="921"/>
      <c r="K10" s="922"/>
      <c r="L10" s="952"/>
      <c r="M10" s="953"/>
      <c r="N10" s="953"/>
      <c r="O10" s="953"/>
      <c r="P10" s="953"/>
      <c r="Q10" s="954"/>
    </row>
    <row r="11" spans="1:18" ht="15.75" thickBot="1">
      <c r="A11" s="450">
        <f t="shared" si="0"/>
        <v>4</v>
      </c>
      <c r="B11" s="900" t="s">
        <v>288</v>
      </c>
      <c r="C11" s="901"/>
      <c r="D11" s="901"/>
      <c r="E11" s="901"/>
      <c r="F11" s="901"/>
      <c r="G11" s="902"/>
      <c r="H11" s="946" t="s">
        <v>194</v>
      </c>
      <c r="I11" s="947"/>
      <c r="J11" s="947"/>
      <c r="K11" s="948"/>
      <c r="L11" s="955"/>
      <c r="M11" s="956"/>
      <c r="N11" s="956"/>
      <c r="O11" s="956"/>
      <c r="P11" s="956"/>
      <c r="Q11" s="957"/>
    </row>
    <row r="12" spans="1:18" s="393" customFormat="1" ht="15.75" thickBot="1">
      <c r="A12" s="453"/>
      <c r="B12" s="454"/>
      <c r="C12" s="454"/>
      <c r="D12" s="454"/>
      <c r="E12" s="454"/>
      <c r="F12" s="454"/>
      <c r="G12" s="454"/>
      <c r="H12" s="455"/>
      <c r="I12" s="455"/>
      <c r="J12" s="455"/>
      <c r="K12" s="455"/>
      <c r="L12" s="456"/>
      <c r="M12" s="456"/>
      <c r="N12" s="456"/>
      <c r="O12" s="456"/>
      <c r="P12" s="456"/>
      <c r="Q12" s="456"/>
    </row>
    <row r="13" spans="1:18" ht="16.5" thickBot="1">
      <c r="A13" s="958" t="s">
        <v>393</v>
      </c>
      <c r="B13" s="959"/>
      <c r="C13" s="959"/>
      <c r="D13" s="959"/>
      <c r="E13" s="959"/>
      <c r="F13" s="959"/>
      <c r="G13" s="959"/>
      <c r="H13" s="959"/>
      <c r="I13" s="959"/>
      <c r="J13" s="959"/>
      <c r="K13" s="959"/>
      <c r="L13" s="959"/>
      <c r="M13" s="959"/>
      <c r="N13" s="959"/>
      <c r="O13" s="959"/>
      <c r="P13" s="959"/>
      <c r="Q13" s="960"/>
    </row>
    <row r="14" spans="1:18" ht="13.9" customHeight="1">
      <c r="A14" s="424" t="s">
        <v>1</v>
      </c>
      <c r="B14" s="928"/>
      <c r="C14" s="929"/>
      <c r="D14" s="929"/>
      <c r="E14" s="929"/>
      <c r="F14" s="929"/>
      <c r="G14" s="930"/>
      <c r="H14" s="917" t="s">
        <v>161</v>
      </c>
      <c r="I14" s="918"/>
      <c r="J14" s="918"/>
      <c r="K14" s="919"/>
      <c r="L14" s="425" t="s">
        <v>2</v>
      </c>
      <c r="M14" s="429"/>
      <c r="N14" s="429"/>
      <c r="O14" s="429"/>
      <c r="P14" s="429"/>
      <c r="Q14" s="430"/>
    </row>
    <row r="15" spans="1:18" ht="18" customHeight="1">
      <c r="A15" s="458" t="s">
        <v>330</v>
      </c>
      <c r="B15" s="925" t="s">
        <v>350</v>
      </c>
      <c r="C15" s="926"/>
      <c r="D15" s="926"/>
      <c r="E15" s="926"/>
      <c r="F15" s="926"/>
      <c r="G15" s="927"/>
      <c r="H15" s="931"/>
      <c r="I15" s="932"/>
      <c r="J15" s="932"/>
      <c r="K15" s="933"/>
      <c r="L15" s="925" t="s">
        <v>327</v>
      </c>
      <c r="M15" s="926"/>
      <c r="N15" s="926"/>
      <c r="O15" s="926"/>
      <c r="P15" s="926"/>
      <c r="Q15" s="927"/>
    </row>
    <row r="16" spans="1:18" ht="33" customHeight="1">
      <c r="A16" s="458" t="s">
        <v>331</v>
      </c>
      <c r="B16" s="970" t="s">
        <v>355</v>
      </c>
      <c r="C16" s="971"/>
      <c r="D16" s="971"/>
      <c r="E16" s="971"/>
      <c r="F16" s="971"/>
      <c r="G16" s="972"/>
      <c r="H16" s="934"/>
      <c r="I16" s="935"/>
      <c r="J16" s="935"/>
      <c r="K16" s="936"/>
      <c r="L16" s="925" t="s">
        <v>327</v>
      </c>
      <c r="M16" s="926"/>
      <c r="N16" s="926"/>
      <c r="O16" s="926"/>
      <c r="P16" s="926"/>
      <c r="Q16" s="927"/>
    </row>
    <row r="17" spans="1:17" ht="33.6" customHeight="1">
      <c r="A17" s="458" t="s">
        <v>332</v>
      </c>
      <c r="B17" s="925" t="s">
        <v>321</v>
      </c>
      <c r="C17" s="926"/>
      <c r="D17" s="926"/>
      <c r="E17" s="926"/>
      <c r="F17" s="926"/>
      <c r="G17" s="927"/>
      <c r="H17" s="937">
        <v>0.5</v>
      </c>
      <c r="I17" s="938"/>
      <c r="J17" s="938"/>
      <c r="K17" s="939"/>
      <c r="L17" s="970" t="s">
        <v>328</v>
      </c>
      <c r="M17" s="971"/>
      <c r="N17" s="971"/>
      <c r="O17" s="971"/>
      <c r="P17" s="971"/>
      <c r="Q17" s="972"/>
    </row>
    <row r="18" spans="1:17" ht="18" customHeight="1">
      <c r="A18" s="458" t="s">
        <v>333</v>
      </c>
      <c r="B18" s="925" t="s">
        <v>351</v>
      </c>
      <c r="C18" s="926"/>
      <c r="D18" s="926"/>
      <c r="E18" s="926"/>
      <c r="F18" s="926"/>
      <c r="G18" s="927"/>
      <c r="H18" s="940">
        <f>+H17*H16*H15</f>
        <v>0</v>
      </c>
      <c r="I18" s="941"/>
      <c r="J18" s="941"/>
      <c r="K18" s="942"/>
      <c r="L18" s="925" t="s">
        <v>341</v>
      </c>
      <c r="M18" s="926"/>
      <c r="N18" s="926"/>
      <c r="O18" s="926"/>
      <c r="P18" s="926"/>
      <c r="Q18" s="927"/>
    </row>
    <row r="19" spans="1:17" ht="18" customHeight="1">
      <c r="A19" s="458" t="s">
        <v>334</v>
      </c>
      <c r="B19" s="925" t="s">
        <v>322</v>
      </c>
      <c r="C19" s="926"/>
      <c r="D19" s="926"/>
      <c r="E19" s="926"/>
      <c r="F19" s="926"/>
      <c r="G19" s="927"/>
      <c r="H19" s="964">
        <v>0.2</v>
      </c>
      <c r="I19" s="965"/>
      <c r="J19" s="965"/>
      <c r="K19" s="966"/>
      <c r="L19" s="925" t="s">
        <v>344</v>
      </c>
      <c r="M19" s="926"/>
      <c r="N19" s="926"/>
      <c r="O19" s="926"/>
      <c r="P19" s="926"/>
      <c r="Q19" s="927"/>
    </row>
    <row r="20" spans="1:17" ht="18" customHeight="1">
      <c r="A20" s="458" t="s">
        <v>335</v>
      </c>
      <c r="B20" s="925" t="s">
        <v>352</v>
      </c>
      <c r="C20" s="926"/>
      <c r="D20" s="926"/>
      <c r="E20" s="926"/>
      <c r="F20" s="926"/>
      <c r="G20" s="927"/>
      <c r="H20" s="940">
        <f>+H19*H18</f>
        <v>0</v>
      </c>
      <c r="I20" s="941"/>
      <c r="J20" s="941"/>
      <c r="K20" s="942"/>
      <c r="L20" s="925" t="s">
        <v>342</v>
      </c>
      <c r="M20" s="926"/>
      <c r="N20" s="926"/>
      <c r="O20" s="926"/>
      <c r="P20" s="926"/>
      <c r="Q20" s="927"/>
    </row>
    <row r="21" spans="1:17" ht="33" customHeight="1">
      <c r="A21" s="458" t="s">
        <v>336</v>
      </c>
      <c r="B21" s="925" t="s">
        <v>323</v>
      </c>
      <c r="C21" s="926"/>
      <c r="D21" s="926"/>
      <c r="E21" s="926"/>
      <c r="F21" s="926"/>
      <c r="G21" s="927"/>
      <c r="H21" s="937">
        <v>1.1499999999999999</v>
      </c>
      <c r="I21" s="938"/>
      <c r="J21" s="938"/>
      <c r="K21" s="939"/>
      <c r="L21" s="973" t="s">
        <v>329</v>
      </c>
      <c r="M21" s="974"/>
      <c r="N21" s="974"/>
      <c r="O21" s="974"/>
      <c r="P21" s="974"/>
      <c r="Q21" s="975"/>
    </row>
    <row r="22" spans="1:17" ht="18" customHeight="1">
      <c r="A22" s="458" t="s">
        <v>337</v>
      </c>
      <c r="B22" s="925" t="s">
        <v>353</v>
      </c>
      <c r="C22" s="926"/>
      <c r="D22" s="926"/>
      <c r="E22" s="926"/>
      <c r="F22" s="926"/>
      <c r="G22" s="927"/>
      <c r="H22" s="940">
        <f>H20/H21</f>
        <v>0</v>
      </c>
      <c r="I22" s="941"/>
      <c r="J22" s="941"/>
      <c r="K22" s="942"/>
      <c r="L22" s="925" t="s">
        <v>343</v>
      </c>
      <c r="M22" s="926"/>
      <c r="N22" s="926"/>
      <c r="O22" s="926"/>
      <c r="P22" s="926"/>
      <c r="Q22" s="927"/>
    </row>
    <row r="23" spans="1:17" ht="18" customHeight="1">
      <c r="A23" s="458" t="s">
        <v>338</v>
      </c>
      <c r="B23" s="925" t="s">
        <v>324</v>
      </c>
      <c r="C23" s="926"/>
      <c r="D23" s="926"/>
      <c r="E23" s="926"/>
      <c r="F23" s="926"/>
      <c r="G23" s="927"/>
      <c r="H23" s="976">
        <f>IF('Project Description'!C48="",0,IF(NOT(ISNUMBER('Project Description'!C48)),"Correct entry in row 48 of the Proj. Descr. Template",'Project Description'!C48))</f>
        <v>0</v>
      </c>
      <c r="I23" s="976"/>
      <c r="J23" s="976"/>
      <c r="K23" s="976"/>
      <c r="L23" s="925" t="s">
        <v>326</v>
      </c>
      <c r="M23" s="926"/>
      <c r="N23" s="926"/>
      <c r="O23" s="926"/>
      <c r="P23" s="926"/>
      <c r="Q23" s="927"/>
    </row>
    <row r="24" spans="1:17" ht="18" customHeight="1">
      <c r="A24" s="458" t="s">
        <v>339</v>
      </c>
      <c r="B24" s="925" t="s">
        <v>325</v>
      </c>
      <c r="C24" s="926"/>
      <c r="D24" s="926"/>
      <c r="E24" s="926"/>
      <c r="F24" s="926"/>
      <c r="G24" s="927"/>
      <c r="H24" s="964">
        <v>0.5</v>
      </c>
      <c r="I24" s="965"/>
      <c r="J24" s="965"/>
      <c r="K24" s="966"/>
      <c r="L24" s="925" t="s">
        <v>344</v>
      </c>
      <c r="M24" s="926"/>
      <c r="N24" s="926"/>
      <c r="O24" s="926"/>
      <c r="P24" s="926"/>
      <c r="Q24" s="927"/>
    </row>
    <row r="25" spans="1:17" ht="18" customHeight="1" thickBot="1">
      <c r="A25" s="459" t="s">
        <v>340</v>
      </c>
      <c r="B25" s="961" t="s">
        <v>354</v>
      </c>
      <c r="C25" s="962"/>
      <c r="D25" s="962"/>
      <c r="E25" s="962"/>
      <c r="F25" s="962"/>
      <c r="G25" s="963"/>
      <c r="H25" s="967">
        <f>IF(NOT(ISNUMBER('Project Description'!C48)),0,H22*H23*H24)</f>
        <v>0</v>
      </c>
      <c r="I25" s="968"/>
      <c r="J25" s="968"/>
      <c r="K25" s="969"/>
      <c r="L25" s="961" t="s">
        <v>345</v>
      </c>
      <c r="M25" s="962"/>
      <c r="N25" s="962"/>
      <c r="O25" s="962"/>
      <c r="P25" s="962"/>
      <c r="Q25" s="963"/>
    </row>
    <row r="26" spans="1:17" s="442" customFormat="1" ht="15.75" thickBot="1">
      <c r="A26" s="426"/>
      <c r="B26" s="427"/>
      <c r="C26" s="427"/>
      <c r="D26" s="427"/>
      <c r="E26" s="427"/>
      <c r="F26" s="427"/>
      <c r="G26" s="427"/>
      <c r="H26" s="451"/>
      <c r="I26" s="451"/>
      <c r="J26" s="451"/>
      <c r="K26" s="451"/>
      <c r="L26" s="452"/>
      <c r="M26" s="452"/>
      <c r="N26" s="452"/>
      <c r="O26" s="452"/>
      <c r="P26" s="452"/>
      <c r="Q26" s="452"/>
    </row>
    <row r="27" spans="1:17" s="393" customFormat="1" ht="16.5" thickBot="1">
      <c r="A27" s="699" t="s">
        <v>349</v>
      </c>
      <c r="B27" s="700"/>
      <c r="C27" s="700"/>
      <c r="D27" s="700"/>
      <c r="E27" s="700"/>
      <c r="F27" s="700"/>
      <c r="G27" s="700"/>
      <c r="H27" s="700"/>
      <c r="I27" s="700"/>
      <c r="J27" s="700"/>
      <c r="K27" s="700"/>
      <c r="L27" s="700"/>
      <c r="M27" s="700"/>
      <c r="N27" s="700"/>
      <c r="O27" s="700"/>
      <c r="P27" s="700"/>
      <c r="Q27" s="701"/>
    </row>
    <row r="28" spans="1:17" ht="24.75" customHeight="1">
      <c r="A28" s="236"/>
      <c r="B28" s="320"/>
      <c r="C28" s="321"/>
      <c r="D28" s="321"/>
      <c r="E28" s="321"/>
      <c r="F28" s="321"/>
      <c r="G28" s="322"/>
      <c r="H28" s="923" t="str">
        <f>'Travel Forecasts'!D8</f>
        <v>Current Year ()</v>
      </c>
      <c r="I28" s="924"/>
      <c r="J28" s="903" t="str">
        <f>'Travel Forecasts'!E8</f>
        <v>Horizon ()</v>
      </c>
      <c r="K28" s="904"/>
      <c r="L28" s="237"/>
      <c r="M28" s="238"/>
      <c r="N28" s="238"/>
      <c r="O28" s="238"/>
      <c r="P28" s="238"/>
      <c r="Q28" s="239"/>
    </row>
    <row r="29" spans="1:17" ht="15">
      <c r="A29" s="236">
        <f>A11+1</f>
        <v>5</v>
      </c>
      <c r="B29" s="911" t="s">
        <v>176</v>
      </c>
      <c r="C29" s="912"/>
      <c r="D29" s="912"/>
      <c r="E29" s="912"/>
      <c r="F29" s="912"/>
      <c r="G29" s="913"/>
      <c r="H29" s="882" t="str">
        <f>IF(OR(H8="(Select…)",H9="(Select…)",H10="(Select…)",H11="(Select…)"),"-",G51+G67+G85+G101+G118+G134+G151+G166)</f>
        <v>-</v>
      </c>
      <c r="I29" s="883"/>
      <c r="J29" s="886" t="str">
        <f>IF(H29="-",H29,IF(OR('Project Description'!C96="None",'Project Description'!$C$92="Yes"),"---",IF('Project Description'!C96="10 Years",L51+L67+L85+L101+L118+L134+L151+L166,IF('Project Description'!C96="20 Years",Q51+Q67+Q85+Q101+Q118+Q134+Q151+Q166,"-"))))</f>
        <v>-</v>
      </c>
      <c r="K29" s="887"/>
      <c r="L29" s="872" t="s">
        <v>293</v>
      </c>
      <c r="M29" s="873"/>
      <c r="N29" s="873"/>
      <c r="O29" s="873"/>
      <c r="P29" s="873"/>
      <c r="Q29" s="874"/>
    </row>
    <row r="30" spans="1:17" ht="15">
      <c r="A30" s="236">
        <f>A29+1</f>
        <v>6</v>
      </c>
      <c r="B30" s="911" t="s">
        <v>416</v>
      </c>
      <c r="C30" s="912"/>
      <c r="D30" s="912"/>
      <c r="E30" s="912"/>
      <c r="F30" s="912"/>
      <c r="G30" s="913"/>
      <c r="H30" s="882" t="str">
        <f>IF(H29="-",H29,'Mobility Cost Eff &amp; Cong Relief'!C16)</f>
        <v>-</v>
      </c>
      <c r="I30" s="883"/>
      <c r="J30" s="886" t="str">
        <f>IF('Project Description'!$C$92="Yes","---",IF(H29="-",H29,'Mobility Cost Eff &amp; Cong Relief'!D16))</f>
        <v>-</v>
      </c>
      <c r="K30" s="887"/>
      <c r="L30" s="237" t="s">
        <v>394</v>
      </c>
      <c r="M30" s="238"/>
      <c r="N30" s="238"/>
      <c r="O30" s="238"/>
      <c r="P30" s="238"/>
      <c r="Q30" s="239"/>
    </row>
    <row r="31" spans="1:17" ht="15">
      <c r="A31" s="236">
        <f t="shared" ref="A31:A32" si="1">A30+1</f>
        <v>7</v>
      </c>
      <c r="B31" s="911" t="s">
        <v>417</v>
      </c>
      <c r="C31" s="912"/>
      <c r="D31" s="912"/>
      <c r="E31" s="912"/>
      <c r="F31" s="912"/>
      <c r="G31" s="913"/>
      <c r="H31" s="884" t="str">
        <f>IF(H29="-",H29,IF(H30=0,0,H29/H30))</f>
        <v>-</v>
      </c>
      <c r="I31" s="885"/>
      <c r="J31" s="888" t="str">
        <f>IF('Project Description'!$C$92="Yes","---",IF(OR(H29="-",'Project Description'!C96="(Select…)"),"-",IF(J30=0,0,IF('Project Description'!C96="None","---",J29/J30))))</f>
        <v>-</v>
      </c>
      <c r="K31" s="889"/>
      <c r="L31" s="237" t="s">
        <v>292</v>
      </c>
      <c r="M31" s="238"/>
      <c r="N31" s="238"/>
      <c r="O31" s="238"/>
      <c r="P31" s="238"/>
      <c r="Q31" s="239"/>
    </row>
    <row r="32" spans="1:17" ht="51.75" customHeight="1" thickBot="1">
      <c r="A32" s="240">
        <f t="shared" si="1"/>
        <v>8</v>
      </c>
      <c r="B32" s="914" t="s">
        <v>282</v>
      </c>
      <c r="C32" s="915"/>
      <c r="D32" s="915"/>
      <c r="E32" s="915"/>
      <c r="F32" s="915"/>
      <c r="G32" s="916"/>
      <c r="H32" s="897" t="str">
        <f>IF(OR(H29="-",J29="-"),"-",IF(AND(H31=0,J31=0),0,IF(OR('Project Description'!C96="10 Years",'Project Description'!C96="20 Years"),AVERAGE(H31,J31),H31)))</f>
        <v>-</v>
      </c>
      <c r="I32" s="898"/>
      <c r="J32" s="898"/>
      <c r="K32" s="899"/>
      <c r="L32" s="900" t="s">
        <v>300</v>
      </c>
      <c r="M32" s="901"/>
      <c r="N32" s="901"/>
      <c r="O32" s="901"/>
      <c r="P32" s="901"/>
      <c r="Q32" s="902"/>
    </row>
    <row r="33" spans="1:18" ht="13.9" customHeight="1" thickBot="1">
      <c r="A33" s="426"/>
      <c r="B33" s="427"/>
      <c r="C33" s="427"/>
      <c r="D33" s="427"/>
      <c r="E33" s="427"/>
      <c r="F33" s="427"/>
      <c r="G33" s="427"/>
      <c r="H33" s="866" t="str">
        <f>IF(Lookups!$K$20="No",doesntMeetThresholds,IF(OR(Lookups!$K$20="Unknown",H32=0,H32="-"),"",VLOOKUP(H32,Lookups!B28:C32,2)))</f>
        <v/>
      </c>
      <c r="I33" s="867"/>
      <c r="J33" s="867"/>
      <c r="K33" s="868"/>
      <c r="L33" s="427"/>
      <c r="M33" s="427"/>
      <c r="N33" s="427"/>
      <c r="O33" s="427"/>
      <c r="P33" s="427"/>
      <c r="Q33" s="427"/>
    </row>
    <row r="34" spans="1:18" s="393" customFormat="1" ht="13.9" customHeight="1" thickBot="1">
      <c r="A34" s="426"/>
      <c r="B34" s="427"/>
      <c r="C34" s="427"/>
      <c r="D34" s="427"/>
      <c r="E34" s="427"/>
      <c r="F34" s="427"/>
      <c r="G34" s="427"/>
      <c r="H34" s="428"/>
      <c r="I34" s="428"/>
      <c r="J34" s="428"/>
      <c r="K34" s="428"/>
      <c r="L34" s="427"/>
      <c r="M34" s="427"/>
      <c r="N34" s="427"/>
      <c r="O34" s="427"/>
      <c r="P34" s="427"/>
      <c r="Q34" s="427"/>
    </row>
    <row r="35" spans="1:18" ht="20.25" customHeight="1" thickBot="1">
      <c r="A35" s="869" t="s">
        <v>408</v>
      </c>
      <c r="B35" s="870"/>
      <c r="C35" s="870"/>
      <c r="D35" s="870"/>
      <c r="E35" s="870"/>
      <c r="F35" s="870"/>
      <c r="G35" s="870"/>
      <c r="H35" s="870"/>
      <c r="I35" s="870"/>
      <c r="J35" s="870"/>
      <c r="K35" s="870"/>
      <c r="L35" s="870"/>
      <c r="M35" s="870"/>
      <c r="N35" s="870"/>
      <c r="O35" s="870"/>
      <c r="P35" s="870"/>
      <c r="Q35" s="871"/>
    </row>
    <row r="36" spans="1:18" ht="16.5" thickBot="1">
      <c r="A36" s="893" t="s">
        <v>238</v>
      </c>
      <c r="B36" s="894"/>
      <c r="C36" s="894"/>
      <c r="D36" s="894"/>
      <c r="E36" s="894"/>
      <c r="F36" s="894"/>
      <c r="G36" s="894"/>
      <c r="H36" s="894"/>
      <c r="I36" s="894"/>
      <c r="J36" s="894"/>
      <c r="K36" s="894"/>
      <c r="L36" s="894"/>
      <c r="M36" s="894"/>
      <c r="N36" s="894"/>
      <c r="O36" s="894"/>
      <c r="P36" s="894"/>
      <c r="Q36" s="895"/>
      <c r="R36" s="40"/>
    </row>
    <row r="37" spans="1:18" s="3" customFormat="1" ht="16.5" thickBot="1">
      <c r="A37" s="896"/>
      <c r="B37" s="896"/>
      <c r="C37" s="896"/>
      <c r="D37" s="896"/>
      <c r="E37" s="896"/>
      <c r="F37" s="896"/>
      <c r="G37" s="896"/>
      <c r="H37" s="896"/>
      <c r="I37" s="896"/>
      <c r="J37" s="896"/>
      <c r="K37" s="896"/>
      <c r="L37" s="896"/>
      <c r="M37" s="390"/>
      <c r="N37" s="390"/>
      <c r="O37" s="390"/>
      <c r="P37" s="390"/>
      <c r="Q37" s="390"/>
      <c r="R37" s="40"/>
    </row>
    <row r="38" spans="1:18" ht="19.5" customHeight="1" thickBot="1">
      <c r="A38" s="890" t="s">
        <v>245</v>
      </c>
      <c r="B38" s="891"/>
      <c r="C38" s="891"/>
      <c r="D38" s="891"/>
      <c r="E38" s="891"/>
      <c r="F38" s="891"/>
      <c r="G38" s="891"/>
      <c r="H38" s="891"/>
      <c r="I38" s="891"/>
      <c r="J38" s="891"/>
      <c r="K38" s="891"/>
      <c r="L38" s="891"/>
      <c r="M38" s="891"/>
      <c r="N38" s="891"/>
      <c r="O38" s="891"/>
      <c r="P38" s="891"/>
      <c r="Q38" s="892"/>
      <c r="R38" s="40"/>
    </row>
    <row r="39" spans="1:18" s="8" customFormat="1" ht="15.75">
      <c r="A39" s="875" t="s">
        <v>1</v>
      </c>
      <c r="B39" s="877" t="s">
        <v>159</v>
      </c>
      <c r="C39" s="879" t="s">
        <v>153</v>
      </c>
      <c r="D39" s="880"/>
      <c r="E39" s="880"/>
      <c r="F39" s="880"/>
      <c r="G39" s="881"/>
      <c r="H39" s="880" t="s">
        <v>239</v>
      </c>
      <c r="I39" s="880"/>
      <c r="J39" s="880"/>
      <c r="K39" s="880"/>
      <c r="L39" s="880"/>
      <c r="M39" s="879" t="s">
        <v>240</v>
      </c>
      <c r="N39" s="880"/>
      <c r="O39" s="880"/>
      <c r="P39" s="880"/>
      <c r="Q39" s="881"/>
    </row>
    <row r="40" spans="1:18" s="8" customFormat="1" ht="60" customHeight="1">
      <c r="A40" s="876"/>
      <c r="B40" s="878"/>
      <c r="C40" s="244" t="s">
        <v>242</v>
      </c>
      <c r="D40" s="245" t="s">
        <v>241</v>
      </c>
      <c r="E40" s="245" t="s">
        <v>258</v>
      </c>
      <c r="F40" s="246" t="s">
        <v>283</v>
      </c>
      <c r="G40" s="247" t="s">
        <v>284</v>
      </c>
      <c r="H40" s="248" t="s">
        <v>242</v>
      </c>
      <c r="I40" s="245" t="s">
        <v>241</v>
      </c>
      <c r="J40" s="245" t="s">
        <v>258</v>
      </c>
      <c r="K40" s="246" t="s">
        <v>283</v>
      </c>
      <c r="L40" s="247" t="s">
        <v>284</v>
      </c>
      <c r="M40" s="244" t="s">
        <v>242</v>
      </c>
      <c r="N40" s="245" t="s">
        <v>241</v>
      </c>
      <c r="O40" s="245" t="s">
        <v>258</v>
      </c>
      <c r="P40" s="246" t="s">
        <v>283</v>
      </c>
      <c r="Q40" s="247" t="s">
        <v>284</v>
      </c>
    </row>
    <row r="41" spans="1:18" s="8" customFormat="1" ht="18" customHeight="1">
      <c r="A41" s="249">
        <f>A32+1</f>
        <v>9</v>
      </c>
      <c r="B41" s="250" t="s">
        <v>154</v>
      </c>
      <c r="C41" s="251">
        <f>IF('Project Description'!$C$92="Yes",H25,-'Travel Forecasts'!M31)</f>
        <v>0</v>
      </c>
      <c r="D41" s="252">
        <v>1.677E-2</v>
      </c>
      <c r="E41" s="253">
        <f>C41*D41</f>
        <v>0</v>
      </c>
      <c r="F41" s="254" t="str">
        <f t="shared" ref="F41:F50" si="2">IF($H$8="Attainment",0.08,IF($H$8="Maintenance",0.1,IF($H$8="Nonattainment",0.12,"-")))</f>
        <v>-</v>
      </c>
      <c r="G41" s="255" t="str">
        <f t="shared" ref="G41:G50" si="3">IF($H$8="(Select…)","-",E41*F41)</f>
        <v>-</v>
      </c>
      <c r="H41" s="256" t="str">
        <f>IF('Project Description'!$C$96="10 Years",-'Travel Forecasts'!N31,"---")</f>
        <v>---</v>
      </c>
      <c r="I41" s="257">
        <v>1.1460000000000001E-2</v>
      </c>
      <c r="J41" s="253" t="str">
        <f>IF('Project Description'!$C$96="10 Years",H41*I41,"---")</f>
        <v>---</v>
      </c>
      <c r="K41" s="254" t="str">
        <f t="shared" ref="K41:K50" si="4">IF($H$8="Attainment",0.08,IF($H$8="Maintenance",0.1,IF($H$8="Nonattainment",0.12,"-")))</f>
        <v>-</v>
      </c>
      <c r="L41" s="255" t="str">
        <f>IF($H$8="(Select…)","-",IF('Project Description'!$C$96="10 Years",J41*K41,"---"))</f>
        <v>-</v>
      </c>
      <c r="M41" s="251" t="str">
        <f>IF('Project Description'!$C$96="20 Years",-'Travel Forecasts'!N31,"---")</f>
        <v>---</v>
      </c>
      <c r="N41" s="257">
        <v>1.026E-2</v>
      </c>
      <c r="O41" s="253" t="str">
        <f>IF('Project Description'!$C$96="20 Years",M41*N41,"---")</f>
        <v>---</v>
      </c>
      <c r="P41" s="258" t="str">
        <f t="shared" ref="P41:P50" si="5">IF($H$8="Attainment",0.08,IF($H$8="Maintenance",0.1,IF($H$8="Nonattainment",0.12,"-")))</f>
        <v>-</v>
      </c>
      <c r="Q41" s="255" t="str">
        <f>IF($H$8="(Select…)","-",IF('Project Description'!$C$96="20 Years",O41*P41,"---"))</f>
        <v>-</v>
      </c>
    </row>
    <row r="42" spans="1:18" s="8" customFormat="1" ht="18" customHeight="1">
      <c r="A42" s="259">
        <f>A41+1</f>
        <v>10</v>
      </c>
      <c r="B42" s="260" t="s">
        <v>178</v>
      </c>
      <c r="C42" s="261">
        <f>-'Travel Forecasts'!M32</f>
        <v>0</v>
      </c>
      <c r="D42" s="262">
        <v>5.8300000000000001E-3</v>
      </c>
      <c r="E42" s="263">
        <f t="shared" ref="E42:E50" si="6">C42*D42</f>
        <v>0</v>
      </c>
      <c r="F42" s="264" t="str">
        <f t="shared" si="2"/>
        <v>-</v>
      </c>
      <c r="G42" s="265" t="str">
        <f t="shared" si="3"/>
        <v>-</v>
      </c>
      <c r="H42" s="266" t="str">
        <f>IF('Project Description'!$C$96="10 Years",-'Travel Forecasts'!N32,"---")</f>
        <v>---</v>
      </c>
      <c r="I42" s="267">
        <v>3.2599999999999999E-3</v>
      </c>
      <c r="J42" s="263" t="str">
        <f>IF('Project Description'!$C$96="10 Years",H42*I42,"---")</f>
        <v>---</v>
      </c>
      <c r="K42" s="264" t="str">
        <f t="shared" si="4"/>
        <v>-</v>
      </c>
      <c r="L42" s="265" t="str">
        <f>IF($H$8="(Select…)","-",IF('Project Description'!$C$96="10 Years",J42*K42,"---"))</f>
        <v>-</v>
      </c>
      <c r="M42" s="261" t="str">
        <f>IF('Project Description'!$C$96="20 Years",-'Travel Forecasts'!N32,"---")</f>
        <v>---</v>
      </c>
      <c r="N42" s="267">
        <v>2.8900000000000002E-3</v>
      </c>
      <c r="O42" s="263" t="str">
        <f>IF('Project Description'!$C$96="20 Years",M42*N42,"---")</f>
        <v>---</v>
      </c>
      <c r="P42" s="268" t="str">
        <f t="shared" si="5"/>
        <v>-</v>
      </c>
      <c r="Q42" s="269" t="str">
        <f>IF($H$8="(Select…)","-",IF('Project Description'!$C$96="20 Years",O42*P42,"---"))</f>
        <v>-</v>
      </c>
    </row>
    <row r="43" spans="1:18" s="8" customFormat="1" ht="18" customHeight="1">
      <c r="A43" s="259">
        <f t="shared" ref="A43:A51" si="7">A42+1</f>
        <v>11</v>
      </c>
      <c r="B43" s="260" t="s">
        <v>179</v>
      </c>
      <c r="C43" s="261">
        <f>-'Travel Forecasts'!M33</f>
        <v>0</v>
      </c>
      <c r="D43" s="262">
        <v>5.8300000000000001E-3</v>
      </c>
      <c r="E43" s="263">
        <f t="shared" si="6"/>
        <v>0</v>
      </c>
      <c r="F43" s="264" t="str">
        <f t="shared" si="2"/>
        <v>-</v>
      </c>
      <c r="G43" s="265" t="str">
        <f t="shared" si="3"/>
        <v>-</v>
      </c>
      <c r="H43" s="266" t="str">
        <f>IF('Project Description'!$C$96="10 Years",-'Travel Forecasts'!N33,"---")</f>
        <v>---</v>
      </c>
      <c r="I43" s="267">
        <v>3.2599999999999999E-3</v>
      </c>
      <c r="J43" s="263" t="str">
        <f>IF('Project Description'!$C$96="10 Years",H43*I43,"---")</f>
        <v>---</v>
      </c>
      <c r="K43" s="264" t="str">
        <f t="shared" si="4"/>
        <v>-</v>
      </c>
      <c r="L43" s="265" t="str">
        <f>IF($H$8="(Select…)","-",IF('Project Description'!$C$96="10 Years",J43*K43,"---"))</f>
        <v>-</v>
      </c>
      <c r="M43" s="261" t="str">
        <f>IF('Project Description'!$C$96="20 Years",-'Travel Forecasts'!N33,"---")</f>
        <v>---</v>
      </c>
      <c r="N43" s="267">
        <v>2.8900000000000002E-3</v>
      </c>
      <c r="O43" s="263" t="str">
        <f>IF('Project Description'!$C$96="20 Years",M43*N43,"---")</f>
        <v>---</v>
      </c>
      <c r="P43" s="268" t="str">
        <f t="shared" si="5"/>
        <v>-</v>
      </c>
      <c r="Q43" s="269" t="str">
        <f>IF($H$8="(Select…)","-",IF('Project Description'!$C$96="20 Years",O43*P43,"---"))</f>
        <v>-</v>
      </c>
    </row>
    <row r="44" spans="1:18" s="8" customFormat="1" ht="18" customHeight="1">
      <c r="A44" s="259">
        <f t="shared" si="7"/>
        <v>12</v>
      </c>
      <c r="B44" s="260" t="s">
        <v>180</v>
      </c>
      <c r="C44" s="261">
        <f>-'Travel Forecasts'!M34</f>
        <v>0</v>
      </c>
      <c r="D44" s="262">
        <v>3.9619999999999995E-2</v>
      </c>
      <c r="E44" s="263">
        <f t="shared" si="6"/>
        <v>0</v>
      </c>
      <c r="F44" s="264" t="str">
        <f t="shared" si="2"/>
        <v>-</v>
      </c>
      <c r="G44" s="265" t="str">
        <f t="shared" si="3"/>
        <v>-</v>
      </c>
      <c r="H44" s="266" t="str">
        <f>IF('Project Description'!$C$96="10 Years",-'Travel Forecasts'!N34,"---")</f>
        <v>---</v>
      </c>
      <c r="I44" s="267">
        <v>2.0300000000000002E-2</v>
      </c>
      <c r="J44" s="263" t="str">
        <f>IF('Project Description'!$C$96="10 Years",H44*I44,"---")</f>
        <v>---</v>
      </c>
      <c r="K44" s="264" t="str">
        <f t="shared" si="4"/>
        <v>-</v>
      </c>
      <c r="L44" s="265" t="str">
        <f>IF($H$8="(Select…)","-",IF('Project Description'!$C$96="10 Years",J44*K44,"---"))</f>
        <v>-</v>
      </c>
      <c r="M44" s="261" t="str">
        <f>IF('Project Description'!$C$96="20 Years",-'Travel Forecasts'!N34,"---")</f>
        <v>---</v>
      </c>
      <c r="N44" s="267">
        <v>1.7160000000000002E-2</v>
      </c>
      <c r="O44" s="263" t="str">
        <f>IF('Project Description'!$C$96="20 Years",M44*N44,"---")</f>
        <v>---</v>
      </c>
      <c r="P44" s="268" t="str">
        <f t="shared" si="5"/>
        <v>-</v>
      </c>
      <c r="Q44" s="269" t="str">
        <f>IF($H$8="(Select…)","-",IF('Project Description'!$C$96="20 Years",O44*P44,"---"))</f>
        <v>-</v>
      </c>
    </row>
    <row r="45" spans="1:18" s="8" customFormat="1" ht="18" customHeight="1">
      <c r="A45" s="259">
        <f t="shared" si="7"/>
        <v>13</v>
      </c>
      <c r="B45" s="260" t="s">
        <v>181</v>
      </c>
      <c r="C45" s="261">
        <f>-'Travel Forecasts'!M35</f>
        <v>0</v>
      </c>
      <c r="D45" s="262">
        <v>6.45E-3</v>
      </c>
      <c r="E45" s="263">
        <f t="shared" si="6"/>
        <v>0</v>
      </c>
      <c r="F45" s="264" t="str">
        <f t="shared" si="2"/>
        <v>-</v>
      </c>
      <c r="G45" s="265" t="str">
        <f t="shared" si="3"/>
        <v>-</v>
      </c>
      <c r="H45" s="266" t="str">
        <f>IF('Project Description'!$C$96="10 Years",-'Travel Forecasts'!N35,"---")</f>
        <v>---</v>
      </c>
      <c r="I45" s="267">
        <v>5.3899999999999998E-3</v>
      </c>
      <c r="J45" s="263" t="str">
        <f>IF('Project Description'!$C$96="10 Years",H45*I45,"---")</f>
        <v>---</v>
      </c>
      <c r="K45" s="264" t="str">
        <f t="shared" si="4"/>
        <v>-</v>
      </c>
      <c r="L45" s="265" t="str">
        <f>IF($H$8="(Select…)","-",IF('Project Description'!$C$96="10 Years",J45*K45,"---"))</f>
        <v>-</v>
      </c>
      <c r="M45" s="261" t="str">
        <f>IF('Project Description'!$C$96="20 Years",-'Travel Forecasts'!N35,"---")</f>
        <v>---</v>
      </c>
      <c r="N45" s="267">
        <v>5.0400000000000002E-3</v>
      </c>
      <c r="O45" s="263" t="str">
        <f>IF('Project Description'!$C$96="20 Years",M45*N45,"---")</f>
        <v>---</v>
      </c>
      <c r="P45" s="268" t="str">
        <f t="shared" si="5"/>
        <v>-</v>
      </c>
      <c r="Q45" s="269" t="str">
        <f>IF($H$8="(Select…)","-",IF('Project Description'!$C$96="20 Years",O45*P45,"---"))</f>
        <v>-</v>
      </c>
    </row>
    <row r="46" spans="1:18" s="8" customFormat="1" ht="18" customHeight="1">
      <c r="A46" s="259">
        <f t="shared" si="7"/>
        <v>14</v>
      </c>
      <c r="B46" s="260" t="s">
        <v>155</v>
      </c>
      <c r="C46" s="261">
        <f>-'Travel Forecasts'!M36</f>
        <v>0</v>
      </c>
      <c r="D46" s="262">
        <v>7.0599999999999994E-3</v>
      </c>
      <c r="E46" s="263">
        <f t="shared" si="6"/>
        <v>0</v>
      </c>
      <c r="F46" s="264" t="str">
        <f t="shared" si="2"/>
        <v>-</v>
      </c>
      <c r="G46" s="265" t="str">
        <f t="shared" si="3"/>
        <v>-</v>
      </c>
      <c r="H46" s="266" t="str">
        <f>IF('Project Description'!$C$96="10 Years",-'Travel Forecasts'!N36,"---")</f>
        <v>---</v>
      </c>
      <c r="I46" s="267">
        <v>6.8499999999999993E-3</v>
      </c>
      <c r="J46" s="263" t="str">
        <f>IF('Project Description'!$C$96="10 Years",H46*I46,"---")</f>
        <v>---</v>
      </c>
      <c r="K46" s="264" t="str">
        <f t="shared" si="4"/>
        <v>-</v>
      </c>
      <c r="L46" s="265" t="str">
        <f>IF($H$8="(Select…)","-",IF('Project Description'!$C$96="10 Years",J46*K46,"---"))</f>
        <v>-</v>
      </c>
      <c r="M46" s="261" t="str">
        <f>IF('Project Description'!$C$96="20 Years",-'Travel Forecasts'!N36,"---")</f>
        <v>---</v>
      </c>
      <c r="N46" s="267">
        <v>6.7300000000000007E-3</v>
      </c>
      <c r="O46" s="263" t="str">
        <f>IF('Project Description'!$C$96="20 Years",M46*N46,"---")</f>
        <v>---</v>
      </c>
      <c r="P46" s="268" t="str">
        <f t="shared" si="5"/>
        <v>-</v>
      </c>
      <c r="Q46" s="269" t="str">
        <f>IF($H$8="(Select…)","-",IF('Project Description'!$C$96="20 Years",O46*P46,"---"))</f>
        <v>-</v>
      </c>
    </row>
    <row r="47" spans="1:18" s="8" customFormat="1" ht="18" customHeight="1">
      <c r="A47" s="259">
        <f t="shared" si="7"/>
        <v>15</v>
      </c>
      <c r="B47" s="260" t="s">
        <v>156</v>
      </c>
      <c r="C47" s="261">
        <f>-'Travel Forecasts'!M37</f>
        <v>0</v>
      </c>
      <c r="D47" s="262">
        <v>1.051E-2</v>
      </c>
      <c r="E47" s="263">
        <f t="shared" si="6"/>
        <v>0</v>
      </c>
      <c r="F47" s="264" t="str">
        <f t="shared" si="2"/>
        <v>-</v>
      </c>
      <c r="G47" s="265" t="str">
        <f t="shared" si="3"/>
        <v>-</v>
      </c>
      <c r="H47" s="266" t="str">
        <f>IF('Project Description'!$C$96="10 Years",-'Travel Forecasts'!N37,"---")</f>
        <v>---</v>
      </c>
      <c r="I47" s="267">
        <v>1.0199999999999999E-2</v>
      </c>
      <c r="J47" s="263" t="str">
        <f>IF('Project Description'!$C$96="10 Years",H47*I47,"---")</f>
        <v>---</v>
      </c>
      <c r="K47" s="264" t="str">
        <f t="shared" si="4"/>
        <v>-</v>
      </c>
      <c r="L47" s="265" t="str">
        <f>IF($H$8="(Select…)","-",IF('Project Description'!$C$96="10 Years",J47*K47,"---"))</f>
        <v>-</v>
      </c>
      <c r="M47" s="261" t="str">
        <f>IF('Project Description'!$C$96="20 Years",-'Travel Forecasts'!N37,"---")</f>
        <v>---</v>
      </c>
      <c r="N47" s="267">
        <v>1.001E-2</v>
      </c>
      <c r="O47" s="263" t="str">
        <f>IF('Project Description'!$C$96="20 Years",M47*N47,"---")</f>
        <v>---</v>
      </c>
      <c r="P47" s="268" t="str">
        <f t="shared" si="5"/>
        <v>-</v>
      </c>
      <c r="Q47" s="269" t="str">
        <f>IF($H$8="(Select…)","-",IF('Project Description'!$C$96="20 Years",O47*P47,"---"))</f>
        <v>-</v>
      </c>
    </row>
    <row r="48" spans="1:18" s="8" customFormat="1" ht="25.5">
      <c r="A48" s="259">
        <f t="shared" si="7"/>
        <v>16</v>
      </c>
      <c r="B48" s="260" t="s">
        <v>157</v>
      </c>
      <c r="C48" s="261">
        <f>-'Travel Forecasts'!M38</f>
        <v>0</v>
      </c>
      <c r="D48" s="262">
        <v>1.6800000000000002E-2</v>
      </c>
      <c r="E48" s="263">
        <f t="shared" si="6"/>
        <v>0</v>
      </c>
      <c r="F48" s="264" t="str">
        <f t="shared" si="2"/>
        <v>-</v>
      </c>
      <c r="G48" s="265" t="str">
        <f t="shared" si="3"/>
        <v>-</v>
      </c>
      <c r="H48" s="266" t="str">
        <f>IF('Project Description'!$C$96="10 Years",-'Travel Forecasts'!N38,"---")</f>
        <v>---</v>
      </c>
      <c r="I48" s="267">
        <v>1.6800000000000002E-2</v>
      </c>
      <c r="J48" s="263" t="str">
        <f>IF('Project Description'!$C$96="10 Years",H48*I48,"---")</f>
        <v>---</v>
      </c>
      <c r="K48" s="264" t="str">
        <f t="shared" si="4"/>
        <v>-</v>
      </c>
      <c r="L48" s="265" t="str">
        <f>IF($H$8="(Select…)","-",IF('Project Description'!$C$96="10 Years",J48*K48,"---"))</f>
        <v>-</v>
      </c>
      <c r="M48" s="261" t="str">
        <f>IF('Project Description'!$C$96="20 Years",-'Travel Forecasts'!N38,"---")</f>
        <v>---</v>
      </c>
      <c r="N48" s="267">
        <v>1.6800000000000002E-2</v>
      </c>
      <c r="O48" s="263" t="str">
        <f>IF('Project Description'!$C$96="20 Years",M48*N48,"---")</f>
        <v>---</v>
      </c>
      <c r="P48" s="268" t="str">
        <f t="shared" si="5"/>
        <v>-</v>
      </c>
      <c r="Q48" s="269" t="str">
        <f>IF($H$8="(Select…)","-",IF('Project Description'!$C$96="20 Years",O48*P48,"---"))</f>
        <v>-</v>
      </c>
    </row>
    <row r="49" spans="1:18" s="8" customFormat="1" ht="25.5">
      <c r="A49" s="259">
        <f t="shared" si="7"/>
        <v>17</v>
      </c>
      <c r="B49" s="260" t="s">
        <v>160</v>
      </c>
      <c r="C49" s="261">
        <f>-'Travel Forecasts'!M39</f>
        <v>0</v>
      </c>
      <c r="D49" s="262">
        <v>1.6800000000000002E-2</v>
      </c>
      <c r="E49" s="263">
        <f t="shared" si="6"/>
        <v>0</v>
      </c>
      <c r="F49" s="264" t="str">
        <f t="shared" si="2"/>
        <v>-</v>
      </c>
      <c r="G49" s="265" t="str">
        <f t="shared" si="3"/>
        <v>-</v>
      </c>
      <c r="H49" s="266" t="str">
        <f>IF('Project Description'!$C$96="10 Years",-'Travel Forecasts'!N39,"---")</f>
        <v>---</v>
      </c>
      <c r="I49" s="267">
        <v>1.6800000000000002E-2</v>
      </c>
      <c r="J49" s="263" t="str">
        <f>IF('Project Description'!$C$96="10 Years",H49*I49,"---")</f>
        <v>---</v>
      </c>
      <c r="K49" s="264" t="str">
        <f t="shared" si="4"/>
        <v>-</v>
      </c>
      <c r="L49" s="265" t="str">
        <f>IF($H$8="(Select…)","-",IF('Project Description'!$C$96="10 Years",J49*K49,"---"))</f>
        <v>-</v>
      </c>
      <c r="M49" s="261" t="str">
        <f>IF('Project Description'!$C$96="20 Years",-'Travel Forecasts'!N39,"---")</f>
        <v>---</v>
      </c>
      <c r="N49" s="267">
        <v>1.6800000000000002E-2</v>
      </c>
      <c r="O49" s="263" t="str">
        <f>IF('Project Description'!$C$96="20 Years",M49*N49,"---")</f>
        <v>---</v>
      </c>
      <c r="P49" s="268" t="str">
        <f t="shared" si="5"/>
        <v>-</v>
      </c>
      <c r="Q49" s="269" t="str">
        <f>IF($H$8="(Select…)","-",IF('Project Description'!$C$96="20 Years",O49*P49,"---"))</f>
        <v>-</v>
      </c>
    </row>
    <row r="50" spans="1:18" s="8" customFormat="1" ht="18" customHeight="1">
      <c r="A50" s="270">
        <f t="shared" si="7"/>
        <v>18</v>
      </c>
      <c r="B50" s="271" t="s">
        <v>158</v>
      </c>
      <c r="C50" s="272">
        <f>-'Travel Forecasts'!M40</f>
        <v>0</v>
      </c>
      <c r="D50" s="273">
        <v>1.281E-2</v>
      </c>
      <c r="E50" s="274">
        <f t="shared" si="6"/>
        <v>0</v>
      </c>
      <c r="F50" s="275" t="str">
        <f t="shared" si="2"/>
        <v>-</v>
      </c>
      <c r="G50" s="276" t="str">
        <f t="shared" si="3"/>
        <v>-</v>
      </c>
      <c r="H50" s="277" t="str">
        <f>IF('Project Description'!$C$96="10 Years",-'Travel Forecasts'!N40,"---")</f>
        <v>---</v>
      </c>
      <c r="I50" s="278">
        <v>1.243E-2</v>
      </c>
      <c r="J50" s="274" t="str">
        <f>IF('Project Description'!$C$96="10 Years",H50*I50,"---")</f>
        <v>---</v>
      </c>
      <c r="K50" s="275" t="str">
        <f t="shared" si="4"/>
        <v>-</v>
      </c>
      <c r="L50" s="276" t="str">
        <f>IF($H$8="(Select…)","-",IF('Project Description'!$C$96="10 Years",J50*K50,"---"))</f>
        <v>-</v>
      </c>
      <c r="M50" s="272" t="str">
        <f>IF('Project Description'!$C$96="20 Years",-'Travel Forecasts'!N40,"---")</f>
        <v>---</v>
      </c>
      <c r="N50" s="278">
        <v>1.2189999999999999E-2</v>
      </c>
      <c r="O50" s="274" t="str">
        <f>IF('Project Description'!$C$96="20 Years",M50*N50,"---")</f>
        <v>---</v>
      </c>
      <c r="P50" s="279" t="str">
        <f t="shared" si="5"/>
        <v>-</v>
      </c>
      <c r="Q50" s="280" t="str">
        <f>IF($H$8="(Select…)","-",IF('Project Description'!$C$96="20 Years",O50*P50,"---"))</f>
        <v>-</v>
      </c>
    </row>
    <row r="51" spans="1:18" ht="16.5" thickBot="1">
      <c r="A51" s="281">
        <f t="shared" si="7"/>
        <v>19</v>
      </c>
      <c r="B51" s="282" t="s">
        <v>175</v>
      </c>
      <c r="C51" s="283">
        <f>SUM(C41:C50)</f>
        <v>0</v>
      </c>
      <c r="D51" s="284" t="s">
        <v>133</v>
      </c>
      <c r="E51" s="285">
        <f>SUM(E41:E50)</f>
        <v>0</v>
      </c>
      <c r="F51" s="286" t="s">
        <v>133</v>
      </c>
      <c r="G51" s="287">
        <f>SUM(G41:G50)</f>
        <v>0</v>
      </c>
      <c r="H51" s="288" t="str">
        <f>IF('Project Description'!$C$96="10 Years",SUM(H41:H50),"---")</f>
        <v>---</v>
      </c>
      <c r="I51" s="289" t="s">
        <v>133</v>
      </c>
      <c r="J51" s="285" t="str">
        <f>IF('Project Description'!$C$96="10 Years",SUM(J41:J50),"---")</f>
        <v>---</v>
      </c>
      <c r="K51" s="290" t="s">
        <v>133</v>
      </c>
      <c r="L51" s="287" t="str">
        <f>IF('Project Description'!$C$96="10 Years",SUM(L41:L50),"---")</f>
        <v>---</v>
      </c>
      <c r="M51" s="283" t="str">
        <f>IF('Project Description'!$C$96="20 Years",SUM(M41:M50),"---")</f>
        <v>---</v>
      </c>
      <c r="N51" s="289" t="s">
        <v>133</v>
      </c>
      <c r="O51" s="285" t="str">
        <f>IF('Project Description'!$C$96="20 Years",SUM(O41:O50),"---")</f>
        <v>---</v>
      </c>
      <c r="P51" s="290" t="s">
        <v>133</v>
      </c>
      <c r="Q51" s="287" t="str">
        <f>IF('Project Description'!$C$96="20 Years",SUM(Q41:Q50),"---")</f>
        <v>---</v>
      </c>
    </row>
    <row r="52" spans="1:18" s="389" customFormat="1" ht="12.75">
      <c r="A52" s="386"/>
      <c r="B52" s="386"/>
      <c r="C52" s="387"/>
      <c r="D52" s="387"/>
      <c r="E52" s="388"/>
      <c r="F52" s="388"/>
      <c r="G52" s="388"/>
      <c r="H52" s="388"/>
      <c r="I52" s="386"/>
      <c r="J52" s="386"/>
      <c r="K52" s="386"/>
      <c r="L52" s="386"/>
      <c r="M52" s="386"/>
      <c r="N52" s="386"/>
      <c r="O52" s="386"/>
      <c r="P52" s="386"/>
      <c r="Q52" s="386"/>
    </row>
    <row r="53" spans="1:18" s="3" customFormat="1" ht="15.75" thickBot="1">
      <c r="A53" s="199"/>
      <c r="B53" s="199"/>
      <c r="C53" s="384"/>
      <c r="D53" s="384"/>
      <c r="E53" s="385"/>
      <c r="F53" s="385"/>
      <c r="G53" s="385"/>
      <c r="H53" s="385"/>
      <c r="I53" s="199"/>
      <c r="J53" s="199"/>
      <c r="K53" s="199"/>
      <c r="L53" s="199"/>
      <c r="M53" s="199"/>
      <c r="N53" s="199"/>
      <c r="O53" s="199"/>
      <c r="P53" s="199"/>
      <c r="Q53" s="199"/>
    </row>
    <row r="54" spans="1:18" ht="19.5" thickBot="1">
      <c r="A54" s="890" t="s">
        <v>290</v>
      </c>
      <c r="B54" s="891"/>
      <c r="C54" s="891"/>
      <c r="D54" s="891"/>
      <c r="E54" s="891"/>
      <c r="F54" s="891"/>
      <c r="G54" s="891"/>
      <c r="H54" s="891"/>
      <c r="I54" s="891"/>
      <c r="J54" s="891"/>
      <c r="K54" s="891"/>
      <c r="L54" s="891"/>
      <c r="M54" s="891"/>
      <c r="N54" s="891"/>
      <c r="O54" s="891"/>
      <c r="P54" s="891"/>
      <c r="Q54" s="892"/>
      <c r="R54" s="40"/>
    </row>
    <row r="55" spans="1:18" s="8" customFormat="1" ht="15.75">
      <c r="A55" s="875" t="s">
        <v>1</v>
      </c>
      <c r="B55" s="877" t="s">
        <v>159</v>
      </c>
      <c r="C55" s="879" t="s">
        <v>153</v>
      </c>
      <c r="D55" s="880"/>
      <c r="E55" s="880"/>
      <c r="F55" s="880"/>
      <c r="G55" s="881"/>
      <c r="H55" s="880" t="s">
        <v>239</v>
      </c>
      <c r="I55" s="880"/>
      <c r="J55" s="880"/>
      <c r="K55" s="880"/>
      <c r="L55" s="880"/>
      <c r="M55" s="879" t="s">
        <v>240</v>
      </c>
      <c r="N55" s="880"/>
      <c r="O55" s="880"/>
      <c r="P55" s="880"/>
      <c r="Q55" s="881"/>
    </row>
    <row r="56" spans="1:18" s="8" customFormat="1" ht="60" customHeight="1">
      <c r="A56" s="876"/>
      <c r="B56" s="878"/>
      <c r="C56" s="244" t="s">
        <v>242</v>
      </c>
      <c r="D56" s="245" t="s">
        <v>241</v>
      </c>
      <c r="E56" s="245" t="s">
        <v>258</v>
      </c>
      <c r="F56" s="246" t="s">
        <v>283</v>
      </c>
      <c r="G56" s="247" t="s">
        <v>284</v>
      </c>
      <c r="H56" s="248" t="s">
        <v>242</v>
      </c>
      <c r="I56" s="245" t="s">
        <v>241</v>
      </c>
      <c r="J56" s="245" t="s">
        <v>258</v>
      </c>
      <c r="K56" s="246" t="s">
        <v>283</v>
      </c>
      <c r="L56" s="247" t="s">
        <v>284</v>
      </c>
      <c r="M56" s="244" t="s">
        <v>242</v>
      </c>
      <c r="N56" s="245" t="s">
        <v>241</v>
      </c>
      <c r="O56" s="245" t="s">
        <v>258</v>
      </c>
      <c r="P56" s="246" t="s">
        <v>283</v>
      </c>
      <c r="Q56" s="247" t="s">
        <v>284</v>
      </c>
    </row>
    <row r="57" spans="1:18" s="8" customFormat="1" ht="18" customHeight="1">
      <c r="A57" s="249">
        <f>A51+1</f>
        <v>20</v>
      </c>
      <c r="B57" s="250" t="s">
        <v>154</v>
      </c>
      <c r="C57" s="251">
        <f>IF('Project Description'!$C$92="Yes",H25,-'Travel Forecasts'!M31)</f>
        <v>0</v>
      </c>
      <c r="D57" s="291">
        <v>9.1E-4</v>
      </c>
      <c r="E57" s="253">
        <f>C57*D57</f>
        <v>0</v>
      </c>
      <c r="F57" s="254" t="str">
        <f>IF($H$9="Attainment",12.96,IF($H$9="Maintenance",16.2,IF($H$9="Nonattainment",19.44,"-")))</f>
        <v>-</v>
      </c>
      <c r="G57" s="255" t="str">
        <f>IF($H$9="(Select…)","-",E57*F57)</f>
        <v>-</v>
      </c>
      <c r="H57" s="256" t="str">
        <f>IF('Project Description'!$C$96="10 Years",-'Travel Forecasts'!N31,"---")</f>
        <v>---</v>
      </c>
      <c r="I57" s="291">
        <v>2.8000000000000003E-4</v>
      </c>
      <c r="J57" s="253" t="str">
        <f>IF('Project Description'!$C$96="10 Years",H57*I57,"---")</f>
        <v>---</v>
      </c>
      <c r="K57" s="254" t="str">
        <f>IF($H$9="Attainment",15.66,IF($H$9="Maintenance",19.58,IF($H$9="Nonattainment",23.49,"-")))</f>
        <v>-</v>
      </c>
      <c r="L57" s="255" t="str">
        <f>IF($H$9="(Select…)","-",IF('Project Description'!$C$96="10 Years",J57*K57,"---"))</f>
        <v>-</v>
      </c>
      <c r="M57" s="251" t="str">
        <f>IF('Project Description'!$C$96="20 Years",-'Travel Forecasts'!N31,"---")</f>
        <v>---</v>
      </c>
      <c r="N57" s="291">
        <v>2.0000000000000001E-4</v>
      </c>
      <c r="O57" s="253" t="str">
        <f>IF('Project Description'!$C$96="20 Years",M57*N57,"---")</f>
        <v>---</v>
      </c>
      <c r="P57" s="254" t="str">
        <f>IF($H$9="Attainment",16.2,IF($H$9="Maintenance",20.25,IF($H$9="Nonattainment",24.3,"-")))</f>
        <v>-</v>
      </c>
      <c r="Q57" s="255" t="str">
        <f>IF($H$9="(Select…)","-",IF('Project Description'!$C$96="20 Years",O57*P57,"---"))</f>
        <v>-</v>
      </c>
    </row>
    <row r="58" spans="1:18" s="8" customFormat="1" ht="18" customHeight="1">
      <c r="A58" s="259">
        <f>A57+1</f>
        <v>21</v>
      </c>
      <c r="B58" s="260" t="s">
        <v>178</v>
      </c>
      <c r="C58" s="261">
        <f>-'Travel Forecasts'!M32</f>
        <v>0</v>
      </c>
      <c r="D58" s="292">
        <v>8.6700000000000006E-3</v>
      </c>
      <c r="E58" s="263">
        <f t="shared" ref="E58:E66" si="8">C58*D58</f>
        <v>0</v>
      </c>
      <c r="F58" s="264" t="str">
        <f>IF($H$9="Attainment",12.96,IF($H$9="Maintenance",16.2,IF($H$9="Nonattainment",19.44,"-")))</f>
        <v>-</v>
      </c>
      <c r="G58" s="265" t="str">
        <f t="shared" ref="G58:G66" si="9">IF($H$9="(Select…)","-",E58*F58)</f>
        <v>-</v>
      </c>
      <c r="H58" s="266" t="str">
        <f>IF('Project Description'!$C$96="10 Years",-'Travel Forecasts'!N32,"---")</f>
        <v>---</v>
      </c>
      <c r="I58" s="292">
        <v>2.0800000000000003E-3</v>
      </c>
      <c r="J58" s="263" t="str">
        <f>IF('Project Description'!$C$96="10 Years",H58*I58,"---")</f>
        <v>---</v>
      </c>
      <c r="K58" s="264" t="str">
        <f>IF($H$9="Attainment",15.66,IF($H$9="Maintenance",19.58,IF($H$9="Nonattainment",23.49,"-")))</f>
        <v>-</v>
      </c>
      <c r="L58" s="265" t="str">
        <f>IF($H$9="(Select…)","-",IF('Project Description'!$C$96="10 Years",J58*K58,"---"))</f>
        <v>-</v>
      </c>
      <c r="M58" s="261" t="str">
        <f>IF('Project Description'!$C$96="20 Years",-'Travel Forecasts'!N32,"---")</f>
        <v>---</v>
      </c>
      <c r="N58" s="292">
        <v>1.14E-3</v>
      </c>
      <c r="O58" s="263" t="str">
        <f>IF('Project Description'!$C$96="20 Years",M58*N58,"---")</f>
        <v>---</v>
      </c>
      <c r="P58" s="268" t="str">
        <f>IF($H$9="Attainment",16.2,IF($H$9="Maintenance",20.25,IF($H$9="Nonattainment",24.3,"-")))</f>
        <v>-</v>
      </c>
      <c r="Q58" s="269" t="str">
        <f>IF($H$9="(Select…)","-",IF('Project Description'!$C$96="20 Years",O58*P58,"---"))</f>
        <v>-</v>
      </c>
    </row>
    <row r="59" spans="1:18" s="8" customFormat="1" ht="18" customHeight="1">
      <c r="A59" s="259">
        <f t="shared" ref="A59:A67" si="10">A58+1</f>
        <v>22</v>
      </c>
      <c r="B59" s="260" t="s">
        <v>179</v>
      </c>
      <c r="C59" s="261">
        <f>-'Travel Forecasts'!M33</f>
        <v>0</v>
      </c>
      <c r="D59" s="292">
        <v>8.6700000000000006E-3</v>
      </c>
      <c r="E59" s="263">
        <f t="shared" si="8"/>
        <v>0</v>
      </c>
      <c r="F59" s="264" t="str">
        <f>IF($H$9="Attainment",12.96,IF($H$9="Maintenance",16.2,IF($H$9="Nonattainment",19.44,"-")))</f>
        <v>-</v>
      </c>
      <c r="G59" s="265" t="str">
        <f t="shared" si="9"/>
        <v>-</v>
      </c>
      <c r="H59" s="266" t="str">
        <f>IF('Project Description'!$C$96="10 Years",-'Travel Forecasts'!N33,"---")</f>
        <v>---</v>
      </c>
      <c r="I59" s="292">
        <v>2.0800000000000003E-3</v>
      </c>
      <c r="J59" s="263" t="str">
        <f>IF('Project Description'!$C$96="10 Years",H59*I59,"---")</f>
        <v>---</v>
      </c>
      <c r="K59" s="264" t="str">
        <f>IF($H$9="Attainment",15.66,IF($H$9="Maintenance",19.58,IF($H$9="Nonattainment",23.49,"-")))</f>
        <v>-</v>
      </c>
      <c r="L59" s="265" t="str">
        <f>IF($H$9="(Select…)","-",IF('Project Description'!$C$96="10 Years",J59*K59,"---"))</f>
        <v>-</v>
      </c>
      <c r="M59" s="261" t="str">
        <f>IF('Project Description'!$C$96="20 Years",-'Travel Forecasts'!N33,"---")</f>
        <v>---</v>
      </c>
      <c r="N59" s="292">
        <v>1.14E-3</v>
      </c>
      <c r="O59" s="263" t="str">
        <f>IF('Project Description'!$C$96="20 Years",M59*N59,"---")</f>
        <v>---</v>
      </c>
      <c r="P59" s="268" t="str">
        <f>IF($H$9="Attainment",16.2,IF($H$9="Maintenance",20.25,IF($H$9="Nonattainment",24.3,"-")))</f>
        <v>-</v>
      </c>
      <c r="Q59" s="269" t="str">
        <f>IF($H$9="(Select…)","-",IF('Project Description'!$C$96="20 Years",O59*P59,"---"))</f>
        <v>-</v>
      </c>
    </row>
    <row r="60" spans="1:18" s="8" customFormat="1" ht="18" customHeight="1">
      <c r="A60" s="259">
        <f t="shared" si="10"/>
        <v>23</v>
      </c>
      <c r="B60" s="260" t="s">
        <v>180</v>
      </c>
      <c r="C60" s="261">
        <f>-'Travel Forecasts'!M34</f>
        <v>0</v>
      </c>
      <c r="D60" s="292">
        <v>3.8399999999999997E-3</v>
      </c>
      <c r="E60" s="263">
        <f t="shared" si="8"/>
        <v>0</v>
      </c>
      <c r="F60" s="264" t="str">
        <f>IF($H$9="Attainment",12.96,IF($H$9="Maintenance",16.2,IF($H$9="Nonattainment",19.44,"-")))</f>
        <v>-</v>
      </c>
      <c r="G60" s="265" t="str">
        <f t="shared" si="9"/>
        <v>-</v>
      </c>
      <c r="H60" s="266" t="str">
        <f>IF('Project Description'!$C$96="10 Years",-'Travel Forecasts'!N34,"---")</f>
        <v>---</v>
      </c>
      <c r="I60" s="292">
        <v>3.4100000000000003E-3</v>
      </c>
      <c r="J60" s="263" t="str">
        <f>IF('Project Description'!$C$96="10 Years",H60*I60,"---")</f>
        <v>---</v>
      </c>
      <c r="K60" s="264" t="str">
        <f>IF($H$9="Attainment",15.66,IF($H$9="Maintenance",19.58,IF($H$9="Nonattainment",23.49,"-")))</f>
        <v>-</v>
      </c>
      <c r="L60" s="265" t="str">
        <f>IF($H$9="(Select…)","-",IF('Project Description'!$C$96="10 Years",J60*K60,"---"))</f>
        <v>-</v>
      </c>
      <c r="M60" s="261" t="str">
        <f>IF('Project Description'!$C$96="20 Years",-'Travel Forecasts'!N34,"---")</f>
        <v>---</v>
      </c>
      <c r="N60" s="292">
        <v>3.3500000000000001E-3</v>
      </c>
      <c r="O60" s="263" t="str">
        <f>IF('Project Description'!$C$96="20 Years",M60*N60,"---")</f>
        <v>---</v>
      </c>
      <c r="P60" s="268" t="str">
        <f>IF($H$9="Attainment",16.2,IF($H$9="Maintenance",20.25,IF($H$9="Nonattainment",24.3,"-")))</f>
        <v>-</v>
      </c>
      <c r="Q60" s="269" t="str">
        <f>IF($H$9="(Select…)","-",IF('Project Description'!$C$96="20 Years",O60*P60,"---"))</f>
        <v>-</v>
      </c>
    </row>
    <row r="61" spans="1:18" s="8" customFormat="1" ht="18" customHeight="1">
      <c r="A61" s="259">
        <f t="shared" si="10"/>
        <v>24</v>
      </c>
      <c r="B61" s="260" t="s">
        <v>181</v>
      </c>
      <c r="C61" s="261">
        <f>-'Travel Forecasts'!M35</f>
        <v>0</v>
      </c>
      <c r="D61" s="292">
        <v>5.8300000000000001E-3</v>
      </c>
      <c r="E61" s="263">
        <f t="shared" si="8"/>
        <v>0</v>
      </c>
      <c r="F61" s="264" t="str">
        <f>IF($H$9="Attainment",18.36,IF($H$9="Maintenance",22.95,IF($H$9="Nonattainment",27.54,"-")))</f>
        <v>-</v>
      </c>
      <c r="G61" s="265" t="str">
        <f t="shared" si="9"/>
        <v>-</v>
      </c>
      <c r="H61" s="266" t="str">
        <f>IF('Project Description'!$C$96="10 Years",-'Travel Forecasts'!N35,"---")</f>
        <v>---</v>
      </c>
      <c r="I61" s="292">
        <v>4.3899999999999998E-3</v>
      </c>
      <c r="J61" s="263" t="str">
        <f>IF('Project Description'!$C$96="10 Years",H61*I61,"---")</f>
        <v>---</v>
      </c>
      <c r="K61" s="264" t="str">
        <f>IF($H$9="Attainment",22.95,IF($H$9="Maintenance",28.69,IF($H$9="Nonattainment",34.43,"-")))</f>
        <v>-</v>
      </c>
      <c r="L61" s="265" t="str">
        <f>IF($H$9="(Select…)","-",IF('Project Description'!$C$96="10 Years",J61*K61,"---"))</f>
        <v>-</v>
      </c>
      <c r="M61" s="261" t="str">
        <f>IF('Project Description'!$C$96="20 Years",-'Travel Forecasts'!N35,"---")</f>
        <v>---</v>
      </c>
      <c r="N61" s="292">
        <v>3.98E-3</v>
      </c>
      <c r="O61" s="263" t="str">
        <f>IF('Project Description'!$C$96="20 Years",M61*N61,"---")</f>
        <v>---</v>
      </c>
      <c r="P61" s="268" t="str">
        <f>IF($H$9="Attainment",23.76,IF($H$9="Maintenance",29.7,IF($H$9="Nonattainment",35.64,"-")))</f>
        <v>-</v>
      </c>
      <c r="Q61" s="269" t="str">
        <f>IF($H$9="(Select…)","-",IF('Project Description'!$C$96="20 Years",O61*P61,"---"))</f>
        <v>-</v>
      </c>
    </row>
    <row r="62" spans="1:18" s="8" customFormat="1" ht="18" customHeight="1">
      <c r="A62" s="259">
        <f t="shared" si="10"/>
        <v>25</v>
      </c>
      <c r="B62" s="260" t="s">
        <v>155</v>
      </c>
      <c r="C62" s="261">
        <f>-'Travel Forecasts'!M36</f>
        <v>0</v>
      </c>
      <c r="D62" s="292">
        <v>6.3800000000000003E-3</v>
      </c>
      <c r="E62" s="263">
        <f t="shared" si="8"/>
        <v>0</v>
      </c>
      <c r="F62" s="264" t="str">
        <f>IF($H$9="Attainment",18.36,IF($H$9="Maintenance",22.95,IF($H$9="Nonattainment",27.54,"-")))</f>
        <v>-</v>
      </c>
      <c r="G62" s="265" t="str">
        <f t="shared" si="9"/>
        <v>-</v>
      </c>
      <c r="H62" s="266" t="str">
        <f>IF('Project Description'!$C$96="10 Years",-'Travel Forecasts'!N36,"---")</f>
        <v>---</v>
      </c>
      <c r="I62" s="292">
        <v>5.5799999999999999E-3</v>
      </c>
      <c r="J62" s="263" t="str">
        <f>IF('Project Description'!$C$96="10 Years",H62*I62,"---")</f>
        <v>---</v>
      </c>
      <c r="K62" s="264" t="str">
        <f>IF($H$9="Attainment",22.95,IF($H$9="Maintenance",28.69,IF($H$9="Nonattainment",34.43,"-")))</f>
        <v>-</v>
      </c>
      <c r="L62" s="265" t="str">
        <f>IF($H$9="(Select…)","-",IF('Project Description'!$C$96="10 Years",J62*K62,"---"))</f>
        <v>-</v>
      </c>
      <c r="M62" s="261" t="str">
        <f>IF('Project Description'!$C$96="20 Years",-'Travel Forecasts'!N36,"---")</f>
        <v>---</v>
      </c>
      <c r="N62" s="292">
        <v>5.3200000000000001E-3</v>
      </c>
      <c r="O62" s="263" t="str">
        <f>IF('Project Description'!$C$96="20 Years",M62*N62,"---")</f>
        <v>---</v>
      </c>
      <c r="P62" s="268" t="str">
        <f>IF($H$9="Attainment",23.76,IF($H$9="Maintenance",29.7,IF($H$9="Nonattainment",35.64,"-")))</f>
        <v>-</v>
      </c>
      <c r="Q62" s="269" t="str">
        <f>IF($H$9="(Select…)","-",IF('Project Description'!$C$96="20 Years",O62*P62,"---"))</f>
        <v>-</v>
      </c>
    </row>
    <row r="63" spans="1:18" s="8" customFormat="1" ht="18" customHeight="1">
      <c r="A63" s="259">
        <f t="shared" si="10"/>
        <v>26</v>
      </c>
      <c r="B63" s="260" t="s">
        <v>156</v>
      </c>
      <c r="C63" s="261">
        <f>-'Travel Forecasts'!M37</f>
        <v>0</v>
      </c>
      <c r="D63" s="292">
        <v>9.4999999999999998E-3</v>
      </c>
      <c r="E63" s="263">
        <f t="shared" si="8"/>
        <v>0</v>
      </c>
      <c r="F63" s="264" t="str">
        <f>IF($H$9="Attainment",18.36,IF($H$9="Maintenance",22.95,IF($H$9="Nonattainment",27.54,"-")))</f>
        <v>-</v>
      </c>
      <c r="G63" s="265" t="str">
        <f t="shared" si="9"/>
        <v>-</v>
      </c>
      <c r="H63" s="266" t="str">
        <f>IF('Project Description'!$C$96="10 Years",-'Travel Forecasts'!N37,"---")</f>
        <v>---</v>
      </c>
      <c r="I63" s="292">
        <v>8.3099999999999997E-3</v>
      </c>
      <c r="J63" s="263" t="str">
        <f>IF('Project Description'!$C$96="10 Years",H63*I63,"---")</f>
        <v>---</v>
      </c>
      <c r="K63" s="264" t="str">
        <f>IF($H$9="Attainment",22.95,IF($H$9="Maintenance",28.69,IF($H$9="Nonattainment",34.43,"-")))</f>
        <v>-</v>
      </c>
      <c r="L63" s="265" t="str">
        <f>IF($H$9="(Select…)","-",IF('Project Description'!$C$96="10 Years",J63*K63,"---"))</f>
        <v>-</v>
      </c>
      <c r="M63" s="261" t="str">
        <f>IF('Project Description'!$C$96="20 Years",-'Travel Forecasts'!N37,"---")</f>
        <v>---</v>
      </c>
      <c r="N63" s="292">
        <v>7.9100000000000004E-3</v>
      </c>
      <c r="O63" s="263" t="str">
        <f>IF('Project Description'!$C$96="20 Years",M63*N63,"---")</f>
        <v>---</v>
      </c>
      <c r="P63" s="268" t="str">
        <f>IF($H$9="Attainment",23.76,IF($H$9="Maintenance",29.7,IF($H$9="Nonattainment",35.64,"-")))</f>
        <v>-</v>
      </c>
      <c r="Q63" s="269" t="str">
        <f>IF($H$9="(Select…)","-",IF('Project Description'!$C$96="20 Years",O63*P63,"---"))</f>
        <v>-</v>
      </c>
    </row>
    <row r="64" spans="1:18" s="8" customFormat="1" ht="25.5">
      <c r="A64" s="259">
        <f t="shared" si="10"/>
        <v>27</v>
      </c>
      <c r="B64" s="260" t="s">
        <v>157</v>
      </c>
      <c r="C64" s="261">
        <f>-'Travel Forecasts'!M38</f>
        <v>0</v>
      </c>
      <c r="D64" s="292">
        <v>1.32E-2</v>
      </c>
      <c r="E64" s="263">
        <f t="shared" si="8"/>
        <v>0</v>
      </c>
      <c r="F64" s="264" t="str">
        <f>IF($H$9="Attainment",12.96,IF($H$9="Maintenance",16.2,IF($H$9="Nonattainment",19.44,"-")))</f>
        <v>-</v>
      </c>
      <c r="G64" s="265" t="str">
        <f t="shared" si="9"/>
        <v>-</v>
      </c>
      <c r="H64" s="266" t="str">
        <f>IF('Project Description'!$C$96="10 Years",-'Travel Forecasts'!N38,"---")</f>
        <v>---</v>
      </c>
      <c r="I64" s="292">
        <v>1.32E-2</v>
      </c>
      <c r="J64" s="263" t="str">
        <f>IF('Project Description'!$C$96="10 Years",H64*I64,"---")</f>
        <v>---</v>
      </c>
      <c r="K64" s="264" t="str">
        <f>IF($H$9="Attainment",15.66,IF($H$9="Maintenance",19.58,IF($H$9="Nonattainment",23.49,"-")))</f>
        <v>-</v>
      </c>
      <c r="L64" s="265" t="str">
        <f>IF($H$9="(Select…)","-",IF('Project Description'!$C$96="10 Years",J64*K64,"---"))</f>
        <v>-</v>
      </c>
      <c r="M64" s="261" t="str">
        <f>IF('Project Description'!$C$96="20 Years",-'Travel Forecasts'!N38,"---")</f>
        <v>---</v>
      </c>
      <c r="N64" s="292">
        <v>1.32E-2</v>
      </c>
      <c r="O64" s="263" t="str">
        <f>IF('Project Description'!$C$96="20 Years",M64*N64,"---")</f>
        <v>---</v>
      </c>
      <c r="P64" s="268" t="str">
        <f>IF($H$9="Attainment",16.2,IF($H$9="Maintenance",20.25,IF($H$9="Nonattainment",24.3,"-")))</f>
        <v>-</v>
      </c>
      <c r="Q64" s="269" t="str">
        <f>IF($H$9="(Select…)","-",IF('Project Description'!$C$96="20 Years",O64*P64,"---"))</f>
        <v>-</v>
      </c>
    </row>
    <row r="65" spans="1:18" s="8" customFormat="1" ht="25.5">
      <c r="A65" s="259">
        <f t="shared" si="10"/>
        <v>28</v>
      </c>
      <c r="B65" s="260" t="s">
        <v>160</v>
      </c>
      <c r="C65" s="261">
        <f>-'Travel Forecasts'!M39</f>
        <v>0</v>
      </c>
      <c r="D65" s="292">
        <v>9.2999999999999999E-2</v>
      </c>
      <c r="E65" s="263">
        <f t="shared" si="8"/>
        <v>0</v>
      </c>
      <c r="F65" s="264" t="str">
        <f>IF($H$9="Attainment",12.96,IF($H$9="Maintenance",16.2,IF($H$9="Nonattainment",19.44,"-")))</f>
        <v>-</v>
      </c>
      <c r="G65" s="265" t="str">
        <f t="shared" si="9"/>
        <v>-</v>
      </c>
      <c r="H65" s="266" t="str">
        <f>IF('Project Description'!$C$96="10 Years",-'Travel Forecasts'!N39,"---")</f>
        <v>---</v>
      </c>
      <c r="I65" s="292">
        <v>4.2999999999999997E-2</v>
      </c>
      <c r="J65" s="263" t="str">
        <f>IF('Project Description'!$C$96="10 Years",H65*I65,"---")</f>
        <v>---</v>
      </c>
      <c r="K65" s="264" t="str">
        <f>IF($H$9="Attainment",15.66,IF($H$9="Maintenance",19.58,IF($H$9="Nonattainment",23.49,"-")))</f>
        <v>-</v>
      </c>
      <c r="L65" s="265" t="str">
        <f>IF($H$9="(Select…)","-",IF('Project Description'!$C$96="10 Years",J65*K65,"---"))</f>
        <v>-</v>
      </c>
      <c r="M65" s="261" t="str">
        <f>IF('Project Description'!$C$96="20 Years",-'Travel Forecasts'!N39,"---")</f>
        <v>---</v>
      </c>
      <c r="N65" s="292">
        <v>2.0899999999999998E-2</v>
      </c>
      <c r="O65" s="263" t="str">
        <f>IF('Project Description'!$C$96="20 Years",M65*N65,"---")</f>
        <v>---</v>
      </c>
      <c r="P65" s="268" t="str">
        <f>IF($H$9="Attainment",16.2,IF($H$9="Maintenance",20.25,IF($H$9="Nonattainment",24.3,"-")))</f>
        <v>-</v>
      </c>
      <c r="Q65" s="269" t="str">
        <f>IF($H$9="(Select…)","-",IF('Project Description'!$C$96="20 Years",O65*P65,"---"))</f>
        <v>-</v>
      </c>
    </row>
    <row r="66" spans="1:18" s="8" customFormat="1" ht="18" customHeight="1">
      <c r="A66" s="270">
        <f t="shared" si="10"/>
        <v>29</v>
      </c>
      <c r="B66" s="271" t="s">
        <v>158</v>
      </c>
      <c r="C66" s="272">
        <f>-'Travel Forecasts'!M40</f>
        <v>0</v>
      </c>
      <c r="D66" s="293">
        <v>1.157E-2</v>
      </c>
      <c r="E66" s="274">
        <f t="shared" si="8"/>
        <v>0</v>
      </c>
      <c r="F66" s="275" t="str">
        <f>IF($H$9="Attainment",18.36,IF($H$9="Maintenance",22.95,IF($H$9="Nonattainment",27.54,"-")))</f>
        <v>-</v>
      </c>
      <c r="G66" s="276" t="str">
        <f t="shared" si="9"/>
        <v>-</v>
      </c>
      <c r="H66" s="277" t="str">
        <f>IF('Project Description'!$C$96="10 Years",-'Travel Forecasts'!N40,"---")</f>
        <v>---</v>
      </c>
      <c r="I66" s="293">
        <v>1.0119999999999999E-2</v>
      </c>
      <c r="J66" s="274" t="str">
        <f>IF('Project Description'!$C$96="10 Years",H66*I66,"---")</f>
        <v>---</v>
      </c>
      <c r="K66" s="275" t="str">
        <f>IF($H$9="Attainment",22.95,IF($H$9="Maintenance",28.69,IF($H$9="Nonattainment",34.43,"-")))</f>
        <v>-</v>
      </c>
      <c r="L66" s="276" t="str">
        <f>IF($H$9="(Select…)","-",IF('Project Description'!$C$96="10 Years",J66*K66,"---"))</f>
        <v>-</v>
      </c>
      <c r="M66" s="272" t="str">
        <f>IF('Project Description'!$C$96="20 Years",-'Travel Forecasts'!N40,"---")</f>
        <v>---</v>
      </c>
      <c r="N66" s="293">
        <v>9.640000000000001E-3</v>
      </c>
      <c r="O66" s="274" t="str">
        <f>IF('Project Description'!$C$96="20 Years",M66*N66,"---")</f>
        <v>---</v>
      </c>
      <c r="P66" s="279" t="str">
        <f>IF($H$9="Attainment",23.76,IF($H$9="Maintenance",29.7,IF($H$9="Nonattainment",35.64,"-")))</f>
        <v>-</v>
      </c>
      <c r="Q66" s="280" t="str">
        <f>IF($H$9="(Select…)","-",IF('Project Description'!$C$96="20 Years",O66*P66,"---"))</f>
        <v>-</v>
      </c>
    </row>
    <row r="67" spans="1:18" ht="16.5" thickBot="1">
      <c r="A67" s="281">
        <f t="shared" si="10"/>
        <v>30</v>
      </c>
      <c r="B67" s="282" t="s">
        <v>175</v>
      </c>
      <c r="C67" s="283">
        <f>SUM(C57:C66)</f>
        <v>0</v>
      </c>
      <c r="D67" s="284" t="s">
        <v>133</v>
      </c>
      <c r="E67" s="285">
        <f>SUM(E57:E66)</f>
        <v>0</v>
      </c>
      <c r="F67" s="286" t="s">
        <v>133</v>
      </c>
      <c r="G67" s="287">
        <f>SUM(G57:G66)</f>
        <v>0</v>
      </c>
      <c r="H67" s="288" t="str">
        <f>IF('Project Description'!$C$96="10 Years",SUM(H57:H66),"---")</f>
        <v>---</v>
      </c>
      <c r="I67" s="289" t="s">
        <v>133</v>
      </c>
      <c r="J67" s="285" t="str">
        <f>IF('Project Description'!$C$96="10 Years",SUM(J57:J66),"---")</f>
        <v>---</v>
      </c>
      <c r="K67" s="290" t="s">
        <v>133</v>
      </c>
      <c r="L67" s="287" t="str">
        <f>IF('Project Description'!$C$96="10 Years",SUM(L57:L66),"---")</f>
        <v>---</v>
      </c>
      <c r="M67" s="283" t="str">
        <f>IF('Project Description'!$C$96="20 Years",SUM(M57:M66),"---")</f>
        <v>---</v>
      </c>
      <c r="N67" s="289" t="s">
        <v>133</v>
      </c>
      <c r="O67" s="285" t="str">
        <f>IF('Project Description'!$C$96="20 Years",SUM(O57:O66),"---")</f>
        <v>---</v>
      </c>
      <c r="P67" s="290" t="s">
        <v>133</v>
      </c>
      <c r="Q67" s="287" t="str">
        <f>IF('Project Description'!$C$96="20 Years",SUM(Q57:Q66),"---")</f>
        <v>---</v>
      </c>
    </row>
    <row r="68" spans="1:18" ht="15.75">
      <c r="A68" s="431"/>
      <c r="B68" s="432"/>
      <c r="C68" s="433"/>
      <c r="D68" s="434"/>
      <c r="E68" s="435"/>
      <c r="F68" s="434"/>
      <c r="G68" s="436"/>
      <c r="H68" s="433"/>
      <c r="I68" s="437"/>
      <c r="J68" s="435"/>
      <c r="K68" s="437"/>
      <c r="L68" s="436"/>
      <c r="M68" s="433"/>
      <c r="N68" s="437"/>
      <c r="O68" s="435"/>
      <c r="P68" s="437"/>
      <c r="Q68" s="436"/>
      <c r="R68" s="393"/>
    </row>
    <row r="69" spans="1:18" ht="16.5" thickBot="1">
      <c r="A69" s="431"/>
      <c r="B69" s="432"/>
      <c r="C69" s="433"/>
      <c r="D69" s="434"/>
      <c r="E69" s="435"/>
      <c r="F69" s="434"/>
      <c r="G69" s="436"/>
      <c r="H69" s="433"/>
      <c r="I69" s="437"/>
      <c r="J69" s="435"/>
      <c r="K69" s="437"/>
      <c r="L69" s="436"/>
      <c r="M69" s="433"/>
      <c r="N69" s="437"/>
      <c r="O69" s="435"/>
      <c r="P69" s="437"/>
      <c r="Q69" s="436"/>
      <c r="R69" s="393"/>
    </row>
    <row r="70" spans="1:18" ht="18.75" customHeight="1" thickBot="1">
      <c r="A70" s="869" t="s">
        <v>409</v>
      </c>
      <c r="B70" s="870"/>
      <c r="C70" s="870"/>
      <c r="D70" s="870"/>
      <c r="E70" s="870"/>
      <c r="F70" s="870"/>
      <c r="G70" s="870"/>
      <c r="H70" s="870"/>
      <c r="I70" s="870"/>
      <c r="J70" s="870"/>
      <c r="K70" s="870"/>
      <c r="L70" s="870"/>
      <c r="M70" s="870"/>
      <c r="N70" s="870"/>
      <c r="O70" s="870"/>
      <c r="P70" s="870"/>
      <c r="Q70" s="871"/>
      <c r="R70" s="41"/>
    </row>
    <row r="71" spans="1:18" s="3" customFormat="1" ht="15.75" thickBot="1">
      <c r="A71" s="199"/>
      <c r="B71" s="199"/>
      <c r="C71" s="384"/>
      <c r="D71" s="384"/>
      <c r="E71" s="385"/>
      <c r="F71" s="385"/>
      <c r="G71" s="385"/>
      <c r="H71" s="385"/>
      <c r="I71" s="199"/>
      <c r="J71" s="199"/>
      <c r="K71" s="199"/>
      <c r="L71" s="199"/>
      <c r="M71" s="199"/>
      <c r="N71" s="199"/>
      <c r="O71" s="199"/>
      <c r="P71" s="199"/>
      <c r="Q71" s="199"/>
    </row>
    <row r="72" spans="1:18" ht="19.5" customHeight="1" thickBot="1">
      <c r="A72" s="890" t="s">
        <v>246</v>
      </c>
      <c r="B72" s="891"/>
      <c r="C72" s="891"/>
      <c r="D72" s="891"/>
      <c r="E72" s="891"/>
      <c r="F72" s="891"/>
      <c r="G72" s="891"/>
      <c r="H72" s="891"/>
      <c r="I72" s="891"/>
      <c r="J72" s="891"/>
      <c r="K72" s="891"/>
      <c r="L72" s="891"/>
      <c r="M72" s="891"/>
      <c r="N72" s="891"/>
      <c r="O72" s="891"/>
      <c r="P72" s="891"/>
      <c r="Q72" s="892"/>
      <c r="R72" s="40"/>
    </row>
    <row r="73" spans="1:18" s="8" customFormat="1" ht="15.75">
      <c r="A73" s="875" t="s">
        <v>1</v>
      </c>
      <c r="B73" s="877" t="s">
        <v>159</v>
      </c>
      <c r="C73" s="879" t="s">
        <v>153</v>
      </c>
      <c r="D73" s="880"/>
      <c r="E73" s="880"/>
      <c r="F73" s="880"/>
      <c r="G73" s="881"/>
      <c r="H73" s="880" t="s">
        <v>239</v>
      </c>
      <c r="I73" s="880"/>
      <c r="J73" s="880"/>
      <c r="K73" s="880"/>
      <c r="L73" s="880"/>
      <c r="M73" s="879" t="s">
        <v>240</v>
      </c>
      <c r="N73" s="880"/>
      <c r="O73" s="880"/>
      <c r="P73" s="880"/>
      <c r="Q73" s="881"/>
    </row>
    <row r="74" spans="1:18" s="8" customFormat="1" ht="60" customHeight="1">
      <c r="A74" s="876"/>
      <c r="B74" s="878"/>
      <c r="C74" s="244" t="s">
        <v>242</v>
      </c>
      <c r="D74" s="245" t="s">
        <v>241</v>
      </c>
      <c r="E74" s="245" t="s">
        <v>258</v>
      </c>
      <c r="F74" s="246" t="s">
        <v>283</v>
      </c>
      <c r="G74" s="247" t="s">
        <v>284</v>
      </c>
      <c r="H74" s="248" t="s">
        <v>242</v>
      </c>
      <c r="I74" s="245" t="s">
        <v>241</v>
      </c>
      <c r="J74" s="245" t="s">
        <v>258</v>
      </c>
      <c r="K74" s="246" t="s">
        <v>283</v>
      </c>
      <c r="L74" s="247" t="s">
        <v>284</v>
      </c>
      <c r="M74" s="244" t="s">
        <v>242</v>
      </c>
      <c r="N74" s="245" t="s">
        <v>241</v>
      </c>
      <c r="O74" s="245" t="s">
        <v>258</v>
      </c>
      <c r="P74" s="246" t="s">
        <v>283</v>
      </c>
      <c r="Q74" s="247" t="s">
        <v>284</v>
      </c>
    </row>
    <row r="75" spans="1:18" s="8" customFormat="1" ht="18" customHeight="1">
      <c r="A75" s="249">
        <f>A67+1</f>
        <v>31</v>
      </c>
      <c r="B75" s="250" t="s">
        <v>154</v>
      </c>
      <c r="C75" s="251">
        <f>IF('Project Description'!$C$92="Yes",H25,-'Travel Forecasts'!M31)</f>
        <v>0</v>
      </c>
      <c r="D75" s="291">
        <v>5.9999999999999995E-4</v>
      </c>
      <c r="E75" s="253">
        <f>C75*D75</f>
        <v>0</v>
      </c>
      <c r="F75" s="254" t="str">
        <f t="shared" ref="F75:F84" si="11">IF($H$10="Attainment",3.02,IF($H$10="Maintenance",3.78,IF($H$10="Nonattainment",4.53,"-")))</f>
        <v>-</v>
      </c>
      <c r="G75" s="255" t="str">
        <f>IF($H$10="(Select…)","-",E75*F75)</f>
        <v>-</v>
      </c>
      <c r="H75" s="256" t="str">
        <f>IF('Project Description'!$C$96="10 Years",-'Travel Forecasts'!N31,"---")</f>
        <v>---</v>
      </c>
      <c r="I75" s="291">
        <v>2.7E-4</v>
      </c>
      <c r="J75" s="253" t="str">
        <f>IF('Project Description'!$C$96="10 Years",H75*I75,"---")</f>
        <v>---</v>
      </c>
      <c r="K75" s="254" t="str">
        <f t="shared" ref="K75:K84" si="12">IF($H$10="Attainment",3.75,IF($H$10="Maintenance",4.69,IF($H$10="Nonattainment",5.63,"-")))</f>
        <v>-</v>
      </c>
      <c r="L75" s="255" t="str">
        <f>IF($H$10="(Select…)","-",IF('Project Description'!$C$96="10 Years",J75*K75,"---"))</f>
        <v>-</v>
      </c>
      <c r="M75" s="251" t="str">
        <f>IF('Project Description'!$C$96="20 Years",-'Travel Forecasts'!N31,"---")</f>
        <v>---</v>
      </c>
      <c r="N75" s="291">
        <v>2.0999999999999998E-4</v>
      </c>
      <c r="O75" s="253" t="str">
        <f>IF('Project Description'!$C$96="20 Years",M75*N75,"---")</f>
        <v>---</v>
      </c>
      <c r="P75" s="254" t="str">
        <f t="shared" ref="P75:P84" si="13">IF($H$10="Attainment",3.89,IF($H$10="Maintenance",4.86,IF($H$10="Nonattainment",5.84,"-")))</f>
        <v>-</v>
      </c>
      <c r="Q75" s="255" t="str">
        <f>IF($H$10="(Select…)","-",IF('Project Description'!$C$96="20 Years",O75*P75,"---"))</f>
        <v>-</v>
      </c>
    </row>
    <row r="76" spans="1:18" s="8" customFormat="1" ht="18" customHeight="1">
      <c r="A76" s="259">
        <f>A75+1</f>
        <v>32</v>
      </c>
      <c r="B76" s="260" t="s">
        <v>178</v>
      </c>
      <c r="C76" s="261">
        <f>-'Travel Forecasts'!M32</f>
        <v>0</v>
      </c>
      <c r="D76" s="292">
        <v>7.2999999999999996E-4</v>
      </c>
      <c r="E76" s="263">
        <f t="shared" ref="E76:E84" si="14">C76*D76</f>
        <v>0</v>
      </c>
      <c r="F76" s="264" t="str">
        <f t="shared" si="11"/>
        <v>-</v>
      </c>
      <c r="G76" s="265" t="str">
        <f t="shared" ref="G76:G84" si="15">IF($H$10="(Select…)","-",E76*F76)</f>
        <v>-</v>
      </c>
      <c r="H76" s="266" t="str">
        <f>IF('Project Description'!$C$96="10 Years",-'Travel Forecasts'!N32,"---")</f>
        <v>---</v>
      </c>
      <c r="I76" s="292">
        <v>2.3999999999999998E-4</v>
      </c>
      <c r="J76" s="263" t="str">
        <f>IF('Project Description'!$C$96="10 Years",H76*I76,"---")</f>
        <v>---</v>
      </c>
      <c r="K76" s="264" t="str">
        <f t="shared" si="12"/>
        <v>-</v>
      </c>
      <c r="L76" s="265" t="str">
        <f>IF($H$10="(Select…)","-",IF('Project Description'!$C$96="10 Years",J76*K76,"---"))</f>
        <v>-</v>
      </c>
      <c r="M76" s="261" t="str">
        <f>IF('Project Description'!$C$96="20 Years",-'Travel Forecasts'!N32,"---")</f>
        <v>---</v>
      </c>
      <c r="N76" s="292">
        <v>1.6000000000000001E-4</v>
      </c>
      <c r="O76" s="263" t="str">
        <f>IF('Project Description'!$C$96="20 Years",M76*N76,"---")</f>
        <v>---</v>
      </c>
      <c r="P76" s="268" t="str">
        <f t="shared" si="13"/>
        <v>-</v>
      </c>
      <c r="Q76" s="269" t="str">
        <f>IF($H$10="(Select…)","-",IF('Project Description'!$C$96="20 Years",O76*P76,"---"))</f>
        <v>-</v>
      </c>
    </row>
    <row r="77" spans="1:18" s="8" customFormat="1" ht="18" customHeight="1">
      <c r="A77" s="259">
        <f t="shared" ref="A77:A85" si="16">A76+1</f>
        <v>33</v>
      </c>
      <c r="B77" s="260" t="s">
        <v>179</v>
      </c>
      <c r="C77" s="261">
        <f>-'Travel Forecasts'!M33</f>
        <v>0</v>
      </c>
      <c r="D77" s="292">
        <v>7.2999999999999996E-4</v>
      </c>
      <c r="E77" s="263">
        <f t="shared" si="14"/>
        <v>0</v>
      </c>
      <c r="F77" s="264" t="str">
        <f t="shared" si="11"/>
        <v>-</v>
      </c>
      <c r="G77" s="265" t="str">
        <f t="shared" si="15"/>
        <v>-</v>
      </c>
      <c r="H77" s="266" t="str">
        <f>IF('Project Description'!$C$96="10 Years",-'Travel Forecasts'!N33,"---")</f>
        <v>---</v>
      </c>
      <c r="I77" s="292">
        <v>2.3999999999999998E-4</v>
      </c>
      <c r="J77" s="263" t="str">
        <f>IF('Project Description'!$C$96="10 Years",H77*I77,"---")</f>
        <v>---</v>
      </c>
      <c r="K77" s="264" t="str">
        <f t="shared" si="12"/>
        <v>-</v>
      </c>
      <c r="L77" s="265" t="str">
        <f>IF($H$10="(Select…)","-",IF('Project Description'!$C$96="10 Years",J77*K77,"---"))</f>
        <v>-</v>
      </c>
      <c r="M77" s="261" t="str">
        <f>IF('Project Description'!$C$96="20 Years",-'Travel Forecasts'!N33,"---")</f>
        <v>---</v>
      </c>
      <c r="N77" s="292">
        <v>1.6000000000000001E-4</v>
      </c>
      <c r="O77" s="263" t="str">
        <f>IF('Project Description'!$C$96="20 Years",M77*N77,"---")</f>
        <v>---</v>
      </c>
      <c r="P77" s="268" t="str">
        <f t="shared" si="13"/>
        <v>-</v>
      </c>
      <c r="Q77" s="269" t="str">
        <f>IF($H$10="(Select…)","-",IF('Project Description'!$C$96="20 Years",O77*P77,"---"))</f>
        <v>-</v>
      </c>
    </row>
    <row r="78" spans="1:18" s="8" customFormat="1" ht="18" customHeight="1">
      <c r="A78" s="259">
        <f t="shared" si="16"/>
        <v>34</v>
      </c>
      <c r="B78" s="260" t="s">
        <v>180</v>
      </c>
      <c r="C78" s="261">
        <f>-'Travel Forecasts'!M34</f>
        <v>0</v>
      </c>
      <c r="D78" s="292">
        <v>1.4599999999999999E-3</v>
      </c>
      <c r="E78" s="263">
        <f t="shared" si="14"/>
        <v>0</v>
      </c>
      <c r="F78" s="264" t="str">
        <f t="shared" si="11"/>
        <v>-</v>
      </c>
      <c r="G78" s="265" t="str">
        <f t="shared" si="15"/>
        <v>-</v>
      </c>
      <c r="H78" s="266" t="str">
        <f>IF('Project Description'!$C$96="10 Years",-'Travel Forecasts'!N34,"---")</f>
        <v>---</v>
      </c>
      <c r="I78" s="292">
        <v>1.15E-3</v>
      </c>
      <c r="J78" s="263" t="str">
        <f>IF('Project Description'!$C$96="10 Years",H78*I78,"---")</f>
        <v>---</v>
      </c>
      <c r="K78" s="264" t="str">
        <f t="shared" si="12"/>
        <v>-</v>
      </c>
      <c r="L78" s="265" t="str">
        <f>IF($H$10="(Select…)","-",IF('Project Description'!$C$96="10 Years",J78*K78,"---"))</f>
        <v>-</v>
      </c>
      <c r="M78" s="261" t="str">
        <f>IF('Project Description'!$C$96="20 Years",-'Travel Forecasts'!N34,"---")</f>
        <v>---</v>
      </c>
      <c r="N78" s="292">
        <v>1.1100000000000001E-3</v>
      </c>
      <c r="O78" s="263" t="str">
        <f>IF('Project Description'!$C$96="20 Years",M78*N78,"---")</f>
        <v>---</v>
      </c>
      <c r="P78" s="268" t="str">
        <f t="shared" si="13"/>
        <v>-</v>
      </c>
      <c r="Q78" s="269" t="str">
        <f>IF($H$10="(Select…)","-",IF('Project Description'!$C$96="20 Years",O78*P78,"---"))</f>
        <v>-</v>
      </c>
    </row>
    <row r="79" spans="1:18" s="8" customFormat="1" ht="18" customHeight="1">
      <c r="A79" s="259">
        <f t="shared" si="16"/>
        <v>35</v>
      </c>
      <c r="B79" s="260" t="s">
        <v>181</v>
      </c>
      <c r="C79" s="261">
        <f>-'Travel Forecasts'!M35</f>
        <v>0</v>
      </c>
      <c r="D79" s="292">
        <v>1.1999999999999999E-4</v>
      </c>
      <c r="E79" s="263">
        <f t="shared" si="14"/>
        <v>0</v>
      </c>
      <c r="F79" s="264" t="str">
        <f t="shared" si="11"/>
        <v>-</v>
      </c>
      <c r="G79" s="265" t="str">
        <f t="shared" si="15"/>
        <v>-</v>
      </c>
      <c r="H79" s="266" t="str">
        <f>IF('Project Description'!$C$96="10 Years",-'Travel Forecasts'!N35,"---")</f>
        <v>---</v>
      </c>
      <c r="I79" s="292">
        <v>1E-4</v>
      </c>
      <c r="J79" s="263" t="str">
        <f>IF('Project Description'!$C$96="10 Years",H79*I79,"---")</f>
        <v>---</v>
      </c>
      <c r="K79" s="264" t="str">
        <f t="shared" si="12"/>
        <v>-</v>
      </c>
      <c r="L79" s="265" t="str">
        <f>IF($H$10="(Select…)","-",IF('Project Description'!$C$96="10 Years",J79*K79,"---"))</f>
        <v>-</v>
      </c>
      <c r="M79" s="261" t="str">
        <f>IF('Project Description'!$C$96="20 Years",-'Travel Forecasts'!N35,"---")</f>
        <v>---</v>
      </c>
      <c r="N79" s="292">
        <v>1E-4</v>
      </c>
      <c r="O79" s="263" t="str">
        <f>IF('Project Description'!$C$96="20 Years",M79*N79,"---")</f>
        <v>---</v>
      </c>
      <c r="P79" s="268" t="str">
        <f t="shared" si="13"/>
        <v>-</v>
      </c>
      <c r="Q79" s="269" t="str">
        <f>IF($H$10="(Select…)","-",IF('Project Description'!$C$96="20 Years",O79*P79,"---"))</f>
        <v>-</v>
      </c>
    </row>
    <row r="80" spans="1:18" s="8" customFormat="1" ht="18" customHeight="1">
      <c r="A80" s="259">
        <f t="shared" si="16"/>
        <v>36</v>
      </c>
      <c r="B80" s="260" t="s">
        <v>155</v>
      </c>
      <c r="C80" s="261">
        <f>-'Travel Forecasts'!M36</f>
        <v>0</v>
      </c>
      <c r="D80" s="292">
        <v>1.3000000000000002E-4</v>
      </c>
      <c r="E80" s="263">
        <f t="shared" si="14"/>
        <v>0</v>
      </c>
      <c r="F80" s="264" t="str">
        <f t="shared" si="11"/>
        <v>-</v>
      </c>
      <c r="G80" s="265" t="str">
        <f t="shared" si="15"/>
        <v>-</v>
      </c>
      <c r="H80" s="266" t="str">
        <f>IF('Project Description'!$C$96="10 Years",-'Travel Forecasts'!N36,"---")</f>
        <v>---</v>
      </c>
      <c r="I80" s="292">
        <v>1.3000000000000002E-4</v>
      </c>
      <c r="J80" s="263" t="str">
        <f>IF('Project Description'!$C$96="10 Years",H80*I80,"---")</f>
        <v>---</v>
      </c>
      <c r="K80" s="264" t="str">
        <f t="shared" si="12"/>
        <v>-</v>
      </c>
      <c r="L80" s="265" t="str">
        <f>IF($H$10="(Select…)","-",IF('Project Description'!$C$96="10 Years",J80*K80,"---"))</f>
        <v>-</v>
      </c>
      <c r="M80" s="261" t="str">
        <f>IF('Project Description'!$C$96="20 Years",-'Travel Forecasts'!N36,"---")</f>
        <v>---</v>
      </c>
      <c r="N80" s="292">
        <v>1.3000000000000002E-4</v>
      </c>
      <c r="O80" s="263" t="str">
        <f>IF('Project Description'!$C$96="20 Years",M80*N80,"---")</f>
        <v>---</v>
      </c>
      <c r="P80" s="268" t="str">
        <f t="shared" si="13"/>
        <v>-</v>
      </c>
      <c r="Q80" s="269" t="str">
        <f>IF($H$10="(Select…)","-",IF('Project Description'!$C$96="20 Years",O80*P80,"---"))</f>
        <v>-</v>
      </c>
    </row>
    <row r="81" spans="1:18" s="8" customFormat="1" ht="18" customHeight="1">
      <c r="A81" s="259">
        <f t="shared" si="16"/>
        <v>37</v>
      </c>
      <c r="B81" s="260" t="s">
        <v>156</v>
      </c>
      <c r="C81" s="261">
        <f>-'Travel Forecasts'!M37</f>
        <v>0</v>
      </c>
      <c r="D81" s="292">
        <v>1.9000000000000001E-4</v>
      </c>
      <c r="E81" s="263">
        <f t="shared" si="14"/>
        <v>0</v>
      </c>
      <c r="F81" s="264" t="str">
        <f t="shared" si="11"/>
        <v>-</v>
      </c>
      <c r="G81" s="265" t="str">
        <f t="shared" si="15"/>
        <v>-</v>
      </c>
      <c r="H81" s="266" t="str">
        <f>IF('Project Description'!$C$96="10 Years",-'Travel Forecasts'!N37,"---")</f>
        <v>---</v>
      </c>
      <c r="I81" s="292">
        <v>1.9000000000000001E-4</v>
      </c>
      <c r="J81" s="263" t="str">
        <f>IF('Project Description'!$C$96="10 Years",H81*I81,"---")</f>
        <v>---</v>
      </c>
      <c r="K81" s="264" t="str">
        <f t="shared" si="12"/>
        <v>-</v>
      </c>
      <c r="L81" s="265" t="str">
        <f>IF($H$10="(Select…)","-",IF('Project Description'!$C$96="10 Years",J81*K81,"---"))</f>
        <v>-</v>
      </c>
      <c r="M81" s="261" t="str">
        <f>IF('Project Description'!$C$96="20 Years",-'Travel Forecasts'!N37,"---")</f>
        <v>---</v>
      </c>
      <c r="N81" s="292">
        <v>2.0000000000000001E-4</v>
      </c>
      <c r="O81" s="263" t="str">
        <f>IF('Project Description'!$C$96="20 Years",M81*N81,"---")</f>
        <v>---</v>
      </c>
      <c r="P81" s="268" t="str">
        <f t="shared" si="13"/>
        <v>-</v>
      </c>
      <c r="Q81" s="269" t="str">
        <f>IF($H$10="(Select…)","-",IF('Project Description'!$C$96="20 Years",O81*P81,"---"))</f>
        <v>-</v>
      </c>
    </row>
    <row r="82" spans="1:18" s="8" customFormat="1" ht="25.5">
      <c r="A82" s="259">
        <f t="shared" si="16"/>
        <v>38</v>
      </c>
      <c r="B82" s="260" t="s">
        <v>157</v>
      </c>
      <c r="C82" s="261">
        <f>-'Travel Forecasts'!M38</f>
        <v>0</v>
      </c>
      <c r="D82" s="292">
        <v>5.5000000000000003E-4</v>
      </c>
      <c r="E82" s="263">
        <f t="shared" si="14"/>
        <v>0</v>
      </c>
      <c r="F82" s="264" t="str">
        <f t="shared" si="11"/>
        <v>-</v>
      </c>
      <c r="G82" s="265" t="str">
        <f t="shared" si="15"/>
        <v>-</v>
      </c>
      <c r="H82" s="266" t="str">
        <f>IF('Project Description'!$C$96="10 Years",-'Travel Forecasts'!N38,"---")</f>
        <v>---</v>
      </c>
      <c r="I82" s="292">
        <v>5.5000000000000003E-4</v>
      </c>
      <c r="J82" s="263" t="str">
        <f>IF('Project Description'!$C$96="10 Years",H82*I82,"---")</f>
        <v>---</v>
      </c>
      <c r="K82" s="264" t="str">
        <f t="shared" si="12"/>
        <v>-</v>
      </c>
      <c r="L82" s="265" t="str">
        <f>IF($H$10="(Select…)","-",IF('Project Description'!$C$96="10 Years",J82*K82,"---"))</f>
        <v>-</v>
      </c>
      <c r="M82" s="261" t="str">
        <f>IF('Project Description'!$C$96="20 Years",-'Travel Forecasts'!N38,"---")</f>
        <v>---</v>
      </c>
      <c r="N82" s="292">
        <v>5.5000000000000003E-4</v>
      </c>
      <c r="O82" s="263" t="str">
        <f>IF('Project Description'!$C$96="20 Years",M82*N82,"---")</f>
        <v>---</v>
      </c>
      <c r="P82" s="268" t="str">
        <f t="shared" si="13"/>
        <v>-</v>
      </c>
      <c r="Q82" s="269" t="str">
        <f>IF($H$10="(Select…)","-",IF('Project Description'!$C$96="20 Years",O82*P82,"---"))</f>
        <v>-</v>
      </c>
    </row>
    <row r="83" spans="1:18" s="8" customFormat="1" ht="25.5">
      <c r="A83" s="259">
        <f t="shared" si="16"/>
        <v>39</v>
      </c>
      <c r="B83" s="260" t="s">
        <v>160</v>
      </c>
      <c r="C83" s="261">
        <f>-'Travel Forecasts'!M39</f>
        <v>0</v>
      </c>
      <c r="D83" s="292">
        <v>4.3600000000000002E-3</v>
      </c>
      <c r="E83" s="263">
        <f t="shared" si="14"/>
        <v>0</v>
      </c>
      <c r="F83" s="264" t="str">
        <f t="shared" si="11"/>
        <v>-</v>
      </c>
      <c r="G83" s="265" t="str">
        <f t="shared" si="15"/>
        <v>-</v>
      </c>
      <c r="H83" s="266" t="str">
        <f>IF('Project Description'!$C$96="10 Years",-'Travel Forecasts'!N39,"---")</f>
        <v>---</v>
      </c>
      <c r="I83" s="292">
        <v>1.2600000000000001E-3</v>
      </c>
      <c r="J83" s="263" t="str">
        <f>IF('Project Description'!$C$96="10 Years",H83*I83,"---")</f>
        <v>---</v>
      </c>
      <c r="K83" s="264" t="str">
        <f t="shared" si="12"/>
        <v>-</v>
      </c>
      <c r="L83" s="265" t="str">
        <f>IF($H$10="(Select…)","-",IF('Project Description'!$C$96="10 Years",J83*K83,"---"))</f>
        <v>-</v>
      </c>
      <c r="M83" s="261" t="str">
        <f>IF('Project Description'!$C$96="20 Years",-'Travel Forecasts'!N39,"---")</f>
        <v>---</v>
      </c>
      <c r="N83" s="292">
        <v>4.4000000000000002E-4</v>
      </c>
      <c r="O83" s="263" t="str">
        <f>IF('Project Description'!$C$96="20 Years",M83*N83,"---")</f>
        <v>---</v>
      </c>
      <c r="P83" s="268" t="str">
        <f t="shared" si="13"/>
        <v>-</v>
      </c>
      <c r="Q83" s="269" t="str">
        <f>IF($H$10="(Select…)","-",IF('Project Description'!$C$96="20 Years",O83*P83,"---"))</f>
        <v>-</v>
      </c>
    </row>
    <row r="84" spans="1:18" s="8" customFormat="1" ht="18" customHeight="1">
      <c r="A84" s="270">
        <f t="shared" si="16"/>
        <v>40</v>
      </c>
      <c r="B84" s="271" t="s">
        <v>158</v>
      </c>
      <c r="C84" s="272">
        <f>-'Travel Forecasts'!M40</f>
        <v>0</v>
      </c>
      <c r="D84" s="293">
        <v>2.3999999999999998E-4</v>
      </c>
      <c r="E84" s="274">
        <f t="shared" si="14"/>
        <v>0</v>
      </c>
      <c r="F84" s="275" t="str">
        <f t="shared" si="11"/>
        <v>-</v>
      </c>
      <c r="G84" s="276" t="str">
        <f t="shared" si="15"/>
        <v>-</v>
      </c>
      <c r="H84" s="277" t="str">
        <f>IF('Project Description'!$C$96="10 Years",-'Travel Forecasts'!N40,"---")</f>
        <v>---</v>
      </c>
      <c r="I84" s="293">
        <v>2.3000000000000001E-4</v>
      </c>
      <c r="J84" s="274" t="str">
        <f>IF('Project Description'!$C$96="10 Years",H84*I84,"---")</f>
        <v>---</v>
      </c>
      <c r="K84" s="275" t="str">
        <f t="shared" si="12"/>
        <v>-</v>
      </c>
      <c r="L84" s="276" t="str">
        <f>IF($H$10="(Select…)","-",IF('Project Description'!$C$96="10 Years",J84*K84,"---"))</f>
        <v>-</v>
      </c>
      <c r="M84" s="272" t="str">
        <f>IF('Project Description'!$C$96="20 Years",-'Travel Forecasts'!N40,"---")</f>
        <v>---</v>
      </c>
      <c r="N84" s="293">
        <v>2.3999999999999998E-4</v>
      </c>
      <c r="O84" s="274" t="str">
        <f>IF('Project Description'!$C$96="20 Years",M84*N84,"---")</f>
        <v>---</v>
      </c>
      <c r="P84" s="279" t="str">
        <f t="shared" si="13"/>
        <v>-</v>
      </c>
      <c r="Q84" s="280" t="str">
        <f>IF($H$10="(Select…)","-",IF('Project Description'!$C$96="20 Years",O84*P84,"---"))</f>
        <v>-</v>
      </c>
    </row>
    <row r="85" spans="1:18" ht="16.5" thickBot="1">
      <c r="A85" s="281">
        <f t="shared" si="16"/>
        <v>41</v>
      </c>
      <c r="B85" s="282" t="s">
        <v>175</v>
      </c>
      <c r="C85" s="283">
        <f>SUM(C75:C84)</f>
        <v>0</v>
      </c>
      <c r="D85" s="284" t="s">
        <v>133</v>
      </c>
      <c r="E85" s="285">
        <f>SUM(E75:E84)</f>
        <v>0</v>
      </c>
      <c r="F85" s="286" t="s">
        <v>133</v>
      </c>
      <c r="G85" s="287">
        <f>SUM(G75:G84)</f>
        <v>0</v>
      </c>
      <c r="H85" s="288" t="str">
        <f>IF('Project Description'!$C$96="10 Years",SUM(H75:H84),"---")</f>
        <v>---</v>
      </c>
      <c r="I85" s="289" t="s">
        <v>133</v>
      </c>
      <c r="J85" s="285" t="str">
        <f>IF('Project Description'!$C$96="10 Years",SUM(J75:J84),"---")</f>
        <v>---</v>
      </c>
      <c r="K85" s="290" t="s">
        <v>133</v>
      </c>
      <c r="L85" s="287" t="str">
        <f>IF('Project Description'!$C$96="10 Years",SUM(L75:L84),"---")</f>
        <v>---</v>
      </c>
      <c r="M85" s="283" t="str">
        <f>IF('Project Description'!$C$96="20 Years",SUM(M75:M84),"---")</f>
        <v>---</v>
      </c>
      <c r="N85" s="289" t="s">
        <v>133</v>
      </c>
      <c r="O85" s="285" t="str">
        <f>IF('Project Description'!$C$96="20 Years",SUM(O75:O84),"---")</f>
        <v>---</v>
      </c>
      <c r="P85" s="290" t="s">
        <v>133</v>
      </c>
      <c r="Q85" s="287" t="str">
        <f>IF('Project Description'!$C$96="20 Years",SUM(Q75:Q84),"---")</f>
        <v>---</v>
      </c>
    </row>
    <row r="86" spans="1:18" s="389" customFormat="1" ht="12.75">
      <c r="A86" s="386"/>
      <c r="B86" s="386"/>
      <c r="C86" s="387"/>
      <c r="D86" s="387"/>
      <c r="E86" s="388"/>
      <c r="F86" s="388"/>
      <c r="G86" s="388"/>
      <c r="H86" s="388"/>
      <c r="I86" s="386"/>
      <c r="J86" s="386"/>
      <c r="K86" s="386"/>
      <c r="L86" s="386"/>
      <c r="M86" s="386"/>
      <c r="N86" s="386"/>
      <c r="O86" s="386"/>
      <c r="P86" s="386"/>
      <c r="Q86" s="386"/>
    </row>
    <row r="87" spans="1:18" s="3" customFormat="1" ht="15.75" thickBot="1">
      <c r="A87" s="199"/>
      <c r="B87" s="199"/>
      <c r="C87" s="384"/>
      <c r="D87" s="384"/>
      <c r="E87" s="385"/>
      <c r="F87" s="385"/>
      <c r="G87" s="385"/>
      <c r="H87" s="385"/>
      <c r="I87" s="199"/>
      <c r="J87" s="199"/>
      <c r="K87" s="199"/>
      <c r="L87" s="199"/>
      <c r="M87" s="199"/>
      <c r="N87" s="199"/>
      <c r="O87" s="199"/>
      <c r="P87" s="199"/>
      <c r="Q87" s="199"/>
    </row>
    <row r="88" spans="1:18" ht="19.5" thickBot="1">
      <c r="A88" s="890" t="s">
        <v>247</v>
      </c>
      <c r="B88" s="891"/>
      <c r="C88" s="891"/>
      <c r="D88" s="891"/>
      <c r="E88" s="891"/>
      <c r="F88" s="891"/>
      <c r="G88" s="891"/>
      <c r="H88" s="891"/>
      <c r="I88" s="891"/>
      <c r="J88" s="891"/>
      <c r="K88" s="891"/>
      <c r="L88" s="891"/>
      <c r="M88" s="891"/>
      <c r="N88" s="891"/>
      <c r="O88" s="891"/>
      <c r="P88" s="891"/>
      <c r="Q88" s="892"/>
      <c r="R88" s="40"/>
    </row>
    <row r="89" spans="1:18" s="8" customFormat="1" ht="15.75">
      <c r="A89" s="875" t="s">
        <v>1</v>
      </c>
      <c r="B89" s="877" t="s">
        <v>159</v>
      </c>
      <c r="C89" s="879" t="s">
        <v>153</v>
      </c>
      <c r="D89" s="880"/>
      <c r="E89" s="880"/>
      <c r="F89" s="880"/>
      <c r="G89" s="881"/>
      <c r="H89" s="880" t="s">
        <v>239</v>
      </c>
      <c r="I89" s="880"/>
      <c r="J89" s="880"/>
      <c r="K89" s="880"/>
      <c r="L89" s="880"/>
      <c r="M89" s="879" t="s">
        <v>240</v>
      </c>
      <c r="N89" s="880"/>
      <c r="O89" s="880"/>
      <c r="P89" s="880"/>
      <c r="Q89" s="881"/>
    </row>
    <row r="90" spans="1:18" s="8" customFormat="1" ht="60" customHeight="1">
      <c r="A90" s="876"/>
      <c r="B90" s="878"/>
      <c r="C90" s="244" t="s">
        <v>242</v>
      </c>
      <c r="D90" s="245" t="s">
        <v>241</v>
      </c>
      <c r="E90" s="245" t="s">
        <v>258</v>
      </c>
      <c r="F90" s="246" t="s">
        <v>283</v>
      </c>
      <c r="G90" s="247" t="s">
        <v>284</v>
      </c>
      <c r="H90" s="248" t="s">
        <v>242</v>
      </c>
      <c r="I90" s="245" t="s">
        <v>241</v>
      </c>
      <c r="J90" s="245" t="s">
        <v>258</v>
      </c>
      <c r="K90" s="246" t="s">
        <v>283</v>
      </c>
      <c r="L90" s="247" t="s">
        <v>284</v>
      </c>
      <c r="M90" s="244" t="s">
        <v>242</v>
      </c>
      <c r="N90" s="245" t="s">
        <v>241</v>
      </c>
      <c r="O90" s="245" t="s">
        <v>258</v>
      </c>
      <c r="P90" s="246" t="s">
        <v>283</v>
      </c>
      <c r="Q90" s="247" t="s">
        <v>284</v>
      </c>
    </row>
    <row r="91" spans="1:18" s="8" customFormat="1" ht="18" customHeight="1">
      <c r="A91" s="249">
        <f>A85+1</f>
        <v>42</v>
      </c>
      <c r="B91" s="250" t="s">
        <v>154</v>
      </c>
      <c r="C91" s="251">
        <f>IF('Project Description'!$C$92="Yes",H25,-'Travel Forecasts'!M31)</f>
        <v>0</v>
      </c>
      <c r="D91" s="294">
        <v>1.0000000000000001E-5</v>
      </c>
      <c r="E91" s="253">
        <f>C91*D91</f>
        <v>0</v>
      </c>
      <c r="F91" s="254" t="str">
        <f>IF($H$11="Attainment",680.4,IF($H$11="Maintenance",850.5,IF($H$11="Nonattainment",1020.6,"-")))</f>
        <v>-</v>
      </c>
      <c r="G91" s="255" t="str">
        <f>IF($H$11="(Select…)","-",E91*F91)</f>
        <v>-</v>
      </c>
      <c r="H91" s="256" t="str">
        <f>IF('Project Description'!$C$96="10 Years",-'Travel Forecasts'!N31,"---")</f>
        <v>---</v>
      </c>
      <c r="I91" s="294">
        <v>1.0000000000000001E-5</v>
      </c>
      <c r="J91" s="253" t="str">
        <f>IF('Project Description'!$C$96="10 Years",H91*I91,"---")</f>
        <v>---</v>
      </c>
      <c r="K91" s="254" t="str">
        <f>IF($H$11="Attainment",861.3,IF($H$11="Maintenance",1076.63,IF($H$11="Nonattainment",1291.95,"-")))</f>
        <v>-</v>
      </c>
      <c r="L91" s="255" t="str">
        <f>IF($H$11="(Select…)","-",IF('Project Description'!$C$96="10 Years",J91*K91,"---"))</f>
        <v>-</v>
      </c>
      <c r="M91" s="251" t="str">
        <f>IF('Project Description'!$C$96="20 Years",-'Travel Forecasts'!N31,"---")</f>
        <v>---</v>
      </c>
      <c r="N91" s="294">
        <v>1.0000000000000001E-5</v>
      </c>
      <c r="O91" s="253" t="str">
        <f>IF('Project Description'!$C$96="20 Years",M91*N91,"---")</f>
        <v>---</v>
      </c>
      <c r="P91" s="254" t="str">
        <f>IF($H$11="Attainment",896.4,IF($H$11="Maintenance",1120.5,IF($H$11="Nonattainment",1344.6,"-")))</f>
        <v>-</v>
      </c>
      <c r="Q91" s="255" t="str">
        <f>IF($H$11="(Select…)","-",IF('Project Description'!$C$96="20 Years",O91*P91,"---"))</f>
        <v>-</v>
      </c>
    </row>
    <row r="92" spans="1:18" s="8" customFormat="1" ht="18" customHeight="1">
      <c r="A92" s="259">
        <f>A91+1</f>
        <v>43</v>
      </c>
      <c r="B92" s="260" t="s">
        <v>178</v>
      </c>
      <c r="C92" s="261">
        <f>-'Travel Forecasts'!M32</f>
        <v>0</v>
      </c>
      <c r="D92" s="295">
        <v>4.7999999999999996E-4</v>
      </c>
      <c r="E92" s="263">
        <f t="shared" ref="E92:E100" si="17">C92*D92</f>
        <v>0</v>
      </c>
      <c r="F92" s="264" t="str">
        <f>IF($H$11="Attainment",680.4,IF($H$11="Maintenance",850.5,IF($H$11="Nonattainment",1020.6,"-")))</f>
        <v>-</v>
      </c>
      <c r="G92" s="265" t="str">
        <f t="shared" ref="G92:G100" si="18">IF($H$11="(Select…)","-",E92*F92)</f>
        <v>-</v>
      </c>
      <c r="H92" s="266" t="str">
        <f>IF('Project Description'!$C$96="10 Years",-'Travel Forecasts'!N32,"---")</f>
        <v>---</v>
      </c>
      <c r="I92" s="295">
        <v>8.9999999999999992E-5</v>
      </c>
      <c r="J92" s="263" t="str">
        <f>IF('Project Description'!$C$96="10 Years",H92*I92,"---")</f>
        <v>---</v>
      </c>
      <c r="K92" s="264" t="str">
        <f>IF($H$11="Attainment",861.3,IF($H$11="Maintenance",1076.63,IF($H$11="Nonattainment",1291.95,"-")))</f>
        <v>-</v>
      </c>
      <c r="L92" s="265" t="str">
        <f>IF($H$11="(Select…)","-",IF('Project Description'!$C$96="10 Years",J92*K92,"---"))</f>
        <v>-</v>
      </c>
      <c r="M92" s="261" t="str">
        <f>IF('Project Description'!$C$96="20 Years",-'Travel Forecasts'!N32,"---")</f>
        <v>---</v>
      </c>
      <c r="N92" s="295">
        <v>2.9999999999999997E-5</v>
      </c>
      <c r="O92" s="263" t="str">
        <f>IF('Project Description'!$C$96="20 Years",M92*N92,"---")</f>
        <v>---</v>
      </c>
      <c r="P92" s="268" t="str">
        <f>IF($H$11="Attainment",896.4,IF($H$11="Maintenance",1120.5,IF($H$11="Nonattainment",1344.6,"-")))</f>
        <v>-</v>
      </c>
      <c r="Q92" s="269" t="str">
        <f>IF($H$11="(Select…)","-",IF('Project Description'!$C$96="20 Years",O92*P92,"---"))</f>
        <v>-</v>
      </c>
    </row>
    <row r="93" spans="1:18" s="8" customFormat="1" ht="18" customHeight="1">
      <c r="A93" s="259">
        <f t="shared" ref="A93:A101" si="19">A92+1</f>
        <v>44</v>
      </c>
      <c r="B93" s="260" t="s">
        <v>179</v>
      </c>
      <c r="C93" s="261">
        <f>-'Travel Forecasts'!M33</f>
        <v>0</v>
      </c>
      <c r="D93" s="295">
        <v>4.7999999999999996E-4</v>
      </c>
      <c r="E93" s="263">
        <f t="shared" si="17"/>
        <v>0</v>
      </c>
      <c r="F93" s="264" t="str">
        <f>IF($H$11="Attainment",680.4,IF($H$11="Maintenance",850.5,IF($H$11="Nonattainment",1020.6,"-")))</f>
        <v>-</v>
      </c>
      <c r="G93" s="265" t="str">
        <f t="shared" si="18"/>
        <v>-</v>
      </c>
      <c r="H93" s="266" t="str">
        <f>IF('Project Description'!$C$96="10 Years",-'Travel Forecasts'!N33,"---")</f>
        <v>---</v>
      </c>
      <c r="I93" s="295">
        <v>8.9999999999999992E-5</v>
      </c>
      <c r="J93" s="263" t="str">
        <f>IF('Project Description'!$C$96="10 Years",H93*I93,"---")</f>
        <v>---</v>
      </c>
      <c r="K93" s="264" t="str">
        <f>IF($H$11="Attainment",861.3,IF($H$11="Maintenance",1076.63,IF($H$11="Nonattainment",1291.95,"-")))</f>
        <v>-</v>
      </c>
      <c r="L93" s="265" t="str">
        <f>IF($H$11="(Select…)","-",IF('Project Description'!$C$96="10 Years",J93*K93,"---"))</f>
        <v>-</v>
      </c>
      <c r="M93" s="261" t="str">
        <f>IF('Project Description'!$C$96="20 Years",-'Travel Forecasts'!N33,"---")</f>
        <v>---</v>
      </c>
      <c r="N93" s="295">
        <v>2.9999999999999997E-5</v>
      </c>
      <c r="O93" s="263" t="str">
        <f>IF('Project Description'!$C$96="20 Years",M93*N93,"---")</f>
        <v>---</v>
      </c>
      <c r="P93" s="268" t="str">
        <f>IF($H$11="Attainment",896.4,IF($H$11="Maintenance",1120.5,IF($H$11="Nonattainment",1344.6,"-")))</f>
        <v>-</v>
      </c>
      <c r="Q93" s="269" t="str">
        <f>IF($H$11="(Select…)","-",IF('Project Description'!$C$96="20 Years",O93*P93,"---"))</f>
        <v>-</v>
      </c>
    </row>
    <row r="94" spans="1:18" s="8" customFormat="1" ht="18" customHeight="1">
      <c r="A94" s="259">
        <f t="shared" si="19"/>
        <v>45</v>
      </c>
      <c r="B94" s="260" t="s">
        <v>180</v>
      </c>
      <c r="C94" s="261">
        <f>-'Travel Forecasts'!M34</f>
        <v>0</v>
      </c>
      <c r="D94" s="295">
        <v>1.0000000000000001E-5</v>
      </c>
      <c r="E94" s="263">
        <f t="shared" si="17"/>
        <v>0</v>
      </c>
      <c r="F94" s="264" t="str">
        <f>IF($H$11="Attainment",680.4,IF($H$11="Maintenance",850.5,IF($H$11="Nonattainment",1020.6,"-")))</f>
        <v>-</v>
      </c>
      <c r="G94" s="265" t="str">
        <f t="shared" si="18"/>
        <v>-</v>
      </c>
      <c r="H94" s="266" t="str">
        <f>IF('Project Description'!$C$96="10 Years",-'Travel Forecasts'!N34,"---")</f>
        <v>---</v>
      </c>
      <c r="I94" s="295">
        <v>1.0000000000000001E-5</v>
      </c>
      <c r="J94" s="263" t="str">
        <f>IF('Project Description'!$C$96="10 Years",H94*I94,"---")</f>
        <v>---</v>
      </c>
      <c r="K94" s="264" t="str">
        <f>IF($H$11="Attainment",861.3,IF($H$11="Maintenance",1076.63,IF($H$11="Nonattainment",1291.95,"-")))</f>
        <v>-</v>
      </c>
      <c r="L94" s="265" t="str">
        <f>IF($H$11="(Select…)","-",IF('Project Description'!$C$96="10 Years",J94*K94,"---"))</f>
        <v>-</v>
      </c>
      <c r="M94" s="261" t="str">
        <f>IF('Project Description'!$C$96="20 Years",-'Travel Forecasts'!N34,"---")</f>
        <v>---</v>
      </c>
      <c r="N94" s="295">
        <v>1.0000000000000001E-5</v>
      </c>
      <c r="O94" s="263" t="str">
        <f>IF('Project Description'!$C$96="20 Years",M94*N94,"---")</f>
        <v>---</v>
      </c>
      <c r="P94" s="268" t="str">
        <f>IF($H$11="Attainment",896.4,IF($H$11="Maintenance",1120.5,IF($H$11="Nonattainment",1344.6,"-")))</f>
        <v>-</v>
      </c>
      <c r="Q94" s="269" t="str">
        <f>IF($H$11="(Select…)","-",IF('Project Description'!$C$96="20 Years",O94*P94,"---"))</f>
        <v>-</v>
      </c>
    </row>
    <row r="95" spans="1:18" s="8" customFormat="1" ht="18" customHeight="1">
      <c r="A95" s="259">
        <f t="shared" si="19"/>
        <v>46</v>
      </c>
      <c r="B95" s="260" t="s">
        <v>181</v>
      </c>
      <c r="C95" s="261">
        <f>-'Travel Forecasts'!M35</f>
        <v>0</v>
      </c>
      <c r="D95" s="295">
        <v>3.7800000000000003E-4</v>
      </c>
      <c r="E95" s="263">
        <f t="shared" si="17"/>
        <v>0</v>
      </c>
      <c r="F95" s="264" t="str">
        <f>IF($H$11="Attainment",561.6,IF($H$11="Maintenance",702,IF($H$11="Nonattainment",842.4,"-")))</f>
        <v>-</v>
      </c>
      <c r="G95" s="265" t="str">
        <f t="shared" si="18"/>
        <v>-</v>
      </c>
      <c r="H95" s="266" t="str">
        <f>IF('Project Description'!$C$96="10 Years",-'Travel Forecasts'!N35,"---")</f>
        <v>---</v>
      </c>
      <c r="I95" s="295">
        <v>3.1300000000000002E-4</v>
      </c>
      <c r="J95" s="263" t="str">
        <f>IF('Project Description'!$C$96="10 Years",H95*I95,"---")</f>
        <v>---</v>
      </c>
      <c r="K95" s="264" t="str">
        <f>IF($H$11="Attainment",688.5,IF($H$11="Maintenance",860.63,IF($H$11="Nonattainment",1032.75,"-")))</f>
        <v>-</v>
      </c>
      <c r="L95" s="265" t="str">
        <f>IF($H$11="(Select…)","-",IF('Project Description'!$C$96="10 Years",J95*K95,"---"))</f>
        <v>-</v>
      </c>
      <c r="M95" s="261" t="str">
        <f>IF('Project Description'!$C$96="20 Years",-'Travel Forecasts'!N35,"---")</f>
        <v>---</v>
      </c>
      <c r="N95" s="295">
        <v>2.99E-4</v>
      </c>
      <c r="O95" s="263" t="str">
        <f>IF('Project Description'!$C$96="20 Years",M95*N95,"---")</f>
        <v>---</v>
      </c>
      <c r="P95" s="268" t="str">
        <f>IF($H$11="Attainment",712.8,IF($H$11="Maintenance",891,IF($H$11="Nonattainment",1069.2,"-")))</f>
        <v>-</v>
      </c>
      <c r="Q95" s="269" t="str">
        <f>IF($H$11="(Select…)","-",IF('Project Description'!$C$96="20 Years",O95*P95,"---"))</f>
        <v>-</v>
      </c>
    </row>
    <row r="96" spans="1:18" s="8" customFormat="1" ht="18" customHeight="1">
      <c r="A96" s="259">
        <f t="shared" si="19"/>
        <v>47</v>
      </c>
      <c r="B96" s="260" t="s">
        <v>155</v>
      </c>
      <c r="C96" s="261">
        <f>-'Travel Forecasts'!M36</f>
        <v>0</v>
      </c>
      <c r="D96" s="295">
        <v>4.1299999999999996E-4</v>
      </c>
      <c r="E96" s="263">
        <f t="shared" si="17"/>
        <v>0</v>
      </c>
      <c r="F96" s="264" t="str">
        <f>IF($H$11="Attainment",561.6,IF($H$11="Maintenance",702,IF($H$11="Nonattainment",842.4,"-")))</f>
        <v>-</v>
      </c>
      <c r="G96" s="265" t="str">
        <f t="shared" si="18"/>
        <v>-</v>
      </c>
      <c r="H96" s="266" t="str">
        <f>IF('Project Description'!$C$96="10 Years",-'Travel Forecasts'!N36,"---")</f>
        <v>---</v>
      </c>
      <c r="I96" s="295">
        <v>3.9800000000000002E-4</v>
      </c>
      <c r="J96" s="263" t="str">
        <f>IF('Project Description'!$C$96="10 Years",H96*I96,"---")</f>
        <v>---</v>
      </c>
      <c r="K96" s="264" t="str">
        <f>IF($H$11="Attainment",688.5,IF($H$11="Maintenance",860.63,IF($H$11="Nonattainment",1032.75,"-")))</f>
        <v>-</v>
      </c>
      <c r="L96" s="265" t="str">
        <f>IF($H$11="(Select…)","-",IF('Project Description'!$C$96="10 Years",J96*K96,"---"))</f>
        <v>-</v>
      </c>
      <c r="M96" s="261" t="str">
        <f>IF('Project Description'!$C$96="20 Years",-'Travel Forecasts'!N36,"---")</f>
        <v>---</v>
      </c>
      <c r="N96" s="295">
        <v>3.9899999999999999E-4</v>
      </c>
      <c r="O96" s="263" t="str">
        <f>IF('Project Description'!$C$96="20 Years",M96*N96,"---")</f>
        <v>---</v>
      </c>
      <c r="P96" s="268" t="str">
        <f>IF($H$11="Attainment",712.8,IF($H$11="Maintenance",891,IF($H$11="Nonattainment",1069.2,"-")))</f>
        <v>-</v>
      </c>
      <c r="Q96" s="269" t="str">
        <f>IF($H$11="(Select…)","-",IF('Project Description'!$C$96="20 Years",O96*P96,"---"))</f>
        <v>-</v>
      </c>
    </row>
    <row r="97" spans="1:18" s="8" customFormat="1" ht="18" customHeight="1">
      <c r="A97" s="259">
        <f t="shared" si="19"/>
        <v>48</v>
      </c>
      <c r="B97" s="260" t="s">
        <v>156</v>
      </c>
      <c r="C97" s="261">
        <f>-'Travel Forecasts'!M37</f>
        <v>0</v>
      </c>
      <c r="D97" s="295">
        <v>6.1499999999999999E-4</v>
      </c>
      <c r="E97" s="263">
        <f t="shared" si="17"/>
        <v>0</v>
      </c>
      <c r="F97" s="264" t="str">
        <f>IF($H$11="Attainment",561.6,IF($H$11="Maintenance",702,IF($H$11="Nonattainment",842.4,"-")))</f>
        <v>-</v>
      </c>
      <c r="G97" s="265" t="str">
        <f t="shared" si="18"/>
        <v>-</v>
      </c>
      <c r="H97" s="266" t="str">
        <f>IF('Project Description'!$C$96="10 Years",-'Travel Forecasts'!N37,"---")</f>
        <v>---</v>
      </c>
      <c r="I97" s="295">
        <v>5.9299999999999999E-4</v>
      </c>
      <c r="J97" s="263" t="str">
        <f>IF('Project Description'!$C$96="10 Years",H97*I97,"---")</f>
        <v>---</v>
      </c>
      <c r="K97" s="264" t="str">
        <f>IF($H$11="Attainment",688.5,IF($H$11="Maintenance",860.63,IF($H$11="Nonattainment",1032.75,"-")))</f>
        <v>-</v>
      </c>
      <c r="L97" s="265" t="str">
        <f>IF($H$11="(Select…)","-",IF('Project Description'!$C$96="10 Years",J97*K97,"---"))</f>
        <v>-</v>
      </c>
      <c r="M97" s="261" t="str">
        <f>IF('Project Description'!$C$96="20 Years",-'Travel Forecasts'!N37,"---")</f>
        <v>---</v>
      </c>
      <c r="N97" s="295">
        <v>5.9299999999999999E-4</v>
      </c>
      <c r="O97" s="263" t="str">
        <f>IF('Project Description'!$C$96="20 Years",M97*N97,"---")</f>
        <v>---</v>
      </c>
      <c r="P97" s="268" t="str">
        <f>IF($H$11="Attainment",712.8,IF($H$11="Maintenance",891,IF($H$11="Nonattainment",1069.2,"-")))</f>
        <v>-</v>
      </c>
      <c r="Q97" s="269" t="str">
        <f>IF($H$11="(Select…)","-",IF('Project Description'!$C$96="20 Years",O97*P97,"---"))</f>
        <v>-</v>
      </c>
    </row>
    <row r="98" spans="1:18" s="8" customFormat="1" ht="25.5">
      <c r="A98" s="259">
        <f t="shared" si="19"/>
        <v>49</v>
      </c>
      <c r="B98" s="260" t="s">
        <v>157</v>
      </c>
      <c r="C98" s="261">
        <f>-'Travel Forecasts'!M38</f>
        <v>0</v>
      </c>
      <c r="D98" s="295">
        <v>1.9000000000000001E-4</v>
      </c>
      <c r="E98" s="263">
        <f t="shared" si="17"/>
        <v>0</v>
      </c>
      <c r="F98" s="264" t="str">
        <f>IF($H$11="Attainment",680.4,IF($H$11="Maintenance",850.5,IF($H$11="Nonattainment",1020.6,"-")))</f>
        <v>-</v>
      </c>
      <c r="G98" s="265" t="str">
        <f t="shared" si="18"/>
        <v>-</v>
      </c>
      <c r="H98" s="266" t="str">
        <f>IF('Project Description'!$C$96="10 Years",-'Travel Forecasts'!N38,"---")</f>
        <v>---</v>
      </c>
      <c r="I98" s="295">
        <v>1.9000000000000001E-4</v>
      </c>
      <c r="J98" s="263" t="str">
        <f>IF('Project Description'!$C$96="10 Years",H98*I98,"---")</f>
        <v>---</v>
      </c>
      <c r="K98" s="264" t="str">
        <f>IF($H$11="Attainment",861.3,IF($H$11="Maintenance",1076.63,IF($H$11="Nonattainment",1291.95,"-")))</f>
        <v>-</v>
      </c>
      <c r="L98" s="265" t="str">
        <f>IF($H$11="(Select…)","-",IF('Project Description'!$C$96="10 Years",J98*K98,"---"))</f>
        <v>-</v>
      </c>
      <c r="M98" s="261" t="str">
        <f>IF('Project Description'!$C$96="20 Years",-'Travel Forecasts'!N38,"---")</f>
        <v>---</v>
      </c>
      <c r="N98" s="295">
        <v>1.9000000000000001E-4</v>
      </c>
      <c r="O98" s="263" t="str">
        <f>IF('Project Description'!$C$96="20 Years",M98*N98,"---")</f>
        <v>---</v>
      </c>
      <c r="P98" s="268" t="str">
        <f>IF($H$11="Attainment",896.4,IF($H$11="Maintenance",1120.5,IF($H$11="Nonattainment",1344.6,"-")))</f>
        <v>-</v>
      </c>
      <c r="Q98" s="269" t="str">
        <f>IF($H$11="(Select…)","-",IF('Project Description'!$C$96="20 Years",O98*P98,"---"))</f>
        <v>-</v>
      </c>
    </row>
    <row r="99" spans="1:18" s="8" customFormat="1" ht="25.5">
      <c r="A99" s="259">
        <f t="shared" si="19"/>
        <v>50</v>
      </c>
      <c r="B99" s="260" t="s">
        <v>160</v>
      </c>
      <c r="C99" s="261">
        <f>-'Travel Forecasts'!M39</f>
        <v>0</v>
      </c>
      <c r="D99" s="295">
        <v>4.5999999999999999E-3</v>
      </c>
      <c r="E99" s="263">
        <f t="shared" si="17"/>
        <v>0</v>
      </c>
      <c r="F99" s="264" t="str">
        <f>IF($H$11="Attainment",680.4,IF($H$11="Maintenance",850.5,IF($H$11="Nonattainment",1020.6,"-")))</f>
        <v>-</v>
      </c>
      <c r="G99" s="265" t="str">
        <f t="shared" si="18"/>
        <v>-</v>
      </c>
      <c r="H99" s="266" t="str">
        <f>IF('Project Description'!$C$96="10 Years",-'Travel Forecasts'!N39,"---")</f>
        <v>---</v>
      </c>
      <c r="I99" s="295">
        <v>1.33E-3</v>
      </c>
      <c r="J99" s="263" t="str">
        <f>IF('Project Description'!$C$96="10 Years",H99*I99,"---")</f>
        <v>---</v>
      </c>
      <c r="K99" s="264" t="str">
        <f>IF($H$11="Attainment",861.3,IF($H$11="Maintenance",1076.63,IF($H$11="Nonattainment",1291.95,"-")))</f>
        <v>-</v>
      </c>
      <c r="L99" s="265" t="str">
        <f>IF($H$11="(Select…)","-",IF('Project Description'!$C$96="10 Years",J99*K99,"---"))</f>
        <v>-</v>
      </c>
      <c r="M99" s="261" t="str">
        <f>IF('Project Description'!$C$96="20 Years",-'Travel Forecasts'!N39,"---")</f>
        <v>---</v>
      </c>
      <c r="N99" s="295">
        <v>4.6999999999999999E-4</v>
      </c>
      <c r="O99" s="263" t="str">
        <f>IF('Project Description'!$C$96="20 Years",M99*N99,"---")</f>
        <v>---</v>
      </c>
      <c r="P99" s="268" t="str">
        <f>IF($H$11="Attainment",896.4,IF($H$11="Maintenance",1120.5,IF($H$11="Nonattainment",1344.6,"-")))</f>
        <v>-</v>
      </c>
      <c r="Q99" s="269" t="str">
        <f>IF($H$11="(Select…)","-",IF('Project Description'!$C$96="20 Years",O99*P99,"---"))</f>
        <v>-</v>
      </c>
    </row>
    <row r="100" spans="1:18" s="8" customFormat="1" ht="18" customHeight="1">
      <c r="A100" s="270">
        <f t="shared" si="19"/>
        <v>51</v>
      </c>
      <c r="B100" s="271" t="s">
        <v>158</v>
      </c>
      <c r="C100" s="272">
        <f>-'Travel Forecasts'!M40</f>
        <v>0</v>
      </c>
      <c r="D100" s="296">
        <v>7.5000000000000002E-4</v>
      </c>
      <c r="E100" s="274">
        <f t="shared" si="17"/>
        <v>0</v>
      </c>
      <c r="F100" s="275" t="str">
        <f>IF($H$11="Attainment",561.6,IF($H$11="Maintenance",702,IF($H$11="Nonattainment",842.4,"-")))</f>
        <v>-</v>
      </c>
      <c r="G100" s="276" t="str">
        <f t="shared" si="18"/>
        <v>-</v>
      </c>
      <c r="H100" s="277" t="str">
        <f>IF('Project Description'!$C$96="10 Years",-'Travel Forecasts'!N40,"---")</f>
        <v>---</v>
      </c>
      <c r="I100" s="296">
        <v>7.2199999999999999E-4</v>
      </c>
      <c r="J100" s="274" t="str">
        <f>IF('Project Description'!$C$96="10 Years",H100*I100,"---")</f>
        <v>---</v>
      </c>
      <c r="K100" s="275" t="str">
        <f>IF($H$11="Attainment",688.5,IF($H$11="Maintenance",860.63,IF($H$11="Nonattainment",1032.75,"-")))</f>
        <v>-</v>
      </c>
      <c r="L100" s="276" t="str">
        <f>IF($H$11="(Select…)","-",IF('Project Description'!$C$96="10 Years",J100*K100,"---"))</f>
        <v>-</v>
      </c>
      <c r="M100" s="272" t="str">
        <f>IF('Project Description'!$C$96="20 Years",-'Travel Forecasts'!N40,"---")</f>
        <v>---</v>
      </c>
      <c r="N100" s="296">
        <v>7.2300000000000001E-4</v>
      </c>
      <c r="O100" s="274" t="str">
        <f>IF('Project Description'!$C$96="20 Years",M100*N100,"---")</f>
        <v>---</v>
      </c>
      <c r="P100" s="279" t="str">
        <f>IF($H$11="Attainment",712.8,IF($H$11="Maintenance",891,IF($H$11="Nonattainment",1069.2,"-")))</f>
        <v>-</v>
      </c>
      <c r="Q100" s="280" t="str">
        <f>IF($H$11="(Select…)","-",IF('Project Description'!$C$96="20 Years",O100*P100,"---"))</f>
        <v>-</v>
      </c>
    </row>
    <row r="101" spans="1:18" ht="16.5" thickBot="1">
      <c r="A101" s="281">
        <f t="shared" si="19"/>
        <v>52</v>
      </c>
      <c r="B101" s="282" t="s">
        <v>175</v>
      </c>
      <c r="C101" s="283">
        <f>SUM(C91:C100)</f>
        <v>0</v>
      </c>
      <c r="D101" s="284" t="s">
        <v>133</v>
      </c>
      <c r="E101" s="285">
        <f>SUM(E91:E100)</f>
        <v>0</v>
      </c>
      <c r="F101" s="286" t="s">
        <v>133</v>
      </c>
      <c r="G101" s="287">
        <f>SUM(G91:G100)</f>
        <v>0</v>
      </c>
      <c r="H101" s="288" t="str">
        <f>IF('Project Description'!$C$96="10 Years",SUM(H91:H100),"---")</f>
        <v>---</v>
      </c>
      <c r="I101" s="289" t="s">
        <v>133</v>
      </c>
      <c r="J101" s="285" t="str">
        <f>IF('Project Description'!$C$96="10 Years",SUM(J91:J100),"---")</f>
        <v>---</v>
      </c>
      <c r="K101" s="290" t="s">
        <v>133</v>
      </c>
      <c r="L101" s="287" t="str">
        <f>IF('Project Description'!$C$96="10 Years",SUM(L91:L100),"---")</f>
        <v>---</v>
      </c>
      <c r="M101" s="283" t="str">
        <f>IF('Project Description'!$C$96="20 Years",SUM(M91:M100),"---")</f>
        <v>---</v>
      </c>
      <c r="N101" s="289" t="s">
        <v>133</v>
      </c>
      <c r="O101" s="285" t="str">
        <f>IF('Project Description'!$C$96="20 Years",SUM(O91:O100),"---")</f>
        <v>---</v>
      </c>
      <c r="P101" s="290" t="s">
        <v>133</v>
      </c>
      <c r="Q101" s="287" t="str">
        <f>IF('Project Description'!$C$96="20 Years",SUM(Q91:Q100),"---")</f>
        <v>---</v>
      </c>
    </row>
    <row r="102" spans="1:18" ht="16.5" thickBot="1">
      <c r="A102" s="431"/>
      <c r="B102" s="432"/>
      <c r="C102" s="433"/>
      <c r="D102" s="434"/>
      <c r="E102" s="435"/>
      <c r="F102" s="434"/>
      <c r="G102" s="436"/>
      <c r="H102" s="433"/>
      <c r="I102" s="437"/>
      <c r="J102" s="435"/>
      <c r="K102" s="437"/>
      <c r="L102" s="436"/>
      <c r="M102" s="433"/>
      <c r="N102" s="437"/>
      <c r="O102" s="435"/>
      <c r="P102" s="437"/>
      <c r="Q102" s="436"/>
    </row>
    <row r="103" spans="1:18" ht="18.75" customHeight="1" thickBot="1">
      <c r="A103" s="869" t="s">
        <v>410</v>
      </c>
      <c r="B103" s="870"/>
      <c r="C103" s="870"/>
      <c r="D103" s="870"/>
      <c r="E103" s="870"/>
      <c r="F103" s="870"/>
      <c r="G103" s="870"/>
      <c r="H103" s="870"/>
      <c r="I103" s="870"/>
      <c r="J103" s="870"/>
      <c r="K103" s="870"/>
      <c r="L103" s="870"/>
      <c r="M103" s="870"/>
      <c r="N103" s="870"/>
      <c r="O103" s="870"/>
      <c r="P103" s="870"/>
      <c r="Q103" s="871"/>
      <c r="R103" s="41"/>
    </row>
    <row r="104" spans="1:18" s="3" customFormat="1" ht="15.75" thickBot="1">
      <c r="A104" s="199"/>
      <c r="B104" s="199"/>
      <c r="C104" s="384"/>
      <c r="D104" s="384"/>
      <c r="E104" s="385"/>
      <c r="F104" s="385"/>
      <c r="G104" s="385"/>
      <c r="H104" s="385"/>
      <c r="I104" s="199"/>
      <c r="J104" s="199"/>
      <c r="K104" s="199"/>
      <c r="L104" s="199"/>
      <c r="M104" s="199"/>
      <c r="N104" s="199"/>
      <c r="O104" s="199"/>
      <c r="P104" s="199"/>
      <c r="Q104" s="199"/>
    </row>
    <row r="105" spans="1:18" ht="19.5" thickBot="1">
      <c r="A105" s="890" t="s">
        <v>248</v>
      </c>
      <c r="B105" s="891"/>
      <c r="C105" s="891"/>
      <c r="D105" s="891"/>
      <c r="E105" s="891"/>
      <c r="F105" s="891"/>
      <c r="G105" s="891"/>
      <c r="H105" s="891"/>
      <c r="I105" s="891"/>
      <c r="J105" s="891"/>
      <c r="K105" s="891"/>
      <c r="L105" s="891"/>
      <c r="M105" s="891"/>
      <c r="N105" s="891"/>
      <c r="O105" s="891"/>
      <c r="P105" s="891"/>
      <c r="Q105" s="892"/>
      <c r="R105" s="40"/>
    </row>
    <row r="106" spans="1:18" s="8" customFormat="1" ht="15.75">
      <c r="A106" s="875" t="s">
        <v>1</v>
      </c>
      <c r="B106" s="877" t="s">
        <v>159</v>
      </c>
      <c r="C106" s="879" t="s">
        <v>153</v>
      </c>
      <c r="D106" s="880"/>
      <c r="E106" s="880"/>
      <c r="F106" s="880"/>
      <c r="G106" s="881"/>
      <c r="H106" s="880" t="s">
        <v>239</v>
      </c>
      <c r="I106" s="880"/>
      <c r="J106" s="880"/>
      <c r="K106" s="880"/>
      <c r="L106" s="880"/>
      <c r="M106" s="879" t="s">
        <v>240</v>
      </c>
      <c r="N106" s="880"/>
      <c r="O106" s="880"/>
      <c r="P106" s="880"/>
      <c r="Q106" s="881"/>
    </row>
    <row r="107" spans="1:18" s="8" customFormat="1" ht="60.75" customHeight="1">
      <c r="A107" s="876"/>
      <c r="B107" s="878"/>
      <c r="C107" s="244" t="s">
        <v>242</v>
      </c>
      <c r="D107" s="245" t="s">
        <v>243</v>
      </c>
      <c r="E107" s="245" t="s">
        <v>259</v>
      </c>
      <c r="F107" s="246" t="s">
        <v>244</v>
      </c>
      <c r="G107" s="247" t="s">
        <v>284</v>
      </c>
      <c r="H107" s="248" t="s">
        <v>242</v>
      </c>
      <c r="I107" s="245" t="s">
        <v>243</v>
      </c>
      <c r="J107" s="245" t="s">
        <v>259</v>
      </c>
      <c r="K107" s="246" t="s">
        <v>244</v>
      </c>
      <c r="L107" s="247" t="s">
        <v>284</v>
      </c>
      <c r="M107" s="244" t="s">
        <v>242</v>
      </c>
      <c r="N107" s="245" t="s">
        <v>243</v>
      </c>
      <c r="O107" s="245" t="s">
        <v>259</v>
      </c>
      <c r="P107" s="246" t="s">
        <v>244</v>
      </c>
      <c r="Q107" s="247" t="s">
        <v>284</v>
      </c>
    </row>
    <row r="108" spans="1:18" s="8" customFormat="1" ht="18" customHeight="1">
      <c r="A108" s="249">
        <f>A101+1</f>
        <v>53</v>
      </c>
      <c r="B108" s="250" t="s">
        <v>154</v>
      </c>
      <c r="C108" s="251">
        <f>IF('Project Description'!$C$92="Yes",H25,-'Travel Forecasts'!M31)</f>
        <v>0</v>
      </c>
      <c r="D108" s="294">
        <v>5.3200000000000003E-4</v>
      </c>
      <c r="E108" s="253">
        <f>C108*D108</f>
        <v>0</v>
      </c>
      <c r="F108" s="254">
        <v>38</v>
      </c>
      <c r="G108" s="255" t="str">
        <f t="shared" ref="G108:G117" si="20">IF($H$8="(Select…)","-",E108*F108)</f>
        <v>-</v>
      </c>
      <c r="H108" s="256" t="str">
        <f>IF('Project Description'!$C$96="10 Years",-'Travel Forecasts'!N31,"---")</f>
        <v>---</v>
      </c>
      <c r="I108" s="294">
        <v>4.3399999999999998E-4</v>
      </c>
      <c r="J108" s="253" t="str">
        <f>IF('Project Description'!$C$96="10 Years",H108*I108,"---")</f>
        <v>---</v>
      </c>
      <c r="K108" s="254">
        <v>38</v>
      </c>
      <c r="L108" s="255" t="str">
        <f>IF($H$8="(Select…)","-",IF('Project Description'!$C$96="10 Years",J108*K108,"---"))</f>
        <v>-</v>
      </c>
      <c r="M108" s="251" t="str">
        <f>IF('Project Description'!$C$96="20 Years",-'Travel Forecasts'!N31,"---")</f>
        <v>---</v>
      </c>
      <c r="N108" s="294">
        <v>3.97E-4</v>
      </c>
      <c r="O108" s="253" t="str">
        <f>IF('Project Description'!$C$96="20 Years",M108*N108,"---")</f>
        <v>---</v>
      </c>
      <c r="P108" s="254">
        <v>38</v>
      </c>
      <c r="Q108" s="255" t="str">
        <f>IF($H$8="(Select…)","-",IF('Project Description'!$C$96="20 Years",O108*P108,"---"))</f>
        <v>-</v>
      </c>
    </row>
    <row r="109" spans="1:18" s="8" customFormat="1" ht="18" customHeight="1">
      <c r="A109" s="259">
        <f>A108+1</f>
        <v>54</v>
      </c>
      <c r="B109" s="260" t="s">
        <v>178</v>
      </c>
      <c r="C109" s="261">
        <f>-'Travel Forecasts'!M32</f>
        <v>0</v>
      </c>
      <c r="D109" s="295">
        <v>3.3189999999999999E-3</v>
      </c>
      <c r="E109" s="263">
        <f t="shared" ref="E109:E117" si="21">C109*D109</f>
        <v>0</v>
      </c>
      <c r="F109" s="264">
        <v>38</v>
      </c>
      <c r="G109" s="265" t="str">
        <f t="shared" si="20"/>
        <v>-</v>
      </c>
      <c r="H109" s="266" t="str">
        <f>IF('Project Description'!$C$96="10 Years",-'Travel Forecasts'!N32,"---")</f>
        <v>---</v>
      </c>
      <c r="I109" s="295">
        <v>2.8540000000000002E-3</v>
      </c>
      <c r="J109" s="263" t="str">
        <f>IF('Project Description'!$C$96="10 Years",H109*I109,"---")</f>
        <v>---</v>
      </c>
      <c r="K109" s="264">
        <v>38</v>
      </c>
      <c r="L109" s="265" t="str">
        <f>IF($H$8="(Select…)","-",IF('Project Description'!$C$96="10 Years",J109*K109,"---"))</f>
        <v>-</v>
      </c>
      <c r="M109" s="261" t="str">
        <f>IF('Project Description'!$C$96="20 Years",-'Travel Forecasts'!N32,"---")</f>
        <v>---</v>
      </c>
      <c r="N109" s="295">
        <v>2.7209999999999999E-3</v>
      </c>
      <c r="O109" s="263" t="str">
        <f>IF('Project Description'!$C$96="20 Years",M109*N109,"---")</f>
        <v>---</v>
      </c>
      <c r="P109" s="268">
        <v>38</v>
      </c>
      <c r="Q109" s="269" t="str">
        <f>IF($H$8="(Select…)","-",IF('Project Description'!$C$96="20 Years",O109*P109,"---"))</f>
        <v>-</v>
      </c>
    </row>
    <row r="110" spans="1:18" s="8" customFormat="1" ht="18" customHeight="1">
      <c r="A110" s="259">
        <f t="shared" ref="A110:A118" si="22">A109+1</f>
        <v>55</v>
      </c>
      <c r="B110" s="260" t="s">
        <v>179</v>
      </c>
      <c r="C110" s="261">
        <f>-'Travel Forecasts'!M33</f>
        <v>0</v>
      </c>
      <c r="D110" s="295">
        <v>2.6549999999999998E-3</v>
      </c>
      <c r="E110" s="263">
        <f t="shared" si="21"/>
        <v>0</v>
      </c>
      <c r="F110" s="264">
        <v>38</v>
      </c>
      <c r="G110" s="265" t="str">
        <f t="shared" si="20"/>
        <v>-</v>
      </c>
      <c r="H110" s="266" t="str">
        <f>IF('Project Description'!$C$96="10 Years",-'Travel Forecasts'!N33,"---")</f>
        <v>---</v>
      </c>
      <c r="I110" s="295">
        <v>2.2829999999999999E-3</v>
      </c>
      <c r="J110" s="263" t="str">
        <f>IF('Project Description'!$C$96="10 Years",H110*I110,"---")</f>
        <v>---</v>
      </c>
      <c r="K110" s="264">
        <v>38</v>
      </c>
      <c r="L110" s="265" t="str">
        <f>IF($H$8="(Select…)","-",IF('Project Description'!$C$96="10 Years",J110*K110,"---"))</f>
        <v>-</v>
      </c>
      <c r="M110" s="261" t="str">
        <f>IF('Project Description'!$C$96="20 Years",-'Travel Forecasts'!N33,"---")</f>
        <v>---</v>
      </c>
      <c r="N110" s="295">
        <v>2.1770000000000001E-3</v>
      </c>
      <c r="O110" s="263" t="str">
        <f>IF('Project Description'!$C$96="20 Years",M110*N110,"---")</f>
        <v>---</v>
      </c>
      <c r="P110" s="268">
        <v>38</v>
      </c>
      <c r="Q110" s="269" t="str">
        <f>IF($H$8="(Select…)","-",IF('Project Description'!$C$96="20 Years",O110*P110,"---"))</f>
        <v>-</v>
      </c>
    </row>
    <row r="111" spans="1:18" s="8" customFormat="1" ht="18" customHeight="1">
      <c r="A111" s="259">
        <f t="shared" si="22"/>
        <v>56</v>
      </c>
      <c r="B111" s="260" t="s">
        <v>180</v>
      </c>
      <c r="C111" s="261">
        <f>-'Travel Forecasts'!M34</f>
        <v>0</v>
      </c>
      <c r="D111" s="295">
        <v>2.9350000000000001E-3</v>
      </c>
      <c r="E111" s="263">
        <f t="shared" si="21"/>
        <v>0</v>
      </c>
      <c r="F111" s="264">
        <v>38</v>
      </c>
      <c r="G111" s="265" t="str">
        <f t="shared" si="20"/>
        <v>-</v>
      </c>
      <c r="H111" s="266" t="str">
        <f>IF('Project Description'!$C$96="10 Years",-'Travel Forecasts'!N34,"---")</f>
        <v>---</v>
      </c>
      <c r="I111" s="295">
        <v>2.5240000000000002E-3</v>
      </c>
      <c r="J111" s="263" t="str">
        <f>IF('Project Description'!$C$96="10 Years",H111*I111,"---")</f>
        <v>---</v>
      </c>
      <c r="K111" s="264">
        <v>38</v>
      </c>
      <c r="L111" s="265" t="str">
        <f>IF($H$8="(Select…)","-",IF('Project Description'!$C$96="10 Years",J111*K111,"---"))</f>
        <v>-</v>
      </c>
      <c r="M111" s="261" t="str">
        <f>IF('Project Description'!$C$96="20 Years",-'Travel Forecasts'!N34,"---")</f>
        <v>---</v>
      </c>
      <c r="N111" s="295">
        <v>2.4060000000000002E-3</v>
      </c>
      <c r="O111" s="263" t="str">
        <f>IF('Project Description'!$C$96="20 Years",M111*N111,"---")</f>
        <v>---</v>
      </c>
      <c r="P111" s="268">
        <v>38</v>
      </c>
      <c r="Q111" s="269" t="str">
        <f>IF($H$8="(Select…)","-",IF('Project Description'!$C$96="20 Years",O111*P111,"---"))</f>
        <v>-</v>
      </c>
    </row>
    <row r="112" spans="1:18" s="8" customFormat="1" ht="18" customHeight="1">
      <c r="A112" s="259">
        <f t="shared" si="22"/>
        <v>57</v>
      </c>
      <c r="B112" s="260" t="s">
        <v>181</v>
      </c>
      <c r="C112" s="261">
        <f>-'Travel Forecasts'!M35</f>
        <v>0</v>
      </c>
      <c r="D112" s="295">
        <v>2.934E-3</v>
      </c>
      <c r="E112" s="263">
        <f t="shared" si="21"/>
        <v>0</v>
      </c>
      <c r="F112" s="264">
        <v>38</v>
      </c>
      <c r="G112" s="265" t="str">
        <f t="shared" si="20"/>
        <v>-</v>
      </c>
      <c r="H112" s="266" t="str">
        <f>IF('Project Description'!$C$96="10 Years",-'Travel Forecasts'!N35,"---")</f>
        <v>---</v>
      </c>
      <c r="I112" s="295">
        <v>2.441E-3</v>
      </c>
      <c r="J112" s="263" t="str">
        <f>IF('Project Description'!$C$96="10 Years",H112*I112,"---")</f>
        <v>---</v>
      </c>
      <c r="K112" s="264">
        <v>38</v>
      </c>
      <c r="L112" s="265" t="str">
        <f>IF($H$8="(Select…)","-",IF('Project Description'!$C$96="10 Years",J112*K112,"---"))</f>
        <v>-</v>
      </c>
      <c r="M112" s="261" t="str">
        <f>IF('Project Description'!$C$96="20 Years",-'Travel Forecasts'!N35,"---")</f>
        <v>---</v>
      </c>
      <c r="N112" s="295">
        <v>2.3029999999999999E-3</v>
      </c>
      <c r="O112" s="263" t="str">
        <f>IF('Project Description'!$C$96="20 Years",M112*N112,"---")</f>
        <v>---</v>
      </c>
      <c r="P112" s="268">
        <v>38</v>
      </c>
      <c r="Q112" s="269" t="str">
        <f>IF($H$8="(Select…)","-",IF('Project Description'!$C$96="20 Years",O112*P112,"---"))</f>
        <v>-</v>
      </c>
    </row>
    <row r="113" spans="1:18" s="8" customFormat="1" ht="18" customHeight="1">
      <c r="A113" s="259">
        <f t="shared" si="22"/>
        <v>58</v>
      </c>
      <c r="B113" s="260" t="s">
        <v>155</v>
      </c>
      <c r="C113" s="261">
        <f>-'Travel Forecasts'!M36</f>
        <v>0</v>
      </c>
      <c r="D113" s="295">
        <v>3.2109999999999999E-3</v>
      </c>
      <c r="E113" s="263">
        <f t="shared" si="21"/>
        <v>0</v>
      </c>
      <c r="F113" s="264">
        <v>38</v>
      </c>
      <c r="G113" s="265" t="str">
        <f t="shared" si="20"/>
        <v>-</v>
      </c>
      <c r="H113" s="266" t="str">
        <f>IF('Project Description'!$C$96="10 Years",-'Travel Forecasts'!N36,"---")</f>
        <v>---</v>
      </c>
      <c r="I113" s="295">
        <v>3.1059999999999998E-3</v>
      </c>
      <c r="J113" s="263" t="str">
        <f>IF('Project Description'!$C$96="10 Years",H113*I113,"---")</f>
        <v>---</v>
      </c>
      <c r="K113" s="264">
        <v>38</v>
      </c>
      <c r="L113" s="265" t="str">
        <f>IF($H$8="(Select…)","-",IF('Project Description'!$C$96="10 Years",J113*K113,"---"))</f>
        <v>-</v>
      </c>
      <c r="M113" s="261" t="str">
        <f>IF('Project Description'!$C$96="20 Years",-'Travel Forecasts'!N36,"---")</f>
        <v>---</v>
      </c>
      <c r="N113" s="295">
        <v>3.0730000000000002E-3</v>
      </c>
      <c r="O113" s="263" t="str">
        <f>IF('Project Description'!$C$96="20 Years",M113*N113,"---")</f>
        <v>---</v>
      </c>
      <c r="P113" s="268">
        <v>38</v>
      </c>
      <c r="Q113" s="269" t="str">
        <f>IF($H$8="(Select…)","-",IF('Project Description'!$C$96="20 Years",O113*P113,"---"))</f>
        <v>-</v>
      </c>
    </row>
    <row r="114" spans="1:18" s="8" customFormat="1" ht="18" customHeight="1">
      <c r="A114" s="259">
        <f t="shared" si="22"/>
        <v>59</v>
      </c>
      <c r="B114" s="260" t="s">
        <v>156</v>
      </c>
      <c r="C114" s="261">
        <f>-'Travel Forecasts'!M37</f>
        <v>0</v>
      </c>
      <c r="D114" s="295">
        <v>4.7790000000000003E-3</v>
      </c>
      <c r="E114" s="263">
        <f t="shared" si="21"/>
        <v>0</v>
      </c>
      <c r="F114" s="264">
        <v>38</v>
      </c>
      <c r="G114" s="265" t="str">
        <f t="shared" si="20"/>
        <v>-</v>
      </c>
      <c r="H114" s="266" t="str">
        <f>IF('Project Description'!$C$96="10 Years",-'Travel Forecasts'!N37,"---")</f>
        <v>---</v>
      </c>
      <c r="I114" s="295">
        <v>4.6230000000000004E-3</v>
      </c>
      <c r="J114" s="263" t="str">
        <f>IF('Project Description'!$C$96="10 Years",H114*I114,"---")</f>
        <v>---</v>
      </c>
      <c r="K114" s="264">
        <v>38</v>
      </c>
      <c r="L114" s="265" t="str">
        <f>IF($H$8="(Select…)","-",IF('Project Description'!$C$96="10 Years",J114*K114,"---"))</f>
        <v>-</v>
      </c>
      <c r="M114" s="261" t="str">
        <f>IF('Project Description'!$C$96="20 Years",-'Travel Forecasts'!N37,"---")</f>
        <v>---</v>
      </c>
      <c r="N114" s="295">
        <v>4.5739999999999999E-3</v>
      </c>
      <c r="O114" s="263" t="str">
        <f>IF('Project Description'!$C$96="20 Years",M114*N114,"---")</f>
        <v>---</v>
      </c>
      <c r="P114" s="268">
        <v>38</v>
      </c>
      <c r="Q114" s="269" t="str">
        <f>IF($H$8="(Select…)","-",IF('Project Description'!$C$96="20 Years",O114*P114,"---"))</f>
        <v>-</v>
      </c>
    </row>
    <row r="115" spans="1:18" s="8" customFormat="1" ht="25.5">
      <c r="A115" s="259">
        <f t="shared" si="22"/>
        <v>60</v>
      </c>
      <c r="B115" s="260" t="s">
        <v>157</v>
      </c>
      <c r="C115" s="261">
        <f>-'Travel Forecasts'!M38</f>
        <v>0</v>
      </c>
      <c r="D115" s="295">
        <v>7.9699999999999997E-3</v>
      </c>
      <c r="E115" s="263">
        <f t="shared" si="21"/>
        <v>0</v>
      </c>
      <c r="F115" s="264">
        <v>38</v>
      </c>
      <c r="G115" s="265" t="str">
        <f t="shared" si="20"/>
        <v>-</v>
      </c>
      <c r="H115" s="266" t="str">
        <f>IF('Project Description'!$C$96="10 Years",-'Travel Forecasts'!N38,"---")</f>
        <v>---</v>
      </c>
      <c r="I115" s="295">
        <v>7.9699999999999997E-3</v>
      </c>
      <c r="J115" s="263" t="str">
        <f>IF('Project Description'!$C$96="10 Years",H115*I115,"---")</f>
        <v>---</v>
      </c>
      <c r="K115" s="264">
        <v>38</v>
      </c>
      <c r="L115" s="265" t="str">
        <f>IF($H$8="(Select…)","-",IF('Project Description'!$C$96="10 Years",J115*K115,"---"))</f>
        <v>-</v>
      </c>
      <c r="M115" s="261" t="str">
        <f>IF('Project Description'!$C$96="20 Years",-'Travel Forecasts'!N38,"---")</f>
        <v>---</v>
      </c>
      <c r="N115" s="295">
        <v>7.9699999999999997E-3</v>
      </c>
      <c r="O115" s="263" t="str">
        <f>IF('Project Description'!$C$96="20 Years",M115*N115,"---")</f>
        <v>---</v>
      </c>
      <c r="P115" s="268">
        <v>38</v>
      </c>
      <c r="Q115" s="269" t="str">
        <f>IF($H$8="(Select…)","-",IF('Project Description'!$C$96="20 Years",O115*P115,"---"))</f>
        <v>-</v>
      </c>
    </row>
    <row r="116" spans="1:18" s="8" customFormat="1" ht="25.5">
      <c r="A116" s="259">
        <f t="shared" si="22"/>
        <v>61</v>
      </c>
      <c r="B116" s="260" t="s">
        <v>160</v>
      </c>
      <c r="C116" s="261">
        <f>-'Travel Forecasts'!M39</f>
        <v>0</v>
      </c>
      <c r="D116" s="295">
        <v>7.9699999999999997E-3</v>
      </c>
      <c r="E116" s="263">
        <f t="shared" si="21"/>
        <v>0</v>
      </c>
      <c r="F116" s="264">
        <v>38</v>
      </c>
      <c r="G116" s="265" t="str">
        <f t="shared" si="20"/>
        <v>-</v>
      </c>
      <c r="H116" s="266" t="str">
        <f>IF('Project Description'!$C$96="10 Years",-'Travel Forecasts'!N39,"---")</f>
        <v>---</v>
      </c>
      <c r="I116" s="295">
        <v>7.9699999999999997E-3</v>
      </c>
      <c r="J116" s="263" t="str">
        <f>IF('Project Description'!$C$96="10 Years",H116*I116,"---")</f>
        <v>---</v>
      </c>
      <c r="K116" s="264">
        <v>38</v>
      </c>
      <c r="L116" s="265" t="str">
        <f>IF($H$8="(Select…)","-",IF('Project Description'!$C$96="10 Years",J116*K116,"---"))</f>
        <v>-</v>
      </c>
      <c r="M116" s="261" t="str">
        <f>IF('Project Description'!$C$96="20 Years",-'Travel Forecasts'!N39,"---")</f>
        <v>---</v>
      </c>
      <c r="N116" s="295">
        <v>7.9699999999999997E-3</v>
      </c>
      <c r="O116" s="263" t="str">
        <f>IF('Project Description'!$C$96="20 Years",M116*N116,"---")</f>
        <v>---</v>
      </c>
      <c r="P116" s="268">
        <v>38</v>
      </c>
      <c r="Q116" s="269" t="str">
        <f>IF($H$8="(Select…)","-",IF('Project Description'!$C$96="20 Years",O116*P116,"---"))</f>
        <v>-</v>
      </c>
    </row>
    <row r="117" spans="1:18" s="8" customFormat="1" ht="18" customHeight="1">
      <c r="A117" s="270">
        <f t="shared" si="22"/>
        <v>62</v>
      </c>
      <c r="B117" s="271" t="s">
        <v>158</v>
      </c>
      <c r="C117" s="272">
        <f>-'Travel Forecasts'!M40</f>
        <v>0</v>
      </c>
      <c r="D117" s="296">
        <v>5.8209999999999998E-3</v>
      </c>
      <c r="E117" s="274">
        <f t="shared" si="21"/>
        <v>0</v>
      </c>
      <c r="F117" s="275">
        <v>38</v>
      </c>
      <c r="G117" s="276" t="str">
        <f t="shared" si="20"/>
        <v>-</v>
      </c>
      <c r="H117" s="277" t="str">
        <f>IF('Project Description'!$C$96="10 Years",-'Travel Forecasts'!N40,"---")</f>
        <v>---</v>
      </c>
      <c r="I117" s="296">
        <v>5.6319999999999999E-3</v>
      </c>
      <c r="J117" s="274" t="str">
        <f>IF('Project Description'!$C$96="10 Years",H117*I117,"---")</f>
        <v>---</v>
      </c>
      <c r="K117" s="275">
        <v>38</v>
      </c>
      <c r="L117" s="276" t="str">
        <f>IF($H$8="(Select…)","-",IF('Project Description'!$C$96="10 Years",J117*K117,"---"))</f>
        <v>-</v>
      </c>
      <c r="M117" s="272" t="str">
        <f>IF('Project Description'!$C$96="20 Years",-'Travel Forecasts'!N40,"---")</f>
        <v>---</v>
      </c>
      <c r="N117" s="296">
        <v>5.5719999999999997E-3</v>
      </c>
      <c r="O117" s="274" t="str">
        <f>IF('Project Description'!$C$96="20 Years",M117*N117,"---")</f>
        <v>---</v>
      </c>
      <c r="P117" s="279">
        <v>38</v>
      </c>
      <c r="Q117" s="280" t="str">
        <f>IF($H$8="(Select…)","-",IF('Project Description'!$C$96="20 Years",O117*P117,"---"))</f>
        <v>-</v>
      </c>
    </row>
    <row r="118" spans="1:18" ht="16.5" thickBot="1">
      <c r="A118" s="281">
        <f t="shared" si="22"/>
        <v>63</v>
      </c>
      <c r="B118" s="282" t="s">
        <v>175</v>
      </c>
      <c r="C118" s="283">
        <f>SUM(C108:C117)</f>
        <v>0</v>
      </c>
      <c r="D118" s="284" t="s">
        <v>133</v>
      </c>
      <c r="E118" s="285">
        <f>SUM(E108:E117)</f>
        <v>0</v>
      </c>
      <c r="F118" s="286" t="s">
        <v>133</v>
      </c>
      <c r="G118" s="287">
        <f>SUM(G108:G117)</f>
        <v>0</v>
      </c>
      <c r="H118" s="288" t="str">
        <f>IF('Project Description'!$C$96="10 Years",SUM(H108:H117),"---")</f>
        <v>---</v>
      </c>
      <c r="I118" s="289" t="s">
        <v>133</v>
      </c>
      <c r="J118" s="285" t="str">
        <f>IF('Project Description'!$C$96="10 Years",SUM(J108:J117),"---")</f>
        <v>---</v>
      </c>
      <c r="K118" s="290" t="s">
        <v>133</v>
      </c>
      <c r="L118" s="287" t="str">
        <f>IF('Project Description'!$C$96="10 Years",SUM(L108:L117),"---")</f>
        <v>---</v>
      </c>
      <c r="M118" s="283" t="str">
        <f>IF('Project Description'!$C$96="20 Years",SUM(M108:M117),"---")</f>
        <v>---</v>
      </c>
      <c r="N118" s="289" t="s">
        <v>133</v>
      </c>
      <c r="O118" s="285" t="str">
        <f>IF('Project Description'!$C$96="20 Years",SUM(O108:O117),"---")</f>
        <v>---</v>
      </c>
      <c r="P118" s="290" t="s">
        <v>133</v>
      </c>
      <c r="Q118" s="287" t="str">
        <f>IF('Project Description'!$C$96="20 Years",SUM(Q108:Q117),"---")</f>
        <v>---</v>
      </c>
    </row>
    <row r="119" spans="1:18" s="389" customFormat="1" ht="12.75">
      <c r="A119" s="386"/>
      <c r="B119" s="386"/>
      <c r="C119" s="387"/>
      <c r="D119" s="387"/>
      <c r="E119" s="388"/>
      <c r="F119" s="388"/>
      <c r="G119" s="388"/>
      <c r="H119" s="388"/>
      <c r="I119" s="386"/>
      <c r="J119" s="386"/>
      <c r="K119" s="386"/>
      <c r="L119" s="386"/>
      <c r="M119" s="386"/>
      <c r="N119" s="386"/>
      <c r="O119" s="386"/>
      <c r="P119" s="386"/>
      <c r="Q119" s="386"/>
    </row>
    <row r="120" spans="1:18" s="3" customFormat="1" ht="15.75" thickBot="1">
      <c r="A120" s="199"/>
      <c r="B120" s="199"/>
      <c r="C120" s="384"/>
      <c r="D120" s="384"/>
      <c r="E120" s="385"/>
      <c r="F120" s="385"/>
      <c r="G120" s="385"/>
      <c r="H120" s="385"/>
      <c r="I120" s="199"/>
      <c r="J120" s="199"/>
      <c r="K120" s="199"/>
      <c r="L120" s="199"/>
      <c r="M120" s="199"/>
      <c r="N120" s="199"/>
      <c r="O120" s="199"/>
      <c r="P120" s="199"/>
      <c r="Q120" s="199"/>
    </row>
    <row r="121" spans="1:18" ht="19.5" customHeight="1" thickBot="1">
      <c r="A121" s="890" t="s">
        <v>249</v>
      </c>
      <c r="B121" s="891"/>
      <c r="C121" s="891"/>
      <c r="D121" s="891"/>
      <c r="E121" s="891"/>
      <c r="F121" s="891"/>
      <c r="G121" s="891"/>
      <c r="H121" s="891"/>
      <c r="I121" s="891"/>
      <c r="J121" s="891"/>
      <c r="K121" s="891"/>
      <c r="L121" s="891"/>
      <c r="M121" s="891"/>
      <c r="N121" s="891"/>
      <c r="O121" s="891"/>
      <c r="P121" s="891"/>
      <c r="Q121" s="892"/>
      <c r="R121" s="40"/>
    </row>
    <row r="122" spans="1:18" s="8" customFormat="1" ht="15.75">
      <c r="A122" s="875" t="s">
        <v>1</v>
      </c>
      <c r="B122" s="877" t="s">
        <v>159</v>
      </c>
      <c r="C122" s="879" t="s">
        <v>153</v>
      </c>
      <c r="D122" s="880"/>
      <c r="E122" s="880"/>
      <c r="F122" s="880"/>
      <c r="G122" s="881"/>
      <c r="H122" s="880" t="s">
        <v>239</v>
      </c>
      <c r="I122" s="880"/>
      <c r="J122" s="880"/>
      <c r="K122" s="880"/>
      <c r="L122" s="880"/>
      <c r="M122" s="879" t="s">
        <v>240</v>
      </c>
      <c r="N122" s="880"/>
      <c r="O122" s="880"/>
      <c r="P122" s="880"/>
      <c r="Q122" s="881"/>
    </row>
    <row r="123" spans="1:18" s="8" customFormat="1" ht="72.75" customHeight="1">
      <c r="A123" s="876"/>
      <c r="B123" s="878"/>
      <c r="C123" s="244" t="s">
        <v>242</v>
      </c>
      <c r="D123" s="245" t="s">
        <v>250</v>
      </c>
      <c r="E123" s="245" t="s">
        <v>260</v>
      </c>
      <c r="F123" s="246" t="s">
        <v>251</v>
      </c>
      <c r="G123" s="247" t="s">
        <v>284</v>
      </c>
      <c r="H123" s="248" t="s">
        <v>242</v>
      </c>
      <c r="I123" s="245" t="s">
        <v>250</v>
      </c>
      <c r="J123" s="245" t="s">
        <v>260</v>
      </c>
      <c r="K123" s="246" t="s">
        <v>251</v>
      </c>
      <c r="L123" s="247" t="s">
        <v>284</v>
      </c>
      <c r="M123" s="244" t="s">
        <v>242</v>
      </c>
      <c r="N123" s="245" t="s">
        <v>250</v>
      </c>
      <c r="O123" s="245" t="s">
        <v>260</v>
      </c>
      <c r="P123" s="246" t="s">
        <v>251</v>
      </c>
      <c r="Q123" s="247" t="s">
        <v>284</v>
      </c>
    </row>
    <row r="124" spans="1:18" s="8" customFormat="1" ht="18" customHeight="1">
      <c r="A124" s="249">
        <f>A118+1</f>
        <v>64</v>
      </c>
      <c r="B124" s="250" t="s">
        <v>154</v>
      </c>
      <c r="C124" s="251">
        <f>IF('Project Description'!$C$92="Yes",H25,-'Travel Forecasts'!M31)</f>
        <v>0</v>
      </c>
      <c r="D124" s="294">
        <v>7.5589999999999997E-3</v>
      </c>
      <c r="E124" s="253">
        <f>C124*D124</f>
        <v>0</v>
      </c>
      <c r="F124" s="254">
        <v>1.72</v>
      </c>
      <c r="G124" s="255" t="str">
        <f t="shared" ref="G124:G132" si="23">IF($H$8="(Select…)","-",E124*F124)</f>
        <v>-</v>
      </c>
      <c r="H124" s="256" t="str">
        <f>IF('Project Description'!$C$96="10 Years",-'Travel Forecasts'!N31,"---")</f>
        <v>---</v>
      </c>
      <c r="I124" s="294">
        <v>6.1669999999999997E-3</v>
      </c>
      <c r="J124" s="253" t="str">
        <f>IF('Project Description'!$C$96="10 Years",H124*I124,"---")</f>
        <v>---</v>
      </c>
      <c r="K124" s="254">
        <v>1.72</v>
      </c>
      <c r="L124" s="255" t="str">
        <f>IF($H$8="(Select…)","-",IF('Project Description'!$C$96="10 Years",J124*K124,"---"))</f>
        <v>-</v>
      </c>
      <c r="M124" s="251" t="str">
        <f>IF('Project Description'!$C$96="20 Years",-'Travel Forecasts'!N31,"---")</f>
        <v>---</v>
      </c>
      <c r="N124" s="294">
        <v>5.633E-3</v>
      </c>
      <c r="O124" s="253" t="str">
        <f>IF('Project Description'!$C$96="20 Years",M124*N124,"---")</f>
        <v>---</v>
      </c>
      <c r="P124" s="254">
        <v>1.72</v>
      </c>
      <c r="Q124" s="255" t="str">
        <f>IF($H$8="(Select…)","-",IF('Project Description'!$C$96="20 Years",O124*P124,"---"))</f>
        <v>-</v>
      </c>
    </row>
    <row r="125" spans="1:18" s="8" customFormat="1" ht="18" customHeight="1">
      <c r="A125" s="259">
        <f>A124+1</f>
        <v>65</v>
      </c>
      <c r="B125" s="260" t="s">
        <v>178</v>
      </c>
      <c r="C125" s="261">
        <f>-'Travel Forecasts'!M32</f>
        <v>0</v>
      </c>
      <c r="D125" s="295">
        <v>4.1436000000000001E-2</v>
      </c>
      <c r="E125" s="263">
        <f t="shared" ref="E125:E132" si="24">C125*D125</f>
        <v>0</v>
      </c>
      <c r="F125" s="264">
        <v>1.56</v>
      </c>
      <c r="G125" s="265" t="str">
        <f t="shared" si="23"/>
        <v>-</v>
      </c>
      <c r="H125" s="266" t="str">
        <f>IF('Project Description'!$C$96="10 Years",-'Travel Forecasts'!N32,"---")</f>
        <v>---</v>
      </c>
      <c r="I125" s="295">
        <v>3.5635E-2</v>
      </c>
      <c r="J125" s="263" t="str">
        <f>IF('Project Description'!$C$96="10 Years",H125*I125,"---")</f>
        <v>---</v>
      </c>
      <c r="K125" s="264">
        <v>1.56</v>
      </c>
      <c r="L125" s="265" t="str">
        <f>IF($H$8="(Select…)","-",IF('Project Description'!$C$96="10 Years",J125*K125,"---"))</f>
        <v>-</v>
      </c>
      <c r="M125" s="261" t="str">
        <f>IF('Project Description'!$C$96="20 Years",-'Travel Forecasts'!N32,"---")</f>
        <v>---</v>
      </c>
      <c r="N125" s="295">
        <v>3.3978000000000001E-2</v>
      </c>
      <c r="O125" s="263" t="str">
        <f>IF('Project Description'!$C$96="20 Years",M125*N125,"---")</f>
        <v>---</v>
      </c>
      <c r="P125" s="268">
        <v>1.56</v>
      </c>
      <c r="Q125" s="269" t="str">
        <f>IF($H$8="(Select…)","-",IF('Project Description'!$C$96="20 Years",O125*P125,"---"))</f>
        <v>-</v>
      </c>
    </row>
    <row r="126" spans="1:18" s="8" customFormat="1" ht="18" customHeight="1">
      <c r="A126" s="259">
        <f t="shared" ref="A126:A134" si="25">A125+1</f>
        <v>66</v>
      </c>
      <c r="B126" s="260" t="s">
        <v>179</v>
      </c>
      <c r="C126" s="261">
        <f>-'Travel Forecasts'!M33</f>
        <v>0</v>
      </c>
      <c r="D126" s="295">
        <v>3.3148999999999998E-2</v>
      </c>
      <c r="E126" s="263">
        <f t="shared" si="24"/>
        <v>0</v>
      </c>
      <c r="F126" s="264">
        <v>1.56</v>
      </c>
      <c r="G126" s="265" t="str">
        <f t="shared" si="23"/>
        <v>-</v>
      </c>
      <c r="H126" s="266" t="str">
        <f>IF('Project Description'!$C$96="10 Years",-'Travel Forecasts'!N33,"---")</f>
        <v>---</v>
      </c>
      <c r="I126" s="295">
        <v>2.8507999999999999E-2</v>
      </c>
      <c r="J126" s="263" t="str">
        <f>IF('Project Description'!$C$96="10 Years",H126*I126,"---")</f>
        <v>---</v>
      </c>
      <c r="K126" s="264">
        <v>1.56</v>
      </c>
      <c r="L126" s="265" t="str">
        <f>IF($H$8="(Select…)","-",IF('Project Description'!$C$96="10 Years",J126*K126,"---"))</f>
        <v>-</v>
      </c>
      <c r="M126" s="261" t="str">
        <f>IF('Project Description'!$C$96="20 Years",-'Travel Forecasts'!N33,"---")</f>
        <v>---</v>
      </c>
      <c r="N126" s="295">
        <v>2.7182000000000001E-2</v>
      </c>
      <c r="O126" s="263" t="str">
        <f>IF('Project Description'!$C$96="20 Years",M126*N126,"---")</f>
        <v>---</v>
      </c>
      <c r="P126" s="268">
        <v>1.56</v>
      </c>
      <c r="Q126" s="269" t="str">
        <f>IF($H$8="(Select…)","-",IF('Project Description'!$C$96="20 Years",O126*P126,"---"))</f>
        <v>-</v>
      </c>
    </row>
    <row r="127" spans="1:18" s="8" customFormat="1" ht="18" customHeight="1">
      <c r="A127" s="259">
        <f t="shared" si="25"/>
        <v>67</v>
      </c>
      <c r="B127" s="260" t="s">
        <v>180</v>
      </c>
      <c r="C127" s="347" t="s">
        <v>133</v>
      </c>
      <c r="D127" s="348" t="s">
        <v>133</v>
      </c>
      <c r="E127" s="349" t="s">
        <v>133</v>
      </c>
      <c r="F127" s="350" t="s">
        <v>133</v>
      </c>
      <c r="G127" s="351" t="s">
        <v>133</v>
      </c>
      <c r="H127" s="352" t="s">
        <v>133</v>
      </c>
      <c r="I127" s="348" t="s">
        <v>133</v>
      </c>
      <c r="J127" s="349" t="s">
        <v>133</v>
      </c>
      <c r="K127" s="350" t="s">
        <v>133</v>
      </c>
      <c r="L127" s="351" t="s">
        <v>133</v>
      </c>
      <c r="M127" s="352" t="s">
        <v>133</v>
      </c>
      <c r="N127" s="348" t="s">
        <v>133</v>
      </c>
      <c r="O127" s="349" t="s">
        <v>133</v>
      </c>
      <c r="P127" s="350" t="s">
        <v>133</v>
      </c>
      <c r="Q127" s="353" t="s">
        <v>133</v>
      </c>
    </row>
    <row r="128" spans="1:18" s="8" customFormat="1" ht="18" customHeight="1">
      <c r="A128" s="259">
        <f t="shared" si="25"/>
        <v>68</v>
      </c>
      <c r="B128" s="260" t="s">
        <v>181</v>
      </c>
      <c r="C128" s="354" t="s">
        <v>133</v>
      </c>
      <c r="D128" s="355" t="s">
        <v>133</v>
      </c>
      <c r="E128" s="356" t="s">
        <v>133</v>
      </c>
      <c r="F128" s="357" t="s">
        <v>133</v>
      </c>
      <c r="G128" s="358" t="s">
        <v>133</v>
      </c>
      <c r="H128" s="359" t="s">
        <v>133</v>
      </c>
      <c r="I128" s="355" t="s">
        <v>133</v>
      </c>
      <c r="J128" s="356" t="s">
        <v>133</v>
      </c>
      <c r="K128" s="357" t="s">
        <v>133</v>
      </c>
      <c r="L128" s="358" t="s">
        <v>133</v>
      </c>
      <c r="M128" s="359" t="s">
        <v>133</v>
      </c>
      <c r="N128" s="355" t="s">
        <v>133</v>
      </c>
      <c r="O128" s="356" t="s">
        <v>133</v>
      </c>
      <c r="P128" s="357" t="s">
        <v>133</v>
      </c>
      <c r="Q128" s="360" t="s">
        <v>133</v>
      </c>
    </row>
    <row r="129" spans="1:18" s="8" customFormat="1" ht="18" customHeight="1">
      <c r="A129" s="259">
        <f t="shared" si="25"/>
        <v>69</v>
      </c>
      <c r="B129" s="260" t="s">
        <v>155</v>
      </c>
      <c r="C129" s="354" t="s">
        <v>133</v>
      </c>
      <c r="D129" s="355" t="s">
        <v>133</v>
      </c>
      <c r="E129" s="356" t="s">
        <v>133</v>
      </c>
      <c r="F129" s="357" t="s">
        <v>133</v>
      </c>
      <c r="G129" s="358" t="s">
        <v>133</v>
      </c>
      <c r="H129" s="359" t="s">
        <v>133</v>
      </c>
      <c r="I129" s="355" t="s">
        <v>133</v>
      </c>
      <c r="J129" s="356" t="s">
        <v>133</v>
      </c>
      <c r="K129" s="357" t="s">
        <v>133</v>
      </c>
      <c r="L129" s="358" t="s">
        <v>133</v>
      </c>
      <c r="M129" s="359" t="s">
        <v>133</v>
      </c>
      <c r="N129" s="355" t="s">
        <v>133</v>
      </c>
      <c r="O129" s="356" t="s">
        <v>133</v>
      </c>
      <c r="P129" s="357" t="s">
        <v>133</v>
      </c>
      <c r="Q129" s="360" t="s">
        <v>133</v>
      </c>
    </row>
    <row r="130" spans="1:18" s="8" customFormat="1" ht="18" customHeight="1">
      <c r="A130" s="259">
        <f t="shared" si="25"/>
        <v>70</v>
      </c>
      <c r="B130" s="260" t="s">
        <v>156</v>
      </c>
      <c r="C130" s="361" t="s">
        <v>133</v>
      </c>
      <c r="D130" s="362" t="s">
        <v>133</v>
      </c>
      <c r="E130" s="363" t="s">
        <v>133</v>
      </c>
      <c r="F130" s="364" t="s">
        <v>133</v>
      </c>
      <c r="G130" s="365" t="s">
        <v>133</v>
      </c>
      <c r="H130" s="366" t="s">
        <v>133</v>
      </c>
      <c r="I130" s="362" t="s">
        <v>133</v>
      </c>
      <c r="J130" s="363" t="s">
        <v>133</v>
      </c>
      <c r="K130" s="364" t="s">
        <v>133</v>
      </c>
      <c r="L130" s="365" t="s">
        <v>133</v>
      </c>
      <c r="M130" s="366" t="s">
        <v>133</v>
      </c>
      <c r="N130" s="362" t="s">
        <v>133</v>
      </c>
      <c r="O130" s="363" t="s">
        <v>133</v>
      </c>
      <c r="P130" s="364" t="s">
        <v>133</v>
      </c>
      <c r="Q130" s="367" t="s">
        <v>133</v>
      </c>
    </row>
    <row r="131" spans="1:18" s="8" customFormat="1" ht="25.5">
      <c r="A131" s="259">
        <f t="shared" si="25"/>
        <v>71</v>
      </c>
      <c r="B131" s="260" t="s">
        <v>157</v>
      </c>
      <c r="C131" s="261">
        <f>-'Travel Forecasts'!M38</f>
        <v>0</v>
      </c>
      <c r="D131" s="295">
        <v>9.6138000000000001E-2</v>
      </c>
      <c r="E131" s="263">
        <f t="shared" si="24"/>
        <v>0</v>
      </c>
      <c r="F131" s="264">
        <v>1.56</v>
      </c>
      <c r="G131" s="265" t="str">
        <f t="shared" si="23"/>
        <v>-</v>
      </c>
      <c r="H131" s="266" t="str">
        <f>IF('Project Description'!$C$96="10 Years",-'Travel Forecasts'!N38,"---")</f>
        <v>---</v>
      </c>
      <c r="I131" s="295">
        <v>9.6138000000000001E-2</v>
      </c>
      <c r="J131" s="263" t="str">
        <f>IF('Project Description'!$C$96="10 Years",H131*I131,"---")</f>
        <v>---</v>
      </c>
      <c r="K131" s="264">
        <v>1.56</v>
      </c>
      <c r="L131" s="265" t="str">
        <f>IF($H$8="(Select…)","-",IF('Project Description'!$C$96="10 Years",J131*K131,"---"))</f>
        <v>-</v>
      </c>
      <c r="M131" s="261" t="str">
        <f>IF('Project Description'!$C$96="20 Years",-'Travel Forecasts'!N38,"---")</f>
        <v>---</v>
      </c>
      <c r="N131" s="295">
        <v>9.6138000000000001E-2</v>
      </c>
      <c r="O131" s="263" t="str">
        <f>IF('Project Description'!$C$96="20 Years",M131*N131,"---")</f>
        <v>---</v>
      </c>
      <c r="P131" s="268">
        <v>1.56</v>
      </c>
      <c r="Q131" s="269" t="str">
        <f>IF($H$8="(Select…)","-",IF('Project Description'!$C$96="20 Years",O131*P131,"---"))</f>
        <v>-</v>
      </c>
    </row>
    <row r="132" spans="1:18" s="8" customFormat="1" ht="25.5">
      <c r="A132" s="259">
        <f t="shared" si="25"/>
        <v>72</v>
      </c>
      <c r="B132" s="260" t="s">
        <v>160</v>
      </c>
      <c r="C132" s="261">
        <f>-'Travel Forecasts'!M39</f>
        <v>0</v>
      </c>
      <c r="D132" s="295">
        <v>9.6138000000000001E-2</v>
      </c>
      <c r="E132" s="263">
        <f t="shared" si="24"/>
        <v>0</v>
      </c>
      <c r="F132" s="264">
        <v>1.56</v>
      </c>
      <c r="G132" s="265" t="str">
        <f t="shared" si="23"/>
        <v>-</v>
      </c>
      <c r="H132" s="266" t="str">
        <f>IF('Project Description'!$C$96="10 Years",-'Travel Forecasts'!N39,"---")</f>
        <v>---</v>
      </c>
      <c r="I132" s="295">
        <v>9.6138000000000001E-2</v>
      </c>
      <c r="J132" s="263" t="str">
        <f>IF('Project Description'!$C$96="10 Years",H132*I132,"---")</f>
        <v>---</v>
      </c>
      <c r="K132" s="264">
        <v>1.56</v>
      </c>
      <c r="L132" s="265" t="str">
        <f>IF($H$8="(Select…)","-",IF('Project Description'!$C$96="10 Years",J132*K132,"---"))</f>
        <v>-</v>
      </c>
      <c r="M132" s="261" t="str">
        <f>IF('Project Description'!$C$96="20 Years",-'Travel Forecasts'!N39,"---")</f>
        <v>---</v>
      </c>
      <c r="N132" s="295">
        <v>9.6138000000000001E-2</v>
      </c>
      <c r="O132" s="263" t="str">
        <f>IF('Project Description'!$C$96="20 Years",M132*N132,"---")</f>
        <v>---</v>
      </c>
      <c r="P132" s="268">
        <v>1.56</v>
      </c>
      <c r="Q132" s="269" t="str">
        <f>IF($H$8="(Select…)","-",IF('Project Description'!$C$96="20 Years",O132*P132,"---"))</f>
        <v>-</v>
      </c>
    </row>
    <row r="133" spans="1:18" s="8" customFormat="1" ht="18" customHeight="1">
      <c r="A133" s="270">
        <f t="shared" si="25"/>
        <v>73</v>
      </c>
      <c r="B133" s="271" t="s">
        <v>158</v>
      </c>
      <c r="C133" s="368" t="s">
        <v>133</v>
      </c>
      <c r="D133" s="369" t="s">
        <v>133</v>
      </c>
      <c r="E133" s="370" t="s">
        <v>133</v>
      </c>
      <c r="F133" s="371" t="s">
        <v>133</v>
      </c>
      <c r="G133" s="372" t="s">
        <v>133</v>
      </c>
      <c r="H133" s="373" t="s">
        <v>133</v>
      </c>
      <c r="I133" s="369" t="s">
        <v>133</v>
      </c>
      <c r="J133" s="370" t="s">
        <v>133</v>
      </c>
      <c r="K133" s="371" t="s">
        <v>133</v>
      </c>
      <c r="L133" s="372" t="s">
        <v>133</v>
      </c>
      <c r="M133" s="373" t="s">
        <v>133</v>
      </c>
      <c r="N133" s="369" t="s">
        <v>133</v>
      </c>
      <c r="O133" s="370" t="s">
        <v>133</v>
      </c>
      <c r="P133" s="371" t="s">
        <v>133</v>
      </c>
      <c r="Q133" s="374" t="s">
        <v>133</v>
      </c>
    </row>
    <row r="134" spans="1:18" ht="16.5" thickBot="1">
      <c r="A134" s="281">
        <f t="shared" si="25"/>
        <v>74</v>
      </c>
      <c r="B134" s="282" t="s">
        <v>175</v>
      </c>
      <c r="C134" s="283">
        <f>SUM(C124:C133)</f>
        <v>0</v>
      </c>
      <c r="D134" s="284" t="s">
        <v>133</v>
      </c>
      <c r="E134" s="285">
        <f>SUM(E124:E133)</f>
        <v>0</v>
      </c>
      <c r="F134" s="286" t="s">
        <v>133</v>
      </c>
      <c r="G134" s="287">
        <f>SUM(G124:G133)</f>
        <v>0</v>
      </c>
      <c r="H134" s="288" t="str">
        <f>IF('Project Description'!$C$96="10 Years",SUM(H124:H133),"---")</f>
        <v>---</v>
      </c>
      <c r="I134" s="289" t="s">
        <v>133</v>
      </c>
      <c r="J134" s="285" t="str">
        <f>IF('Project Description'!$C$96="10 Years",SUM(J124:J133),"---")</f>
        <v>---</v>
      </c>
      <c r="K134" s="290" t="s">
        <v>133</v>
      </c>
      <c r="L134" s="287" t="str">
        <f>IF('Project Description'!$C$96="10 Years",SUM(L124:L133),"---")</f>
        <v>---</v>
      </c>
      <c r="M134" s="283" t="str">
        <f>IF('Project Description'!$C$96="20 Years",SUM(M124:M133),"---")</f>
        <v>---</v>
      </c>
      <c r="N134" s="289" t="s">
        <v>133</v>
      </c>
      <c r="O134" s="285" t="str">
        <f>IF('Project Description'!$C$96="20 Years",SUM(O124:O133),"---")</f>
        <v>---</v>
      </c>
      <c r="P134" s="290" t="s">
        <v>133</v>
      </c>
      <c r="Q134" s="287" t="str">
        <f>IF('Project Description'!$C$96="20 Years",SUM(Q124:Q133),"---")</f>
        <v>---</v>
      </c>
    </row>
    <row r="135" spans="1:18" ht="16.5" thickBot="1">
      <c r="A135" s="431"/>
      <c r="B135" s="432"/>
      <c r="C135" s="433"/>
      <c r="D135" s="434"/>
      <c r="E135" s="435"/>
      <c r="F135" s="434"/>
      <c r="G135" s="436"/>
      <c r="H135" s="433"/>
      <c r="I135" s="437"/>
      <c r="J135" s="435"/>
      <c r="K135" s="437"/>
      <c r="L135" s="436"/>
      <c r="M135" s="433"/>
      <c r="N135" s="437"/>
      <c r="O135" s="435"/>
      <c r="P135" s="437"/>
      <c r="Q135" s="436"/>
    </row>
    <row r="136" spans="1:18" ht="18.75" thickBot="1">
      <c r="A136" s="869" t="s">
        <v>411</v>
      </c>
      <c r="B136" s="870"/>
      <c r="C136" s="870"/>
      <c r="D136" s="870"/>
      <c r="E136" s="870"/>
      <c r="F136" s="870"/>
      <c r="G136" s="870"/>
      <c r="H136" s="870"/>
      <c r="I136" s="870"/>
      <c r="J136" s="870"/>
      <c r="K136" s="870"/>
      <c r="L136" s="870"/>
      <c r="M136" s="870"/>
      <c r="N136" s="870"/>
      <c r="O136" s="870"/>
      <c r="P136" s="870"/>
      <c r="Q136" s="871"/>
    </row>
    <row r="137" spans="1:18" s="3" customFormat="1" ht="15.75" thickBot="1">
      <c r="A137" s="199"/>
      <c r="B137" s="199"/>
      <c r="C137" s="384"/>
      <c r="D137" s="384"/>
      <c r="E137" s="385"/>
      <c r="F137" s="385"/>
      <c r="G137" s="385"/>
      <c r="H137" s="385"/>
      <c r="I137" s="199"/>
      <c r="J137" s="199"/>
      <c r="K137" s="199"/>
      <c r="L137" s="199"/>
      <c r="M137" s="199"/>
      <c r="N137" s="199"/>
      <c r="O137" s="199"/>
      <c r="P137" s="199"/>
      <c r="Q137" s="199"/>
    </row>
    <row r="138" spans="1:18" ht="19.5" customHeight="1" thickBot="1">
      <c r="A138" s="890" t="s">
        <v>254</v>
      </c>
      <c r="B138" s="891"/>
      <c r="C138" s="891"/>
      <c r="D138" s="891"/>
      <c r="E138" s="891"/>
      <c r="F138" s="891"/>
      <c r="G138" s="891"/>
      <c r="H138" s="891"/>
      <c r="I138" s="891"/>
      <c r="J138" s="891"/>
      <c r="K138" s="891"/>
      <c r="L138" s="891"/>
      <c r="M138" s="891"/>
      <c r="N138" s="891"/>
      <c r="O138" s="891"/>
      <c r="P138" s="891"/>
      <c r="Q138" s="892"/>
      <c r="R138" s="40"/>
    </row>
    <row r="139" spans="1:18" s="8" customFormat="1" ht="15.75">
      <c r="A139" s="875" t="s">
        <v>1</v>
      </c>
      <c r="B139" s="877" t="s">
        <v>159</v>
      </c>
      <c r="C139" s="879" t="s">
        <v>153</v>
      </c>
      <c r="D139" s="880"/>
      <c r="E139" s="880"/>
      <c r="F139" s="880"/>
      <c r="G139" s="881"/>
      <c r="H139" s="880" t="s">
        <v>239</v>
      </c>
      <c r="I139" s="880"/>
      <c r="J139" s="880"/>
      <c r="K139" s="880"/>
      <c r="L139" s="880"/>
      <c r="M139" s="879" t="s">
        <v>240</v>
      </c>
      <c r="N139" s="880"/>
      <c r="O139" s="880"/>
      <c r="P139" s="880"/>
      <c r="Q139" s="881"/>
    </row>
    <row r="140" spans="1:18" s="8" customFormat="1" ht="57.75" customHeight="1">
      <c r="A140" s="876"/>
      <c r="B140" s="878"/>
      <c r="C140" s="244" t="s">
        <v>242</v>
      </c>
      <c r="D140" s="245" t="s">
        <v>252</v>
      </c>
      <c r="E140" s="245" t="s">
        <v>261</v>
      </c>
      <c r="F140" s="246" t="s">
        <v>253</v>
      </c>
      <c r="G140" s="247" t="s">
        <v>284</v>
      </c>
      <c r="H140" s="248" t="s">
        <v>242</v>
      </c>
      <c r="I140" s="245" t="s">
        <v>252</v>
      </c>
      <c r="J140" s="245" t="s">
        <v>261</v>
      </c>
      <c r="K140" s="246" t="s">
        <v>253</v>
      </c>
      <c r="L140" s="247" t="s">
        <v>284</v>
      </c>
      <c r="M140" s="244" t="s">
        <v>242</v>
      </c>
      <c r="N140" s="245" t="s">
        <v>252</v>
      </c>
      <c r="O140" s="245" t="s">
        <v>261</v>
      </c>
      <c r="P140" s="246" t="s">
        <v>253</v>
      </c>
      <c r="Q140" s="247" t="s">
        <v>284</v>
      </c>
    </row>
    <row r="141" spans="1:18" s="8" customFormat="1" ht="18" customHeight="1">
      <c r="A141" s="249">
        <f>A134+1</f>
        <v>75</v>
      </c>
      <c r="B141" s="250" t="s">
        <v>154</v>
      </c>
      <c r="C141" s="251">
        <f>IF('Project Description'!$C$92="Yes",H25,-'Travel Forecasts'!M31)</f>
        <v>0</v>
      </c>
      <c r="D141" s="297">
        <v>1.2999999999999999E-8</v>
      </c>
      <c r="E141" s="253">
        <f>C141*D141</f>
        <v>0</v>
      </c>
      <c r="F141" s="298">
        <v>9100000</v>
      </c>
      <c r="G141" s="255" t="str">
        <f t="shared" ref="G141:G150" si="26">IF($H$8="(Select…)","-",E141*F141)</f>
        <v>-</v>
      </c>
      <c r="H141" s="256" t="str">
        <f>IF('Project Description'!$C$96="10 Years",-'Travel Forecasts'!N31,"---")</f>
        <v>---</v>
      </c>
      <c r="I141" s="297">
        <v>1.2999999999999999E-8</v>
      </c>
      <c r="J141" s="253" t="str">
        <f>IF('Project Description'!$C$96="10 Years",H141*I141,"---")</f>
        <v>---</v>
      </c>
      <c r="K141" s="298">
        <v>9100000</v>
      </c>
      <c r="L141" s="255" t="str">
        <f>IF($H$8="(Select…)","-",IF('Project Description'!$C$96="10 Years",J141*K141,"---"))</f>
        <v>-</v>
      </c>
      <c r="M141" s="251" t="str">
        <f>IF('Project Description'!$C$96="20 Years",-'Travel Forecasts'!N31,"---")</f>
        <v>---</v>
      </c>
      <c r="N141" s="297">
        <v>1.2999999999999999E-8</v>
      </c>
      <c r="O141" s="253" t="str">
        <f>IF('Project Description'!$C$96="20 Years",M141*N141,"---")</f>
        <v>---</v>
      </c>
      <c r="P141" s="298">
        <v>9100000</v>
      </c>
      <c r="Q141" s="255" t="str">
        <f>IF($H$8="(Select…)","-",IF('Project Description'!$C$96="20 Years",O141*P141,"---"))</f>
        <v>-</v>
      </c>
    </row>
    <row r="142" spans="1:18" s="8" customFormat="1" ht="18" customHeight="1">
      <c r="A142" s="259">
        <f>A141+1</f>
        <v>76</v>
      </c>
      <c r="B142" s="260" t="s">
        <v>178</v>
      </c>
      <c r="C142" s="261">
        <f>-'Travel Forecasts'!M32</f>
        <v>0</v>
      </c>
      <c r="D142" s="299">
        <v>4.0000000000000002E-9</v>
      </c>
      <c r="E142" s="263">
        <f t="shared" ref="E142:E150" si="27">C142*D142</f>
        <v>0</v>
      </c>
      <c r="F142" s="300">
        <v>9100000</v>
      </c>
      <c r="G142" s="265" t="str">
        <f t="shared" si="26"/>
        <v>-</v>
      </c>
      <c r="H142" s="266" t="str">
        <f>IF('Project Description'!$C$96="10 Years",-'Travel Forecasts'!N32,"---")</f>
        <v>---</v>
      </c>
      <c r="I142" s="299">
        <v>4.0000000000000002E-9</v>
      </c>
      <c r="J142" s="263" t="str">
        <f>IF('Project Description'!$C$96="10 Years",H142*I142,"---")</f>
        <v>---</v>
      </c>
      <c r="K142" s="300">
        <v>9100000</v>
      </c>
      <c r="L142" s="265" t="str">
        <f>IF($H$8="(Select…)","-",IF('Project Description'!$C$96="10 Years",J142*K142,"---"))</f>
        <v>-</v>
      </c>
      <c r="M142" s="261" t="str">
        <f>IF('Project Description'!$C$96="20 Years",-'Travel Forecasts'!N32,"---")</f>
        <v>---</v>
      </c>
      <c r="N142" s="299">
        <v>4.0000000000000002E-9</v>
      </c>
      <c r="O142" s="263" t="str">
        <f>IF('Project Description'!$C$96="20 Years",M142*N142,"---")</f>
        <v>---</v>
      </c>
      <c r="P142" s="300">
        <v>9100000</v>
      </c>
      <c r="Q142" s="269" t="str">
        <f>IF($H$8="(Select…)","-",IF('Project Description'!$C$96="20 Years",O142*P142,"---"))</f>
        <v>-</v>
      </c>
    </row>
    <row r="143" spans="1:18" s="8" customFormat="1" ht="18" customHeight="1">
      <c r="A143" s="259">
        <f t="shared" ref="A143:A151" si="28">A142+1</f>
        <v>77</v>
      </c>
      <c r="B143" s="260" t="s">
        <v>179</v>
      </c>
      <c r="C143" s="261">
        <f>-'Travel Forecasts'!M33</f>
        <v>0</v>
      </c>
      <c r="D143" s="299">
        <v>4.0000000000000002E-9</v>
      </c>
      <c r="E143" s="263">
        <f t="shared" si="27"/>
        <v>0</v>
      </c>
      <c r="F143" s="300">
        <v>9100000</v>
      </c>
      <c r="G143" s="265" t="str">
        <f t="shared" si="26"/>
        <v>-</v>
      </c>
      <c r="H143" s="266" t="str">
        <f>IF('Project Description'!$C$96="10 Years",-'Travel Forecasts'!N33,"---")</f>
        <v>---</v>
      </c>
      <c r="I143" s="299">
        <v>4.0000000000000002E-9</v>
      </c>
      <c r="J143" s="263" t="str">
        <f>IF('Project Description'!$C$96="10 Years",H143*I143,"---")</f>
        <v>---</v>
      </c>
      <c r="K143" s="300">
        <v>9100000</v>
      </c>
      <c r="L143" s="265" t="str">
        <f>IF($H$8="(Select…)","-",IF('Project Description'!$C$96="10 Years",J143*K143,"---"))</f>
        <v>-</v>
      </c>
      <c r="M143" s="261" t="str">
        <f>IF('Project Description'!$C$96="20 Years",-'Travel Forecasts'!N33,"---")</f>
        <v>---</v>
      </c>
      <c r="N143" s="299">
        <v>4.0000000000000002E-9</v>
      </c>
      <c r="O143" s="263" t="str">
        <f>IF('Project Description'!$C$96="20 Years",M143*N143,"---")</f>
        <v>---</v>
      </c>
      <c r="P143" s="300">
        <v>9100000</v>
      </c>
      <c r="Q143" s="269" t="str">
        <f>IF($H$8="(Select…)","-",IF('Project Description'!$C$96="20 Years",O143*P143,"---"))</f>
        <v>-</v>
      </c>
    </row>
    <row r="144" spans="1:18" s="8" customFormat="1" ht="18" customHeight="1">
      <c r="A144" s="259">
        <f t="shared" si="28"/>
        <v>78</v>
      </c>
      <c r="B144" s="260" t="s">
        <v>180</v>
      </c>
      <c r="C144" s="261">
        <f>-'Travel Forecasts'!M34</f>
        <v>0</v>
      </c>
      <c r="D144" s="299">
        <v>4.0000000000000002E-9</v>
      </c>
      <c r="E144" s="263">
        <f t="shared" si="27"/>
        <v>0</v>
      </c>
      <c r="F144" s="300">
        <v>9100000</v>
      </c>
      <c r="G144" s="265" t="str">
        <f t="shared" si="26"/>
        <v>-</v>
      </c>
      <c r="H144" s="266" t="str">
        <f>IF('Project Description'!$C$96="10 Years",-'Travel Forecasts'!N34,"---")</f>
        <v>---</v>
      </c>
      <c r="I144" s="299">
        <v>4.0000000000000002E-9</v>
      </c>
      <c r="J144" s="263" t="str">
        <f>IF('Project Description'!$C$96="10 Years",H144*I144,"---")</f>
        <v>---</v>
      </c>
      <c r="K144" s="300">
        <v>9100000</v>
      </c>
      <c r="L144" s="265" t="str">
        <f>IF($H$8="(Select…)","-",IF('Project Description'!$C$96="10 Years",J144*K144,"---"))</f>
        <v>-</v>
      </c>
      <c r="M144" s="261" t="str">
        <f>IF('Project Description'!$C$96="20 Years",-'Travel Forecasts'!N34,"---")</f>
        <v>---</v>
      </c>
      <c r="N144" s="299">
        <v>4.0000000000000002E-9</v>
      </c>
      <c r="O144" s="263" t="str">
        <f>IF('Project Description'!$C$96="20 Years",M144*N144,"---")</f>
        <v>---</v>
      </c>
      <c r="P144" s="300">
        <v>9100000</v>
      </c>
      <c r="Q144" s="269" t="str">
        <f>IF($H$8="(Select…)","-",IF('Project Description'!$C$96="20 Years",O144*P144,"---"))</f>
        <v>-</v>
      </c>
    </row>
    <row r="145" spans="1:18" s="8" customFormat="1" ht="18" customHeight="1">
      <c r="A145" s="259">
        <f t="shared" si="28"/>
        <v>79</v>
      </c>
      <c r="B145" s="260" t="s">
        <v>181</v>
      </c>
      <c r="C145" s="261">
        <f>-'Travel Forecasts'!M35</f>
        <v>0</v>
      </c>
      <c r="D145" s="299">
        <v>4.0000000000000002E-9</v>
      </c>
      <c r="E145" s="263">
        <f t="shared" si="27"/>
        <v>0</v>
      </c>
      <c r="F145" s="300">
        <v>9100000</v>
      </c>
      <c r="G145" s="265" t="str">
        <f t="shared" si="26"/>
        <v>-</v>
      </c>
      <c r="H145" s="266" t="str">
        <f>IF('Project Description'!$C$96="10 Years",-'Travel Forecasts'!N35,"---")</f>
        <v>---</v>
      </c>
      <c r="I145" s="299">
        <v>4.0000000000000002E-9</v>
      </c>
      <c r="J145" s="263" t="str">
        <f>IF('Project Description'!$C$96="10 Years",H145*I145,"---")</f>
        <v>---</v>
      </c>
      <c r="K145" s="300">
        <v>9100000</v>
      </c>
      <c r="L145" s="265" t="str">
        <f>IF($H$8="(Select…)","-",IF('Project Description'!$C$96="10 Years",J145*K145,"---"))</f>
        <v>-</v>
      </c>
      <c r="M145" s="261" t="str">
        <f>IF('Project Description'!$C$96="20 Years",-'Travel Forecasts'!N35,"---")</f>
        <v>---</v>
      </c>
      <c r="N145" s="299">
        <v>4.0000000000000002E-9</v>
      </c>
      <c r="O145" s="263" t="str">
        <f>IF('Project Description'!$C$96="20 Years",M145*N145,"---")</f>
        <v>---</v>
      </c>
      <c r="P145" s="300">
        <v>9100000</v>
      </c>
      <c r="Q145" s="269" t="str">
        <f>IF($H$8="(Select…)","-",IF('Project Description'!$C$96="20 Years",O145*P145,"---"))</f>
        <v>-</v>
      </c>
    </row>
    <row r="146" spans="1:18" s="8" customFormat="1" ht="18" customHeight="1">
      <c r="A146" s="259">
        <f t="shared" si="28"/>
        <v>80</v>
      </c>
      <c r="B146" s="260" t="s">
        <v>155</v>
      </c>
      <c r="C146" s="261">
        <f>-'Travel Forecasts'!M36</f>
        <v>0</v>
      </c>
      <c r="D146" s="299">
        <v>6.9999999999999998E-9</v>
      </c>
      <c r="E146" s="263">
        <f t="shared" si="27"/>
        <v>0</v>
      </c>
      <c r="F146" s="300">
        <v>9100000</v>
      </c>
      <c r="G146" s="265" t="str">
        <f t="shared" si="26"/>
        <v>-</v>
      </c>
      <c r="H146" s="266" t="str">
        <f>IF('Project Description'!$C$96="10 Years",-'Travel Forecasts'!N36,"---")</f>
        <v>---</v>
      </c>
      <c r="I146" s="299">
        <v>6.9999999999999998E-9</v>
      </c>
      <c r="J146" s="263" t="str">
        <f>IF('Project Description'!$C$96="10 Years",H146*I146,"---")</f>
        <v>---</v>
      </c>
      <c r="K146" s="300">
        <v>9100000</v>
      </c>
      <c r="L146" s="265" t="str">
        <f>IF($H$8="(Select…)","-",IF('Project Description'!$C$96="10 Years",J146*K146,"---"))</f>
        <v>-</v>
      </c>
      <c r="M146" s="261" t="str">
        <f>IF('Project Description'!$C$96="20 Years",-'Travel Forecasts'!N36,"---")</f>
        <v>---</v>
      </c>
      <c r="N146" s="299">
        <v>6.9999999999999998E-9</v>
      </c>
      <c r="O146" s="263" t="str">
        <f>IF('Project Description'!$C$96="20 Years",M146*N146,"---")</f>
        <v>---</v>
      </c>
      <c r="P146" s="300">
        <v>9100000</v>
      </c>
      <c r="Q146" s="269" t="str">
        <f>IF($H$8="(Select…)","-",IF('Project Description'!$C$96="20 Years",O146*P146,"---"))</f>
        <v>-</v>
      </c>
    </row>
    <row r="147" spans="1:18" s="8" customFormat="1" ht="18" customHeight="1">
      <c r="A147" s="259">
        <f t="shared" si="28"/>
        <v>81</v>
      </c>
      <c r="B147" s="260" t="s">
        <v>156</v>
      </c>
      <c r="C147" s="261">
        <f>-'Travel Forecasts'!M37</f>
        <v>0</v>
      </c>
      <c r="D147" s="299">
        <v>8.9999999999999995E-9</v>
      </c>
      <c r="E147" s="263">
        <f t="shared" si="27"/>
        <v>0</v>
      </c>
      <c r="F147" s="300">
        <v>9100000</v>
      </c>
      <c r="G147" s="265" t="str">
        <f t="shared" si="26"/>
        <v>-</v>
      </c>
      <c r="H147" s="266" t="str">
        <f>IF('Project Description'!$C$96="10 Years",-'Travel Forecasts'!N37,"---")</f>
        <v>---</v>
      </c>
      <c r="I147" s="299">
        <v>8.9999999999999995E-9</v>
      </c>
      <c r="J147" s="263" t="str">
        <f>IF('Project Description'!$C$96="10 Years",H147*I147,"---")</f>
        <v>---</v>
      </c>
      <c r="K147" s="300">
        <v>9100000</v>
      </c>
      <c r="L147" s="265" t="str">
        <f>IF($H$8="(Select…)","-",IF('Project Description'!$C$96="10 Years",J147*K147,"---"))</f>
        <v>-</v>
      </c>
      <c r="M147" s="261" t="str">
        <f>IF('Project Description'!$C$96="20 Years",-'Travel Forecasts'!N37,"---")</f>
        <v>---</v>
      </c>
      <c r="N147" s="299">
        <v>8.9999999999999995E-9</v>
      </c>
      <c r="O147" s="263" t="str">
        <f>IF('Project Description'!$C$96="20 Years",M147*N147,"---")</f>
        <v>---</v>
      </c>
      <c r="P147" s="300">
        <v>9100000</v>
      </c>
      <c r="Q147" s="269" t="str">
        <f>IF($H$8="(Select…)","-",IF('Project Description'!$C$96="20 Years",O147*P147,"---"))</f>
        <v>-</v>
      </c>
    </row>
    <row r="148" spans="1:18" s="8" customFormat="1" ht="25.5">
      <c r="A148" s="259">
        <f t="shared" si="28"/>
        <v>82</v>
      </c>
      <c r="B148" s="260" t="s">
        <v>157</v>
      </c>
      <c r="C148" s="261">
        <f>-'Travel Forecasts'!M38</f>
        <v>0</v>
      </c>
      <c r="D148" s="299">
        <v>1.2E-8</v>
      </c>
      <c r="E148" s="263">
        <f t="shared" si="27"/>
        <v>0</v>
      </c>
      <c r="F148" s="300">
        <v>9100000</v>
      </c>
      <c r="G148" s="265" t="str">
        <f t="shared" si="26"/>
        <v>-</v>
      </c>
      <c r="H148" s="266" t="str">
        <f>IF('Project Description'!$C$96="10 Years",-'Travel Forecasts'!N38,"---")</f>
        <v>---</v>
      </c>
      <c r="I148" s="299">
        <v>1.2E-8</v>
      </c>
      <c r="J148" s="263" t="str">
        <f>IF('Project Description'!$C$96="10 Years",H148*I148,"---")</f>
        <v>---</v>
      </c>
      <c r="K148" s="300">
        <v>9100000</v>
      </c>
      <c r="L148" s="265" t="str">
        <f>IF($H$8="(Select…)","-",IF('Project Description'!$C$96="10 Years",J148*K148,"---"))</f>
        <v>-</v>
      </c>
      <c r="M148" s="261" t="str">
        <f>IF('Project Description'!$C$96="20 Years",-'Travel Forecasts'!N38,"---")</f>
        <v>---</v>
      </c>
      <c r="N148" s="299">
        <v>1.2E-8</v>
      </c>
      <c r="O148" s="263" t="str">
        <f>IF('Project Description'!$C$96="20 Years",M148*N148,"---")</f>
        <v>---</v>
      </c>
      <c r="P148" s="300">
        <v>9100000</v>
      </c>
      <c r="Q148" s="269" t="str">
        <f>IF($H$8="(Select…)","-",IF('Project Description'!$C$96="20 Years",O148*P148,"---"))</f>
        <v>-</v>
      </c>
    </row>
    <row r="149" spans="1:18" s="8" customFormat="1" ht="25.5">
      <c r="A149" s="259">
        <f t="shared" si="28"/>
        <v>83</v>
      </c>
      <c r="B149" s="260" t="s">
        <v>160</v>
      </c>
      <c r="C149" s="261">
        <f>-'Travel Forecasts'!M39</f>
        <v>0</v>
      </c>
      <c r="D149" s="299">
        <v>1.2E-8</v>
      </c>
      <c r="E149" s="263">
        <f t="shared" si="27"/>
        <v>0</v>
      </c>
      <c r="F149" s="300">
        <v>9100000</v>
      </c>
      <c r="G149" s="265" t="str">
        <f t="shared" si="26"/>
        <v>-</v>
      </c>
      <c r="H149" s="266" t="str">
        <f>IF('Project Description'!$C$96="10 Years",-'Travel Forecasts'!N39,"---")</f>
        <v>---</v>
      </c>
      <c r="I149" s="299">
        <v>1.2E-8</v>
      </c>
      <c r="J149" s="263" t="str">
        <f>IF('Project Description'!$C$96="10 Years",H149*I149,"---")</f>
        <v>---</v>
      </c>
      <c r="K149" s="300">
        <v>9100000</v>
      </c>
      <c r="L149" s="265" t="str">
        <f>IF($H$8="(Select…)","-",IF('Project Description'!$C$96="10 Years",J149*K149,"---"))</f>
        <v>-</v>
      </c>
      <c r="M149" s="261" t="str">
        <f>IF('Project Description'!$C$96="20 Years",-'Travel Forecasts'!N39,"---")</f>
        <v>---</v>
      </c>
      <c r="N149" s="299">
        <v>1.2E-8</v>
      </c>
      <c r="O149" s="263" t="str">
        <f>IF('Project Description'!$C$96="20 Years",M149*N149,"---")</f>
        <v>---</v>
      </c>
      <c r="P149" s="300">
        <v>9100000</v>
      </c>
      <c r="Q149" s="269" t="str">
        <f>IF($H$8="(Select…)","-",IF('Project Description'!$C$96="20 Years",O149*P149,"---"))</f>
        <v>-</v>
      </c>
    </row>
    <row r="150" spans="1:18" s="8" customFormat="1" ht="18" customHeight="1">
      <c r="A150" s="270">
        <f t="shared" si="28"/>
        <v>84</v>
      </c>
      <c r="B150" s="271" t="s">
        <v>158</v>
      </c>
      <c r="C150" s="272">
        <f>-'Travel Forecasts'!M40</f>
        <v>0</v>
      </c>
      <c r="D150" s="301">
        <v>1.2E-8</v>
      </c>
      <c r="E150" s="274">
        <f t="shared" si="27"/>
        <v>0</v>
      </c>
      <c r="F150" s="302">
        <v>9100000</v>
      </c>
      <c r="G150" s="276" t="str">
        <f t="shared" si="26"/>
        <v>-</v>
      </c>
      <c r="H150" s="277" t="str">
        <f>IF('Project Description'!$C$96="10 Years",-'Travel Forecasts'!N40,"---")</f>
        <v>---</v>
      </c>
      <c r="I150" s="301">
        <v>1.2E-8</v>
      </c>
      <c r="J150" s="274" t="str">
        <f>IF('Project Description'!$C$96="10 Years",H150*I150,"---")</f>
        <v>---</v>
      </c>
      <c r="K150" s="302">
        <v>9100000</v>
      </c>
      <c r="L150" s="276" t="str">
        <f>IF($H$8="(Select…)","-",IF('Project Description'!$C$96="10 Years",J150*K150,"---"))</f>
        <v>-</v>
      </c>
      <c r="M150" s="272" t="str">
        <f>IF('Project Description'!$C$96="20 Years",-'Travel Forecasts'!N40,"---")</f>
        <v>---</v>
      </c>
      <c r="N150" s="301">
        <v>1.2E-8</v>
      </c>
      <c r="O150" s="274" t="str">
        <f>IF('Project Description'!$C$96="20 Years",M150*N150,"---")</f>
        <v>---</v>
      </c>
      <c r="P150" s="302">
        <v>9100000</v>
      </c>
      <c r="Q150" s="280" t="str">
        <f>IF($H$8="(Select…)","-",IF('Project Description'!$C$96="20 Years",O150*P150,"---"))</f>
        <v>-</v>
      </c>
    </row>
    <row r="151" spans="1:18" ht="16.5" thickBot="1">
      <c r="A151" s="281">
        <f t="shared" si="28"/>
        <v>85</v>
      </c>
      <c r="B151" s="282" t="s">
        <v>175</v>
      </c>
      <c r="C151" s="283">
        <f>SUM(C141:C150)</f>
        <v>0</v>
      </c>
      <c r="D151" s="284" t="s">
        <v>133</v>
      </c>
      <c r="E151" s="285">
        <f>SUM(E141:E150)</f>
        <v>0</v>
      </c>
      <c r="F151" s="286" t="s">
        <v>133</v>
      </c>
      <c r="G151" s="287">
        <f>SUM(G141:G150)</f>
        <v>0</v>
      </c>
      <c r="H151" s="288" t="str">
        <f>IF('Project Description'!$C$96="10 Years",SUM(H141:H150),"---")</f>
        <v>---</v>
      </c>
      <c r="I151" s="289" t="s">
        <v>133</v>
      </c>
      <c r="J151" s="285" t="str">
        <f>IF('Project Description'!$C$96="10 Years",SUM(J141:J150),"---")</f>
        <v>---</v>
      </c>
      <c r="K151" s="290" t="s">
        <v>133</v>
      </c>
      <c r="L151" s="287" t="str">
        <f>IF('Project Description'!$C$96="10 Years",SUM(L141:L150),"---")</f>
        <v>---</v>
      </c>
      <c r="M151" s="283" t="str">
        <f>IF('Project Description'!$C$96="20 Years",SUM(M141:M150),"---")</f>
        <v>---</v>
      </c>
      <c r="N151" s="289" t="s">
        <v>133</v>
      </c>
      <c r="O151" s="285" t="str">
        <f>IF('Project Description'!$C$96="20 Years",SUM(O141:O150),"---")</f>
        <v>---</v>
      </c>
      <c r="P151" s="290" t="s">
        <v>133</v>
      </c>
      <c r="Q151" s="287" t="str">
        <f>IF('Project Description'!$C$96="20 Years",SUM(Q141:Q150),"---")</f>
        <v>---</v>
      </c>
    </row>
    <row r="152" spans="1:18" s="389" customFormat="1" ht="13.5" thickBot="1">
      <c r="A152" s="386"/>
      <c r="B152" s="386"/>
      <c r="C152" s="387"/>
      <c r="D152" s="387"/>
      <c r="E152" s="388"/>
      <c r="F152" s="388"/>
      <c r="G152" s="388"/>
      <c r="H152" s="388"/>
      <c r="I152" s="386"/>
      <c r="J152" s="386"/>
      <c r="K152" s="386"/>
      <c r="L152" s="386"/>
      <c r="M152" s="386"/>
      <c r="N152" s="386"/>
      <c r="O152" s="386"/>
      <c r="P152" s="386"/>
      <c r="Q152" s="386"/>
    </row>
    <row r="153" spans="1:18" ht="19.5" customHeight="1" thickBot="1">
      <c r="A153" s="890" t="s">
        <v>255</v>
      </c>
      <c r="B153" s="891"/>
      <c r="C153" s="891"/>
      <c r="D153" s="891"/>
      <c r="E153" s="891"/>
      <c r="F153" s="891"/>
      <c r="G153" s="891"/>
      <c r="H153" s="891"/>
      <c r="I153" s="891"/>
      <c r="J153" s="891"/>
      <c r="K153" s="891"/>
      <c r="L153" s="891"/>
      <c r="M153" s="891"/>
      <c r="N153" s="891"/>
      <c r="O153" s="891"/>
      <c r="P153" s="891"/>
      <c r="Q153" s="892"/>
      <c r="R153" s="40"/>
    </row>
    <row r="154" spans="1:18" s="8" customFormat="1" ht="15.75">
      <c r="A154" s="875" t="s">
        <v>1</v>
      </c>
      <c r="B154" s="877" t="s">
        <v>159</v>
      </c>
      <c r="C154" s="879" t="s">
        <v>153</v>
      </c>
      <c r="D154" s="880"/>
      <c r="E154" s="880"/>
      <c r="F154" s="880"/>
      <c r="G154" s="881"/>
      <c r="H154" s="880" t="s">
        <v>239</v>
      </c>
      <c r="I154" s="880"/>
      <c r="J154" s="880"/>
      <c r="K154" s="880"/>
      <c r="L154" s="880"/>
      <c r="M154" s="879" t="s">
        <v>240</v>
      </c>
      <c r="N154" s="880"/>
      <c r="O154" s="880"/>
      <c r="P154" s="880"/>
      <c r="Q154" s="881"/>
    </row>
    <row r="155" spans="1:18" s="8" customFormat="1" ht="60" customHeight="1">
      <c r="A155" s="876"/>
      <c r="B155" s="878"/>
      <c r="C155" s="244" t="s">
        <v>242</v>
      </c>
      <c r="D155" s="245" t="s">
        <v>256</v>
      </c>
      <c r="E155" s="245" t="s">
        <v>262</v>
      </c>
      <c r="F155" s="246" t="s">
        <v>257</v>
      </c>
      <c r="G155" s="247" t="s">
        <v>284</v>
      </c>
      <c r="H155" s="248" t="s">
        <v>242</v>
      </c>
      <c r="I155" s="245" t="s">
        <v>256</v>
      </c>
      <c r="J155" s="245" t="s">
        <v>262</v>
      </c>
      <c r="K155" s="246" t="s">
        <v>257</v>
      </c>
      <c r="L155" s="247" t="s">
        <v>284</v>
      </c>
      <c r="M155" s="244" t="s">
        <v>242</v>
      </c>
      <c r="N155" s="245" t="s">
        <v>256</v>
      </c>
      <c r="O155" s="245" t="s">
        <v>262</v>
      </c>
      <c r="P155" s="246" t="s">
        <v>257</v>
      </c>
      <c r="Q155" s="247" t="s">
        <v>284</v>
      </c>
    </row>
    <row r="156" spans="1:18" s="8" customFormat="1" ht="18" customHeight="1">
      <c r="A156" s="249">
        <f>A151+1</f>
        <v>86</v>
      </c>
      <c r="B156" s="250" t="s">
        <v>154</v>
      </c>
      <c r="C156" s="251">
        <f>IF('Project Description'!$C$92="Yes",H25,-'Travel Forecasts'!M31)</f>
        <v>0</v>
      </c>
      <c r="D156" s="297">
        <v>1.9500000000000001E-7</v>
      </c>
      <c r="E156" s="253">
        <f>C156*D156</f>
        <v>0</v>
      </c>
      <c r="F156" s="298">
        <v>490000</v>
      </c>
      <c r="G156" s="255" t="str">
        <f t="shared" ref="G156:G165" si="29">IF($H$8="(Select…)","-",E156*F156)</f>
        <v>-</v>
      </c>
      <c r="H156" s="256" t="str">
        <f>IF('Project Description'!$C$96="10 Years",-'Travel Forecasts'!N31,"---")</f>
        <v>---</v>
      </c>
      <c r="I156" s="297">
        <v>1.9500000000000001E-7</v>
      </c>
      <c r="J156" s="253" t="str">
        <f>IF('Project Description'!$C$96="10 Years",H156*I156,"---")</f>
        <v>---</v>
      </c>
      <c r="K156" s="298">
        <v>490000</v>
      </c>
      <c r="L156" s="255" t="str">
        <f>IF($H$8="(Select…)","-",IF('Project Description'!$C$96="10 Years",J156*K156,"---"))</f>
        <v>-</v>
      </c>
      <c r="M156" s="251" t="str">
        <f>IF('Project Description'!$C$96="20 Years",-'Travel Forecasts'!N31,"---")</f>
        <v>---</v>
      </c>
      <c r="N156" s="297">
        <v>1.9500000000000001E-7</v>
      </c>
      <c r="O156" s="253" t="str">
        <f>IF('Project Description'!$C$96="20 Years",M156*N156,"---")</f>
        <v>---</v>
      </c>
      <c r="P156" s="298">
        <v>490000</v>
      </c>
      <c r="Q156" s="255" t="str">
        <f>IF($H$8="(Select…)","-",IF('Project Description'!$C$96="20 Years",O156*P156,"---"))</f>
        <v>-</v>
      </c>
    </row>
    <row r="157" spans="1:18" s="8" customFormat="1" ht="18" customHeight="1">
      <c r="A157" s="259">
        <f>A156+1</f>
        <v>87</v>
      </c>
      <c r="B157" s="260" t="s">
        <v>178</v>
      </c>
      <c r="C157" s="261">
        <f>-'Travel Forecasts'!M32</f>
        <v>0</v>
      </c>
      <c r="D157" s="299">
        <v>1.824E-6</v>
      </c>
      <c r="E157" s="263">
        <f t="shared" ref="E157:E165" si="30">C157*D157</f>
        <v>0</v>
      </c>
      <c r="F157" s="300">
        <v>490000</v>
      </c>
      <c r="G157" s="265" t="str">
        <f t="shared" si="29"/>
        <v>-</v>
      </c>
      <c r="H157" s="266" t="str">
        <f>IF('Project Description'!$C$96="10 Years",-'Travel Forecasts'!N32,"---")</f>
        <v>---</v>
      </c>
      <c r="I157" s="299">
        <v>1.824E-6</v>
      </c>
      <c r="J157" s="263" t="str">
        <f>IF('Project Description'!$C$96="10 Years",H157*I157,"---")</f>
        <v>---</v>
      </c>
      <c r="K157" s="300">
        <v>490000</v>
      </c>
      <c r="L157" s="265" t="str">
        <f>IF($H$8="(Select…)","-",IF('Project Description'!$C$96="10 Years",J157*K157,"---"))</f>
        <v>-</v>
      </c>
      <c r="M157" s="261" t="str">
        <f>IF('Project Description'!$C$96="20 Years",-'Travel Forecasts'!N32,"---")</f>
        <v>---</v>
      </c>
      <c r="N157" s="299">
        <v>1.824E-6</v>
      </c>
      <c r="O157" s="263" t="str">
        <f>IF('Project Description'!$C$96="20 Years",M157*N157,"---")</f>
        <v>---</v>
      </c>
      <c r="P157" s="300">
        <v>490000</v>
      </c>
      <c r="Q157" s="269" t="str">
        <f>IF($H$8="(Select…)","-",IF('Project Description'!$C$96="20 Years",O157*P157,"---"))</f>
        <v>-</v>
      </c>
    </row>
    <row r="158" spans="1:18" s="8" customFormat="1" ht="18" customHeight="1">
      <c r="A158" s="259">
        <f t="shared" ref="A158:A166" si="31">A157+1</f>
        <v>88</v>
      </c>
      <c r="B158" s="260" t="s">
        <v>179</v>
      </c>
      <c r="C158" s="261">
        <f>-'Travel Forecasts'!M33</f>
        <v>0</v>
      </c>
      <c r="D158" s="299">
        <v>1.824E-6</v>
      </c>
      <c r="E158" s="263">
        <f t="shared" si="30"/>
        <v>0</v>
      </c>
      <c r="F158" s="300">
        <v>490000</v>
      </c>
      <c r="G158" s="265" t="str">
        <f t="shared" si="29"/>
        <v>-</v>
      </c>
      <c r="H158" s="266" t="str">
        <f>IF('Project Description'!$C$96="10 Years",-'Travel Forecasts'!N33,"---")</f>
        <v>---</v>
      </c>
      <c r="I158" s="299">
        <v>1.824E-6</v>
      </c>
      <c r="J158" s="263" t="str">
        <f>IF('Project Description'!$C$96="10 Years",H158*I158,"---")</f>
        <v>---</v>
      </c>
      <c r="K158" s="300">
        <v>490000</v>
      </c>
      <c r="L158" s="265" t="str">
        <f>IF($H$8="(Select…)","-",IF('Project Description'!$C$96="10 Years",J158*K158,"---"))</f>
        <v>-</v>
      </c>
      <c r="M158" s="261" t="str">
        <f>IF('Project Description'!$C$96="20 Years",-'Travel Forecasts'!N33,"---")</f>
        <v>---</v>
      </c>
      <c r="N158" s="299">
        <v>1.824E-6</v>
      </c>
      <c r="O158" s="263" t="str">
        <f>IF('Project Description'!$C$96="20 Years",M158*N158,"---")</f>
        <v>---</v>
      </c>
      <c r="P158" s="300">
        <v>490000</v>
      </c>
      <c r="Q158" s="269" t="str">
        <f>IF($H$8="(Select…)","-",IF('Project Description'!$C$96="20 Years",O158*P158,"---"))</f>
        <v>-</v>
      </c>
    </row>
    <row r="159" spans="1:18" s="8" customFormat="1" ht="18" customHeight="1">
      <c r="A159" s="259">
        <f t="shared" si="31"/>
        <v>89</v>
      </c>
      <c r="B159" s="260" t="s">
        <v>180</v>
      </c>
      <c r="C159" s="261">
        <f>-'Travel Forecasts'!M34</f>
        <v>0</v>
      </c>
      <c r="D159" s="299">
        <v>1.824E-6</v>
      </c>
      <c r="E159" s="263">
        <f t="shared" si="30"/>
        <v>0</v>
      </c>
      <c r="F159" s="300">
        <v>490000</v>
      </c>
      <c r="G159" s="265" t="str">
        <f t="shared" si="29"/>
        <v>-</v>
      </c>
      <c r="H159" s="266" t="str">
        <f>IF('Project Description'!$C$96="10 Years",-'Travel Forecasts'!N34,"---")</f>
        <v>---</v>
      </c>
      <c r="I159" s="299">
        <v>1.824E-6</v>
      </c>
      <c r="J159" s="263" t="str">
        <f>IF('Project Description'!$C$96="10 Years",H159*I159,"---")</f>
        <v>---</v>
      </c>
      <c r="K159" s="300">
        <v>490000</v>
      </c>
      <c r="L159" s="265" t="str">
        <f>IF($H$8="(Select…)","-",IF('Project Description'!$C$96="10 Years",J159*K159,"---"))</f>
        <v>-</v>
      </c>
      <c r="M159" s="261" t="str">
        <f>IF('Project Description'!$C$96="20 Years",-'Travel Forecasts'!N34,"---")</f>
        <v>---</v>
      </c>
      <c r="N159" s="299">
        <v>1.824E-6</v>
      </c>
      <c r="O159" s="263" t="str">
        <f>IF('Project Description'!$C$96="20 Years",M159*N159,"---")</f>
        <v>---</v>
      </c>
      <c r="P159" s="300">
        <v>490000</v>
      </c>
      <c r="Q159" s="269" t="str">
        <f>IF($H$8="(Select…)","-",IF('Project Description'!$C$96="20 Years",O159*P159,"---"))</f>
        <v>-</v>
      </c>
    </row>
    <row r="160" spans="1:18" s="8" customFormat="1" ht="18" customHeight="1">
      <c r="A160" s="259">
        <f t="shared" si="31"/>
        <v>90</v>
      </c>
      <c r="B160" s="260" t="s">
        <v>181</v>
      </c>
      <c r="C160" s="261">
        <f>-'Travel Forecasts'!M35</f>
        <v>0</v>
      </c>
      <c r="D160" s="299">
        <v>1.4580000000000001E-6</v>
      </c>
      <c r="E160" s="263">
        <f t="shared" si="30"/>
        <v>0</v>
      </c>
      <c r="F160" s="300">
        <v>490000</v>
      </c>
      <c r="G160" s="265" t="str">
        <f t="shared" si="29"/>
        <v>-</v>
      </c>
      <c r="H160" s="266" t="str">
        <f>IF('Project Description'!$C$96="10 Years",-'Travel Forecasts'!N35,"---")</f>
        <v>---</v>
      </c>
      <c r="I160" s="299">
        <v>1.4580000000000001E-6</v>
      </c>
      <c r="J160" s="263" t="str">
        <f>IF('Project Description'!$C$96="10 Years",H160*I160,"---")</f>
        <v>---</v>
      </c>
      <c r="K160" s="300">
        <v>490000</v>
      </c>
      <c r="L160" s="265" t="str">
        <f>IF($H$8="(Select…)","-",IF('Project Description'!$C$96="10 Years",J160*K160,"---"))</f>
        <v>-</v>
      </c>
      <c r="M160" s="261" t="str">
        <f>IF('Project Description'!$C$96="20 Years",-'Travel Forecasts'!N35,"---")</f>
        <v>---</v>
      </c>
      <c r="N160" s="299">
        <v>1.4580000000000001E-6</v>
      </c>
      <c r="O160" s="263" t="str">
        <f>IF('Project Description'!$C$96="20 Years",M160*N160,"---")</f>
        <v>---</v>
      </c>
      <c r="P160" s="300">
        <v>490000</v>
      </c>
      <c r="Q160" s="269" t="str">
        <f>IF($H$8="(Select…)","-",IF('Project Description'!$C$96="20 Years",O160*P160,"---"))</f>
        <v>-</v>
      </c>
    </row>
    <row r="161" spans="1:17" s="8" customFormat="1" ht="18" customHeight="1">
      <c r="A161" s="259">
        <f t="shared" si="31"/>
        <v>91</v>
      </c>
      <c r="B161" s="260" t="s">
        <v>155</v>
      </c>
      <c r="C161" s="261">
        <f>-'Travel Forecasts'!M36</f>
        <v>0</v>
      </c>
      <c r="D161" s="299">
        <v>1.55E-7</v>
      </c>
      <c r="E161" s="263">
        <f t="shared" si="30"/>
        <v>0</v>
      </c>
      <c r="F161" s="300">
        <v>490000</v>
      </c>
      <c r="G161" s="265" t="str">
        <f t="shared" si="29"/>
        <v>-</v>
      </c>
      <c r="H161" s="266" t="str">
        <f>IF('Project Description'!$C$96="10 Years",-'Travel Forecasts'!N36,"---")</f>
        <v>---</v>
      </c>
      <c r="I161" s="299">
        <v>1.55E-7</v>
      </c>
      <c r="J161" s="263" t="str">
        <f>IF('Project Description'!$C$96="10 Years",H161*I161,"---")</f>
        <v>---</v>
      </c>
      <c r="K161" s="300">
        <v>490000</v>
      </c>
      <c r="L161" s="265" t="str">
        <f>IF($H$8="(Select…)","-",IF('Project Description'!$C$96="10 Years",J161*K161,"---"))</f>
        <v>-</v>
      </c>
      <c r="M161" s="261" t="str">
        <f>IF('Project Description'!$C$96="20 Years",-'Travel Forecasts'!N36,"---")</f>
        <v>---</v>
      </c>
      <c r="N161" s="299">
        <v>1.55E-7</v>
      </c>
      <c r="O161" s="263" t="str">
        <f>IF('Project Description'!$C$96="20 Years",M161*N161,"---")</f>
        <v>---</v>
      </c>
      <c r="P161" s="300">
        <v>490000</v>
      </c>
      <c r="Q161" s="269" t="str">
        <f>IF($H$8="(Select…)","-",IF('Project Description'!$C$96="20 Years",O161*P161,"---"))</f>
        <v>-</v>
      </c>
    </row>
    <row r="162" spans="1:17" s="8" customFormat="1" ht="18" customHeight="1">
      <c r="A162" s="259">
        <f t="shared" si="31"/>
        <v>92</v>
      </c>
      <c r="B162" s="260" t="s">
        <v>156</v>
      </c>
      <c r="C162" s="261">
        <f>-'Travel Forecasts'!M37</f>
        <v>0</v>
      </c>
      <c r="D162" s="299">
        <v>1.6959999999999999E-6</v>
      </c>
      <c r="E162" s="263">
        <f t="shared" si="30"/>
        <v>0</v>
      </c>
      <c r="F162" s="300">
        <v>490000</v>
      </c>
      <c r="G162" s="265" t="str">
        <f t="shared" si="29"/>
        <v>-</v>
      </c>
      <c r="H162" s="266" t="str">
        <f>IF('Project Description'!$C$96="10 Years",-'Travel Forecasts'!N37,"---")</f>
        <v>---</v>
      </c>
      <c r="I162" s="299">
        <v>1.6959999999999999E-6</v>
      </c>
      <c r="J162" s="263" t="str">
        <f>IF('Project Description'!$C$96="10 Years",H162*I162,"---")</f>
        <v>---</v>
      </c>
      <c r="K162" s="300">
        <v>490000</v>
      </c>
      <c r="L162" s="265" t="str">
        <f>IF($H$8="(Select…)","-",IF('Project Description'!$C$96="10 Years",J162*K162,"---"))</f>
        <v>-</v>
      </c>
      <c r="M162" s="261" t="str">
        <f>IF('Project Description'!$C$96="20 Years",-'Travel Forecasts'!N37,"---")</f>
        <v>---</v>
      </c>
      <c r="N162" s="299">
        <v>1.6959999999999999E-6</v>
      </c>
      <c r="O162" s="263" t="str">
        <f>IF('Project Description'!$C$96="20 Years",M162*N162,"---")</f>
        <v>---</v>
      </c>
      <c r="P162" s="300">
        <v>490000</v>
      </c>
      <c r="Q162" s="269" t="str">
        <f>IF($H$8="(Select…)","-",IF('Project Description'!$C$96="20 Years",O162*P162,"---"))</f>
        <v>-</v>
      </c>
    </row>
    <row r="163" spans="1:17" s="8" customFormat="1" ht="25.5">
      <c r="A163" s="259">
        <f t="shared" si="31"/>
        <v>93</v>
      </c>
      <c r="B163" s="260" t="s">
        <v>157</v>
      </c>
      <c r="C163" s="261">
        <f>-'Travel Forecasts'!M38</f>
        <v>0</v>
      </c>
      <c r="D163" s="299">
        <v>1.7460000000000001E-6</v>
      </c>
      <c r="E163" s="263">
        <f t="shared" si="30"/>
        <v>0</v>
      </c>
      <c r="F163" s="300">
        <v>490000</v>
      </c>
      <c r="G163" s="265" t="str">
        <f t="shared" si="29"/>
        <v>-</v>
      </c>
      <c r="H163" s="266" t="str">
        <f>IF('Project Description'!$C$96="10 Years",-'Travel Forecasts'!N38,"---")</f>
        <v>---</v>
      </c>
      <c r="I163" s="299">
        <v>1.7460000000000001E-6</v>
      </c>
      <c r="J163" s="263" t="str">
        <f>IF('Project Description'!$C$96="10 Years",H163*I163,"---")</f>
        <v>---</v>
      </c>
      <c r="K163" s="300">
        <v>490000</v>
      </c>
      <c r="L163" s="265" t="str">
        <f>IF($H$8="(Select…)","-",IF('Project Description'!$C$96="10 Years",J163*K163,"---"))</f>
        <v>-</v>
      </c>
      <c r="M163" s="261" t="str">
        <f>IF('Project Description'!$C$96="20 Years",-'Travel Forecasts'!N38,"---")</f>
        <v>---</v>
      </c>
      <c r="N163" s="299">
        <v>1.7460000000000001E-6</v>
      </c>
      <c r="O163" s="263" t="str">
        <f>IF('Project Description'!$C$96="20 Years",M163*N163,"---")</f>
        <v>---</v>
      </c>
      <c r="P163" s="300">
        <v>490000</v>
      </c>
      <c r="Q163" s="269" t="str">
        <f>IF($H$8="(Select…)","-",IF('Project Description'!$C$96="20 Years",O163*P163,"---"))</f>
        <v>-</v>
      </c>
    </row>
    <row r="164" spans="1:17" s="8" customFormat="1" ht="25.5">
      <c r="A164" s="259">
        <f t="shared" si="31"/>
        <v>94</v>
      </c>
      <c r="B164" s="260" t="s">
        <v>160</v>
      </c>
      <c r="C164" s="261">
        <f>-'Travel Forecasts'!M39</f>
        <v>0</v>
      </c>
      <c r="D164" s="299">
        <v>1.7460000000000001E-6</v>
      </c>
      <c r="E164" s="263">
        <f t="shared" si="30"/>
        <v>0</v>
      </c>
      <c r="F164" s="300">
        <v>490000</v>
      </c>
      <c r="G164" s="265" t="str">
        <f t="shared" si="29"/>
        <v>-</v>
      </c>
      <c r="H164" s="266" t="str">
        <f>IF('Project Description'!$C$96="10 Years",-'Travel Forecasts'!N39,"---")</f>
        <v>---</v>
      </c>
      <c r="I164" s="299">
        <v>1.7460000000000001E-6</v>
      </c>
      <c r="J164" s="263" t="str">
        <f>IF('Project Description'!$C$96="10 Years",H164*I164,"---")</f>
        <v>---</v>
      </c>
      <c r="K164" s="300">
        <v>490000</v>
      </c>
      <c r="L164" s="265" t="str">
        <f>IF($H$8="(Select…)","-",IF('Project Description'!$C$96="10 Years",J164*K164,"---"))</f>
        <v>-</v>
      </c>
      <c r="M164" s="261" t="str">
        <f>IF('Project Description'!$C$96="20 Years",-'Travel Forecasts'!N39,"---")</f>
        <v>---</v>
      </c>
      <c r="N164" s="299">
        <v>1.7460000000000001E-6</v>
      </c>
      <c r="O164" s="263" t="str">
        <f>IF('Project Description'!$C$96="20 Years",M164*N164,"---")</f>
        <v>---</v>
      </c>
      <c r="P164" s="300">
        <v>490000</v>
      </c>
      <c r="Q164" s="269" t="str">
        <f>IF($H$8="(Select…)","-",IF('Project Description'!$C$96="20 Years",O164*P164,"---"))</f>
        <v>-</v>
      </c>
    </row>
    <row r="165" spans="1:17" s="8" customFormat="1" ht="18" customHeight="1">
      <c r="A165" s="270">
        <f t="shared" si="31"/>
        <v>95</v>
      </c>
      <c r="B165" s="271" t="s">
        <v>158</v>
      </c>
      <c r="C165" s="272">
        <f>-'Travel Forecasts'!M40</f>
        <v>0</v>
      </c>
      <c r="D165" s="301">
        <v>1.7460000000000001E-6</v>
      </c>
      <c r="E165" s="274">
        <f t="shared" si="30"/>
        <v>0</v>
      </c>
      <c r="F165" s="302">
        <v>490000</v>
      </c>
      <c r="G165" s="276" t="str">
        <f t="shared" si="29"/>
        <v>-</v>
      </c>
      <c r="H165" s="277" t="str">
        <f>IF('Project Description'!$C$96="10 Years",-'Travel Forecasts'!N40,"---")</f>
        <v>---</v>
      </c>
      <c r="I165" s="301">
        <v>1.7460000000000001E-6</v>
      </c>
      <c r="J165" s="274" t="str">
        <f>IF('Project Description'!$C$96="10 Years",H165*I165,"---")</f>
        <v>---</v>
      </c>
      <c r="K165" s="302">
        <v>490000</v>
      </c>
      <c r="L165" s="276" t="str">
        <f>IF($H$8="(Select…)","-",IF('Project Description'!$C$96="10 Years",J165*K165,"---"))</f>
        <v>-</v>
      </c>
      <c r="M165" s="272" t="str">
        <f>IF('Project Description'!$C$96="20 Years",-'Travel Forecasts'!N40,"---")</f>
        <v>---</v>
      </c>
      <c r="N165" s="301">
        <v>1.7460000000000001E-6</v>
      </c>
      <c r="O165" s="274" t="str">
        <f>IF('Project Description'!$C$96="20 Years",M165*N165,"---")</f>
        <v>---</v>
      </c>
      <c r="P165" s="302">
        <v>490000</v>
      </c>
      <c r="Q165" s="280" t="str">
        <f>IF($H$8="(Select…)","-",IF('Project Description'!$C$96="20 Years",O165*P165,"---"))</f>
        <v>-</v>
      </c>
    </row>
    <row r="166" spans="1:17" ht="16.5" thickBot="1">
      <c r="A166" s="281">
        <f t="shared" si="31"/>
        <v>96</v>
      </c>
      <c r="B166" s="282" t="s">
        <v>175</v>
      </c>
      <c r="C166" s="283">
        <f>SUM(C156:C165)</f>
        <v>0</v>
      </c>
      <c r="D166" s="284" t="s">
        <v>133</v>
      </c>
      <c r="E166" s="285">
        <f>SUM(E156:E165)</f>
        <v>0</v>
      </c>
      <c r="F166" s="286" t="s">
        <v>133</v>
      </c>
      <c r="G166" s="287">
        <f>SUM(G156:G165)</f>
        <v>0</v>
      </c>
      <c r="H166" s="288" t="str">
        <f>IF('Project Description'!$C$96="10 Years",SUM(H156:H165),"---")</f>
        <v>---</v>
      </c>
      <c r="I166" s="289" t="s">
        <v>133</v>
      </c>
      <c r="J166" s="285" t="str">
        <f>IF('Project Description'!$C$96="10 Years",SUM(J156:J165),"---")</f>
        <v>---</v>
      </c>
      <c r="K166" s="290" t="s">
        <v>133</v>
      </c>
      <c r="L166" s="287" t="str">
        <f>IF('Project Description'!$C$96="10 Years",SUM(L156:L165),"---")</f>
        <v>---</v>
      </c>
      <c r="M166" s="283" t="str">
        <f>IF('Project Description'!$C$96="20 Years",SUM(M156:M165),"---")</f>
        <v>---</v>
      </c>
      <c r="N166" s="289" t="s">
        <v>133</v>
      </c>
      <c r="O166" s="285" t="str">
        <f>IF('Project Description'!$C$96="20 Years",SUM(O156:O165),"---")</f>
        <v>---</v>
      </c>
      <c r="P166" s="290" t="s">
        <v>133</v>
      </c>
      <c r="Q166" s="287" t="str">
        <f>IF('Project Description'!$C$96="20 Years",SUM(Q156:Q165),"---")</f>
        <v>---</v>
      </c>
    </row>
    <row r="167" spans="1:17" ht="15">
      <c r="A167" s="391"/>
      <c r="B167" s="242"/>
      <c r="C167" s="142"/>
      <c r="D167" s="142"/>
      <c r="E167" s="243"/>
      <c r="F167" s="243"/>
      <c r="G167" s="243"/>
      <c r="H167" s="243"/>
      <c r="I167" s="241"/>
      <c r="J167" s="241"/>
      <c r="K167" s="242"/>
      <c r="L167" s="242"/>
      <c r="M167" s="242"/>
      <c r="N167" s="242"/>
      <c r="O167" s="242"/>
      <c r="P167" s="242"/>
      <c r="Q167" s="242"/>
    </row>
    <row r="168" spans="1:17" ht="12.75">
      <c r="A168" s="303" t="s">
        <v>285</v>
      </c>
      <c r="B168" s="242"/>
      <c r="C168" s="142"/>
      <c r="D168" s="142"/>
      <c r="E168" s="243"/>
      <c r="F168" s="243"/>
      <c r="G168" s="243"/>
      <c r="H168" s="243"/>
      <c r="I168" s="241"/>
      <c r="J168" s="241"/>
      <c r="K168" s="242"/>
      <c r="L168" s="242"/>
      <c r="M168" s="242"/>
      <c r="N168" s="242"/>
      <c r="O168" s="242"/>
      <c r="P168" s="242"/>
      <c r="Q168" s="242"/>
    </row>
    <row r="169" spans="1:17">
      <c r="A169" s="242"/>
      <c r="B169" s="242"/>
      <c r="C169" s="242"/>
      <c r="D169" s="242"/>
      <c r="E169" s="242"/>
      <c r="F169" s="242"/>
      <c r="G169" s="242"/>
      <c r="H169" s="242"/>
      <c r="I169" s="242"/>
      <c r="J169" s="242"/>
      <c r="K169" s="242"/>
      <c r="L169" s="242"/>
      <c r="M169" s="242"/>
      <c r="N169" s="242"/>
      <c r="O169" s="242"/>
      <c r="P169" s="242"/>
      <c r="Q169" s="242"/>
    </row>
  </sheetData>
  <sheetProtection password="83AF" sheet="1" objects="1" scenarios="1" formatCells="0" formatColumns="0" formatRows="0" insertColumns="0" insertRows="0" insertHyperlinks="0" selectLockedCells="1"/>
  <mergeCells count="123">
    <mergeCell ref="B24:G24"/>
    <mergeCell ref="B25:G25"/>
    <mergeCell ref="H24:K24"/>
    <mergeCell ref="H25:K25"/>
    <mergeCell ref="L15:Q15"/>
    <mergeCell ref="L16:Q16"/>
    <mergeCell ref="L17:Q17"/>
    <mergeCell ref="L18:Q18"/>
    <mergeCell ref="L19:Q19"/>
    <mergeCell ref="L20:Q20"/>
    <mergeCell ref="L21:Q21"/>
    <mergeCell ref="L22:Q22"/>
    <mergeCell ref="L23:Q23"/>
    <mergeCell ref="L24:Q24"/>
    <mergeCell ref="L25:Q25"/>
    <mergeCell ref="H19:K19"/>
    <mergeCell ref="H20:K20"/>
    <mergeCell ref="H21:K21"/>
    <mergeCell ref="H22:K22"/>
    <mergeCell ref="H23:K23"/>
    <mergeCell ref="B16:G16"/>
    <mergeCell ref="B14:G14"/>
    <mergeCell ref="H14:K14"/>
    <mergeCell ref="H15:K15"/>
    <mergeCell ref="H16:K16"/>
    <mergeCell ref="H17:K17"/>
    <mergeCell ref="H18:K18"/>
    <mergeCell ref="B22:G22"/>
    <mergeCell ref="B23:G23"/>
    <mergeCell ref="A2:E2"/>
    <mergeCell ref="F2:Q2"/>
    <mergeCell ref="B10:G10"/>
    <mergeCell ref="H10:K10"/>
    <mergeCell ref="B11:G11"/>
    <mergeCell ref="H11:K11"/>
    <mergeCell ref="L8:Q11"/>
    <mergeCell ref="A13:Q13"/>
    <mergeCell ref="B18:G18"/>
    <mergeCell ref="B19:G19"/>
    <mergeCell ref="B20:G20"/>
    <mergeCell ref="B21:G21"/>
    <mergeCell ref="B15:G15"/>
    <mergeCell ref="A4:Q4"/>
    <mergeCell ref="A1:Q1"/>
    <mergeCell ref="A105:Q105"/>
    <mergeCell ref="A106:A107"/>
    <mergeCell ref="B106:B107"/>
    <mergeCell ref="C106:G106"/>
    <mergeCell ref="H106:L106"/>
    <mergeCell ref="M106:Q106"/>
    <mergeCell ref="A88:Q88"/>
    <mergeCell ref="B7:G7"/>
    <mergeCell ref="B8:G8"/>
    <mergeCell ref="B29:G29"/>
    <mergeCell ref="B30:G30"/>
    <mergeCell ref="B31:G31"/>
    <mergeCell ref="B32:G32"/>
    <mergeCell ref="A39:A40"/>
    <mergeCell ref="B39:B40"/>
    <mergeCell ref="A6:Q6"/>
    <mergeCell ref="H7:K7"/>
    <mergeCell ref="H8:K8"/>
    <mergeCell ref="H28:I28"/>
    <mergeCell ref="H29:I29"/>
    <mergeCell ref="B17:G17"/>
    <mergeCell ref="B9:G9"/>
    <mergeCell ref="H9:K9"/>
    <mergeCell ref="A153:Q153"/>
    <mergeCell ref="A154:A155"/>
    <mergeCell ref="B154:B155"/>
    <mergeCell ref="C154:G154"/>
    <mergeCell ref="H154:L154"/>
    <mergeCell ref="M154:Q154"/>
    <mergeCell ref="A138:Q138"/>
    <mergeCell ref="A139:A140"/>
    <mergeCell ref="B139:B140"/>
    <mergeCell ref="C139:G139"/>
    <mergeCell ref="H139:L139"/>
    <mergeCell ref="M139:Q139"/>
    <mergeCell ref="J29:K29"/>
    <mergeCell ref="H73:L73"/>
    <mergeCell ref="M73:Q73"/>
    <mergeCell ref="A35:Q35"/>
    <mergeCell ref="A38:Q38"/>
    <mergeCell ref="C39:G39"/>
    <mergeCell ref="H39:L39"/>
    <mergeCell ref="M39:Q39"/>
    <mergeCell ref="B122:B123"/>
    <mergeCell ref="C122:G122"/>
    <mergeCell ref="H122:L122"/>
    <mergeCell ref="M122:Q122"/>
    <mergeCell ref="A89:A90"/>
    <mergeCell ref="B89:B90"/>
    <mergeCell ref="C89:G89"/>
    <mergeCell ref="H89:L89"/>
    <mergeCell ref="A70:Q70"/>
    <mergeCell ref="A103:Q103"/>
    <mergeCell ref="B73:B74"/>
    <mergeCell ref="C73:G73"/>
    <mergeCell ref="A27:Q27"/>
    <mergeCell ref="H33:K33"/>
    <mergeCell ref="A136:Q136"/>
    <mergeCell ref="L29:Q29"/>
    <mergeCell ref="A55:A56"/>
    <mergeCell ref="B55:B56"/>
    <mergeCell ref="C55:G55"/>
    <mergeCell ref="H55:L55"/>
    <mergeCell ref="M55:Q55"/>
    <mergeCell ref="M89:Q89"/>
    <mergeCell ref="H30:I30"/>
    <mergeCell ref="H31:I31"/>
    <mergeCell ref="J30:K30"/>
    <mergeCell ref="J31:K31"/>
    <mergeCell ref="A54:Q54"/>
    <mergeCell ref="A36:Q36"/>
    <mergeCell ref="A37:L37"/>
    <mergeCell ref="A121:Q121"/>
    <mergeCell ref="A122:A123"/>
    <mergeCell ref="H32:K32"/>
    <mergeCell ref="L32:Q32"/>
    <mergeCell ref="A72:Q72"/>
    <mergeCell ref="A73:A74"/>
    <mergeCell ref="J28:K28"/>
  </mergeCells>
  <conditionalFormatting sqref="A4">
    <cfRule type="expression" dxfId="3" priority="83">
      <formula>AND($A4&lt;&gt;"")</formula>
    </cfRule>
  </conditionalFormatting>
  <conditionalFormatting sqref="H23:K23">
    <cfRule type="expression" dxfId="2" priority="1">
      <formula>AND(NOT(ISNUMBER(H23)))</formula>
    </cfRule>
  </conditionalFormatting>
  <dataValidations count="1">
    <dataValidation type="list" allowBlank="1" showInputMessage="1" showErrorMessage="1" error="Please select a value from the drop-down list.  (Do not change the list -- otherwise formulas in this workbook will not work correctly.)" sqref="H8:K12 H26:K26">
      <formula1>"(Select…),Attainment,Maintenance,Nonattainment"</formula1>
    </dataValidation>
  </dataValidations>
  <hyperlinks>
    <hyperlink ref="L8" r:id="rId1" display="EPA Green Book"/>
    <hyperlink ref="L8:Q11" r:id="rId2" display="Source: EPA Green Book"/>
  </hyperlinks>
  <pageMargins left="0.25" right="0.25" top="0.75" bottom="0.75" header="0.3" footer="0.3"/>
  <pageSetup scale="65" fitToHeight="0" orientation="landscape" horizontalDpi="4294967293" verticalDpi="4294967293" r:id="rId3"/>
  <rowBreaks count="4" manualBreakCount="4">
    <brk id="33" max="16383" man="1"/>
    <brk id="69" max="16" man="1"/>
    <brk id="102" max="16" man="1"/>
    <brk id="135" max="16" man="1"/>
  </rowBreaks>
  <ignoredErrors>
    <ignoredError sqref="F41:F50 K41:K50 P41:P50" formula="1"/>
  </ignoredErrors>
  <legacyDrawing r:id="rId4"/>
  <extLst>
    <ext xmlns:x14="http://schemas.microsoft.com/office/spreadsheetml/2009/9/main" uri="{78C0D931-6437-407d-A8EE-F0AAD7539E65}">
      <x14:conditionalFormattings>
        <x14:conditionalFormatting xmlns:xm="http://schemas.microsoft.com/office/excel/2006/main">
          <x14:cfRule type="expression" priority="2" id="{5BA4F937-AE28-4AA6-BB00-8B81B7861316}">
            <xm:f>OR('Project Description'!$C$92="No",'Project Description'!$C$92="(Select…)")</xm:f>
            <x14:dxf>
              <fill>
                <patternFill patternType="solid">
                  <bgColor theme="1"/>
                </patternFill>
              </fill>
            </x14:dxf>
          </x14:cfRule>
          <xm:sqref>H15:K25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1"/>
  <sheetViews>
    <sheetView showGridLines="0" topLeftCell="A28" zoomScaleNormal="100" workbookViewId="0">
      <selection activeCell="C40" sqref="C40"/>
    </sheetView>
  </sheetViews>
  <sheetFormatPr defaultColWidth="9.33203125" defaultRowHeight="15"/>
  <cols>
    <col min="1" max="1" width="74.5" style="4" customWidth="1"/>
    <col min="2" max="2" width="24.6640625" style="4" bestFit="1" customWidth="1"/>
    <col min="3" max="3" width="35.33203125" style="4" customWidth="1"/>
    <col min="4" max="4" width="29.33203125" style="4" customWidth="1"/>
    <col min="5" max="5" width="6.83203125" style="4" customWidth="1"/>
    <col min="6" max="6" width="25.83203125" style="4" customWidth="1"/>
    <col min="7" max="16384" width="9.33203125" style="4"/>
  </cols>
  <sheetData>
    <row r="1" spans="1:6" s="7" customFormat="1" ht="18.75" thickBot="1">
      <c r="A1" s="869" t="s">
        <v>395</v>
      </c>
      <c r="B1" s="870"/>
      <c r="C1" s="870"/>
      <c r="D1" s="870"/>
      <c r="E1" s="870"/>
      <c r="F1" s="871"/>
    </row>
    <row r="2" spans="1:6" s="11" customFormat="1" ht="16.5" thickBot="1">
      <c r="A2" s="200" t="s">
        <v>3</v>
      </c>
      <c r="B2" s="943" t="str">
        <f>IF('Project Description'!B2:D2&lt;&gt;"",+'Project Description'!B2:D2,"")</f>
        <v/>
      </c>
      <c r="C2" s="944"/>
      <c r="D2" s="944"/>
      <c r="E2" s="944"/>
      <c r="F2" s="945"/>
    </row>
    <row r="3" spans="1:6" ht="13.5" customHeight="1" thickBot="1">
      <c r="A3" s="1054"/>
      <c r="B3" s="1055"/>
      <c r="C3" s="1055"/>
      <c r="D3" s="1055"/>
      <c r="E3" s="1055"/>
      <c r="F3" s="1056"/>
    </row>
    <row r="4" spans="1:6" ht="57.75" customHeight="1" thickBot="1">
      <c r="A4" s="423" t="s">
        <v>456</v>
      </c>
      <c r="B4" s="37"/>
      <c r="C4" s="1068" t="s">
        <v>396</v>
      </c>
      <c r="D4" s="980"/>
      <c r="E4" s="977"/>
      <c r="F4" s="978"/>
    </row>
    <row r="5" spans="1:6" ht="15.75" thickBot="1">
      <c r="A5" s="201" t="s">
        <v>398</v>
      </c>
      <c r="B5" s="28"/>
      <c r="C5" s="979" t="s">
        <v>399</v>
      </c>
      <c r="D5" s="980"/>
      <c r="E5" s="981">
        <f>IF(E4&gt;0,B5/E4,0)</f>
        <v>0</v>
      </c>
      <c r="F5" s="982"/>
    </row>
    <row r="6" spans="1:6" ht="15.75" thickBot="1">
      <c r="A6" s="201" t="s">
        <v>174</v>
      </c>
      <c r="B6" s="29"/>
      <c r="C6" s="1077"/>
      <c r="D6" s="1079"/>
      <c r="E6" s="1079"/>
      <c r="F6" s="1078"/>
    </row>
    <row r="7" spans="1:6" ht="42.75" customHeight="1" thickBot="1">
      <c r="A7" s="996" t="s">
        <v>397</v>
      </c>
      <c r="B7" s="997"/>
      <c r="C7" s="997"/>
      <c r="D7" s="998"/>
      <c r="E7" s="999"/>
      <c r="F7" s="978"/>
    </row>
    <row r="8" spans="1:6" ht="13.5" customHeight="1" thickBot="1">
      <c r="A8" s="1054"/>
      <c r="B8" s="1055"/>
      <c r="C8" s="1055"/>
      <c r="D8" s="1055"/>
      <c r="E8" s="1055"/>
      <c r="F8" s="1056"/>
    </row>
    <row r="9" spans="1:6">
      <c r="A9" s="1064" t="s">
        <v>142</v>
      </c>
      <c r="B9" s="1065"/>
      <c r="C9" s="992" t="s">
        <v>72</v>
      </c>
      <c r="D9" s="994" t="s">
        <v>162</v>
      </c>
      <c r="E9" s="985"/>
      <c r="F9" s="985" t="s">
        <v>74</v>
      </c>
    </row>
    <row r="10" spans="1:6" ht="31.5" customHeight="1" thickBot="1">
      <c r="A10" s="990" t="s">
        <v>400</v>
      </c>
      <c r="B10" s="991"/>
      <c r="C10" s="993"/>
      <c r="D10" s="995"/>
      <c r="E10" s="986"/>
      <c r="F10" s="986"/>
    </row>
    <row r="11" spans="1:6">
      <c r="A11" s="1008" t="s">
        <v>222</v>
      </c>
      <c r="B11" s="1009"/>
      <c r="C11" s="17"/>
      <c r="D11" s="1010"/>
      <c r="E11" s="1011"/>
      <c r="F11" s="202">
        <f>IF($E$4&gt;0,D11/$E$4,0)</f>
        <v>0</v>
      </c>
    </row>
    <row r="12" spans="1:6">
      <c r="A12" s="1000" t="s">
        <v>218</v>
      </c>
      <c r="B12" s="1001"/>
      <c r="C12" s="18"/>
      <c r="D12" s="1002"/>
      <c r="E12" s="1003"/>
      <c r="F12" s="203">
        <f>IF($E$4&gt;0,D12/$E$4,0)</f>
        <v>0</v>
      </c>
    </row>
    <row r="13" spans="1:6">
      <c r="A13" s="1000" t="s">
        <v>219</v>
      </c>
      <c r="B13" s="1001"/>
      <c r="C13" s="18"/>
      <c r="D13" s="1002"/>
      <c r="E13" s="1003"/>
      <c r="F13" s="203">
        <f>IF($E$4&gt;0,D13/$E$4,0)</f>
        <v>0</v>
      </c>
    </row>
    <row r="14" spans="1:6" ht="15.75" thickBot="1">
      <c r="A14" s="1004" t="s">
        <v>220</v>
      </c>
      <c r="B14" s="1005"/>
      <c r="C14" s="13"/>
      <c r="D14" s="1006"/>
      <c r="E14" s="1007"/>
      <c r="F14" s="204">
        <f>IF($E$4&gt;0,D14/$E$4,0)</f>
        <v>0</v>
      </c>
    </row>
    <row r="15" spans="1:6" s="6" customFormat="1" ht="15" customHeight="1">
      <c r="A15" s="1064" t="s">
        <v>75</v>
      </c>
      <c r="B15" s="1065"/>
      <c r="C15" s="992" t="s">
        <v>72</v>
      </c>
      <c r="D15" s="994" t="s">
        <v>162</v>
      </c>
      <c r="E15" s="985"/>
      <c r="F15" s="985" t="s">
        <v>74</v>
      </c>
    </row>
    <row r="16" spans="1:6" s="6" customFormat="1" ht="31.5" customHeight="1" thickBot="1">
      <c r="A16" s="1033" t="s">
        <v>130</v>
      </c>
      <c r="B16" s="991"/>
      <c r="C16" s="993"/>
      <c r="D16" s="995"/>
      <c r="E16" s="986"/>
      <c r="F16" s="986"/>
    </row>
    <row r="17" spans="1:6">
      <c r="A17" s="1066" t="s">
        <v>223</v>
      </c>
      <c r="B17" s="1067"/>
      <c r="C17" s="17"/>
      <c r="D17" s="1010"/>
      <c r="E17" s="1011"/>
      <c r="F17" s="202">
        <f>IF($E$4&gt;0,D17/$E$4,0)</f>
        <v>0</v>
      </c>
    </row>
    <row r="18" spans="1:6">
      <c r="A18" s="1000" t="s">
        <v>218</v>
      </c>
      <c r="B18" s="1001"/>
      <c r="C18" s="18"/>
      <c r="D18" s="1002"/>
      <c r="E18" s="1003"/>
      <c r="F18" s="203">
        <f>IF($E$4&gt;0,D18/$E$4,0)</f>
        <v>0</v>
      </c>
    </row>
    <row r="19" spans="1:6">
      <c r="A19" s="1000" t="s">
        <v>219</v>
      </c>
      <c r="B19" s="1001"/>
      <c r="C19" s="18"/>
      <c r="D19" s="1002"/>
      <c r="E19" s="1003"/>
      <c r="F19" s="203">
        <f>IF($E$4&gt;0,D19/$E$4,0)</f>
        <v>0</v>
      </c>
    </row>
    <row r="20" spans="1:6" ht="15.75" thickBot="1">
      <c r="A20" s="1004" t="s">
        <v>220</v>
      </c>
      <c r="B20" s="1005"/>
      <c r="C20" s="19"/>
      <c r="D20" s="1006"/>
      <c r="E20" s="1007"/>
      <c r="F20" s="204">
        <f>IF($E$4&gt;0,D20/$E$4,0)</f>
        <v>0</v>
      </c>
    </row>
    <row r="21" spans="1:6" ht="15" customHeight="1">
      <c r="A21" s="1031" t="s">
        <v>76</v>
      </c>
      <c r="B21" s="1032"/>
      <c r="C21" s="992" t="s">
        <v>72</v>
      </c>
      <c r="D21" s="994" t="s">
        <v>162</v>
      </c>
      <c r="E21" s="985"/>
      <c r="F21" s="985" t="s">
        <v>74</v>
      </c>
    </row>
    <row r="22" spans="1:6" ht="31.5" customHeight="1" thickBot="1">
      <c r="A22" s="1033" t="s">
        <v>129</v>
      </c>
      <c r="B22" s="1034"/>
      <c r="C22" s="993"/>
      <c r="D22" s="995"/>
      <c r="E22" s="986"/>
      <c r="F22" s="986"/>
    </row>
    <row r="23" spans="1:6">
      <c r="A23" s="1062" t="s">
        <v>221</v>
      </c>
      <c r="B23" s="1063"/>
      <c r="C23" s="17"/>
      <c r="D23" s="1010"/>
      <c r="E23" s="1011"/>
      <c r="F23" s="202">
        <f>IF($E$4&gt;0,D23/$E$4,0)</f>
        <v>0</v>
      </c>
    </row>
    <row r="24" spans="1:6">
      <c r="A24" s="1000" t="s">
        <v>218</v>
      </c>
      <c r="B24" s="1001"/>
      <c r="C24" s="18"/>
      <c r="D24" s="1002"/>
      <c r="E24" s="1003"/>
      <c r="F24" s="203">
        <f>IF($E$4&gt;0,D24/$E$4,0)</f>
        <v>0</v>
      </c>
    </row>
    <row r="25" spans="1:6">
      <c r="A25" s="1000" t="s">
        <v>219</v>
      </c>
      <c r="B25" s="1001"/>
      <c r="C25" s="18"/>
      <c r="D25" s="1002"/>
      <c r="E25" s="1003"/>
      <c r="F25" s="203">
        <f>IF($E$4&gt;0,D25/$E$4,0)</f>
        <v>0</v>
      </c>
    </row>
    <row r="26" spans="1:6" ht="15.75" thickBot="1">
      <c r="A26" s="1004" t="s">
        <v>220</v>
      </c>
      <c r="B26" s="1005"/>
      <c r="C26" s="19"/>
      <c r="D26" s="1006"/>
      <c r="E26" s="1007"/>
      <c r="F26" s="204">
        <f>IF($E$4&gt;0,D26/$E$4,0)</f>
        <v>0</v>
      </c>
    </row>
    <row r="27" spans="1:6" ht="15" customHeight="1">
      <c r="A27" s="1031" t="s">
        <v>77</v>
      </c>
      <c r="B27" s="1050"/>
      <c r="C27" s="992" t="s">
        <v>72</v>
      </c>
      <c r="D27" s="994" t="s">
        <v>162</v>
      </c>
      <c r="E27" s="985"/>
      <c r="F27" s="992" t="s">
        <v>74</v>
      </c>
    </row>
    <row r="28" spans="1:6" ht="31.5" customHeight="1" thickBot="1">
      <c r="A28" s="1033" t="s">
        <v>128</v>
      </c>
      <c r="B28" s="1051"/>
      <c r="C28" s="993"/>
      <c r="D28" s="995"/>
      <c r="E28" s="986"/>
      <c r="F28" s="993"/>
    </row>
    <row r="29" spans="1:6">
      <c r="A29" s="1052" t="s">
        <v>221</v>
      </c>
      <c r="B29" s="1053"/>
      <c r="C29" s="14"/>
      <c r="D29" s="1018"/>
      <c r="E29" s="1019"/>
      <c r="F29" s="202">
        <f>IF($E$4&gt;0,D29/$E$4,0)</f>
        <v>0</v>
      </c>
    </row>
    <row r="30" spans="1:6">
      <c r="A30" s="1060" t="s">
        <v>218</v>
      </c>
      <c r="B30" s="1061"/>
      <c r="C30" s="16"/>
      <c r="D30" s="1020"/>
      <c r="E30" s="1021"/>
      <c r="F30" s="203">
        <f>IF($E$4&gt;0,D30/$E$4,0)</f>
        <v>0</v>
      </c>
    </row>
    <row r="31" spans="1:6" ht="15.75" thickBot="1">
      <c r="A31" s="1048" t="s">
        <v>219</v>
      </c>
      <c r="B31" s="1049"/>
      <c r="C31" s="20"/>
      <c r="D31" s="1020"/>
      <c r="E31" s="1021"/>
      <c r="F31" s="205">
        <f>IF($E$4&gt;0,D31/$E$4,0)</f>
        <v>0</v>
      </c>
    </row>
    <row r="32" spans="1:6" ht="15.75" thickBot="1">
      <c r="A32" s="1057"/>
      <c r="B32" s="1058"/>
      <c r="C32" s="1058"/>
      <c r="D32" s="1058"/>
      <c r="E32" s="1058"/>
      <c r="F32" s="1059"/>
    </row>
    <row r="33" spans="1:6" ht="15.75" thickBot="1">
      <c r="A33" s="1035" t="s">
        <v>163</v>
      </c>
      <c r="B33" s="1036"/>
      <c r="C33" s="1037"/>
      <c r="D33" s="1046">
        <f>SUM(D11:E14)+SUM(D17:E20)+SUM(D23:E26)+SUM(D29:E31)</f>
        <v>0</v>
      </c>
      <c r="E33" s="1047"/>
      <c r="F33" s="204">
        <f>IF($E$4&gt;0,D33/$E$4,0)</f>
        <v>0</v>
      </c>
    </row>
    <row r="34" spans="1:6" ht="15.75" thickBot="1">
      <c r="A34" s="1035" t="s">
        <v>459</v>
      </c>
      <c r="B34" s="1036"/>
      <c r="C34" s="1037"/>
      <c r="D34" s="1046">
        <f>E4-B5-D33</f>
        <v>0</v>
      </c>
      <c r="E34" s="1047"/>
      <c r="F34" s="206" t="s">
        <v>133</v>
      </c>
    </row>
    <row r="35" spans="1:6" ht="15.75" thickBot="1">
      <c r="A35" s="1017"/>
      <c r="B35" s="1017"/>
      <c r="C35" s="1017"/>
      <c r="D35" s="1017"/>
      <c r="E35" s="1017"/>
      <c r="F35" s="1017"/>
    </row>
    <row r="36" spans="1:6" s="7" customFormat="1" ht="18.75" thickBot="1">
      <c r="A36" s="869" t="s">
        <v>401</v>
      </c>
      <c r="B36" s="870"/>
      <c r="C36" s="870"/>
      <c r="D36" s="870"/>
      <c r="E36" s="870"/>
      <c r="F36" s="871"/>
    </row>
    <row r="37" spans="1:6" ht="15.75" thickBot="1">
      <c r="A37" s="1038" t="s">
        <v>405</v>
      </c>
      <c r="B37" s="1038"/>
      <c r="C37" s="1038"/>
      <c r="D37" s="1038"/>
      <c r="E37" s="1038"/>
      <c r="F37" s="1038"/>
    </row>
    <row r="38" spans="1:6" ht="25.5" customHeight="1">
      <c r="A38" s="207" t="s">
        <v>78</v>
      </c>
      <c r="B38" s="1039" t="s">
        <v>79</v>
      </c>
      <c r="C38" s="992" t="s">
        <v>145</v>
      </c>
      <c r="D38" s="1040" t="s">
        <v>237</v>
      </c>
      <c r="E38" s="1041"/>
      <c r="F38" s="1042"/>
    </row>
    <row r="39" spans="1:6" ht="30" customHeight="1" thickBot="1">
      <c r="A39" s="208" t="s">
        <v>143</v>
      </c>
      <c r="B39" s="993"/>
      <c r="C39" s="993"/>
      <c r="D39" s="1043"/>
      <c r="E39" s="1044"/>
      <c r="F39" s="1045"/>
    </row>
    <row r="40" spans="1:6">
      <c r="A40" s="209" t="str">
        <f>+A11</f>
        <v>1. (Example: CMAQ)</v>
      </c>
      <c r="B40" s="54"/>
      <c r="C40" s="55"/>
      <c r="D40" s="1025"/>
      <c r="E40" s="1026"/>
      <c r="F40" s="1027"/>
    </row>
    <row r="41" spans="1:6">
      <c r="A41" s="210" t="str">
        <f>+A12</f>
        <v>2.</v>
      </c>
      <c r="B41" s="49"/>
      <c r="C41" s="53"/>
      <c r="D41" s="1014"/>
      <c r="E41" s="1015"/>
      <c r="F41" s="1016"/>
    </row>
    <row r="42" spans="1:6">
      <c r="A42" s="210" t="str">
        <f>+A13</f>
        <v>3.</v>
      </c>
      <c r="B42" s="49"/>
      <c r="C42" s="53"/>
      <c r="D42" s="1014"/>
      <c r="E42" s="1015"/>
      <c r="F42" s="1016"/>
    </row>
    <row r="43" spans="1:6" ht="15.75" thickBot="1">
      <c r="A43" s="211" t="str">
        <f>+A14</f>
        <v>4.</v>
      </c>
      <c r="B43" s="23"/>
      <c r="C43" s="22"/>
      <c r="D43" s="1022"/>
      <c r="E43" s="1023"/>
      <c r="F43" s="1024"/>
    </row>
    <row r="44" spans="1:6" ht="15.75" thickBot="1">
      <c r="A44" s="207" t="s">
        <v>80</v>
      </c>
      <c r="B44" s="1012"/>
      <c r="C44" s="987"/>
      <c r="D44" s="1028"/>
      <c r="E44" s="1029"/>
      <c r="F44" s="1030"/>
    </row>
    <row r="45" spans="1:6" ht="15.75" thickBot="1">
      <c r="A45" s="208" t="s">
        <v>143</v>
      </c>
      <c r="B45" s="1013"/>
      <c r="C45" s="988"/>
      <c r="D45" s="1028"/>
      <c r="E45" s="1029"/>
      <c r="F45" s="1030"/>
    </row>
    <row r="46" spans="1:6">
      <c r="A46" s="209" t="str">
        <f>+A17</f>
        <v>1. (Example: State Transportation Fund)</v>
      </c>
      <c r="B46" s="54"/>
      <c r="C46" s="55"/>
      <c r="D46" s="1025"/>
      <c r="E46" s="1026"/>
      <c r="F46" s="1027"/>
    </row>
    <row r="47" spans="1:6">
      <c r="A47" s="210" t="str">
        <f>+A18</f>
        <v>2.</v>
      </c>
      <c r="B47" s="49"/>
      <c r="C47" s="53"/>
      <c r="D47" s="1014"/>
      <c r="E47" s="1015"/>
      <c r="F47" s="1016"/>
    </row>
    <row r="48" spans="1:6">
      <c r="A48" s="210" t="str">
        <f>+A19</f>
        <v>3.</v>
      </c>
      <c r="B48" s="49"/>
      <c r="C48" s="53"/>
      <c r="D48" s="1014"/>
      <c r="E48" s="1015"/>
      <c r="F48" s="1016"/>
    </row>
    <row r="49" spans="1:6" ht="15.75" thickBot="1">
      <c r="A49" s="211" t="str">
        <f>+A20</f>
        <v>4.</v>
      </c>
      <c r="B49" s="23"/>
      <c r="C49" s="22"/>
      <c r="D49" s="1022"/>
      <c r="E49" s="1023"/>
      <c r="F49" s="1024"/>
    </row>
    <row r="50" spans="1:6" ht="15.75" thickBot="1">
      <c r="A50" s="212" t="s">
        <v>81</v>
      </c>
      <c r="B50" s="1012"/>
      <c r="C50" s="987"/>
      <c r="D50" s="1028"/>
      <c r="E50" s="1029"/>
      <c r="F50" s="1030"/>
    </row>
    <row r="51" spans="1:6" ht="15.75" thickBot="1">
      <c r="A51" s="208" t="s">
        <v>143</v>
      </c>
      <c r="B51" s="1013"/>
      <c r="C51" s="988"/>
      <c r="D51" s="1028"/>
      <c r="E51" s="1029"/>
      <c r="F51" s="1030"/>
    </row>
    <row r="52" spans="1:6">
      <c r="A52" s="209" t="str">
        <f>+A23</f>
        <v>1.</v>
      </c>
      <c r="B52" s="54"/>
      <c r="C52" s="55"/>
      <c r="D52" s="1025"/>
      <c r="E52" s="1026"/>
      <c r="F52" s="1027"/>
    </row>
    <row r="53" spans="1:6">
      <c r="A53" s="210" t="str">
        <f>+A24</f>
        <v>2.</v>
      </c>
      <c r="B53" s="49"/>
      <c r="C53" s="53"/>
      <c r="D53" s="1014"/>
      <c r="E53" s="1015"/>
      <c r="F53" s="1016"/>
    </row>
    <row r="54" spans="1:6">
      <c r="A54" s="210" t="str">
        <f>+A25</f>
        <v>3.</v>
      </c>
      <c r="B54" s="49"/>
      <c r="C54" s="53"/>
      <c r="D54" s="1014"/>
      <c r="E54" s="1015"/>
      <c r="F54" s="1016"/>
    </row>
    <row r="55" spans="1:6" ht="15.75" thickBot="1">
      <c r="A55" s="211" t="str">
        <f>+A26</f>
        <v>4.</v>
      </c>
      <c r="B55" s="23"/>
      <c r="C55" s="22"/>
      <c r="D55" s="1022"/>
      <c r="E55" s="1023"/>
      <c r="F55" s="1024"/>
    </row>
    <row r="56" spans="1:6">
      <c r="A56" s="212" t="s">
        <v>144</v>
      </c>
      <c r="B56" s="213"/>
      <c r="C56" s="214"/>
      <c r="D56" s="1087"/>
      <c r="E56" s="1088"/>
      <c r="F56" s="1089"/>
    </row>
    <row r="57" spans="1:6" ht="15.75" thickBot="1">
      <c r="A57" s="208" t="s">
        <v>143</v>
      </c>
      <c r="B57" s="215"/>
      <c r="C57" s="216"/>
      <c r="D57" s="217"/>
      <c r="E57" s="218"/>
      <c r="F57" s="219"/>
    </row>
    <row r="58" spans="1:6">
      <c r="A58" s="209" t="str">
        <f>+A29</f>
        <v>1.</v>
      </c>
      <c r="B58" s="54"/>
      <c r="C58" s="55"/>
      <c r="D58" s="1090"/>
      <c r="E58" s="1091"/>
      <c r="F58" s="1092"/>
    </row>
    <row r="59" spans="1:6">
      <c r="A59" s="210" t="str">
        <f>+A30</f>
        <v>2.</v>
      </c>
      <c r="B59" s="49"/>
      <c r="C59" s="53"/>
      <c r="D59" s="1014"/>
      <c r="E59" s="1015"/>
      <c r="F59" s="1016"/>
    </row>
    <row r="60" spans="1:6" ht="15.75" thickBot="1">
      <c r="A60" s="211" t="str">
        <f>+A31</f>
        <v>3.</v>
      </c>
      <c r="B60" s="31"/>
      <c r="C60" s="31"/>
      <c r="D60" s="1022"/>
      <c r="E60" s="1023"/>
      <c r="F60" s="1024"/>
    </row>
    <row r="61" spans="1:6">
      <c r="A61" s="220"/>
      <c r="B61" s="220"/>
      <c r="C61" s="220"/>
      <c r="D61" s="220"/>
      <c r="E61" s="220"/>
      <c r="F61" s="220"/>
    </row>
    <row r="62" spans="1:6">
      <c r="A62" s="221" t="s">
        <v>131</v>
      </c>
      <c r="B62" s="220"/>
      <c r="C62" s="220"/>
      <c r="D62" s="220"/>
      <c r="E62" s="220"/>
      <c r="F62" s="220"/>
    </row>
    <row r="63" spans="1:6" ht="72" customHeight="1">
      <c r="A63" s="1093" t="s">
        <v>304</v>
      </c>
      <c r="B63" s="1094"/>
      <c r="C63" s="1094"/>
      <c r="D63" s="1094"/>
      <c r="E63" s="1094"/>
      <c r="F63" s="1094"/>
    </row>
    <row r="64" spans="1:6" ht="75" customHeight="1">
      <c r="A64" s="1093" t="s">
        <v>415</v>
      </c>
      <c r="B64" s="1094"/>
      <c r="C64" s="1094"/>
      <c r="D64" s="1094"/>
      <c r="E64" s="1094"/>
      <c r="F64" s="1094"/>
    </row>
    <row r="65" spans="1:6" ht="42.75" customHeight="1">
      <c r="A65" s="1095" t="s">
        <v>305</v>
      </c>
      <c r="B65" s="1096"/>
      <c r="C65" s="1096"/>
      <c r="D65" s="1096"/>
      <c r="E65" s="1096"/>
      <c r="F65" s="1096"/>
    </row>
    <row r="66" spans="1:6" ht="15.75" thickBot="1">
      <c r="A66" s="1017"/>
      <c r="B66" s="1017"/>
      <c r="C66" s="1017"/>
      <c r="D66" s="1017"/>
      <c r="E66" s="1017"/>
      <c r="F66" s="1017"/>
    </row>
    <row r="67" spans="1:6" s="7" customFormat="1" ht="18.75" thickBot="1">
      <c r="A67" s="869" t="s">
        <v>402</v>
      </c>
      <c r="B67" s="870"/>
      <c r="C67" s="870"/>
      <c r="D67" s="870"/>
      <c r="E67" s="870"/>
      <c r="F67" s="871"/>
    </row>
    <row r="68" spans="1:6" s="12" customFormat="1" ht="15.75" customHeight="1">
      <c r="A68" s="1064" t="s">
        <v>82</v>
      </c>
      <c r="B68" s="1065"/>
      <c r="C68" s="1065"/>
      <c r="D68" s="1065"/>
      <c r="E68" s="1065"/>
      <c r="F68" s="1080"/>
    </row>
    <row r="69" spans="1:6" s="12" customFormat="1" ht="19.5" customHeight="1" thickBot="1">
      <c r="A69" s="1081" t="s">
        <v>302</v>
      </c>
      <c r="B69" s="1082"/>
      <c r="C69" s="1082"/>
      <c r="D69" s="1082"/>
      <c r="E69" s="1082"/>
      <c r="F69" s="1083"/>
    </row>
    <row r="70" spans="1:6" s="12" customFormat="1" ht="13.5" thickBot="1">
      <c r="A70" s="222" t="s">
        <v>83</v>
      </c>
      <c r="B70" s="1077" t="s">
        <v>84</v>
      </c>
      <c r="C70" s="1078"/>
      <c r="D70" s="1079" t="s">
        <v>85</v>
      </c>
      <c r="E70" s="1079"/>
      <c r="F70" s="1078"/>
    </row>
    <row r="71" spans="1:6" s="12" customFormat="1" ht="12.75">
      <c r="A71" s="26"/>
      <c r="B71" s="1074"/>
      <c r="C71" s="1075"/>
      <c r="D71" s="1076"/>
      <c r="E71" s="1076"/>
      <c r="F71" s="1075"/>
    </row>
    <row r="72" spans="1:6" s="12" customFormat="1" ht="12.75">
      <c r="A72" s="15"/>
      <c r="B72" s="989"/>
      <c r="C72" s="984"/>
      <c r="D72" s="1073"/>
      <c r="E72" s="1073"/>
      <c r="F72" s="984"/>
    </row>
    <row r="73" spans="1:6" s="12" customFormat="1" ht="12.75">
      <c r="A73" s="15"/>
      <c r="B73" s="989"/>
      <c r="C73" s="984"/>
      <c r="D73" s="1073"/>
      <c r="E73" s="1073"/>
      <c r="F73" s="984"/>
    </row>
    <row r="74" spans="1:6" s="12" customFormat="1" ht="13.5" thickBot="1">
      <c r="A74" s="21"/>
      <c r="B74" s="1084"/>
      <c r="C74" s="1085"/>
      <c r="D74" s="1084"/>
      <c r="E74" s="1086"/>
      <c r="F74" s="1085"/>
    </row>
    <row r="75" spans="1:6" s="12" customFormat="1" ht="18.75" customHeight="1" thickBot="1">
      <c r="A75" s="1069"/>
      <c r="B75" s="1070"/>
      <c r="C75" s="1070"/>
      <c r="D75" s="1070"/>
      <c r="E75" s="1070"/>
      <c r="F75" s="1071"/>
    </row>
    <row r="76" spans="1:6" s="12" customFormat="1" ht="18.75" customHeight="1" thickBot="1">
      <c r="A76" s="1077" t="s">
        <v>146</v>
      </c>
      <c r="B76" s="1079"/>
      <c r="C76" s="1079"/>
      <c r="D76" s="1079"/>
      <c r="E76" s="1079"/>
      <c r="F76" s="1078"/>
    </row>
    <row r="77" spans="1:6" s="12" customFormat="1" ht="30" customHeight="1" thickBot="1">
      <c r="A77" s="223" t="s">
        <v>403</v>
      </c>
      <c r="B77" s="27"/>
      <c r="C77" s="979" t="s">
        <v>406</v>
      </c>
      <c r="D77" s="1072"/>
      <c r="E77" s="1127"/>
      <c r="F77" s="1128"/>
    </row>
    <row r="78" spans="1:6" s="12" customFormat="1" ht="43.5" customHeight="1" thickBot="1">
      <c r="A78" s="224" t="s">
        <v>407</v>
      </c>
      <c r="B78" s="225" t="s">
        <v>73</v>
      </c>
      <c r="C78" s="225" t="s">
        <v>86</v>
      </c>
      <c r="D78" s="225" t="s">
        <v>303</v>
      </c>
      <c r="E78" s="988" t="s">
        <v>79</v>
      </c>
      <c r="F78" s="1124"/>
    </row>
    <row r="79" spans="1:6" s="12" customFormat="1" ht="12.75">
      <c r="A79" s="17" t="s">
        <v>87</v>
      </c>
      <c r="B79" s="57"/>
      <c r="C79" s="25" t="s">
        <v>133</v>
      </c>
      <c r="D79" s="25" t="s">
        <v>133</v>
      </c>
      <c r="E79" s="1125" t="s">
        <v>133</v>
      </c>
      <c r="F79" s="1126"/>
    </row>
    <row r="80" spans="1:6" s="12" customFormat="1" ht="12.75">
      <c r="A80" s="18" t="s">
        <v>88</v>
      </c>
      <c r="B80" s="56"/>
      <c r="C80" s="49"/>
      <c r="D80" s="49"/>
      <c r="E80" s="1102"/>
      <c r="F80" s="1103"/>
    </row>
    <row r="81" spans="1:6" s="12" customFormat="1" ht="12.75">
      <c r="A81" s="18" t="s">
        <v>89</v>
      </c>
      <c r="B81" s="56"/>
      <c r="C81" s="49"/>
      <c r="D81" s="49"/>
      <c r="E81" s="1102"/>
      <c r="F81" s="1103"/>
    </row>
    <row r="82" spans="1:6" s="12" customFormat="1" ht="12.75">
      <c r="A82" s="18" t="s">
        <v>90</v>
      </c>
      <c r="B82" s="56"/>
      <c r="C82" s="49"/>
      <c r="D82" s="49"/>
      <c r="E82" s="1102"/>
      <c r="F82" s="1103"/>
    </row>
    <row r="83" spans="1:6" s="12" customFormat="1" ht="12.75">
      <c r="A83" s="18" t="s">
        <v>91</v>
      </c>
      <c r="B83" s="56"/>
      <c r="C83" s="49"/>
      <c r="D83" s="49"/>
      <c r="E83" s="1102"/>
      <c r="F83" s="1103"/>
    </row>
    <row r="84" spans="1:6" s="12" customFormat="1" ht="12.75">
      <c r="A84" s="18" t="s">
        <v>92</v>
      </c>
      <c r="B84" s="56"/>
      <c r="C84" s="49"/>
      <c r="D84" s="49"/>
      <c r="E84" s="1104"/>
      <c r="F84" s="1103"/>
    </row>
    <row r="85" spans="1:6" s="12" customFormat="1" ht="12.75">
      <c r="A85" s="18" t="s">
        <v>93</v>
      </c>
      <c r="B85" s="56"/>
      <c r="C85" s="49"/>
      <c r="D85" s="49"/>
      <c r="E85" s="1102"/>
      <c r="F85" s="1103"/>
    </row>
    <row r="86" spans="1:6" s="12" customFormat="1" ht="13.5" thickBot="1">
      <c r="A86" s="24" t="s">
        <v>94</v>
      </c>
      <c r="B86" s="33"/>
      <c r="C86" s="32"/>
      <c r="D86" s="32"/>
      <c r="E86" s="1105"/>
      <c r="F86" s="1106"/>
    </row>
    <row r="87" spans="1:6" s="12" customFormat="1" ht="14.25" thickTop="1" thickBot="1">
      <c r="A87" s="226" t="s">
        <v>0</v>
      </c>
      <c r="B87" s="227">
        <f>SUM(B79:B86)</f>
        <v>0</v>
      </c>
      <c r="C87" s="228"/>
      <c r="D87" s="228"/>
      <c r="E87" s="1100"/>
      <c r="F87" s="1101"/>
    </row>
    <row r="88" spans="1:6" s="12" customFormat="1" ht="18.75" customHeight="1" thickBot="1">
      <c r="A88" s="1069"/>
      <c r="B88" s="1070"/>
      <c r="C88" s="1070"/>
      <c r="D88" s="1070"/>
      <c r="E88" s="1070"/>
      <c r="F88" s="1071"/>
    </row>
    <row r="89" spans="1:6" s="12" customFormat="1" ht="21.75" customHeight="1" thickBot="1">
      <c r="A89" s="1077" t="s">
        <v>95</v>
      </c>
      <c r="B89" s="1079"/>
      <c r="C89" s="1079"/>
      <c r="D89" s="1079"/>
      <c r="E89" s="1079"/>
      <c r="F89" s="1078"/>
    </row>
    <row r="90" spans="1:6" s="12" customFormat="1" ht="12.75" customHeight="1">
      <c r="A90" s="229" t="s">
        <v>96</v>
      </c>
      <c r="B90" s="985" t="s">
        <v>98</v>
      </c>
      <c r="C90" s="1031" t="s">
        <v>404</v>
      </c>
      <c r="D90" s="1097"/>
      <c r="E90" s="1122" t="s">
        <v>99</v>
      </c>
      <c r="F90" s="985"/>
    </row>
    <row r="91" spans="1:6" s="12" customFormat="1" ht="42" customHeight="1" thickBot="1">
      <c r="A91" s="230" t="s">
        <v>97</v>
      </c>
      <c r="B91" s="986"/>
      <c r="C91" s="1098"/>
      <c r="D91" s="1099"/>
      <c r="E91" s="1123"/>
      <c r="F91" s="986"/>
    </row>
    <row r="92" spans="1:6" s="12" customFormat="1" ht="12.75">
      <c r="A92" s="231" t="s">
        <v>100</v>
      </c>
      <c r="B92" s="30"/>
      <c r="C92" s="811" t="s">
        <v>100</v>
      </c>
      <c r="D92" s="1107"/>
      <c r="E92" s="1110"/>
      <c r="F92" s="1111"/>
    </row>
    <row r="93" spans="1:6" s="12" customFormat="1" ht="12.75">
      <c r="A93" s="232" t="s">
        <v>101</v>
      </c>
      <c r="B93" s="49"/>
      <c r="C93" s="1108" t="s">
        <v>101</v>
      </c>
      <c r="D93" s="1109"/>
      <c r="E93" s="983"/>
      <c r="F93" s="984"/>
    </row>
    <row r="94" spans="1:6" s="12" customFormat="1" ht="12.75">
      <c r="A94" s="233" t="s">
        <v>132</v>
      </c>
      <c r="B94" s="49"/>
      <c r="C94" s="1108" t="s">
        <v>102</v>
      </c>
      <c r="D94" s="1109"/>
      <c r="E94" s="983"/>
      <c r="F94" s="984"/>
    </row>
    <row r="95" spans="1:6" s="12" customFormat="1" ht="12.75">
      <c r="A95" s="232" t="s">
        <v>103</v>
      </c>
      <c r="B95" s="50"/>
      <c r="C95" s="1108" t="s">
        <v>103</v>
      </c>
      <c r="D95" s="1109"/>
      <c r="E95" s="1114"/>
      <c r="F95" s="1115"/>
    </row>
    <row r="96" spans="1:6" s="12" customFormat="1" ht="12.75">
      <c r="A96" s="232" t="s">
        <v>104</v>
      </c>
      <c r="B96" s="49"/>
      <c r="C96" s="1108"/>
      <c r="D96" s="1109"/>
      <c r="E96" s="1118"/>
      <c r="F96" s="1119"/>
    </row>
    <row r="97" spans="1:6" s="12" customFormat="1" ht="12.75">
      <c r="A97" s="232" t="s">
        <v>106</v>
      </c>
      <c r="B97" s="49"/>
      <c r="C97" s="1108"/>
      <c r="D97" s="1109"/>
      <c r="E97" s="1118"/>
      <c r="F97" s="1119"/>
    </row>
    <row r="98" spans="1:6" s="12" customFormat="1" ht="12.75">
      <c r="A98" s="232" t="s">
        <v>105</v>
      </c>
      <c r="B98" s="52"/>
      <c r="C98" s="1108" t="s">
        <v>125</v>
      </c>
      <c r="D98" s="1109"/>
      <c r="E98" s="1120"/>
      <c r="F98" s="1121"/>
    </row>
    <row r="99" spans="1:6" s="12" customFormat="1" ht="13.5" thickBot="1">
      <c r="A99" s="234" t="s">
        <v>107</v>
      </c>
      <c r="B99" s="51"/>
      <c r="C99" s="1112" t="s">
        <v>126</v>
      </c>
      <c r="D99" s="1113"/>
      <c r="E99" s="1116"/>
      <c r="F99" s="1117"/>
    </row>
    <row r="101" spans="1:6">
      <c r="A101" s="5"/>
    </row>
  </sheetData>
  <sheetProtection algorithmName="SHA-512" hashValue="Jrsg/jJ9ZNl5jmejWl06WzrHnSVgZFCxu7gP1V1M9JucvVbo44+psGToKJozm7Z4ZUiJ5D6lCu2fbUw5g9eKUA==" saltValue="46b8evEmZkQ/YJMRucalww==" spinCount="100000" sheet="1" formatCells="0" formatColumns="0" formatRows="0" insertColumns="0" insertRows="0" insertHyperlinks="0" selectLockedCells="1"/>
  <customSheetViews>
    <customSheetView guid="{AB5399CE-BEB7-40AA-A66C-46449E135DF8}" scale="93" showGridLines="0" topLeftCell="A84">
      <selection activeCell="E4" sqref="E4:F4"/>
      <rowBreaks count="2" manualBreakCount="2">
        <brk id="34" max="5" man="1"/>
        <brk id="65" max="16383" man="1"/>
      </rowBreaks>
      <pageMargins left="0.75" right="0.75" top="0.75" bottom="0.75" header="0.5" footer="0.5"/>
      <printOptions horizontalCentered="1"/>
      <pageSetup scale="77" fitToHeight="3" orientation="landscape" r:id="rId1"/>
      <headerFooter alignWithMargins="0"/>
    </customSheetView>
  </customSheetViews>
  <mergeCells count="146">
    <mergeCell ref="C6:F6"/>
    <mergeCell ref="C92:D92"/>
    <mergeCell ref="C93:D93"/>
    <mergeCell ref="E92:F92"/>
    <mergeCell ref="E93:F93"/>
    <mergeCell ref="C96:D96"/>
    <mergeCell ref="C97:D97"/>
    <mergeCell ref="C98:D98"/>
    <mergeCell ref="C99:D99"/>
    <mergeCell ref="C94:D94"/>
    <mergeCell ref="C95:D95"/>
    <mergeCell ref="E95:F95"/>
    <mergeCell ref="E99:F99"/>
    <mergeCell ref="E96:F96"/>
    <mergeCell ref="E97:F97"/>
    <mergeCell ref="E98:F98"/>
    <mergeCell ref="A88:F88"/>
    <mergeCell ref="E90:F91"/>
    <mergeCell ref="B90:B91"/>
    <mergeCell ref="E78:F78"/>
    <mergeCell ref="E79:F79"/>
    <mergeCell ref="A76:F76"/>
    <mergeCell ref="E77:F77"/>
    <mergeCell ref="E80:F80"/>
    <mergeCell ref="C90:D91"/>
    <mergeCell ref="A89:F89"/>
    <mergeCell ref="E87:F87"/>
    <mergeCell ref="E81:F81"/>
    <mergeCell ref="E82:F82"/>
    <mergeCell ref="E83:F83"/>
    <mergeCell ref="E84:F84"/>
    <mergeCell ref="E85:F85"/>
    <mergeCell ref="E86:F86"/>
    <mergeCell ref="D60:F60"/>
    <mergeCell ref="D72:F72"/>
    <mergeCell ref="D56:F56"/>
    <mergeCell ref="D58:F58"/>
    <mergeCell ref="D59:F59"/>
    <mergeCell ref="A64:F64"/>
    <mergeCell ref="A65:F65"/>
    <mergeCell ref="D52:F52"/>
    <mergeCell ref="A67:F67"/>
    <mergeCell ref="A66:F66"/>
    <mergeCell ref="A63:F63"/>
    <mergeCell ref="D55:F55"/>
    <mergeCell ref="D53:F53"/>
    <mergeCell ref="D54:F54"/>
    <mergeCell ref="A75:F75"/>
    <mergeCell ref="C77:D77"/>
    <mergeCell ref="D73:F73"/>
    <mergeCell ref="B71:C71"/>
    <mergeCell ref="D71:F71"/>
    <mergeCell ref="B70:C70"/>
    <mergeCell ref="D70:F70"/>
    <mergeCell ref="A68:F68"/>
    <mergeCell ref="A69:F69"/>
    <mergeCell ref="B74:C74"/>
    <mergeCell ref="D74:F74"/>
    <mergeCell ref="A3:F3"/>
    <mergeCell ref="A8:F8"/>
    <mergeCell ref="A36:F36"/>
    <mergeCell ref="C38:C39"/>
    <mergeCell ref="A32:F32"/>
    <mergeCell ref="A34:C34"/>
    <mergeCell ref="D34:E34"/>
    <mergeCell ref="D31:E31"/>
    <mergeCell ref="A30:B30"/>
    <mergeCell ref="C27:C28"/>
    <mergeCell ref="A23:B23"/>
    <mergeCell ref="A24:B24"/>
    <mergeCell ref="A12:B12"/>
    <mergeCell ref="D12:E12"/>
    <mergeCell ref="A9:B9"/>
    <mergeCell ref="A17:B17"/>
    <mergeCell ref="D17:E17"/>
    <mergeCell ref="A18:B18"/>
    <mergeCell ref="D18:E18"/>
    <mergeCell ref="A15:B15"/>
    <mergeCell ref="A16:B16"/>
    <mergeCell ref="C15:C16"/>
    <mergeCell ref="D15:E16"/>
    <mergeCell ref="C4:D4"/>
    <mergeCell ref="A25:B25"/>
    <mergeCell ref="D27:E28"/>
    <mergeCell ref="D50:F51"/>
    <mergeCell ref="D26:E26"/>
    <mergeCell ref="D38:F39"/>
    <mergeCell ref="D33:E33"/>
    <mergeCell ref="F27:F28"/>
    <mergeCell ref="D49:F49"/>
    <mergeCell ref="A31:B31"/>
    <mergeCell ref="A27:B27"/>
    <mergeCell ref="A28:B28"/>
    <mergeCell ref="A29:B29"/>
    <mergeCell ref="D48:F48"/>
    <mergeCell ref="B44:B45"/>
    <mergeCell ref="C44:C45"/>
    <mergeCell ref="D41:F41"/>
    <mergeCell ref="A1:F1"/>
    <mergeCell ref="B2:F2"/>
    <mergeCell ref="D30:E30"/>
    <mergeCell ref="D43:F43"/>
    <mergeCell ref="D46:F46"/>
    <mergeCell ref="D47:F47"/>
    <mergeCell ref="D44:F45"/>
    <mergeCell ref="A26:B26"/>
    <mergeCell ref="C21:C22"/>
    <mergeCell ref="D21:E22"/>
    <mergeCell ref="F21:F22"/>
    <mergeCell ref="A19:B19"/>
    <mergeCell ref="D19:E19"/>
    <mergeCell ref="A20:B20"/>
    <mergeCell ref="D20:E20"/>
    <mergeCell ref="A21:B21"/>
    <mergeCell ref="A22:B22"/>
    <mergeCell ref="D23:E23"/>
    <mergeCell ref="D24:E24"/>
    <mergeCell ref="A33:C33"/>
    <mergeCell ref="D40:F40"/>
    <mergeCell ref="A37:F37"/>
    <mergeCell ref="B38:B39"/>
    <mergeCell ref="D25:E25"/>
    <mergeCell ref="E4:F4"/>
    <mergeCell ref="C5:D5"/>
    <mergeCell ref="E5:F5"/>
    <mergeCell ref="E94:F94"/>
    <mergeCell ref="F15:F16"/>
    <mergeCell ref="C50:C51"/>
    <mergeCell ref="B72:C72"/>
    <mergeCell ref="B73:C73"/>
    <mergeCell ref="A10:B10"/>
    <mergeCell ref="C9:C10"/>
    <mergeCell ref="D9:E10"/>
    <mergeCell ref="A7:D7"/>
    <mergeCell ref="E7:F7"/>
    <mergeCell ref="A13:B13"/>
    <mergeCell ref="D13:E13"/>
    <mergeCell ref="A14:B14"/>
    <mergeCell ref="D14:E14"/>
    <mergeCell ref="F9:F10"/>
    <mergeCell ref="A11:B11"/>
    <mergeCell ref="D11:E11"/>
    <mergeCell ref="B50:B51"/>
    <mergeCell ref="D42:F42"/>
    <mergeCell ref="A35:F35"/>
    <mergeCell ref="D29:E29"/>
  </mergeCells>
  <phoneticPr fontId="0" type="noConversion"/>
  <dataValidations count="3">
    <dataValidation type="list" allowBlank="1" showInputMessage="1" showErrorMessage="1" sqref="B40:B43 B46:B49 B52:B55 B58:B60 E80:F86">
      <formula1>"New,Existing"</formula1>
    </dataValidation>
    <dataValidation type="list" allowBlank="1" showInputMessage="1" showErrorMessage="1" sqref="C40:C43 C46:C49 C52:C55 C58:C60">
      <formula1>"Committed,Budgeted,Planned"</formula1>
    </dataValidation>
    <dataValidation type="list" allowBlank="1" showInputMessage="1" showErrorMessage="1" sqref="D80:D86">
      <formula1>"Annual,Dedicated"</formula1>
    </dataValidation>
  </dataValidations>
  <printOptions horizontalCentered="1"/>
  <pageMargins left="0.75" right="0.75" top="0.75" bottom="0.75" header="0.5" footer="0.5"/>
  <pageSetup scale="77" fitToHeight="3" orientation="landscape" horizontalDpi="4294967293" verticalDpi="4294967293" r:id="rId2"/>
  <headerFooter alignWithMargins="0"/>
  <rowBreaks count="2" manualBreakCount="2">
    <brk id="34" max="5" man="1"/>
    <brk id="65" max="16383" man="1"/>
  </rowBreaks>
  <ignoredErrors>
    <ignoredError sqref="A12:B14 A18:B20 A23:B26 A29:B31" numberStoredAsText="1"/>
  </ignoredError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workbookViewId="0"/>
  </sheetViews>
  <sheetFormatPr defaultColWidth="10.6640625" defaultRowHeight="12.75"/>
  <cols>
    <col min="1" max="1" width="75.6640625" style="460" customWidth="1"/>
    <col min="2" max="2" width="21.6640625" style="460" customWidth="1"/>
    <col min="3" max="3" width="28.5" style="460" customWidth="1"/>
    <col min="4" max="9" width="10.6640625" style="460"/>
    <col min="10" max="10" width="11.6640625" style="460" bestFit="1" customWidth="1"/>
    <col min="11" max="16384" width="10.6640625" style="460"/>
  </cols>
  <sheetData>
    <row r="1" spans="1:11" ht="18">
      <c r="A1" s="477" t="s">
        <v>364</v>
      </c>
    </row>
    <row r="3" spans="1:11" ht="15" customHeight="1" thickBot="1">
      <c r="A3" s="461" t="s">
        <v>356</v>
      </c>
      <c r="B3" s="462" t="s">
        <v>357</v>
      </c>
      <c r="C3" s="462" t="s">
        <v>358</v>
      </c>
      <c r="G3" s="480" t="s">
        <v>365</v>
      </c>
    </row>
    <row r="4" spans="1:11" ht="18" customHeight="1" thickTop="1">
      <c r="A4" s="470" t="s">
        <v>359</v>
      </c>
      <c r="B4" s="471">
        <v>0</v>
      </c>
      <c r="C4" s="472" t="s">
        <v>379</v>
      </c>
    </row>
    <row r="5" spans="1:11" ht="18" customHeight="1">
      <c r="A5" s="464"/>
      <c r="B5" s="465">
        <v>0.01</v>
      </c>
      <c r="C5" s="466" t="s">
        <v>378</v>
      </c>
      <c r="G5" s="460" t="s">
        <v>366</v>
      </c>
      <c r="I5" s="460" t="str">
        <f>IF('Project Description'!C92="(Select…)","unknown",'Project Description'!C92)</f>
        <v>unknown</v>
      </c>
    </row>
    <row r="6" spans="1:11" ht="18" customHeight="1">
      <c r="A6" s="464"/>
      <c r="B6" s="465">
        <v>4</v>
      </c>
      <c r="C6" s="466" t="s">
        <v>377</v>
      </c>
    </row>
    <row r="7" spans="1:11" ht="18" customHeight="1">
      <c r="A7" s="464"/>
      <c r="B7" s="465">
        <v>6</v>
      </c>
      <c r="C7" s="466" t="s">
        <v>376</v>
      </c>
      <c r="G7" s="460" t="s">
        <v>367</v>
      </c>
      <c r="J7" s="460" t="s">
        <v>368</v>
      </c>
    </row>
    <row r="8" spans="1:11" ht="18" customHeight="1">
      <c r="A8" s="464"/>
      <c r="B8" s="465">
        <v>10</v>
      </c>
      <c r="C8" s="466" t="s">
        <v>375</v>
      </c>
      <c r="G8" s="460">
        <v>0</v>
      </c>
      <c r="H8" s="460">
        <v>0</v>
      </c>
      <c r="J8" s="460">
        <v>0</v>
      </c>
      <c r="K8" s="460">
        <v>1</v>
      </c>
    </row>
    <row r="9" spans="1:11" ht="18" customHeight="1" thickBot="1">
      <c r="A9" s="467"/>
      <c r="B9" s="468">
        <v>15</v>
      </c>
      <c r="C9" s="469" t="s">
        <v>374</v>
      </c>
      <c r="G9" s="460">
        <v>3000</v>
      </c>
      <c r="H9" s="460">
        <v>1</v>
      </c>
      <c r="J9" s="460">
        <v>50000000</v>
      </c>
      <c r="K9" s="460">
        <v>2</v>
      </c>
    </row>
    <row r="10" spans="1:11" ht="18" customHeight="1">
      <c r="A10" s="470" t="s">
        <v>360</v>
      </c>
      <c r="B10" s="471">
        <v>0</v>
      </c>
      <c r="C10" s="472" t="s">
        <v>379</v>
      </c>
      <c r="G10" s="460">
        <v>6000</v>
      </c>
      <c r="H10" s="460">
        <v>2</v>
      </c>
      <c r="J10" s="460">
        <v>100000000</v>
      </c>
      <c r="K10" s="460">
        <v>3</v>
      </c>
    </row>
    <row r="11" spans="1:11" ht="18" customHeight="1">
      <c r="A11" s="464"/>
      <c r="B11" s="465">
        <v>0.01</v>
      </c>
      <c r="C11" s="466" t="s">
        <v>378</v>
      </c>
      <c r="G11" s="460">
        <v>9000</v>
      </c>
      <c r="H11" s="460">
        <v>3</v>
      </c>
      <c r="J11" s="460">
        <v>175000000</v>
      </c>
      <c r="K11" s="460">
        <v>4</v>
      </c>
    </row>
    <row r="12" spans="1:11" ht="18" customHeight="1">
      <c r="A12" s="464"/>
      <c r="B12" s="465">
        <v>1</v>
      </c>
      <c r="C12" s="466" t="s">
        <v>377</v>
      </c>
      <c r="G12" s="460">
        <v>12000</v>
      </c>
      <c r="H12" s="460">
        <v>4</v>
      </c>
      <c r="J12" s="460">
        <v>250000000</v>
      </c>
      <c r="K12" s="460">
        <v>5</v>
      </c>
    </row>
    <row r="13" spans="1:11" ht="18" customHeight="1">
      <c r="A13" s="464"/>
      <c r="B13" s="465">
        <v>2</v>
      </c>
      <c r="C13" s="466" t="s">
        <v>376</v>
      </c>
      <c r="G13" s="460">
        <v>15000</v>
      </c>
      <c r="H13" s="460">
        <v>5</v>
      </c>
      <c r="J13" s="460">
        <v>500000000</v>
      </c>
      <c r="K13" s="460">
        <v>0</v>
      </c>
    </row>
    <row r="14" spans="1:11" ht="18" customHeight="1">
      <c r="A14" s="464"/>
      <c r="B14" s="465">
        <v>4</v>
      </c>
      <c r="C14" s="466" t="s">
        <v>375</v>
      </c>
    </row>
    <row r="15" spans="1:11" ht="18" customHeight="1" thickBot="1">
      <c r="A15" s="467"/>
      <c r="B15" s="468">
        <v>5.01</v>
      </c>
      <c r="C15" s="469" t="s">
        <v>374</v>
      </c>
      <c r="G15" s="481" t="s">
        <v>369</v>
      </c>
      <c r="H15" s="460" t="str">
        <f>IF(I5="Yes",IF(NOT(ISNUMBER('Project Description'!C93)),"Unknown",VLOOKUP('Project Description'!C93,Lookups!G8:H13,2)),"")</f>
        <v/>
      </c>
      <c r="J15" s="481" t="s">
        <v>369</v>
      </c>
      <c r="K15" s="460" t="str">
        <f>IF(I5="Yes",IF(NOT(ISNUMBER(Finance!E4)),"Unknown",VLOOKUP('Project Description'!C98,Lookups!J8:K13,2)),"")</f>
        <v/>
      </c>
    </row>
    <row r="16" spans="1:11" ht="18" customHeight="1">
      <c r="A16" s="473" t="s">
        <v>361</v>
      </c>
      <c r="B16" s="471">
        <v>0</v>
      </c>
      <c r="C16" s="472" t="s">
        <v>433</v>
      </c>
    </row>
    <row r="17" spans="1:12" ht="18" customHeight="1">
      <c r="A17" s="464"/>
      <c r="B17" s="465">
        <v>0.01</v>
      </c>
      <c r="C17" s="466" t="s">
        <v>374</v>
      </c>
      <c r="G17" s="460" t="s">
        <v>370</v>
      </c>
    </row>
    <row r="18" spans="1:12" ht="18" customHeight="1">
      <c r="A18" s="464"/>
      <c r="B18" s="465">
        <v>0.5</v>
      </c>
      <c r="C18" s="466" t="s">
        <v>374</v>
      </c>
      <c r="G18" s="460" t="s">
        <v>371</v>
      </c>
    </row>
    <row r="19" spans="1:12" ht="18" customHeight="1">
      <c r="A19" s="464"/>
      <c r="B19" s="465">
        <v>1.5</v>
      </c>
      <c r="C19" s="466" t="s">
        <v>375</v>
      </c>
    </row>
    <row r="20" spans="1:12" ht="18" customHeight="1">
      <c r="A20" s="464"/>
      <c r="B20" s="465">
        <v>2.5</v>
      </c>
      <c r="C20" s="466" t="s">
        <v>376</v>
      </c>
      <c r="G20" s="460" t="s">
        <v>372</v>
      </c>
      <c r="K20" s="460" t="str">
        <f>IF(H15="","",IF(OR(H15="Unknown",K15="Unknown"),"Unknown",IF(OR(H15=0,K15=0,K15&gt;H15),"No","Yes")))</f>
        <v/>
      </c>
    </row>
    <row r="21" spans="1:12" ht="18" customHeight="1">
      <c r="A21" s="464"/>
      <c r="B21" s="465">
        <v>3.5</v>
      </c>
      <c r="C21" s="466" t="s">
        <v>377</v>
      </c>
      <c r="G21" s="460" t="s">
        <v>450</v>
      </c>
      <c r="L21" s="460" t="s">
        <v>451</v>
      </c>
    </row>
    <row r="22" spans="1:12" ht="18" customHeight="1" thickBot="1">
      <c r="A22" s="467"/>
      <c r="B22" s="468">
        <v>4.5</v>
      </c>
      <c r="C22" s="479" t="s">
        <v>378</v>
      </c>
      <c r="G22" s="460" t="s">
        <v>452</v>
      </c>
      <c r="L22" s="460" t="s">
        <v>453</v>
      </c>
    </row>
    <row r="23" spans="1:12" ht="18" customHeight="1">
      <c r="A23" s="470" t="s">
        <v>362</v>
      </c>
      <c r="B23" s="474">
        <v>0</v>
      </c>
      <c r="C23" s="463" t="s">
        <v>374</v>
      </c>
      <c r="G23" s="480" t="s">
        <v>428</v>
      </c>
    </row>
    <row r="24" spans="1:12" ht="18" customHeight="1">
      <c r="A24" s="464"/>
      <c r="B24" s="475">
        <v>2500000</v>
      </c>
      <c r="C24" s="466" t="s">
        <v>375</v>
      </c>
      <c r="G24" s="499" t="s">
        <v>429</v>
      </c>
      <c r="H24" s="498" t="str">
        <f>""</f>
        <v/>
      </c>
    </row>
    <row r="25" spans="1:12" ht="18" customHeight="1">
      <c r="A25" s="464"/>
      <c r="B25" s="475">
        <v>5000000</v>
      </c>
      <c r="C25" s="466" t="s">
        <v>376</v>
      </c>
      <c r="G25" s="466" t="s">
        <v>378</v>
      </c>
      <c r="H25" s="460">
        <v>5</v>
      </c>
    </row>
    <row r="26" spans="1:12" ht="18" customHeight="1">
      <c r="A26" s="464"/>
      <c r="B26" s="475">
        <v>15000000</v>
      </c>
      <c r="C26" s="466" t="s">
        <v>377</v>
      </c>
      <c r="G26" s="466" t="s">
        <v>377</v>
      </c>
      <c r="H26" s="460">
        <v>4</v>
      </c>
    </row>
    <row r="27" spans="1:12" ht="18" customHeight="1" thickBot="1">
      <c r="A27" s="467"/>
      <c r="B27" s="476">
        <v>30000000</v>
      </c>
      <c r="C27" s="479" t="s">
        <v>378</v>
      </c>
      <c r="G27" s="466" t="s">
        <v>376</v>
      </c>
      <c r="H27" s="460">
        <v>3</v>
      </c>
    </row>
    <row r="28" spans="1:12" ht="18" customHeight="1">
      <c r="A28" s="470" t="s">
        <v>363</v>
      </c>
      <c r="B28" s="485">
        <v>-1000</v>
      </c>
      <c r="C28" s="463" t="s">
        <v>374</v>
      </c>
      <c r="G28" s="466" t="s">
        <v>375</v>
      </c>
      <c r="H28" s="460">
        <v>2</v>
      </c>
    </row>
    <row r="29" spans="1:12" ht="18" customHeight="1">
      <c r="A29" s="464"/>
      <c r="B29" s="486">
        <v>-0.1</v>
      </c>
      <c r="C29" s="466" t="s">
        <v>375</v>
      </c>
      <c r="G29" s="469" t="s">
        <v>374</v>
      </c>
      <c r="H29" s="460">
        <v>1</v>
      </c>
    </row>
    <row r="30" spans="1:12" ht="18" customHeight="1">
      <c r="A30" s="464"/>
      <c r="B30" s="486">
        <v>0</v>
      </c>
      <c r="C30" s="466" t="s">
        <v>376</v>
      </c>
    </row>
    <row r="31" spans="1:12" ht="18" customHeight="1">
      <c r="A31" s="464"/>
      <c r="B31" s="486">
        <v>0.05</v>
      </c>
      <c r="C31" s="466" t="s">
        <v>377</v>
      </c>
      <c r="G31" s="480" t="s">
        <v>434</v>
      </c>
    </row>
    <row r="32" spans="1:12" ht="18" customHeight="1" thickBot="1">
      <c r="A32" s="467"/>
      <c r="B32" s="487">
        <v>0.100000000001</v>
      </c>
      <c r="C32" s="479" t="s">
        <v>378</v>
      </c>
      <c r="G32" s="498" t="s">
        <v>429</v>
      </c>
    </row>
    <row r="33" spans="1:7" ht="18" customHeight="1">
      <c r="A33" s="470" t="s">
        <v>346</v>
      </c>
      <c r="B33" s="474">
        <v>0</v>
      </c>
      <c r="C33" s="463" t="s">
        <v>374</v>
      </c>
      <c r="G33" s="460" t="s">
        <v>435</v>
      </c>
    </row>
    <row r="34" spans="1:7" ht="18" customHeight="1">
      <c r="A34" s="464"/>
      <c r="B34" s="475">
        <v>500</v>
      </c>
      <c r="C34" s="466" t="s">
        <v>375</v>
      </c>
      <c r="G34" s="460" t="s">
        <v>436</v>
      </c>
    </row>
    <row r="35" spans="1:7" ht="18" customHeight="1">
      <c r="A35" s="464"/>
      <c r="B35" s="475">
        <v>2500</v>
      </c>
      <c r="C35" s="466" t="s">
        <v>376</v>
      </c>
    </row>
    <row r="36" spans="1:7" ht="18" customHeight="1">
      <c r="A36" s="464"/>
      <c r="B36" s="475">
        <v>10000</v>
      </c>
      <c r="C36" s="466" t="s">
        <v>377</v>
      </c>
    </row>
    <row r="37" spans="1:7" ht="18" customHeight="1" thickBot="1">
      <c r="A37" s="478"/>
      <c r="B37" s="484">
        <v>18000</v>
      </c>
      <c r="C37" s="479" t="s">
        <v>378</v>
      </c>
    </row>
    <row r="38" spans="1:7" ht="18" customHeight="1"/>
    <row r="39" spans="1:7" ht="18" customHeight="1"/>
    <row r="40" spans="1:7" ht="18" customHeight="1"/>
    <row r="41" spans="1:7" ht="18" customHeight="1"/>
    <row r="42" spans="1:7" ht="18" customHeight="1"/>
    <row r="43" spans="1:7" ht="18" customHeight="1"/>
    <row r="44" spans="1:7" ht="18" customHeight="1"/>
    <row r="45" spans="1:7" ht="18" customHeight="1"/>
    <row r="46" spans="1:7" ht="18" customHeight="1"/>
    <row r="47" spans="1:7" ht="18" customHeight="1"/>
    <row r="48" spans="1:7" ht="18" customHeight="1"/>
    <row r="49" ht="18" customHeight="1"/>
    <row r="50" ht="18" customHeight="1"/>
    <row r="51" ht="18" customHeight="1"/>
    <row r="52" ht="18" customHeight="1"/>
  </sheetData>
  <sheetProtection password="83AF" sheet="1" objects="1" scenarios="1"/>
  <pageMargins left="0.75" right="0.75" top="1" bottom="1" header="0.5" footer="0.5"/>
  <pageSetup scale="90" fitToHeight="10" orientation="portrait" r:id="rId1"/>
  <headerFooter alignWithMargins="0">
    <oddFooter>&amp;L&amp;D&amp;R&amp;F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75" zoomScaleNormal="75" workbookViewId="0">
      <selection activeCell="K6" sqref="K6:K7"/>
    </sheetView>
  </sheetViews>
  <sheetFormatPr defaultColWidth="9.33203125" defaultRowHeight="15"/>
  <cols>
    <col min="1" max="1" width="31.6640625" style="3" customWidth="1"/>
    <col min="2" max="2" width="10.83203125" style="3" customWidth="1"/>
    <col min="3" max="3" width="20.83203125" style="3" customWidth="1"/>
    <col min="4" max="4" width="10.33203125" style="3" hidden="1" customWidth="1"/>
    <col min="5" max="5" width="70" style="3" customWidth="1"/>
    <col min="6" max="6" width="3.83203125" style="3" customWidth="1"/>
    <col min="7" max="7" width="66.5" style="3" customWidth="1"/>
    <col min="8" max="8" width="10.83203125" style="3" customWidth="1"/>
    <col min="9" max="9" width="20.83203125" style="3" customWidth="1"/>
    <col min="10" max="10" width="10.6640625" style="3" hidden="1" customWidth="1"/>
    <col min="11" max="11" width="63.5" style="3" customWidth="1"/>
    <col min="12" max="16384" width="9.33203125" style="3"/>
  </cols>
  <sheetData>
    <row r="1" spans="1:11" ht="21" thickBot="1">
      <c r="A1" s="1135" t="s">
        <v>432</v>
      </c>
      <c r="B1" s="1136"/>
      <c r="C1" s="1136"/>
      <c r="D1" s="1136"/>
      <c r="E1" s="1136"/>
      <c r="F1" s="1136"/>
      <c r="G1" s="1136"/>
      <c r="H1" s="1136"/>
      <c r="I1" s="1136"/>
      <c r="J1" s="1136"/>
      <c r="K1" s="1137"/>
    </row>
    <row r="2" spans="1:11" s="533" customFormat="1" ht="18.75" thickBot="1">
      <c r="A2" s="1157" t="s">
        <v>3</v>
      </c>
      <c r="B2" s="1158"/>
      <c r="C2" s="1158"/>
      <c r="D2" s="1158"/>
      <c r="E2" s="1158"/>
      <c r="F2" s="1159"/>
      <c r="G2" s="1154" t="str">
        <f>IF('Project Description'!B2="","",'Project Description'!B2)</f>
        <v/>
      </c>
      <c r="H2" s="1155"/>
      <c r="I2" s="1155"/>
      <c r="J2" s="1155"/>
      <c r="K2" s="1156"/>
    </row>
    <row r="3" spans="1:11" ht="33.75" customHeight="1" thickBot="1">
      <c r="A3" s="1138" t="s">
        <v>444</v>
      </c>
      <c r="B3" s="1139"/>
      <c r="C3" s="1139"/>
      <c r="D3" s="1139"/>
      <c r="E3" s="1139"/>
      <c r="F3" s="1139"/>
      <c r="G3" s="1139"/>
      <c r="H3" s="1139"/>
      <c r="I3" s="1139"/>
      <c r="J3" s="1139"/>
      <c r="K3" s="1140"/>
    </row>
    <row r="4" spans="1:11" ht="15.75" thickBot="1"/>
    <row r="5" spans="1:11" ht="22.5" customHeight="1" thickBot="1">
      <c r="A5" s="1141" t="s">
        <v>419</v>
      </c>
      <c r="B5" s="1142"/>
      <c r="C5" s="1142"/>
      <c r="D5" s="1142"/>
      <c r="E5" s="1143"/>
      <c r="F5" s="509"/>
      <c r="G5" s="1141" t="s">
        <v>420</v>
      </c>
      <c r="H5" s="1142"/>
      <c r="I5" s="1142"/>
      <c r="J5" s="1142"/>
      <c r="K5" s="1143"/>
    </row>
    <row r="6" spans="1:11" ht="31.5" customHeight="1" thickBot="1">
      <c r="A6" s="519" t="s">
        <v>421</v>
      </c>
      <c r="B6" s="523" t="s">
        <v>438</v>
      </c>
      <c r="C6" s="532" t="s">
        <v>441</v>
      </c>
      <c r="D6" s="520" t="s">
        <v>427</v>
      </c>
      <c r="E6" s="521" t="s">
        <v>2</v>
      </c>
      <c r="G6" s="1144" t="s">
        <v>442</v>
      </c>
      <c r="H6" s="1145"/>
      <c r="I6" s="1145"/>
      <c r="J6" s="1145"/>
      <c r="K6" s="1148" t="s">
        <v>429</v>
      </c>
    </row>
    <row r="7" spans="1:11" ht="27" customHeight="1" thickBot="1">
      <c r="A7" s="505" t="s">
        <v>134</v>
      </c>
      <c r="B7" s="531">
        <v>0.1666</v>
      </c>
      <c r="C7" s="503" t="str">
        <f>IF('Mobility Cost Eff &amp; Cong Relief'!C11=warrantedMedium,"MEDIUM",IF('Mobility Cost Eff &amp; Cong Relief'!C11=doesntMeetThresholds,"",'Mobility Cost Eff &amp; Cong Relief'!C11))</f>
        <v/>
      </c>
      <c r="D7" s="504" t="e">
        <f>VLOOKUP(C7,Lookups!$G$24:$H$29,2,FALSE)</f>
        <v>#N/A</v>
      </c>
      <c r="E7" s="1130" t="s">
        <v>430</v>
      </c>
      <c r="G7" s="1146"/>
      <c r="H7" s="1147"/>
      <c r="I7" s="1147"/>
      <c r="J7" s="1147"/>
      <c r="K7" s="1149"/>
    </row>
    <row r="8" spans="1:11" ht="27" customHeight="1" thickBot="1">
      <c r="A8" s="506" t="s">
        <v>147</v>
      </c>
      <c r="B8" s="531">
        <v>0.1666</v>
      </c>
      <c r="C8" s="503" t="str">
        <f>IF('Mobility Cost Eff &amp; Cong Relief'!C20=warrantedMedium,"MEDIUM",IF('Mobility Cost Eff &amp; Cong Relief'!C20=doesntMeetThresholds,"",'Mobility Cost Eff &amp; Cong Relief'!C20))</f>
        <v/>
      </c>
      <c r="D8" s="502" t="e">
        <f>VLOOKUP(C8,Lookups!$G$24:$H$29,2,FALSE)</f>
        <v>#N/A</v>
      </c>
      <c r="E8" s="1131"/>
      <c r="G8" s="519" t="s">
        <v>421</v>
      </c>
      <c r="H8" s="523" t="s">
        <v>438</v>
      </c>
      <c r="I8" s="532" t="s">
        <v>441</v>
      </c>
      <c r="J8" s="520" t="s">
        <v>427</v>
      </c>
      <c r="K8" s="521" t="s">
        <v>2</v>
      </c>
    </row>
    <row r="9" spans="1:11" ht="27" customHeight="1">
      <c r="A9" s="506" t="s">
        <v>346</v>
      </c>
      <c r="B9" s="531">
        <v>0.1666</v>
      </c>
      <c r="C9" s="503" t="str">
        <f>IF('Mobility Cost Eff &amp; Cong Relief'!C27=warrantedMedium,"MEDIUM",IF('Mobility Cost Eff &amp; Cong Relief'!C27=doesntMeetThresholds,"",'Mobility Cost Eff &amp; Cong Relief'!C27))</f>
        <v/>
      </c>
      <c r="D9" s="502" t="e">
        <f>VLOOKUP(C9,Lookups!$G$24:$H$29,2,FALSE)</f>
        <v>#N/A</v>
      </c>
      <c r="E9" s="1132"/>
      <c r="G9" s="505" t="s">
        <v>424</v>
      </c>
      <c r="H9" s="514">
        <v>0.25</v>
      </c>
      <c r="I9" s="528" t="s">
        <v>429</v>
      </c>
      <c r="J9" s="502" t="str">
        <f>VLOOKUP(I9,Lookups!$G$24:$H$29,2,FALSE)</f>
        <v/>
      </c>
      <c r="K9" s="1150" t="s">
        <v>445</v>
      </c>
    </row>
    <row r="10" spans="1:11" ht="27" customHeight="1">
      <c r="A10" s="506" t="s">
        <v>363</v>
      </c>
      <c r="B10" s="531">
        <v>0.1666</v>
      </c>
      <c r="C10" s="501" t="str">
        <f>IF('Environmental Benefits'!H33=doesntMeetThresholds,"",'Environmental Benefits'!H33)</f>
        <v/>
      </c>
      <c r="D10" s="502" t="e">
        <f>VLOOKUP(C10,Lookups!$G$24:$H$29,2,FALSE)</f>
        <v>#N/A</v>
      </c>
      <c r="E10" s="500" t="s">
        <v>431</v>
      </c>
      <c r="G10" s="506" t="s">
        <v>425</v>
      </c>
      <c r="H10" s="514">
        <v>0.25</v>
      </c>
      <c r="I10" s="526" t="s">
        <v>429</v>
      </c>
      <c r="J10" s="502" t="str">
        <f>VLOOKUP(I10,Lookups!$G$24:$H$29,2,FALSE)</f>
        <v/>
      </c>
      <c r="K10" s="1151"/>
    </row>
    <row r="11" spans="1:11" ht="27" customHeight="1">
      <c r="A11" s="506" t="s">
        <v>422</v>
      </c>
      <c r="B11" s="531">
        <v>0.1666</v>
      </c>
      <c r="C11" s="526" t="s">
        <v>429</v>
      </c>
      <c r="D11" s="502" t="str">
        <f>VLOOKUP(C11,Lookups!$G$24:$H$29,2,FALSE)</f>
        <v/>
      </c>
      <c r="E11" s="1133" t="s">
        <v>449</v>
      </c>
      <c r="G11" s="506" t="s">
        <v>426</v>
      </c>
      <c r="H11" s="514">
        <v>0.5</v>
      </c>
      <c r="I11" s="526" t="s">
        <v>429</v>
      </c>
      <c r="J11" s="502" t="str">
        <f>VLOOKUP(I11,Lookups!$G$24:$H$29,2,FALSE)</f>
        <v/>
      </c>
      <c r="K11" s="1152"/>
    </row>
    <row r="12" spans="1:11" ht="27" customHeight="1" thickBot="1">
      <c r="A12" s="507" t="s">
        <v>423</v>
      </c>
      <c r="B12" s="531">
        <v>0.1666</v>
      </c>
      <c r="C12" s="527" t="s">
        <v>429</v>
      </c>
      <c r="D12" s="508" t="str">
        <f>VLOOKUP(C12,Lookups!$G$24:$H$29,2,FALSE)</f>
        <v/>
      </c>
      <c r="E12" s="1134"/>
      <c r="G12" s="534" t="str">
        <f>CONCATENATE("Small Starts Share (",IF(Finance!E5=0,"Please complete the Finance Template",TEXT(Finance!E5,"0%")),")")</f>
        <v>Small Starts Share (Please complete the Finance Template)</v>
      </c>
      <c r="H12" s="513" t="s">
        <v>429</v>
      </c>
      <c r="I12" s="511" t="str">
        <f>IF(COUNTBLANK(J9:J11)&gt;0,"-",IF(AND(K6="NO",Finance!E5&gt;0,ROUND(Finance!E5,2)&lt;0.5,(0.25*J9+0.25*J10+0.5*J11)&gt;=2.5,(0.25*J9+0.25*J10+0.5*J11)&lt;4.5),"+1 level","-"))</f>
        <v>-</v>
      </c>
      <c r="J12" s="512">
        <f>IF(I12="+1 level",1,0)</f>
        <v>0</v>
      </c>
      <c r="K12" s="510" t="s">
        <v>437</v>
      </c>
    </row>
    <row r="13" spans="1:11" ht="193.5" customHeight="1" thickBot="1">
      <c r="A13" s="522" t="s">
        <v>439</v>
      </c>
      <c r="B13" s="523"/>
      <c r="C13" s="524" t="str">
        <f>IF(D13="","-",VLOOKUP(D13,Lookups!$B$16:$C$22,2))</f>
        <v>-</v>
      </c>
      <c r="D13" s="520" t="str">
        <f>IF(COUNTBLANK(D7:D12)&gt;0,"",ROUND(AVERAGE(D7:D12),0))</f>
        <v/>
      </c>
      <c r="E13" s="525" t="s">
        <v>447</v>
      </c>
      <c r="G13" s="522" t="s">
        <v>439</v>
      </c>
      <c r="H13" s="523"/>
      <c r="I13" s="524" t="str">
        <f>IF(J13="","-",VLOOKUP(J13,Lookups!$B$16:$C$22,2))</f>
        <v>-</v>
      </c>
      <c r="J13" s="520" t="str">
        <f>IF(K6="-","",IF(K6="YES",IF(Finance!E5=0,"",IF(ROUND(Finance!E5,2)&lt;=0.5,5,3)),IF(COUNTBLANK(J9:J11)&gt;0,"",ROUND(0.25*J9+0.25*J10+0.5*J11+J12,0))))</f>
        <v/>
      </c>
      <c r="K13" s="525" t="s">
        <v>446</v>
      </c>
    </row>
    <row r="14" spans="1:11" ht="22.5" customHeight="1" thickBot="1"/>
    <row r="15" spans="1:11" ht="89.45" customHeight="1" thickBot="1">
      <c r="D15" s="515" t="str">
        <f>IF(OR(D13="",J13=""),"",IF(OR(D13&lt;3,J13&lt;3),MIN(2,ROUND(AVERAGE(D13,J13),0)),ROUND(AVERAGE(D13,J13),0)))</f>
        <v/>
      </c>
      <c r="E15" s="530" t="s">
        <v>448</v>
      </c>
      <c r="F15" s="516"/>
      <c r="G15" s="517" t="str">
        <f>IF(D15="","Complete all templates and the highlighted cells in this worksheet to see the estimated overall rating.",VLOOKUP(D15,Lookups!$B$16:$C$22,2))</f>
        <v>Complete all templates and the highlighted cells in this worksheet to see the estimated overall rating.</v>
      </c>
      <c r="H15" s="518"/>
      <c r="I15" s="518"/>
      <c r="J15" s="518"/>
      <c r="K15" s="518"/>
    </row>
    <row r="17" spans="1:11" s="408" customFormat="1" ht="15.75">
      <c r="B17" s="529"/>
      <c r="E17" s="1153" t="s">
        <v>443</v>
      </c>
      <c r="F17" s="1153"/>
      <c r="G17" s="1153"/>
    </row>
    <row r="19" spans="1:11" ht="44.25" customHeight="1">
      <c r="A19" s="1129" t="s">
        <v>457</v>
      </c>
      <c r="B19" s="1129"/>
      <c r="C19" s="1129"/>
      <c r="D19" s="1129"/>
      <c r="E19" s="1129"/>
      <c r="F19" s="1129"/>
      <c r="G19" s="1129"/>
      <c r="H19" s="1129"/>
      <c r="I19" s="1129"/>
      <c r="J19" s="1129"/>
      <c r="K19" s="1129"/>
    </row>
  </sheetData>
  <sheetProtection algorithmName="SHA-512" hashValue="rTa+gFQSNmvNVWbaIJHCG2ihbDaoT1d8sHQTlAxfPsbDb0fmzcT6sfeCPdYOXQQUY0TFwAnhkt+JqdVrbDVdaw==" saltValue="q7kohDbB+Yxz0/YLElgn4Q==" spinCount="100000" sheet="1" formatCells="0" formatColumns="0" formatRows="0" insertColumns="0" insertRows="0" insertHyperlinks="0" selectLockedCells="1"/>
  <mergeCells count="13">
    <mergeCell ref="A19:K19"/>
    <mergeCell ref="E7:E9"/>
    <mergeCell ref="E11:E12"/>
    <mergeCell ref="A1:K1"/>
    <mergeCell ref="A3:K3"/>
    <mergeCell ref="A5:E5"/>
    <mergeCell ref="G5:K5"/>
    <mergeCell ref="G6:J7"/>
    <mergeCell ref="K6:K7"/>
    <mergeCell ref="K9:K11"/>
    <mergeCell ref="E17:G17"/>
    <mergeCell ref="G2:K2"/>
    <mergeCell ref="A2:F2"/>
  </mergeCells>
  <conditionalFormatting sqref="G9:K11">
    <cfRule type="expression" dxfId="0" priority="1">
      <formula>AND($K$6="YES")</formula>
    </cfRule>
  </conditionalFormatting>
  <hyperlinks>
    <hyperlink ref="E17" r:id="rId1" display="Link to CIG Program Guidance on the FTA website"/>
  </hyperlinks>
  <pageMargins left="0.7" right="0.7" top="0.75" bottom="0.75" header="0.3" footer="0.3"/>
  <pageSetup scale="38"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Lookups!$G$24:$G$29</xm:f>
          </x14:formula1>
          <xm:sqref>C11:C12 I9:I11</xm:sqref>
        </x14:dataValidation>
        <x14:dataValidation type="list" allowBlank="1" showInputMessage="1" showErrorMessage="1">
          <x14:formula1>
            <xm:f>Lookups!$G$32:$G$34</xm:f>
          </x14:formula1>
          <xm:sqref>K6:K7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Project Description</vt:lpstr>
      <vt:lpstr>Travel Forecasts</vt:lpstr>
      <vt:lpstr>Mobility Cost Eff &amp; Cong Relief</vt:lpstr>
      <vt:lpstr>Land Use</vt:lpstr>
      <vt:lpstr>Environmental Benefits</vt:lpstr>
      <vt:lpstr>Finance</vt:lpstr>
      <vt:lpstr>Lookups</vt:lpstr>
      <vt:lpstr>Rating Estimation</vt:lpstr>
      <vt:lpstr>doesntMeetThresholds</vt:lpstr>
      <vt:lpstr>'Environmental Benefits'!Print_Area</vt:lpstr>
      <vt:lpstr>Finance!Print_Area</vt:lpstr>
      <vt:lpstr>'Land Use'!Print_Area</vt:lpstr>
      <vt:lpstr>Lookups!Print_Area</vt:lpstr>
      <vt:lpstr>'Mobility Cost Eff &amp; Cong Relief'!Print_Area</vt:lpstr>
      <vt:lpstr>'Project Description'!Print_Area</vt:lpstr>
      <vt:lpstr>'Rating Estimation'!Print_Area</vt:lpstr>
      <vt:lpstr>'Travel Forecasts'!Print_Area</vt:lpstr>
      <vt:lpstr>warrantedMedium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19 Small Starts Templates Part 1</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 - Federal Transit Administration</dc:creator>
  <cp:lastModifiedBy>Swain, Tia (FTA)</cp:lastModifiedBy>
  <cp:lastPrinted>2015-07-28T18:46:14Z</cp:lastPrinted>
  <dcterms:created xsi:type="dcterms:W3CDTF">2000-06-21T19:34:03Z</dcterms:created>
  <dcterms:modified xsi:type="dcterms:W3CDTF">2019-05-22T21:35:15Z</dcterms:modified>
</cp:coreProperties>
</file>