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519"/>
  <workbookPr/>
  <mc:AlternateContent xmlns:mc="http://schemas.openxmlformats.org/markup-compatibility/2006">
    <mc:Choice Requires="x15">
      <x15ac:absPath xmlns:x15ac="http://schemas.microsoft.com/office/spreadsheetml/2010/11/ac" url="https://usepa-my.sharepoint.com/personal/bone_tracy_epa_gov/Documents/Beach ICR 1st FRN/SHPD review/"/>
    </mc:Choice>
  </mc:AlternateContent>
  <xr:revisionPtr revIDLastSave="0" documentId="11_BAC82FC1D51EB6771F535EDF07E61D45FCCC0117" xr6:coauthVersionLast="43" xr6:coauthVersionMax="43" xr10:uidLastSave="{00000000-0000-0000-0000-000000000000}"/>
  <bookViews>
    <workbookView xWindow="0" yWindow="0" windowWidth="10368" windowHeight="4248" firstSheet="3" activeTab="3" xr2:uid="{00000000-000D-0000-FFFF-FFFF00000000}"/>
  </bookViews>
  <sheets>
    <sheet name="Table 2" sheetId="1" r:id="rId1"/>
    <sheet name="Table 3" sheetId="2" r:id="rId2"/>
    <sheet name="Table 4" sheetId="3" r:id="rId3"/>
    <sheet name="Table 5" sheetId="4" r:id="rId4"/>
  </sheets>
  <definedNames>
    <definedName name="_Hlk521684389" localSheetId="3">'Table 5'!$H$3</definedName>
    <definedName name="_Hlk521684829" localSheetId="3">'Table 5'!$H$4</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1" l="1"/>
  <c r="F5" i="1"/>
  <c r="D5" i="1"/>
  <c r="H5" i="1"/>
  <c r="E12" i="3"/>
  <c r="F12" i="3"/>
  <c r="B11" i="4"/>
  <c r="G13" i="3"/>
  <c r="D2" i="4"/>
  <c r="I3" i="4"/>
  <c r="B2" i="2"/>
  <c r="B3" i="2"/>
  <c r="B4" i="2"/>
  <c r="B5" i="2"/>
  <c r="B6" i="2"/>
  <c r="B7" i="2"/>
  <c r="E2" i="2"/>
  <c r="E3" i="2"/>
  <c r="E4" i="2"/>
  <c r="E5" i="2"/>
  <c r="E6" i="2"/>
  <c r="E7" i="2"/>
  <c r="D7" i="2"/>
  <c r="C3" i="2"/>
  <c r="C4" i="2"/>
  <c r="C5" i="2"/>
  <c r="C6" i="2"/>
  <c r="C2" i="2"/>
  <c r="F36" i="1"/>
  <c r="F37" i="1"/>
  <c r="F33" i="1"/>
  <c r="F31" i="1"/>
  <c r="F29" i="1"/>
  <c r="F28" i="1"/>
  <c r="F24" i="1"/>
  <c r="F25" i="1"/>
  <c r="F26" i="1"/>
  <c r="F23" i="1"/>
  <c r="F21" i="1"/>
  <c r="F19" i="1"/>
  <c r="F18" i="1"/>
  <c r="F15" i="1"/>
  <c r="F16" i="1"/>
  <c r="F14" i="1"/>
  <c r="F11" i="1"/>
  <c r="F12" i="1"/>
  <c r="F10" i="1"/>
  <c r="F8" i="1"/>
  <c r="F7" i="1"/>
  <c r="F6" i="1"/>
  <c r="D38" i="1"/>
  <c r="D33" i="1"/>
  <c r="D31" i="1"/>
  <c r="D29" i="1"/>
  <c r="D28" i="1"/>
  <c r="D26" i="1"/>
  <c r="D25" i="1"/>
  <c r="D24" i="1"/>
  <c r="D23" i="1"/>
  <c r="D21" i="1"/>
  <c r="D19" i="1"/>
  <c r="D18" i="1"/>
  <c r="D16" i="1"/>
  <c r="D15" i="1"/>
  <c r="D14" i="1"/>
  <c r="D12" i="1"/>
  <c r="D11" i="1"/>
  <c r="D10" i="1"/>
  <c r="D8" i="1"/>
  <c r="D7" i="1"/>
  <c r="D6" i="1"/>
  <c r="D36" i="1"/>
  <c r="D37" i="1"/>
  <c r="G36" i="1"/>
  <c r="H36" i="1"/>
  <c r="H37" i="1"/>
  <c r="C37" i="1"/>
  <c r="E37" i="1"/>
  <c r="G37" i="1"/>
  <c r="B11" i="3"/>
  <c r="E11" i="3"/>
  <c r="F38" i="1"/>
  <c r="H33" i="1"/>
  <c r="H34" i="1"/>
  <c r="F39" i="1"/>
  <c r="E39" i="1"/>
  <c r="D39" i="1"/>
  <c r="F34" i="1"/>
  <c r="E34" i="1"/>
  <c r="D34" i="1"/>
  <c r="F32" i="1"/>
  <c r="E32" i="1"/>
  <c r="F30" i="1"/>
  <c r="E30" i="1"/>
  <c r="E27" i="1"/>
  <c r="F22" i="1"/>
  <c r="D22" i="1"/>
  <c r="F20" i="1"/>
  <c r="E20" i="1"/>
  <c r="F17" i="1"/>
  <c r="E17" i="1"/>
  <c r="D17" i="1"/>
  <c r="E13" i="1"/>
  <c r="F27" i="1"/>
  <c r="H29" i="1"/>
  <c r="D13" i="1"/>
  <c r="D32" i="1"/>
  <c r="D30" i="1"/>
  <c r="D20" i="1"/>
  <c r="F9" i="1"/>
  <c r="D9" i="1"/>
  <c r="F13" i="1"/>
  <c r="F40" i="1"/>
  <c r="H31" i="1"/>
  <c r="H32" i="1"/>
  <c r="H28" i="1"/>
  <c r="H30" i="1"/>
  <c r="H26" i="1"/>
  <c r="H25" i="1"/>
  <c r="H24" i="1"/>
  <c r="H23" i="1"/>
  <c r="H21" i="1"/>
  <c r="H22" i="1"/>
  <c r="H18" i="1"/>
  <c r="H19" i="1"/>
  <c r="H16" i="1"/>
  <c r="H15" i="1"/>
  <c r="H14" i="1"/>
  <c r="H10" i="1"/>
  <c r="H11" i="1"/>
  <c r="H12" i="1"/>
  <c r="H7" i="1"/>
  <c r="H8" i="1"/>
  <c r="H6" i="1"/>
  <c r="H17" i="1"/>
  <c r="H13" i="1"/>
  <c r="H27" i="1"/>
  <c r="H20" i="1"/>
  <c r="H9" i="1"/>
  <c r="C2" i="3"/>
  <c r="F2" i="3"/>
  <c r="D4" i="4"/>
  <c r="C9" i="3"/>
  <c r="F9" i="3"/>
  <c r="C8" i="3"/>
  <c r="F8" i="3"/>
  <c r="C7" i="3"/>
  <c r="F7" i="3"/>
  <c r="C6" i="3"/>
  <c r="F6" i="3"/>
  <c r="C5" i="3"/>
  <c r="F5" i="3"/>
  <c r="C4" i="3"/>
  <c r="F4" i="3"/>
  <c r="C3" i="3"/>
  <c r="F3" i="3"/>
  <c r="B8" i="2"/>
  <c r="B3" i="4"/>
  <c r="C7" i="2"/>
  <c r="C11" i="3"/>
  <c r="F11" i="3"/>
  <c r="G6" i="1"/>
  <c r="G7" i="1"/>
  <c r="G8" i="1"/>
  <c r="G10" i="1"/>
  <c r="G11" i="1"/>
  <c r="G12" i="1"/>
  <c r="G14" i="1"/>
  <c r="G15" i="1"/>
  <c r="G16" i="1"/>
  <c r="G18" i="1"/>
  <c r="G19" i="1"/>
  <c r="G21" i="1"/>
  <c r="G22" i="1"/>
  <c r="B6" i="3"/>
  <c r="E6" i="3"/>
  <c r="G23" i="1"/>
  <c r="G24" i="1"/>
  <c r="G25" i="1"/>
  <c r="G26" i="1"/>
  <c r="G28" i="1"/>
  <c r="G29" i="1"/>
  <c r="G31" i="1"/>
  <c r="G32" i="1"/>
  <c r="B9" i="3"/>
  <c r="E9" i="3"/>
  <c r="G33" i="1"/>
  <c r="G34" i="1"/>
  <c r="B10" i="3"/>
  <c r="E10" i="3"/>
  <c r="G38" i="1"/>
  <c r="G39" i="1"/>
  <c r="C39" i="1"/>
  <c r="C34" i="1"/>
  <c r="C32" i="1"/>
  <c r="C30" i="1"/>
  <c r="C27" i="1"/>
  <c r="E22" i="1"/>
  <c r="C22" i="1"/>
  <c r="C20" i="1"/>
  <c r="C17" i="1"/>
  <c r="C13" i="1"/>
  <c r="E9" i="1"/>
  <c r="C9" i="1"/>
  <c r="G27" i="1"/>
  <c r="B7" i="3"/>
  <c r="E7" i="3"/>
  <c r="H38" i="1"/>
  <c r="H39" i="1"/>
  <c r="H40" i="1"/>
  <c r="H41" i="1"/>
  <c r="C2" i="4"/>
  <c r="G17" i="1"/>
  <c r="B4" i="3"/>
  <c r="E4" i="3"/>
  <c r="G9" i="1"/>
  <c r="B2" i="3"/>
  <c r="E2" i="3"/>
  <c r="C8" i="2"/>
  <c r="C3" i="4"/>
  <c r="E3" i="4"/>
  <c r="G13" i="1"/>
  <c r="B3" i="3"/>
  <c r="E3" i="3"/>
  <c r="G30" i="1"/>
  <c r="B8" i="3"/>
  <c r="E8" i="3"/>
  <c r="G20" i="1"/>
  <c r="B5" i="3"/>
  <c r="E5" i="3"/>
  <c r="C10" i="3"/>
  <c r="F10" i="3"/>
  <c r="F13" i="3"/>
  <c r="F41" i="1"/>
  <c r="E40" i="1"/>
  <c r="E41" i="1"/>
  <c r="C40" i="1"/>
  <c r="C41" i="1"/>
  <c r="E2" i="4"/>
  <c r="I4" i="4"/>
  <c r="E13" i="3"/>
  <c r="G40" i="1"/>
  <c r="G41" i="1"/>
  <c r="C13" i="3"/>
  <c r="E4" i="4"/>
  <c r="C4" i="4"/>
  <c r="B2" i="4"/>
  <c r="B13" i="3"/>
  <c r="D27" i="1"/>
  <c r="D40" i="1"/>
  <c r="D41" i="1"/>
  <c r="B4" i="4"/>
  <c r="I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Bone, Tracy</author>
  </authors>
  <commentList>
    <comment ref="H35" authorId="0" shapeId="0" xr:uid="{00000000-0006-0000-0000-000001000000}">
      <text>
        <r>
          <rPr>
            <b/>
            <sz val="9"/>
            <color indexed="81"/>
            <rFont val="Tahoma"/>
            <charset val="1"/>
          </rPr>
          <t>Bone, Tracy:</t>
        </r>
        <r>
          <rPr>
            <sz val="9"/>
            <color indexed="81"/>
            <rFont val="Tahoma"/>
            <charset val="1"/>
          </rPr>
          <t xml:space="preserve">
Zero'd out line 38 ($23K, 300 hours)  given we are no longer requesting schedules</t>
        </r>
      </text>
    </comment>
    <comment ref="H36" authorId="0" shapeId="0" xr:uid="{00000000-0006-0000-0000-000002000000}">
      <text>
        <r>
          <rPr>
            <b/>
            <sz val="9"/>
            <color indexed="81"/>
            <rFont val="Tahoma"/>
            <charset val="1"/>
          </rPr>
          <t>Bone, Tracy:</t>
        </r>
        <r>
          <rPr>
            <sz val="9"/>
            <color indexed="81"/>
            <rFont val="Tahoma"/>
            <charset val="1"/>
          </rPr>
          <t xml:space="preserve">
Was zero under 2015 ICR.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Bone, Tracy</author>
  </authors>
  <commentList>
    <comment ref="C2" authorId="0" shapeId="0" xr:uid="{00000000-0006-0000-0100-000001000000}">
      <text>
        <r>
          <rPr>
            <b/>
            <sz val="9"/>
            <color indexed="81"/>
            <rFont val="Tahoma"/>
            <family val="2"/>
          </rPr>
          <t>Bone, Tracy:</t>
        </r>
        <r>
          <rPr>
            <sz val="9"/>
            <color indexed="81"/>
            <rFont val="Tahoma"/>
            <family val="2"/>
          </rPr>
          <t xml:space="preserve">
Update with 2017 salary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Bone, Tracy</author>
  </authors>
  <commentList>
    <comment ref="D2" authorId="0" shapeId="0" xr:uid="{00000000-0006-0000-0200-000001000000}">
      <text>
        <r>
          <rPr>
            <b/>
            <sz val="9"/>
            <color indexed="81"/>
            <rFont val="Tahoma"/>
            <charset val="1"/>
          </rPr>
          <t>Bone, Tracy:</t>
        </r>
        <r>
          <rPr>
            <sz val="9"/>
            <color indexed="81"/>
            <rFont val="Tahoma"/>
            <charset val="1"/>
          </rPr>
          <t xml:space="preserve">
Added Swimonmish to bring to 39
</t>
        </r>
      </text>
    </comment>
  </commentList>
</comments>
</file>

<file path=xl/sharedStrings.xml><?xml version="1.0" encoding="utf-8"?>
<sst xmlns="http://schemas.openxmlformats.org/spreadsheetml/2006/main" count="103" uniqueCount="99">
  <si>
    <t>Performance criterion</t>
  </si>
  <si>
    <t>Respondent activity</t>
  </si>
  <si>
    <t>3-year managerial burden</t>
  </si>
  <si>
    <t>3-year technical burden</t>
  </si>
  <si>
    <t>Total 3-year burden</t>
  </si>
  <si>
    <t>Total burden per activity (hours)</t>
  </si>
  <si>
    <t>Total labor cost at $69.06/hour (dollars)</t>
  </si>
  <si>
    <t>Total labor cost at $33.15/hour (dollars)</t>
  </si>
  <si>
    <t>Total labor cost (dollars)</t>
  </si>
  <si>
    <t>1 - Risk-based Beach Evaluation and Classification Process</t>
  </si>
  <si>
    <t>Identify factors used to evaluate and rank beaches.</t>
  </si>
  <si>
    <t>Identify coastal recreation waters.</t>
  </si>
  <si>
    <t>Notify the EPA at least annually if the list of beaches changes significantly because of revised beach rankings or changes to monitoring and notification requirements and considerations.</t>
  </si>
  <si>
    <t>Provide for public review of the risk-based rank and classification.</t>
  </si>
  <si>
    <t>Performance Criterion 1 Total</t>
  </si>
  <si>
    <t>2 - Tiered  Monitoring  Plan</t>
  </si>
  <si>
    <t>Adequately prioritize, in the tiered monitoring plan the frequency, locations, and methods of monitoring and assessment of coastal waters.</t>
  </si>
  <si>
    <t>Provide for public review of the tiered monitoring plan.</t>
  </si>
  <si>
    <t>Develop appropriate quality control policies and procedures and submit adequate quality management plans and quality assurance project plans to the EPA for approval.</t>
  </si>
  <si>
    <t>Performance Criterion 2 Total</t>
  </si>
  <si>
    <t xml:space="preserve">3 - Methods and assessment procedures </t>
  </si>
  <si>
    <t>Submit to the EPA methods for characterizing water quality relative to human health in coastal recreation areas.</t>
  </si>
  <si>
    <t>Provide documentation of the performance of methods other than those that the EPA recommended or approved or validated.</t>
  </si>
  <si>
    <t>Identify and submit to the EPA procedures for assessing short-term increases in fecal indicator bacteria densities that indicate risk to human health in coastal recreation waters.</t>
  </si>
  <si>
    <t>Performance Criterion 3 Total</t>
  </si>
  <si>
    <t xml:space="preserve">4 - Monitoring report submission </t>
  </si>
  <si>
    <t>Make monitoring data available to the public, including posting on a website.</t>
  </si>
  <si>
    <t>Report monitoring data to the EPA at least annually or a frequency that the EPA Administrator determines. Reported data must be consistent with the EPA reporting requirements.</t>
  </si>
  <si>
    <t>Performance Criterion 4 Total</t>
  </si>
  <si>
    <t>5 - Delegation of monitoring responsibilities</t>
  </si>
  <si>
    <t>If a state delegates monitoring responsibility to local governments, the state's grant recipient must describe the process that the state follows.</t>
  </si>
  <si>
    <t>Performance Criterion 5 Total</t>
  </si>
  <si>
    <t xml:space="preserve">6 - Public notification and risk communication plan </t>
  </si>
  <si>
    <t>Identify measures to notify the EPA and local governments (if applicable) when indicator bacteria levels exceed a beach notification threshold.</t>
  </si>
  <si>
    <t>Identify measures to notify the public when a beach notification threshold has been exceeded by posting a sign or functional equivalent.</t>
  </si>
  <si>
    <t>Identify measures that inform the public of the potential risks associated with water contact activities in the coastal recreation waters that do not meet applicable WQS.</t>
  </si>
  <si>
    <t>Provide for public review of the public notification and risk communication plan.</t>
  </si>
  <si>
    <t>Performance Criterion 6 Total</t>
  </si>
  <si>
    <t>7 - Actions to notify the public</t>
  </si>
  <si>
    <t>Promptly issue a public notification for exceedance of the beach notification threshold when there is no reason to doubt the accuracy of the sample.</t>
  </si>
  <si>
    <t>If there is a reason to doubt the accuracy of the first sample, jurisdictions may resample before issuing a notification.</t>
  </si>
  <si>
    <t>Performance Criterion 7 Total</t>
  </si>
  <si>
    <t xml:space="preserve">8 - Notification Report Submission </t>
  </si>
  <si>
    <t>Jurisdictions must report to the EPA at least annually, or at a frequency the EPA Administrator determines, on the occurrence, nature, location, pollutants involved, and extent of any exceedances of any WQS for pathogens and pathogen indicators.</t>
  </si>
  <si>
    <t>Performance Criterion 8 Total</t>
  </si>
  <si>
    <t xml:space="preserve">9 - Delegation of notification responsibilities
</t>
  </si>
  <si>
    <t>States must identify any local governments to which they have delegated responsibility for implementing a notification program and describe the process by which the state may delegate such authority.</t>
  </si>
  <si>
    <t>Performance Criterion 9 Total</t>
  </si>
  <si>
    <t xml:space="preserve">10 – Adoption of new or revised WQS and identification and use of a beach notification threshold* </t>
  </si>
  <si>
    <t>Develop and implement two separate schedules to adopt new or revised WQS by FY 2016 and to identify and use a beach notification threshold by FY 2016.</t>
  </si>
  <si>
    <t>Before identification and use of a new beach notification threshold, continue to make beach notification decisions using the existing threshold based on the currently applicable WQS, e.g., SSM.</t>
  </si>
  <si>
    <t>Performance Criterion 10 Total</t>
  </si>
  <si>
    <t>11 - Public evaluation of program**</t>
  </si>
  <si>
    <t>Provide an opportunity for the public to comment on the beach evaluation and classification process; sampling design and monitoring plan; and public notification and risk communication plan.</t>
  </si>
  <si>
    <t>Performance Criterion 11 Total</t>
  </si>
  <si>
    <t>Three-year Total</t>
  </si>
  <si>
    <t>Annual Total</t>
  </si>
  <si>
    <t>* The information for this criterion is no longer collected because states have adopted new or revised water quality standards for recreation (or are in the process) and have identified beach notification thresholds.</t>
  </si>
  <si>
    <r>
      <t>**</t>
    </r>
    <r>
      <rPr>
        <sz val="12"/>
        <color rgb="FF000000"/>
        <rFont val="Times New Roman"/>
        <family val="1"/>
      </rPr>
      <t xml:space="preserve"> Burden and costs associated with this performance criterion are already accounted for under performance criteria 1, 2, and 6.</t>
    </r>
  </si>
  <si>
    <t>Activities</t>
  </si>
  <si>
    <t>3-year agency burden (hours)</t>
  </si>
  <si>
    <t>3-year agency burden (dollars)</t>
  </si>
  <si>
    <t>Per activity</t>
  </si>
  <si>
    <t>39 Resp.</t>
  </si>
  <si>
    <t>The EPA Headquarters to monitor state, tribal, and territorial beach programs annually to ensure compliance with the performance criteria.</t>
  </si>
  <si>
    <t>The EPA Regions to monitor state, tribal, and territorial beach programs annually to ensure compliance with the performance criteria.</t>
  </si>
  <si>
    <t>The EPA Headquarters and EPA Regions to provide miscellaneous support to eligible states, tribes, and territories.</t>
  </si>
  <si>
    <t>The EPA Regions to revise work plans and update beach monitoring and notification program procedures.</t>
  </si>
  <si>
    <t>The EPA Regions to perform technical review on Quality Assurance Project Plan and Grants Management Plan, DQOs and SOPs prior to implementation.</t>
  </si>
  <si>
    <t>3-year total</t>
  </si>
  <si>
    <t>Annual total</t>
  </si>
  <si>
    <t>Performance Criterion</t>
  </si>
  <si>
    <t>Respondent hours/year*</t>
  </si>
  <si>
    <t>Respondent labor cost/year</t>
  </si>
  <si>
    <t xml:space="preserve">Number respondents </t>
  </si>
  <si>
    <t>Total hours/year</t>
  </si>
  <si>
    <t>Total labor cost/year</t>
  </si>
  <si>
    <t>Total O&amp;M cost/year</t>
  </si>
  <si>
    <t>Total</t>
  </si>
  <si>
    <t xml:space="preserve">*Alternated rounding up/down to avoid rounding discrepancy with Table 2 </t>
  </si>
  <si>
    <t>Group</t>
  </si>
  <si>
    <t>Burden (hours)</t>
  </si>
  <si>
    <t>Labor cost</t>
  </si>
  <si>
    <t>O&amp;M cost</t>
  </si>
  <si>
    <t>Total cost</t>
  </si>
  <si>
    <t>2015 State</t>
  </si>
  <si>
    <t>Change from 2015 State</t>
  </si>
  <si>
    <t>39 respondents</t>
  </si>
  <si>
    <t>Hours</t>
  </si>
  <si>
    <t>Agency</t>
  </si>
  <si>
    <t>O&amp;M</t>
  </si>
  <si>
    <t>for O&amp;M calculation:</t>
  </si>
  <si>
    <t>beaches</t>
  </si>
  <si>
    <t>samples/beach-week</t>
  </si>
  <si>
    <t>weeks/beach season year</t>
  </si>
  <si>
    <t>$/sample</t>
  </si>
  <si>
    <t xml:space="preserve"> </t>
  </si>
  <si>
    <t>Total O&amp;M=</t>
  </si>
  <si>
    <t>per year (for all jurisdictions)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</si>
</sst>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quot;$&quot;#,##0"/>
    <numFmt numFmtId="165" formatCode="_(&quot;$&quot;* #,##0_);_(&quot;$&quot;* \(#,##0\);_(&quot;$&quot;* &quot;-&quot;??_);_(@_)"/>
  </numFmts>
  <fonts count="9">
    <font>
      <sz val="11"/>
      <color theme="1"/>
      <name val="Calibri"/>
      <family val="2"/>
      <scheme val="minor"/>
    </font>
    <font>
      <sz val="11"/>
      <color theme="1"/>
      <name val="Calibri"/>
      <family val="2"/>
      <scheme val="minor"/>
    </font>
    <font>
      <sz val="9"/>
      <color indexed="81"/>
      <name val="Tahoma"/>
      <charset val="1"/>
    </font>
    <font>
      <b/>
      <sz val="9"/>
      <color indexed="81"/>
      <name val="Tahoma"/>
      <charset val="1"/>
    </font>
    <font>
      <sz val="9"/>
      <color indexed="81"/>
      <name val="Tahoma"/>
      <family val="2"/>
    </font>
    <font>
      <b/>
      <sz val="9"/>
      <color indexed="81"/>
      <name val="Tahoma"/>
      <family val="2"/>
    </font>
    <font>
      <b/>
      <sz val="12"/>
      <color theme="1"/>
      <name val="Times New Roman"/>
      <family val="1"/>
    </font>
    <font>
      <sz val="12"/>
      <color theme="1"/>
      <name val="Times New Roman"/>
      <family val="1"/>
    </font>
    <font>
      <sz val="12"/>
      <color rgb="FF000000"/>
      <name val="Times New Roman"/>
      <family val="1"/>
    </font>
  </fonts>
  <fills count="6">
    <fill>
      <patternFill patternType="none"/>
    </fill>
    <fill>
      <patternFill patternType="gray125"/>
    </fill>
    <fill>
      <patternFill patternType="lightGray">
        <fgColor rgb="FF000000"/>
        <bgColor rgb="FFCCCCCC"/>
      </patternFill>
    </fill>
    <fill>
      <patternFill patternType="gray125">
        <fgColor rgb="FF000000"/>
        <bgColor rgb="FFE5E5E5"/>
      </patternFill>
    </fill>
    <fill>
      <patternFill patternType="solid">
        <fgColor theme="0" tint="-0.249977111117893"/>
        <bgColor indexed="64"/>
      </patternFill>
    </fill>
    <fill>
      <patternFill patternType="solid">
        <fgColor theme="0" tint="-0.24994659260841701"/>
        <bgColor indexed="64"/>
      </patternFill>
    </fill>
  </fills>
  <borders count="2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107">
    <xf numFmtId="0" fontId="0" fillId="0" borderId="0" xfId="0"/>
    <xf numFmtId="49" fontId="0" fillId="0" borderId="0" xfId="0" applyNumberFormat="1" applyAlignment="1">
      <alignment wrapText="1"/>
    </xf>
    <xf numFmtId="0" fontId="0" fillId="0" borderId="1" xfId="0" applyBorder="1"/>
    <xf numFmtId="49" fontId="6" fillId="4" borderId="13" xfId="0" applyNumberFormat="1" applyFont="1" applyFill="1" applyBorder="1" applyAlignment="1">
      <alignment vertical="top" wrapText="1"/>
    </xf>
    <xf numFmtId="49" fontId="6" fillId="4" borderId="17" xfId="0" applyNumberFormat="1" applyFont="1" applyFill="1" applyBorder="1" applyAlignment="1">
      <alignment wrapText="1"/>
    </xf>
    <xf numFmtId="3" fontId="6" fillId="4" borderId="15" xfId="0" applyNumberFormat="1" applyFont="1" applyFill="1" applyBorder="1"/>
    <xf numFmtId="164" fontId="6" fillId="4" borderId="15" xfId="0" applyNumberFormat="1" applyFont="1" applyFill="1" applyBorder="1"/>
    <xf numFmtId="1" fontId="6" fillId="0" borderId="14" xfId="0" applyNumberFormat="1" applyFont="1" applyBorder="1"/>
    <xf numFmtId="164" fontId="6" fillId="0" borderId="14" xfId="0" applyNumberFormat="1" applyFont="1" applyBorder="1"/>
    <xf numFmtId="3" fontId="6" fillId="0" borderId="14" xfId="0" applyNumberFormat="1" applyFont="1" applyBorder="1"/>
    <xf numFmtId="3" fontId="6" fillId="0" borderId="15" xfId="0" applyNumberFormat="1" applyFont="1" applyFill="1" applyBorder="1" applyAlignment="1">
      <alignment vertical="top"/>
    </xf>
    <xf numFmtId="164" fontId="6" fillId="0" borderId="16" xfId="0" applyNumberFormat="1" applyFont="1" applyFill="1" applyBorder="1" applyAlignment="1">
      <alignment vertical="top"/>
    </xf>
    <xf numFmtId="49" fontId="7" fillId="0" borderId="21" xfId="0" applyNumberFormat="1" applyFont="1" applyBorder="1" applyAlignment="1">
      <alignment vertical="top" wrapText="1"/>
    </xf>
    <xf numFmtId="49" fontId="7" fillId="0" borderId="0" xfId="0" applyNumberFormat="1" applyFont="1" applyAlignment="1">
      <alignment wrapText="1"/>
    </xf>
    <xf numFmtId="0" fontId="7" fillId="0" borderId="0" xfId="0" applyFont="1"/>
    <xf numFmtId="0" fontId="6" fillId="0" borderId="3" xfId="0" applyFont="1" applyBorder="1" applyAlignment="1">
      <alignment vertical="top" wrapText="1"/>
    </xf>
    <xf numFmtId="1" fontId="7" fillId="0" borderId="4" xfId="0" applyNumberFormat="1" applyFont="1" applyBorder="1" applyAlignment="1">
      <alignment vertical="top"/>
    </xf>
    <xf numFmtId="3" fontId="7" fillId="0" borderId="4" xfId="0" applyNumberFormat="1" applyFont="1" applyBorder="1" applyAlignment="1">
      <alignment vertical="top"/>
    </xf>
    <xf numFmtId="0" fontId="6" fillId="0" borderId="6" xfId="0" applyFont="1" applyBorder="1" applyAlignment="1">
      <alignment vertical="top" wrapText="1"/>
    </xf>
    <xf numFmtId="164" fontId="7" fillId="0" borderId="2" xfId="0" applyNumberFormat="1" applyFont="1" applyBorder="1" applyAlignment="1">
      <alignment vertical="top"/>
    </xf>
    <xf numFmtId="1" fontId="7" fillId="0" borderId="2" xfId="0" applyNumberFormat="1" applyFont="1" applyBorder="1" applyAlignment="1">
      <alignment vertical="top"/>
    </xf>
    <xf numFmtId="3" fontId="7" fillId="0" borderId="2" xfId="0" applyNumberFormat="1" applyFont="1" applyBorder="1" applyAlignment="1">
      <alignment vertical="top"/>
    </xf>
    <xf numFmtId="164" fontId="7" fillId="0" borderId="7" xfId="0" applyNumberFormat="1" applyFont="1" applyBorder="1" applyAlignment="1">
      <alignment vertical="top"/>
    </xf>
    <xf numFmtId="164" fontId="7" fillId="0" borderId="20" xfId="0" applyNumberFormat="1" applyFont="1" applyBorder="1" applyAlignment="1">
      <alignment vertical="top"/>
    </xf>
    <xf numFmtId="49" fontId="7" fillId="0" borderId="8" xfId="0" applyNumberFormat="1" applyFont="1" applyBorder="1" applyAlignment="1">
      <alignment vertical="top" wrapText="1"/>
    </xf>
    <xf numFmtId="1" fontId="7" fillId="0" borderId="9" xfId="0" applyNumberFormat="1" applyFont="1" applyBorder="1" applyAlignment="1">
      <alignment vertical="top"/>
    </xf>
    <xf numFmtId="165" fontId="7" fillId="0" borderId="0" xfId="0" applyNumberFormat="1" applyFont="1"/>
    <xf numFmtId="49" fontId="6" fillId="0" borderId="3" xfId="0" applyNumberFormat="1" applyFont="1" applyBorder="1" applyAlignment="1">
      <alignment vertical="top" wrapText="1"/>
    </xf>
    <xf numFmtId="49" fontId="6" fillId="0" borderId="6" xfId="0" applyNumberFormat="1" applyFont="1" applyBorder="1" applyAlignment="1">
      <alignment vertical="top"/>
    </xf>
    <xf numFmtId="49" fontId="7" fillId="0" borderId="6" xfId="0" applyNumberFormat="1" applyFont="1" applyBorder="1" applyAlignment="1">
      <alignment vertical="top" wrapText="1"/>
    </xf>
    <xf numFmtId="164" fontId="7" fillId="0" borderId="5" xfId="0" applyNumberFormat="1" applyFont="1" applyBorder="1" applyAlignment="1">
      <alignment vertical="top"/>
    </xf>
    <xf numFmtId="0" fontId="6" fillId="0" borderId="3" xfId="0" applyFont="1" applyBorder="1" applyAlignment="1">
      <alignment vertical="center" wrapText="1"/>
    </xf>
    <xf numFmtId="164" fontId="7" fillId="0" borderId="9" xfId="0" applyNumberFormat="1" applyFont="1" applyBorder="1" applyAlignment="1">
      <alignment vertical="top"/>
    </xf>
    <xf numFmtId="3" fontId="7" fillId="0" borderId="20" xfId="0" applyNumberFormat="1" applyFont="1" applyBorder="1" applyAlignment="1">
      <alignment vertical="top"/>
    </xf>
    <xf numFmtId="49" fontId="7" fillId="0" borderId="2" xfId="0" applyNumberFormat="1" applyFont="1" applyBorder="1" applyAlignment="1">
      <alignment wrapText="1"/>
    </xf>
    <xf numFmtId="0" fontId="7" fillId="0" borderId="2" xfId="0" applyNumberFormat="1" applyFont="1" applyBorder="1" applyAlignment="1">
      <alignment vertical="top"/>
    </xf>
    <xf numFmtId="0" fontId="6" fillId="0" borderId="25" xfId="0" applyFont="1" applyBorder="1" applyAlignment="1">
      <alignment vertical="top" wrapText="1"/>
    </xf>
    <xf numFmtId="49" fontId="6" fillId="5" borderId="2" xfId="0" applyNumberFormat="1" applyFont="1" applyFill="1" applyBorder="1" applyAlignment="1">
      <alignment horizontal="center" vertical="center" wrapText="1"/>
    </xf>
    <xf numFmtId="2" fontId="7" fillId="0" borderId="0" xfId="0" applyNumberFormat="1" applyFont="1" applyAlignment="1">
      <alignment wrapText="1"/>
    </xf>
    <xf numFmtId="0" fontId="7" fillId="0" borderId="2" xfId="0" applyFont="1" applyBorder="1" applyAlignment="1">
      <alignment vertical="top" wrapText="1"/>
    </xf>
    <xf numFmtId="3" fontId="7" fillId="0" borderId="2" xfId="0" applyNumberFormat="1" applyFont="1" applyBorder="1" applyAlignment="1">
      <alignment vertical="top" wrapText="1"/>
    </xf>
    <xf numFmtId="0" fontId="6" fillId="0" borderId="2" xfId="0" applyFont="1" applyBorder="1" applyAlignment="1">
      <alignment vertical="center" wrapText="1"/>
    </xf>
    <xf numFmtId="3" fontId="6" fillId="0" borderId="2" xfId="0" applyNumberFormat="1" applyFont="1" applyBorder="1" applyAlignment="1">
      <alignment vertical="top" wrapText="1"/>
    </xf>
    <xf numFmtId="164" fontId="6" fillId="0" borderId="2" xfId="0" applyNumberFormat="1" applyFont="1" applyBorder="1" applyAlignment="1">
      <alignment vertical="top"/>
    </xf>
    <xf numFmtId="3" fontId="6" fillId="0" borderId="2" xfId="0" applyNumberFormat="1" applyFont="1" applyBorder="1" applyAlignment="1">
      <alignment vertical="top"/>
    </xf>
    <xf numFmtId="49" fontId="7" fillId="0" borderId="0" xfId="0" applyNumberFormat="1" applyFont="1" applyAlignment="1">
      <alignment vertical="top" wrapText="1"/>
    </xf>
    <xf numFmtId="49" fontId="7" fillId="5" borderId="2" xfId="0" applyNumberFormat="1" applyFont="1" applyFill="1" applyBorder="1" applyAlignment="1">
      <alignment horizontal="center" vertical="top" wrapText="1"/>
    </xf>
    <xf numFmtId="49" fontId="6" fillId="5" borderId="2" xfId="0" applyNumberFormat="1" applyFont="1" applyFill="1" applyBorder="1" applyAlignment="1">
      <alignment horizontal="center" vertical="top" wrapText="1"/>
    </xf>
    <xf numFmtId="49" fontId="6" fillId="0" borderId="0" xfId="0" applyNumberFormat="1" applyFont="1" applyFill="1" applyBorder="1" applyAlignment="1">
      <alignment horizontal="center" vertical="top" wrapText="1"/>
    </xf>
    <xf numFmtId="49" fontId="6" fillId="5" borderId="21" xfId="0" applyNumberFormat="1" applyFont="1" applyFill="1" applyBorder="1" applyAlignment="1">
      <alignment horizontal="center" vertical="top" wrapText="1"/>
    </xf>
    <xf numFmtId="49" fontId="6" fillId="0" borderId="0" xfId="0" applyNumberFormat="1" applyFont="1" applyAlignment="1">
      <alignment wrapText="1"/>
    </xf>
    <xf numFmtId="0" fontId="6" fillId="0" borderId="2" xfId="0" applyFont="1" applyBorder="1"/>
    <xf numFmtId="164" fontId="7" fillId="0" borderId="2" xfId="0" applyNumberFormat="1" applyFont="1" applyBorder="1" applyAlignment="1">
      <alignment horizontal="right" vertical="top"/>
    </xf>
    <xf numFmtId="164" fontId="7" fillId="0" borderId="0" xfId="0" applyNumberFormat="1" applyFont="1" applyFill="1" applyBorder="1" applyAlignment="1">
      <alignment vertical="top"/>
    </xf>
    <xf numFmtId="3" fontId="8" fillId="0" borderId="0" xfId="0" applyNumberFormat="1" applyFont="1"/>
    <xf numFmtId="3" fontId="7" fillId="0" borderId="0" xfId="0" applyNumberFormat="1" applyFont="1"/>
    <xf numFmtId="6" fontId="7" fillId="0" borderId="0" xfId="0" applyNumberFormat="1" applyFont="1"/>
    <xf numFmtId="164" fontId="7" fillId="0" borderId="0" xfId="0" applyNumberFormat="1" applyFont="1"/>
    <xf numFmtId="0" fontId="6" fillId="5" borderId="2" xfId="0" applyFont="1" applyFill="1" applyBorder="1"/>
    <xf numFmtId="3" fontId="7" fillId="5" borderId="2" xfId="0" applyNumberFormat="1" applyFont="1" applyFill="1" applyBorder="1" applyAlignment="1">
      <alignment vertical="top"/>
    </xf>
    <xf numFmtId="164" fontId="7" fillId="5" borderId="2" xfId="0" applyNumberFormat="1" applyFont="1" applyFill="1" applyBorder="1" applyAlignment="1">
      <alignment vertical="top"/>
    </xf>
    <xf numFmtId="164" fontId="7" fillId="5" borderId="2" xfId="0" applyNumberFormat="1" applyFont="1" applyFill="1" applyBorder="1" applyAlignment="1">
      <alignment horizontal="right" vertical="top"/>
    </xf>
    <xf numFmtId="6" fontId="8" fillId="0" borderId="0" xfId="0" applyNumberFormat="1" applyFont="1"/>
    <xf numFmtId="0" fontId="6" fillId="0" borderId="2" xfId="0" applyFont="1" applyBorder="1" applyAlignment="1">
      <alignment vertical="top" wrapText="1"/>
    </xf>
    <xf numFmtId="165" fontId="7" fillId="0" borderId="0" xfId="1" applyNumberFormat="1" applyFont="1"/>
    <xf numFmtId="0" fontId="7" fillId="0" borderId="2" xfId="0" applyFont="1" applyBorder="1"/>
    <xf numFmtId="0" fontId="7" fillId="0" borderId="9" xfId="0" applyFont="1" applyBorder="1"/>
    <xf numFmtId="0" fontId="7" fillId="0" borderId="20" xfId="0" applyFont="1" applyBorder="1" applyAlignment="1">
      <alignment horizontal="right" vertical="top"/>
    </xf>
    <xf numFmtId="0" fontId="7" fillId="0" borderId="20" xfId="0" applyFont="1" applyBorder="1"/>
    <xf numFmtId="164" fontId="6" fillId="4" borderId="16" xfId="0" applyNumberFormat="1" applyFont="1" applyFill="1" applyBorder="1"/>
    <xf numFmtId="164" fontId="7" fillId="0" borderId="4" xfId="0" applyNumberFormat="1" applyFont="1" applyBorder="1" applyAlignment="1">
      <alignment vertical="top"/>
    </xf>
    <xf numFmtId="0" fontId="7" fillId="0" borderId="0" xfId="0" applyFont="1" applyAlignment="1">
      <alignment vertical="center"/>
    </xf>
    <xf numFmtId="49" fontId="7" fillId="0" borderId="0" xfId="0" applyNumberFormat="1" applyFont="1" applyAlignment="1">
      <alignment horizontal="center" vertical="center" wrapText="1"/>
    </xf>
    <xf numFmtId="0" fontId="7" fillId="0" borderId="0" xfId="0" applyFont="1" applyAlignment="1">
      <alignment wrapText="1"/>
    </xf>
    <xf numFmtId="49" fontId="7" fillId="0" borderId="26" xfId="0" applyNumberFormat="1" applyFont="1" applyBorder="1" applyAlignment="1">
      <alignment vertical="top" wrapText="1"/>
    </xf>
    <xf numFmtId="49" fontId="7" fillId="0" borderId="27" xfId="0" applyNumberFormat="1" applyFont="1" applyBorder="1" applyAlignment="1">
      <alignment vertical="top" wrapText="1"/>
    </xf>
    <xf numFmtId="49" fontId="7" fillId="0" borderId="27" xfId="0" applyNumberFormat="1" applyFont="1" applyBorder="1" applyAlignment="1">
      <alignment vertical="center" wrapText="1"/>
    </xf>
    <xf numFmtId="49" fontId="6" fillId="0" borderId="27" xfId="0" applyNumberFormat="1" applyFont="1" applyBorder="1" applyAlignment="1">
      <alignment vertical="center" wrapText="1"/>
    </xf>
    <xf numFmtId="5" fontId="7" fillId="0" borderId="2" xfId="1" applyNumberFormat="1" applyFont="1" applyBorder="1" applyAlignment="1">
      <alignment vertical="top"/>
    </xf>
    <xf numFmtId="5" fontId="7" fillId="0" borderId="7" xfId="1" applyNumberFormat="1" applyFont="1" applyBorder="1" applyAlignment="1">
      <alignment vertical="top"/>
    </xf>
    <xf numFmtId="49" fontId="6" fillId="0" borderId="27" xfId="0" applyNumberFormat="1" applyFont="1" applyBorder="1" applyAlignment="1">
      <alignment wrapText="1"/>
    </xf>
    <xf numFmtId="0" fontId="7" fillId="0" borderId="27" xfId="0" applyFont="1" applyBorder="1" applyAlignment="1">
      <alignment vertical="center" wrapText="1"/>
    </xf>
    <xf numFmtId="0" fontId="6" fillId="0" borderId="27" xfId="0" applyFont="1" applyBorder="1" applyAlignment="1">
      <alignment vertical="center" wrapText="1"/>
    </xf>
    <xf numFmtId="0" fontId="7" fillId="0" borderId="27" xfId="0" applyFont="1" applyBorder="1" applyAlignment="1">
      <alignment vertical="top" wrapText="1"/>
    </xf>
    <xf numFmtId="49" fontId="7" fillId="0" borderId="2" xfId="0" applyNumberFormat="1" applyFont="1" applyBorder="1" applyAlignment="1">
      <alignment vertical="top" wrapText="1"/>
    </xf>
    <xf numFmtId="49" fontId="6" fillId="0" borderId="2" xfId="0" applyNumberFormat="1" applyFont="1" applyBorder="1" applyAlignment="1">
      <alignment vertical="center" wrapText="1"/>
    </xf>
    <xf numFmtId="49" fontId="7" fillId="0" borderId="27" xfId="0" applyNumberFormat="1" applyFont="1" applyBorder="1" applyAlignment="1">
      <alignment wrapText="1"/>
    </xf>
    <xf numFmtId="49" fontId="6" fillId="0" borderId="22" xfId="0" applyNumberFormat="1" applyFont="1" applyBorder="1" applyAlignment="1">
      <alignment vertical="top" wrapText="1"/>
    </xf>
    <xf numFmtId="164" fontId="7" fillId="0" borderId="28" xfId="0" applyNumberFormat="1" applyFont="1" applyBorder="1" applyAlignment="1">
      <alignment vertical="top"/>
    </xf>
    <xf numFmtId="0" fontId="6" fillId="2" borderId="26"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2" borderId="27" xfId="0" applyFont="1" applyFill="1" applyBorder="1" applyAlignment="1">
      <alignment horizontal="left" vertical="center" wrapText="1"/>
    </xf>
    <xf numFmtId="0" fontId="6" fillId="2" borderId="2" xfId="0" applyFont="1" applyFill="1" applyBorder="1" applyAlignment="1">
      <alignment horizontal="left" vertical="center" wrapText="1"/>
    </xf>
    <xf numFmtId="49" fontId="6" fillId="3" borderId="2" xfId="0" applyNumberFormat="1" applyFont="1" applyFill="1" applyBorder="1" applyAlignment="1">
      <alignment horizontal="center" vertical="top" wrapText="1"/>
    </xf>
    <xf numFmtId="49" fontId="6" fillId="3" borderId="19" xfId="0" applyNumberFormat="1" applyFont="1" applyFill="1" applyBorder="1" applyAlignment="1">
      <alignment horizontal="center" vertical="top" wrapText="1"/>
    </xf>
    <xf numFmtId="3" fontId="7" fillId="0" borderId="2" xfId="0" quotePrefix="1" applyNumberFormat="1" applyFont="1" applyBorder="1" applyAlignment="1">
      <alignment vertical="top"/>
    </xf>
    <xf numFmtId="3" fontId="7" fillId="0" borderId="9" xfId="0" applyNumberFormat="1" applyFont="1" applyBorder="1" applyAlignment="1">
      <alignment vertical="top"/>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49" fontId="6" fillId="0" borderId="13" xfId="0" applyNumberFormat="1" applyFont="1" applyBorder="1" applyAlignment="1">
      <alignment horizontal="left" vertical="top" wrapText="1"/>
    </xf>
    <xf numFmtId="49" fontId="7" fillId="0" borderId="14" xfId="0" applyNumberFormat="1" applyFont="1" applyBorder="1" applyAlignment="1">
      <alignment horizontal="left" vertical="top" wrapText="1"/>
    </xf>
    <xf numFmtId="0" fontId="6" fillId="0" borderId="10" xfId="0" applyFont="1" applyBorder="1" applyAlignment="1">
      <alignment vertical="top" wrapText="1"/>
    </xf>
    <xf numFmtId="0" fontId="0" fillId="0" borderId="12" xfId="0" applyBorder="1" applyAlignment="1">
      <alignment vertical="top" wrapText="1"/>
    </xf>
    <xf numFmtId="0" fontId="0" fillId="0" borderId="11" xfId="0" applyBorder="1" applyAlignment="1">
      <alignment vertical="top" wrapText="1"/>
    </xf>
    <xf numFmtId="164" fontId="7" fillId="0" borderId="18" xfId="0" applyNumberFormat="1" applyFont="1" applyBorder="1" applyAlignment="1">
      <alignment vertical="center" wrapText="1"/>
    </xf>
    <xf numFmtId="164" fontId="0" fillId="0" borderId="23" xfId="0" applyNumberFormat="1" applyBorder="1" applyAlignment="1">
      <alignment vertical="center" wrapText="1"/>
    </xf>
    <xf numFmtId="164" fontId="0" fillId="0" borderId="24" xfId="0" applyNumberFormat="1" applyBorder="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J44"/>
  <sheetViews>
    <sheetView topLeftCell="A39" zoomScale="80" zoomScaleNormal="80" workbookViewId="0" xr3:uid="{AEA406A1-0E4B-5B11-9CD5-51D6E497D94C}">
      <selection activeCell="A45" sqref="A45"/>
    </sheetView>
  </sheetViews>
  <sheetFormatPr defaultColWidth="8.85546875" defaultRowHeight="15.6"/>
  <cols>
    <col min="1" max="1" width="14.7109375" style="12" customWidth="1"/>
    <col min="2" max="2" width="28.140625" style="13" customWidth="1"/>
    <col min="3" max="3" width="9.140625" style="14" customWidth="1"/>
    <col min="4" max="4" width="12.140625" style="14" customWidth="1"/>
    <col min="5" max="5" width="9" style="14" bestFit="1" customWidth="1"/>
    <col min="6" max="6" width="13.42578125" style="14" customWidth="1"/>
    <col min="7" max="7" width="9" style="14" bestFit="1" customWidth="1"/>
    <col min="8" max="8" width="9.5703125" style="14" customWidth="1"/>
    <col min="9" max="9" width="9.5703125" style="14" bestFit="1" customWidth="1"/>
    <col min="10" max="16384" width="8.85546875" style="14"/>
  </cols>
  <sheetData>
    <row r="2" spans="1:10" ht="15" customHeight="1" thickBot="1"/>
    <row r="3" spans="1:10" s="73" customFormat="1" ht="34.15" customHeight="1">
      <c r="A3" s="89" t="s">
        <v>0</v>
      </c>
      <c r="B3" s="90" t="s">
        <v>1</v>
      </c>
      <c r="C3" s="97" t="s">
        <v>2</v>
      </c>
      <c r="D3" s="97"/>
      <c r="E3" s="97" t="s">
        <v>3</v>
      </c>
      <c r="F3" s="97"/>
      <c r="G3" s="97" t="s">
        <v>4</v>
      </c>
      <c r="H3" s="98"/>
      <c r="I3" s="72"/>
      <c r="J3" s="72"/>
    </row>
    <row r="4" spans="1:10" ht="78.599999999999994" thickBot="1">
      <c r="A4" s="91"/>
      <c r="B4" s="92"/>
      <c r="C4" s="93" t="s">
        <v>5</v>
      </c>
      <c r="D4" s="93" t="s">
        <v>6</v>
      </c>
      <c r="E4" s="93" t="s">
        <v>5</v>
      </c>
      <c r="F4" s="93" t="s">
        <v>7</v>
      </c>
      <c r="G4" s="93" t="s">
        <v>5</v>
      </c>
      <c r="H4" s="94" t="s">
        <v>8</v>
      </c>
    </row>
    <row r="5" spans="1:10" ht="63" customHeight="1">
      <c r="A5" s="101" t="s">
        <v>9</v>
      </c>
      <c r="B5" s="74" t="s">
        <v>10</v>
      </c>
      <c r="C5" s="16">
        <v>3</v>
      </c>
      <c r="D5" s="70">
        <f>ROUND(C5*69.06,0)</f>
        <v>207</v>
      </c>
      <c r="E5" s="16">
        <v>18</v>
      </c>
      <c r="F5" s="70">
        <f>ROUND(E5*33.15,0)</f>
        <v>597</v>
      </c>
      <c r="G5" s="17">
        <f>C5+E5</f>
        <v>21</v>
      </c>
      <c r="H5" s="30">
        <f>D5+F5</f>
        <v>804</v>
      </c>
    </row>
    <row r="6" spans="1:10" ht="31.15">
      <c r="A6" s="102"/>
      <c r="B6" s="75" t="s">
        <v>11</v>
      </c>
      <c r="C6" s="20">
        <v>2</v>
      </c>
      <c r="D6" s="19">
        <f>ROUND(C6*69.06,0)</f>
        <v>138</v>
      </c>
      <c r="E6" s="20">
        <v>180</v>
      </c>
      <c r="F6" s="19">
        <f>ROUND(E6*33.15,0)</f>
        <v>5967</v>
      </c>
      <c r="G6" s="21">
        <f t="shared" ref="G6:G38" si="0">C6+E6</f>
        <v>182</v>
      </c>
      <c r="H6" s="22">
        <f>D6+F6</f>
        <v>6105</v>
      </c>
    </row>
    <row r="7" spans="1:10" ht="97.15" customHeight="1">
      <c r="A7" s="102"/>
      <c r="B7" s="75" t="s">
        <v>12</v>
      </c>
      <c r="C7" s="20">
        <v>40</v>
      </c>
      <c r="D7" s="19">
        <f>ROUND(C7*69.06,0)</f>
        <v>2762</v>
      </c>
      <c r="E7" s="20">
        <v>240</v>
      </c>
      <c r="F7" s="19">
        <f>ROUND(E7*33.15,0)</f>
        <v>7956</v>
      </c>
      <c r="G7" s="21">
        <f t="shared" si="0"/>
        <v>280</v>
      </c>
      <c r="H7" s="22">
        <f t="shared" ref="H7:H8" si="1">D7+F7</f>
        <v>10718</v>
      </c>
    </row>
    <row r="8" spans="1:10" ht="46.9">
      <c r="A8" s="102"/>
      <c r="B8" s="76" t="s">
        <v>13</v>
      </c>
      <c r="C8" s="20">
        <v>10</v>
      </c>
      <c r="D8" s="19">
        <f>ROUND(C8*69.06,0)</f>
        <v>691</v>
      </c>
      <c r="E8" s="20">
        <v>150</v>
      </c>
      <c r="F8" s="19">
        <f>ROUND(E8*33.15,0)</f>
        <v>4973</v>
      </c>
      <c r="G8" s="21">
        <f t="shared" si="0"/>
        <v>160</v>
      </c>
      <c r="H8" s="22">
        <f t="shared" si="1"/>
        <v>5664</v>
      </c>
    </row>
    <row r="9" spans="1:10" ht="31.9" thickBot="1">
      <c r="A9" s="103"/>
      <c r="B9" s="77" t="s">
        <v>14</v>
      </c>
      <c r="C9" s="20">
        <f t="shared" ref="C9:H9" si="2">SUM(C5:C8)</f>
        <v>55</v>
      </c>
      <c r="D9" s="78">
        <f t="shared" si="2"/>
        <v>3798</v>
      </c>
      <c r="E9" s="20">
        <f t="shared" si="2"/>
        <v>588</v>
      </c>
      <c r="F9" s="78">
        <f t="shared" si="2"/>
        <v>19493</v>
      </c>
      <c r="G9" s="20">
        <f t="shared" si="2"/>
        <v>643</v>
      </c>
      <c r="H9" s="79">
        <f t="shared" si="2"/>
        <v>23291</v>
      </c>
      <c r="I9" s="26"/>
    </row>
    <row r="10" spans="1:10" ht="78">
      <c r="A10" s="27" t="s">
        <v>15</v>
      </c>
      <c r="B10" s="76" t="s">
        <v>16</v>
      </c>
      <c r="C10" s="20">
        <v>100</v>
      </c>
      <c r="D10" s="19">
        <f>ROUND(C10*69.06,0)</f>
        <v>6906</v>
      </c>
      <c r="E10" s="20">
        <v>400</v>
      </c>
      <c r="F10" s="19">
        <f>ROUND(E10*33.15,0)</f>
        <v>13260</v>
      </c>
      <c r="G10" s="21">
        <f t="shared" si="0"/>
        <v>500</v>
      </c>
      <c r="H10" s="22">
        <f>D10+F10</f>
        <v>20166</v>
      </c>
    </row>
    <row r="11" spans="1:10" ht="31.15">
      <c r="A11" s="28"/>
      <c r="B11" s="76" t="s">
        <v>17</v>
      </c>
      <c r="C11" s="20">
        <v>20</v>
      </c>
      <c r="D11" s="19">
        <f>ROUND(C11*69.06,0)</f>
        <v>1381</v>
      </c>
      <c r="E11" s="20">
        <v>120</v>
      </c>
      <c r="F11" s="19">
        <f t="shared" ref="F11:F12" si="3">ROUND(E11*33.15,0)</f>
        <v>3978</v>
      </c>
      <c r="G11" s="21">
        <f t="shared" si="0"/>
        <v>140</v>
      </c>
      <c r="H11" s="22">
        <f t="shared" ref="H11:H12" si="4">D11+F11</f>
        <v>5359</v>
      </c>
    </row>
    <row r="12" spans="1:10" ht="96.6" customHeight="1">
      <c r="A12" s="29"/>
      <c r="B12" s="75" t="s">
        <v>18</v>
      </c>
      <c r="C12" s="20">
        <v>300</v>
      </c>
      <c r="D12" s="19">
        <f>ROUND(C12*69.06,0)</f>
        <v>20718</v>
      </c>
      <c r="E12" s="20">
        <v>60</v>
      </c>
      <c r="F12" s="19">
        <f t="shared" si="3"/>
        <v>1989</v>
      </c>
      <c r="G12" s="21">
        <f t="shared" si="0"/>
        <v>360</v>
      </c>
      <c r="H12" s="22">
        <f t="shared" si="4"/>
        <v>22707</v>
      </c>
    </row>
    <row r="13" spans="1:10" ht="31.9" thickBot="1">
      <c r="A13" s="24"/>
      <c r="B13" s="80" t="s">
        <v>19</v>
      </c>
      <c r="C13" s="20">
        <f>SUM(C10:C12)</f>
        <v>420</v>
      </c>
      <c r="D13" s="78">
        <f t="shared" ref="D13:H13" si="5">SUM(D10:D12)</f>
        <v>29005</v>
      </c>
      <c r="E13" s="20">
        <f t="shared" si="5"/>
        <v>580</v>
      </c>
      <c r="F13" s="78">
        <f t="shared" si="5"/>
        <v>19227</v>
      </c>
      <c r="G13" s="20">
        <f t="shared" si="5"/>
        <v>1000</v>
      </c>
      <c r="H13" s="79">
        <f t="shared" si="5"/>
        <v>48232</v>
      </c>
      <c r="I13" s="26"/>
    </row>
    <row r="14" spans="1:10" ht="78">
      <c r="A14" s="27" t="s">
        <v>20</v>
      </c>
      <c r="B14" s="81" t="s">
        <v>21</v>
      </c>
      <c r="C14" s="20">
        <v>50</v>
      </c>
      <c r="D14" s="19">
        <f>ROUND(C14*69.06,0)</f>
        <v>3453</v>
      </c>
      <c r="E14" s="20">
        <v>250</v>
      </c>
      <c r="F14" s="19">
        <f>ROUND(E14*33.15,0)</f>
        <v>8288</v>
      </c>
      <c r="G14" s="21">
        <f t="shared" si="0"/>
        <v>300</v>
      </c>
      <c r="H14" s="22">
        <f>D14+F14</f>
        <v>11741</v>
      </c>
    </row>
    <row r="15" spans="1:10" ht="78">
      <c r="A15" s="29"/>
      <c r="B15" s="81" t="s">
        <v>22</v>
      </c>
      <c r="C15" s="20">
        <v>40</v>
      </c>
      <c r="D15" s="19">
        <f>ROUND(C15*69.06,0)</f>
        <v>2762</v>
      </c>
      <c r="E15" s="20">
        <v>200</v>
      </c>
      <c r="F15" s="19">
        <f t="shared" ref="F15:F16" si="6">ROUND(E15*33.15,0)</f>
        <v>6630</v>
      </c>
      <c r="G15" s="21">
        <f t="shared" si="0"/>
        <v>240</v>
      </c>
      <c r="H15" s="22">
        <f>D15+F15</f>
        <v>9392</v>
      </c>
    </row>
    <row r="16" spans="1:10" ht="97.9" customHeight="1">
      <c r="A16" s="29"/>
      <c r="B16" s="75" t="s">
        <v>23</v>
      </c>
      <c r="C16" s="20">
        <v>50</v>
      </c>
      <c r="D16" s="19">
        <f>ROUND(C16*69.06,0)</f>
        <v>3453</v>
      </c>
      <c r="E16" s="20">
        <v>200</v>
      </c>
      <c r="F16" s="19">
        <f t="shared" si="6"/>
        <v>6630</v>
      </c>
      <c r="G16" s="21">
        <f t="shared" si="0"/>
        <v>250</v>
      </c>
      <c r="H16" s="22">
        <f>D16+F16</f>
        <v>10083</v>
      </c>
    </row>
    <row r="17" spans="1:9" ht="31.9" thickBot="1">
      <c r="A17" s="24"/>
      <c r="B17" s="82" t="s">
        <v>24</v>
      </c>
      <c r="C17" s="20">
        <f>SUM(C14:C16)</f>
        <v>140</v>
      </c>
      <c r="D17" s="19">
        <f t="shared" ref="D17:H17" si="7">SUM(D14:D16)</f>
        <v>9668</v>
      </c>
      <c r="E17" s="20">
        <f t="shared" si="7"/>
        <v>650</v>
      </c>
      <c r="F17" s="19">
        <f t="shared" si="7"/>
        <v>21548</v>
      </c>
      <c r="G17" s="20">
        <f t="shared" si="7"/>
        <v>790</v>
      </c>
      <c r="H17" s="22">
        <f t="shared" si="7"/>
        <v>31216</v>
      </c>
      <c r="I17" s="26"/>
    </row>
    <row r="18" spans="1:9" ht="48.6" customHeight="1">
      <c r="A18" s="31" t="s">
        <v>25</v>
      </c>
      <c r="B18" s="83" t="s">
        <v>26</v>
      </c>
      <c r="C18" s="20">
        <v>300</v>
      </c>
      <c r="D18" s="19">
        <f>ROUND(C18*69.06,0)</f>
        <v>20718</v>
      </c>
      <c r="E18" s="21">
        <v>1440</v>
      </c>
      <c r="F18" s="19">
        <f>ROUND(E18*33.15,0)</f>
        <v>47736</v>
      </c>
      <c r="G18" s="21">
        <f t="shared" si="0"/>
        <v>1740</v>
      </c>
      <c r="H18" s="22">
        <f>D18+F18</f>
        <v>68454</v>
      </c>
    </row>
    <row r="19" spans="1:9" ht="111.6" customHeight="1">
      <c r="A19" s="29"/>
      <c r="B19" s="83" t="s">
        <v>27</v>
      </c>
      <c r="C19" s="20">
        <v>600</v>
      </c>
      <c r="D19" s="19">
        <f>ROUND(C19*69.06,0)</f>
        <v>41436</v>
      </c>
      <c r="E19" s="20">
        <v>600</v>
      </c>
      <c r="F19" s="19">
        <f>ROUND(E19*33.15,0)</f>
        <v>19890</v>
      </c>
      <c r="G19" s="21">
        <f t="shared" si="0"/>
        <v>1200</v>
      </c>
      <c r="H19" s="22">
        <f>D19+F19</f>
        <v>61326</v>
      </c>
    </row>
    <row r="20" spans="1:9" ht="31.9" thickBot="1">
      <c r="A20" s="24"/>
      <c r="B20" s="80" t="s">
        <v>28</v>
      </c>
      <c r="C20" s="20">
        <f>SUM(C18:C19)</f>
        <v>900</v>
      </c>
      <c r="D20" s="19">
        <f t="shared" ref="D20:H20" si="8">SUM(D18:D19)</f>
        <v>62154</v>
      </c>
      <c r="E20" s="21">
        <f t="shared" si="8"/>
        <v>2040</v>
      </c>
      <c r="F20" s="19">
        <f t="shared" si="8"/>
        <v>67626</v>
      </c>
      <c r="G20" s="21">
        <f t="shared" si="8"/>
        <v>2940</v>
      </c>
      <c r="H20" s="22">
        <f t="shared" si="8"/>
        <v>129780</v>
      </c>
      <c r="I20" s="26"/>
    </row>
    <row r="21" spans="1:9" ht="82.35" customHeight="1">
      <c r="A21" s="15" t="s">
        <v>29</v>
      </c>
      <c r="B21" s="75" t="s">
        <v>30</v>
      </c>
      <c r="C21" s="20">
        <v>6</v>
      </c>
      <c r="D21" s="19">
        <f>ROUND(C21*69.06,0)</f>
        <v>414</v>
      </c>
      <c r="E21" s="20">
        <v>40</v>
      </c>
      <c r="F21" s="19">
        <f>ROUND(E21*33.15,0)</f>
        <v>1326</v>
      </c>
      <c r="G21" s="21">
        <f t="shared" si="0"/>
        <v>46</v>
      </c>
      <c r="H21" s="22">
        <f>D21+F21</f>
        <v>1740</v>
      </c>
    </row>
    <row r="22" spans="1:9" ht="31.9" thickBot="1">
      <c r="A22" s="24"/>
      <c r="B22" s="77" t="s">
        <v>31</v>
      </c>
      <c r="C22" s="20">
        <f t="shared" ref="C22:H22" si="9">SUM(C21)</f>
        <v>6</v>
      </c>
      <c r="D22" s="19">
        <f t="shared" si="9"/>
        <v>414</v>
      </c>
      <c r="E22" s="20">
        <f t="shared" si="9"/>
        <v>40</v>
      </c>
      <c r="F22" s="19">
        <f t="shared" si="9"/>
        <v>1326</v>
      </c>
      <c r="G22" s="20">
        <f t="shared" si="9"/>
        <v>46</v>
      </c>
      <c r="H22" s="22">
        <f t="shared" si="9"/>
        <v>1740</v>
      </c>
      <c r="I22" s="26"/>
    </row>
    <row r="23" spans="1:9" ht="78">
      <c r="A23" s="31" t="s">
        <v>32</v>
      </c>
      <c r="B23" s="34" t="s">
        <v>33</v>
      </c>
      <c r="C23" s="20">
        <v>2</v>
      </c>
      <c r="D23" s="19">
        <f>ROUND(C23*69.06,0)</f>
        <v>138</v>
      </c>
      <c r="E23" s="20">
        <v>40</v>
      </c>
      <c r="F23" s="19">
        <f>ROUND(E23*33.15,0)</f>
        <v>1326</v>
      </c>
      <c r="G23" s="21">
        <f t="shared" si="0"/>
        <v>42</v>
      </c>
      <c r="H23" s="22">
        <f>D23+F23</f>
        <v>1464</v>
      </c>
    </row>
    <row r="24" spans="1:9" ht="78">
      <c r="A24" s="29"/>
      <c r="B24" s="34" t="s">
        <v>34</v>
      </c>
      <c r="C24" s="20">
        <v>2</v>
      </c>
      <c r="D24" s="19">
        <f>ROUND(C24*69.06,0)</f>
        <v>138</v>
      </c>
      <c r="E24" s="20">
        <v>40</v>
      </c>
      <c r="F24" s="19">
        <f t="shared" ref="F24:F26" si="10">ROUND(E24*33.15,0)</f>
        <v>1326</v>
      </c>
      <c r="G24" s="21">
        <f t="shared" si="0"/>
        <v>42</v>
      </c>
      <c r="H24" s="22">
        <f>D24+F24</f>
        <v>1464</v>
      </c>
    </row>
    <row r="25" spans="1:9" ht="93.6">
      <c r="A25" s="29"/>
      <c r="B25" s="34" t="s">
        <v>35</v>
      </c>
      <c r="C25" s="20">
        <v>2</v>
      </c>
      <c r="D25" s="19">
        <f>ROUND(C25*69.06,0)</f>
        <v>138</v>
      </c>
      <c r="E25" s="20">
        <v>40</v>
      </c>
      <c r="F25" s="19">
        <f t="shared" si="10"/>
        <v>1326</v>
      </c>
      <c r="G25" s="21">
        <f t="shared" si="0"/>
        <v>42</v>
      </c>
      <c r="H25" s="22">
        <f>D25+F25</f>
        <v>1464</v>
      </c>
    </row>
    <row r="26" spans="1:9" ht="46.9">
      <c r="A26" s="29"/>
      <c r="B26" s="84" t="s">
        <v>36</v>
      </c>
      <c r="C26" s="20">
        <v>2</v>
      </c>
      <c r="D26" s="19">
        <f>ROUND(C26*69.06,0)</f>
        <v>138</v>
      </c>
      <c r="E26" s="20">
        <v>50</v>
      </c>
      <c r="F26" s="19">
        <f t="shared" si="10"/>
        <v>1658</v>
      </c>
      <c r="G26" s="21">
        <f t="shared" si="0"/>
        <v>52</v>
      </c>
      <c r="H26" s="22">
        <f>D26+F26</f>
        <v>1796</v>
      </c>
    </row>
    <row r="27" spans="1:9" ht="31.9" thickBot="1">
      <c r="A27" s="24"/>
      <c r="B27" s="85" t="s">
        <v>37</v>
      </c>
      <c r="C27" s="20">
        <f>SUM(C23:C26)</f>
        <v>8</v>
      </c>
      <c r="D27" s="19">
        <f>SUM(D23:D26)</f>
        <v>552</v>
      </c>
      <c r="E27" s="20">
        <f t="shared" ref="E27:H27" si="11">SUM(E23:E26)</f>
        <v>170</v>
      </c>
      <c r="F27" s="19">
        <f t="shared" si="11"/>
        <v>5636</v>
      </c>
      <c r="G27" s="20">
        <f t="shared" si="11"/>
        <v>178</v>
      </c>
      <c r="H27" s="22">
        <f t="shared" si="11"/>
        <v>6188</v>
      </c>
      <c r="I27" s="26"/>
    </row>
    <row r="28" spans="1:9" ht="79.900000000000006" customHeight="1">
      <c r="A28" s="18" t="s">
        <v>38</v>
      </c>
      <c r="B28" s="84" t="s">
        <v>39</v>
      </c>
      <c r="C28" s="20">
        <v>100</v>
      </c>
      <c r="D28" s="19">
        <f>ROUND(C28*69.06,0)</f>
        <v>6906</v>
      </c>
      <c r="E28" s="20">
        <v>600</v>
      </c>
      <c r="F28" s="19">
        <f>ROUND(E28*33.15,0)</f>
        <v>19890</v>
      </c>
      <c r="G28" s="21">
        <f t="shared" si="0"/>
        <v>700</v>
      </c>
      <c r="H28" s="22">
        <f>D28+F28</f>
        <v>26796</v>
      </c>
    </row>
    <row r="29" spans="1:9" ht="63.6" customHeight="1">
      <c r="A29" s="29"/>
      <c r="B29" s="84" t="s">
        <v>40</v>
      </c>
      <c r="C29" s="20">
        <v>100</v>
      </c>
      <c r="D29" s="19">
        <f>ROUND(C29*69.06,0)</f>
        <v>6906</v>
      </c>
      <c r="E29" s="20">
        <v>200</v>
      </c>
      <c r="F29" s="19">
        <f>ROUND(E29*33.15,0)</f>
        <v>6630</v>
      </c>
      <c r="G29" s="21">
        <f t="shared" si="0"/>
        <v>300</v>
      </c>
      <c r="H29" s="22">
        <f>D29+F29</f>
        <v>13536</v>
      </c>
    </row>
    <row r="30" spans="1:9" ht="31.9" thickBot="1">
      <c r="A30" s="24"/>
      <c r="B30" s="77" t="s">
        <v>41</v>
      </c>
      <c r="C30" s="20">
        <f>SUM(C28:C29)</f>
        <v>200</v>
      </c>
      <c r="D30" s="19">
        <f>SUM(D28:D29)</f>
        <v>13812</v>
      </c>
      <c r="E30" s="20">
        <f t="shared" ref="E30:H30" si="12">SUM(E28:E29)</f>
        <v>800</v>
      </c>
      <c r="F30" s="19">
        <f t="shared" si="12"/>
        <v>26520</v>
      </c>
      <c r="G30" s="21">
        <f t="shared" si="12"/>
        <v>1000</v>
      </c>
      <c r="H30" s="22">
        <f t="shared" si="12"/>
        <v>40332</v>
      </c>
      <c r="I30" s="26"/>
    </row>
    <row r="31" spans="1:9" ht="142.15" customHeight="1">
      <c r="A31" s="15" t="s">
        <v>42</v>
      </c>
      <c r="B31" s="75" t="s">
        <v>43</v>
      </c>
      <c r="C31" s="20">
        <v>120</v>
      </c>
      <c r="D31" s="19">
        <f>ROUND(C31*69.06,0)</f>
        <v>8287</v>
      </c>
      <c r="E31" s="20">
        <v>72</v>
      </c>
      <c r="F31" s="19">
        <f>ROUND(E31*33.15,0)</f>
        <v>2387</v>
      </c>
      <c r="G31" s="21">
        <f t="shared" si="0"/>
        <v>192</v>
      </c>
      <c r="H31" s="22">
        <f>D31+F31</f>
        <v>10674</v>
      </c>
    </row>
    <row r="32" spans="1:9" ht="31.9" thickBot="1">
      <c r="A32" s="24"/>
      <c r="B32" s="82" t="s">
        <v>44</v>
      </c>
      <c r="C32" s="20">
        <f>SUM(C31)</f>
        <v>120</v>
      </c>
      <c r="D32" s="19">
        <f t="shared" ref="D32:H32" si="13">SUM(D31)</f>
        <v>8287</v>
      </c>
      <c r="E32" s="20">
        <f t="shared" si="13"/>
        <v>72</v>
      </c>
      <c r="F32" s="19">
        <f t="shared" si="13"/>
        <v>2387</v>
      </c>
      <c r="G32" s="20">
        <f t="shared" si="13"/>
        <v>192</v>
      </c>
      <c r="H32" s="22">
        <f t="shared" si="13"/>
        <v>10674</v>
      </c>
      <c r="I32" s="26"/>
    </row>
    <row r="33" spans="1:9" ht="112.7" customHeight="1">
      <c r="A33" s="15" t="s">
        <v>45</v>
      </c>
      <c r="B33" s="75" t="s">
        <v>46</v>
      </c>
      <c r="C33" s="20">
        <v>6</v>
      </c>
      <c r="D33" s="19">
        <f>ROUND(C33*69.06,0)</f>
        <v>414</v>
      </c>
      <c r="E33" s="20">
        <v>18</v>
      </c>
      <c r="F33" s="19">
        <f>ROUND(E33*33.15,0)</f>
        <v>597</v>
      </c>
      <c r="G33" s="21">
        <f t="shared" si="0"/>
        <v>24</v>
      </c>
      <c r="H33" s="22">
        <f>D33+F33</f>
        <v>1011</v>
      </c>
    </row>
    <row r="34" spans="1:9" ht="31.9" thickBot="1">
      <c r="A34" s="24"/>
      <c r="B34" s="77" t="s">
        <v>47</v>
      </c>
      <c r="C34" s="21">
        <f>SUM(C33)</f>
        <v>6</v>
      </c>
      <c r="D34" s="19">
        <f t="shared" ref="D34:H34" si="14">SUM(D33)</f>
        <v>414</v>
      </c>
      <c r="E34" s="21">
        <f t="shared" si="14"/>
        <v>18</v>
      </c>
      <c r="F34" s="19">
        <f t="shared" si="14"/>
        <v>597</v>
      </c>
      <c r="G34" s="35">
        <f t="shared" si="14"/>
        <v>24</v>
      </c>
      <c r="H34" s="22">
        <f t="shared" si="14"/>
        <v>1011</v>
      </c>
      <c r="I34" s="26"/>
    </row>
    <row r="35" spans="1:9" ht="94.7" customHeight="1">
      <c r="A35" s="15" t="s">
        <v>48</v>
      </c>
      <c r="B35" s="75" t="s">
        <v>49</v>
      </c>
      <c r="C35" s="20">
        <v>0</v>
      </c>
      <c r="D35" s="19">
        <v>0</v>
      </c>
      <c r="E35" s="20">
        <v>0</v>
      </c>
      <c r="F35" s="19">
        <v>0</v>
      </c>
      <c r="G35" s="21">
        <v>0</v>
      </c>
      <c r="H35" s="22">
        <v>0</v>
      </c>
    </row>
    <row r="36" spans="1:9" ht="109.15">
      <c r="A36" s="29"/>
      <c r="B36" s="86" t="s">
        <v>50</v>
      </c>
      <c r="C36" s="20">
        <v>0</v>
      </c>
      <c r="D36" s="19">
        <f>ROUND(C36*64.82,0)</f>
        <v>0</v>
      </c>
      <c r="E36" s="20">
        <v>0</v>
      </c>
      <c r="F36" s="19">
        <f>ROUND(E36*33.15,0)</f>
        <v>0</v>
      </c>
      <c r="G36" s="21">
        <f t="shared" si="0"/>
        <v>0</v>
      </c>
      <c r="H36" s="22">
        <f t="shared" ref="H36:H38" si="15">E36+G36</f>
        <v>0</v>
      </c>
    </row>
    <row r="37" spans="1:9" ht="31.9" thickBot="1">
      <c r="A37" s="24"/>
      <c r="B37" s="80" t="s">
        <v>51</v>
      </c>
      <c r="C37" s="20">
        <f>SUM(C35:C36)</f>
        <v>0</v>
      </c>
      <c r="D37" s="19">
        <f t="shared" ref="D37:H37" si="16">SUM(D35:D36)</f>
        <v>0</v>
      </c>
      <c r="E37" s="20">
        <f t="shared" si="16"/>
        <v>0</v>
      </c>
      <c r="F37" s="19">
        <f t="shared" si="16"/>
        <v>0</v>
      </c>
      <c r="G37" s="19">
        <f t="shared" si="16"/>
        <v>0</v>
      </c>
      <c r="H37" s="22">
        <f t="shared" si="16"/>
        <v>0</v>
      </c>
      <c r="I37" s="26"/>
    </row>
    <row r="38" spans="1:9" ht="113.45" customHeight="1">
      <c r="A38" s="36" t="s">
        <v>52</v>
      </c>
      <c r="B38" s="75" t="s">
        <v>53</v>
      </c>
      <c r="C38" s="20">
        <v>0</v>
      </c>
      <c r="D38" s="19">
        <f>ROUND(C38*69.06,0)</f>
        <v>0</v>
      </c>
      <c r="E38" s="20">
        <v>0</v>
      </c>
      <c r="F38" s="19">
        <f>ROUND(E38*36.38,0)</f>
        <v>0</v>
      </c>
      <c r="G38" s="21">
        <f t="shared" si="0"/>
        <v>0</v>
      </c>
      <c r="H38" s="22">
        <f t="shared" si="15"/>
        <v>0</v>
      </c>
    </row>
    <row r="39" spans="1:9" ht="31.9" thickBot="1">
      <c r="A39" s="24"/>
      <c r="B39" s="87" t="s">
        <v>54</v>
      </c>
      <c r="C39" s="25">
        <f>SUM(C38)</f>
        <v>0</v>
      </c>
      <c r="D39" s="32">
        <f t="shared" ref="D39:H39" si="17">SUM(D38)</f>
        <v>0</v>
      </c>
      <c r="E39" s="25">
        <f t="shared" si="17"/>
        <v>0</v>
      </c>
      <c r="F39" s="32">
        <f t="shared" si="17"/>
        <v>0</v>
      </c>
      <c r="G39" s="25">
        <f t="shared" si="17"/>
        <v>0</v>
      </c>
      <c r="H39" s="88">
        <f t="shared" si="17"/>
        <v>0</v>
      </c>
      <c r="I39" s="26"/>
    </row>
    <row r="40" spans="1:9" ht="31.9" thickBot="1">
      <c r="A40" s="3" t="s">
        <v>55</v>
      </c>
      <c r="B40" s="4"/>
      <c r="C40" s="5">
        <f t="shared" ref="C40:H40" si="18">SUM(C39,C37,C34,C32,C30,C27,C22,C20,C17,C13,C9)</f>
        <v>1855</v>
      </c>
      <c r="D40" s="6">
        <f t="shared" si="18"/>
        <v>128104</v>
      </c>
      <c r="E40" s="5">
        <f t="shared" si="18"/>
        <v>4958</v>
      </c>
      <c r="F40" s="6">
        <f t="shared" si="18"/>
        <v>164360</v>
      </c>
      <c r="G40" s="5">
        <f t="shared" si="18"/>
        <v>6813</v>
      </c>
      <c r="H40" s="69">
        <f t="shared" si="18"/>
        <v>292464</v>
      </c>
    </row>
    <row r="41" spans="1:9" ht="16.149999999999999" thickBot="1">
      <c r="A41" s="99" t="s">
        <v>56</v>
      </c>
      <c r="B41" s="100"/>
      <c r="C41" s="7">
        <f t="shared" ref="C41:H41" si="19">C40/3</f>
        <v>618.33333333333337</v>
      </c>
      <c r="D41" s="8">
        <f t="shared" si="19"/>
        <v>42701.333333333336</v>
      </c>
      <c r="E41" s="9">
        <f t="shared" si="19"/>
        <v>1652.6666666666667</v>
      </c>
      <c r="F41" s="8">
        <f t="shared" si="19"/>
        <v>54786.666666666664</v>
      </c>
      <c r="G41" s="10">
        <f t="shared" si="19"/>
        <v>2271</v>
      </c>
      <c r="H41" s="11">
        <f t="shared" si="19"/>
        <v>97488</v>
      </c>
    </row>
    <row r="43" spans="1:9">
      <c r="A43" s="71" t="s">
        <v>57</v>
      </c>
    </row>
    <row r="44" spans="1:9">
      <c r="A44" s="71" t="s">
        <v>58</v>
      </c>
    </row>
  </sheetData>
  <mergeCells count="5">
    <mergeCell ref="G3:H3"/>
    <mergeCell ref="C3:D3"/>
    <mergeCell ref="E3:F3"/>
    <mergeCell ref="A41:B41"/>
    <mergeCell ref="A5:A9"/>
  </mergeCells>
  <printOptions horizontalCentered="1" gridLines="1"/>
  <pageMargins left="0.7" right="0.7" top="0.75" bottom="0.75" header="0.3" footer="0.3"/>
  <pageSetup scale="90"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8"/>
  <sheetViews>
    <sheetView topLeftCell="A5" workbookViewId="0" xr3:uid="{958C4451-9541-5A59-BF78-D2F731DF1C81}">
      <selection activeCell="A8" sqref="A8"/>
    </sheetView>
  </sheetViews>
  <sheetFormatPr defaultColWidth="8.85546875" defaultRowHeight="15.6"/>
  <cols>
    <col min="1" max="1" width="52.42578125" style="45" customWidth="1"/>
    <col min="2" max="2" width="10" style="14" customWidth="1"/>
    <col min="3" max="3" width="11" style="14" bestFit="1" customWidth="1"/>
    <col min="4" max="16384" width="8.85546875" style="14"/>
  </cols>
  <sheetData>
    <row r="1" spans="1:5" ht="62.45">
      <c r="A1" s="37" t="s">
        <v>59</v>
      </c>
      <c r="B1" s="37" t="s">
        <v>60</v>
      </c>
      <c r="C1" s="37" t="s">
        <v>61</v>
      </c>
      <c r="D1" s="38" t="s">
        <v>62</v>
      </c>
      <c r="E1" s="14" t="s">
        <v>63</v>
      </c>
    </row>
    <row r="2" spans="1:5" ht="46.9">
      <c r="A2" s="39" t="s">
        <v>64</v>
      </c>
      <c r="B2" s="40">
        <f>D2*39*3</f>
        <v>1521</v>
      </c>
      <c r="C2" s="19">
        <f>ROUND(B2*48.75,0)</f>
        <v>74149</v>
      </c>
      <c r="D2" s="14">
        <v>13</v>
      </c>
      <c r="E2" s="14">
        <f>D2*39</f>
        <v>507</v>
      </c>
    </row>
    <row r="3" spans="1:5" ht="46.9">
      <c r="A3" s="39" t="s">
        <v>65</v>
      </c>
      <c r="B3" s="40">
        <f t="shared" ref="B3:B6" si="0">D3*39*3</f>
        <v>2106</v>
      </c>
      <c r="C3" s="19">
        <f t="shared" ref="C3:C6" si="1">ROUND(B3*48.75,0)</f>
        <v>102668</v>
      </c>
      <c r="D3" s="14">
        <v>18</v>
      </c>
      <c r="E3" s="14">
        <f t="shared" ref="E3:E6" si="2">D3*39</f>
        <v>702</v>
      </c>
    </row>
    <row r="4" spans="1:5" ht="46.9">
      <c r="A4" s="39" t="s">
        <v>66</v>
      </c>
      <c r="B4" s="40">
        <f t="shared" si="0"/>
        <v>1638</v>
      </c>
      <c r="C4" s="19">
        <f t="shared" si="1"/>
        <v>79853</v>
      </c>
      <c r="D4" s="14">
        <v>14</v>
      </c>
      <c r="E4" s="14">
        <f t="shared" si="2"/>
        <v>546</v>
      </c>
    </row>
    <row r="5" spans="1:5" ht="31.15">
      <c r="A5" s="39" t="s">
        <v>67</v>
      </c>
      <c r="B5" s="40">
        <f t="shared" si="0"/>
        <v>1170</v>
      </c>
      <c r="C5" s="19">
        <f t="shared" si="1"/>
        <v>57038</v>
      </c>
      <c r="D5" s="14">
        <v>10</v>
      </c>
      <c r="E5" s="14">
        <f t="shared" si="2"/>
        <v>390</v>
      </c>
    </row>
    <row r="6" spans="1:5" ht="46.9">
      <c r="A6" s="39" t="s">
        <v>68</v>
      </c>
      <c r="B6" s="40">
        <f t="shared" si="0"/>
        <v>3510</v>
      </c>
      <c r="C6" s="19">
        <f t="shared" si="1"/>
        <v>171113</v>
      </c>
      <c r="D6" s="14">
        <v>30</v>
      </c>
      <c r="E6" s="14">
        <f t="shared" si="2"/>
        <v>1170</v>
      </c>
    </row>
    <row r="7" spans="1:5">
      <c r="A7" s="41" t="s">
        <v>69</v>
      </c>
      <c r="B7" s="42">
        <f>SUM(B2:B6)</f>
        <v>9945</v>
      </c>
      <c r="C7" s="43">
        <f>SUM(C2:C6)</f>
        <v>484821</v>
      </c>
      <c r="D7" s="14">
        <f>+D2+D3+D4+D5+D6</f>
        <v>85</v>
      </c>
      <c r="E7" s="14">
        <f>SUM(E2:E6)</f>
        <v>3315</v>
      </c>
    </row>
    <row r="8" spans="1:5">
      <c r="A8" s="41" t="s">
        <v>70</v>
      </c>
      <c r="B8" s="44">
        <f>ROUND(B7/3,0)</f>
        <v>3315</v>
      </c>
      <c r="C8" s="43">
        <f>ROUND(C7/3,0)</f>
        <v>161607</v>
      </c>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4"/>
  <sheetViews>
    <sheetView topLeftCell="A2" workbookViewId="0" xr3:uid="{842E5F09-E766-5B8D-85AF-A39847EA96FD}">
      <selection activeCell="E13" sqref="E13"/>
    </sheetView>
  </sheetViews>
  <sheetFormatPr defaultRowHeight="14.45"/>
  <cols>
    <col min="1" max="2" width="12.42578125" customWidth="1"/>
    <col min="3" max="3" width="11.5703125" customWidth="1"/>
    <col min="4" max="4" width="11.28515625" customWidth="1"/>
    <col min="5" max="5" width="11" customWidth="1"/>
    <col min="6" max="6" width="11" bestFit="1" customWidth="1"/>
    <col min="7" max="7" width="12.140625" customWidth="1"/>
  </cols>
  <sheetData>
    <row r="1" spans="1:10" s="1" customFormat="1" ht="46.9">
      <c r="A1" s="46" t="s">
        <v>71</v>
      </c>
      <c r="B1" s="46" t="s">
        <v>72</v>
      </c>
      <c r="C1" s="46" t="s">
        <v>73</v>
      </c>
      <c r="D1" s="46" t="s">
        <v>74</v>
      </c>
      <c r="E1" s="46" t="s">
        <v>75</v>
      </c>
      <c r="F1" s="46" t="s">
        <v>76</v>
      </c>
      <c r="G1" s="46" t="s">
        <v>77</v>
      </c>
    </row>
    <row r="2" spans="1:10" ht="15.6">
      <c r="A2" s="65">
        <v>1</v>
      </c>
      <c r="B2" s="95">
        <f>ROUNDUP('Table 2'!G9/3,0)</f>
        <v>215</v>
      </c>
      <c r="C2" s="19">
        <f>'Table 2'!H9/3</f>
        <v>7763.666666666667</v>
      </c>
      <c r="D2" s="65">
        <v>39</v>
      </c>
      <c r="E2" s="21">
        <f t="shared" ref="E2:E12" si="0">B2*D2</f>
        <v>8385</v>
      </c>
      <c r="F2" s="19">
        <f t="shared" ref="F2:F12" si="1">ROUND(C2*D2,0)</f>
        <v>302783</v>
      </c>
      <c r="G2" s="104">
        <v>11063780</v>
      </c>
    </row>
    <row r="3" spans="1:10" ht="15.6">
      <c r="A3" s="65">
        <v>2</v>
      </c>
      <c r="B3" s="21">
        <f>ROUNDDOWN('Table 2'!G13/3,0)</f>
        <v>333</v>
      </c>
      <c r="C3" s="19">
        <f>'Table 2'!H13/3</f>
        <v>16077.333333333334</v>
      </c>
      <c r="D3" s="65">
        <v>39</v>
      </c>
      <c r="E3" s="21">
        <f t="shared" si="0"/>
        <v>12987</v>
      </c>
      <c r="F3" s="19">
        <f t="shared" si="1"/>
        <v>627016</v>
      </c>
      <c r="G3" s="105"/>
    </row>
    <row r="4" spans="1:10" ht="15.6">
      <c r="A4" s="65">
        <v>3</v>
      </c>
      <c r="B4" s="21">
        <f>ROUNDUP('Table 2'!G17/3,0)</f>
        <v>264</v>
      </c>
      <c r="C4" s="19">
        <f>'Table 2'!H17/3</f>
        <v>10405.333333333334</v>
      </c>
      <c r="D4" s="65">
        <v>39</v>
      </c>
      <c r="E4" s="21">
        <f t="shared" si="0"/>
        <v>10296</v>
      </c>
      <c r="F4" s="19">
        <f t="shared" si="1"/>
        <v>405808</v>
      </c>
      <c r="G4" s="105"/>
    </row>
    <row r="5" spans="1:10" ht="15.6">
      <c r="A5" s="65">
        <v>4</v>
      </c>
      <c r="B5" s="21">
        <f>ROUND('Table 2'!G20/3,1)</f>
        <v>980</v>
      </c>
      <c r="C5" s="19">
        <f>'Table 2'!H20/3</f>
        <v>43260</v>
      </c>
      <c r="D5" s="65">
        <v>39</v>
      </c>
      <c r="E5" s="21">
        <f t="shared" si="0"/>
        <v>38220</v>
      </c>
      <c r="F5" s="19">
        <f t="shared" si="1"/>
        <v>1687140</v>
      </c>
      <c r="G5" s="105"/>
    </row>
    <row r="6" spans="1:10" ht="15.6">
      <c r="A6" s="65">
        <v>5</v>
      </c>
      <c r="B6" s="21">
        <f>ROUNDDOWN('Table 2'!G22/3,0)</f>
        <v>15</v>
      </c>
      <c r="C6" s="19">
        <f>'Table 2'!H22/3</f>
        <v>580</v>
      </c>
      <c r="D6" s="65">
        <v>39</v>
      </c>
      <c r="E6" s="21">
        <f t="shared" si="0"/>
        <v>585</v>
      </c>
      <c r="F6" s="19">
        <f t="shared" si="1"/>
        <v>22620</v>
      </c>
      <c r="G6" s="105"/>
    </row>
    <row r="7" spans="1:10" ht="15.6">
      <c r="A7" s="65">
        <v>6</v>
      </c>
      <c r="B7" s="21">
        <f>ROUNDDOWN('Table 2'!G27/3,0)</f>
        <v>59</v>
      </c>
      <c r="C7" s="19">
        <f>'Table 2'!H27/3</f>
        <v>2062.6666666666665</v>
      </c>
      <c r="D7" s="65">
        <v>39</v>
      </c>
      <c r="E7" s="21">
        <f t="shared" si="0"/>
        <v>2301</v>
      </c>
      <c r="F7" s="19">
        <f t="shared" si="1"/>
        <v>80444</v>
      </c>
      <c r="G7" s="105"/>
    </row>
    <row r="8" spans="1:10" ht="16.149999999999999" thickBot="1">
      <c r="A8" s="65">
        <v>7</v>
      </c>
      <c r="B8" s="21">
        <f>ROUNDDOWN('Table 2'!G30/3,0)</f>
        <v>333</v>
      </c>
      <c r="C8" s="19">
        <f>'Table 2'!H30/3</f>
        <v>13444</v>
      </c>
      <c r="D8" s="65">
        <v>39</v>
      </c>
      <c r="E8" s="21">
        <f t="shared" si="0"/>
        <v>12987</v>
      </c>
      <c r="F8" s="19">
        <f t="shared" si="1"/>
        <v>524316</v>
      </c>
      <c r="G8" s="105"/>
    </row>
    <row r="9" spans="1:10" ht="16.149999999999999" thickBot="1">
      <c r="A9" s="65">
        <v>8</v>
      </c>
      <c r="B9" s="21">
        <f>ROUND('Table 2'!G32/3,1)</f>
        <v>64</v>
      </c>
      <c r="C9" s="19">
        <f>'Table 2'!H32/3</f>
        <v>3558</v>
      </c>
      <c r="D9" s="65">
        <v>39</v>
      </c>
      <c r="E9" s="21">
        <f t="shared" si="0"/>
        <v>2496</v>
      </c>
      <c r="F9" s="19">
        <f t="shared" si="1"/>
        <v>138762</v>
      </c>
      <c r="G9" s="105"/>
      <c r="J9" s="2"/>
    </row>
    <row r="10" spans="1:10" ht="15.6">
      <c r="A10" s="65">
        <v>9</v>
      </c>
      <c r="B10" s="21">
        <f>ROUND('Table 2'!G34/3,1)</f>
        <v>8</v>
      </c>
      <c r="C10" s="19">
        <f>'Table 2'!H34/3</f>
        <v>337</v>
      </c>
      <c r="D10" s="65">
        <v>39</v>
      </c>
      <c r="E10" s="21">
        <f t="shared" si="0"/>
        <v>312</v>
      </c>
      <c r="F10" s="19">
        <f t="shared" si="1"/>
        <v>13143</v>
      </c>
      <c r="G10" s="105"/>
    </row>
    <row r="11" spans="1:10" ht="15.6">
      <c r="A11" s="65">
        <v>10</v>
      </c>
      <c r="B11" s="21">
        <f>ROUND('Table 2'!G37/3,1)</f>
        <v>0</v>
      </c>
      <c r="C11" s="19">
        <f>'Table 2'!H37/3</f>
        <v>0</v>
      </c>
      <c r="D11" s="65">
        <v>39</v>
      </c>
      <c r="E11" s="21">
        <f t="shared" si="0"/>
        <v>0</v>
      </c>
      <c r="F11" s="19">
        <f t="shared" si="1"/>
        <v>0</v>
      </c>
      <c r="G11" s="105"/>
    </row>
    <row r="12" spans="1:10" ht="16.149999999999999" thickBot="1">
      <c r="A12" s="66">
        <v>11</v>
      </c>
      <c r="B12" s="96">
        <v>0</v>
      </c>
      <c r="C12" s="32">
        <v>0</v>
      </c>
      <c r="D12" s="66">
        <v>39</v>
      </c>
      <c r="E12" s="96">
        <f t="shared" si="0"/>
        <v>0</v>
      </c>
      <c r="F12" s="32">
        <f t="shared" si="1"/>
        <v>0</v>
      </c>
      <c r="G12" s="106"/>
    </row>
    <row r="13" spans="1:10" ht="15.6">
      <c r="A13" s="67" t="s">
        <v>78</v>
      </c>
      <c r="B13" s="33">
        <f>SUM(B2:B12)</f>
        <v>2271</v>
      </c>
      <c r="C13" s="23">
        <f>SUM(C2:C12)</f>
        <v>97488.000000000015</v>
      </c>
      <c r="D13" s="68">
        <v>39</v>
      </c>
      <c r="E13" s="33">
        <f>SUM(E2:E12)</f>
        <v>88569</v>
      </c>
      <c r="F13" s="23">
        <f>SUM(F2:F12)</f>
        <v>3802032</v>
      </c>
      <c r="G13" s="23">
        <f>'Table 5'!B11</f>
        <v>11063780</v>
      </c>
    </row>
    <row r="14" spans="1:10">
      <c r="B14" t="s">
        <v>79</v>
      </c>
    </row>
  </sheetData>
  <mergeCells count="1">
    <mergeCell ref="G2:G12"/>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1"/>
  <sheetViews>
    <sheetView tabSelected="1" workbookViewId="0" xr3:uid="{51F8DEE0-4D01-5F28-A812-FC0BD7CAC4A5}">
      <selection activeCell="B2" sqref="B2"/>
    </sheetView>
  </sheetViews>
  <sheetFormatPr defaultColWidth="8.85546875" defaultRowHeight="15.6"/>
  <cols>
    <col min="1" max="1" width="16.28515625" style="14" customWidth="1"/>
    <col min="2" max="2" width="13.85546875" style="14" customWidth="1"/>
    <col min="3" max="3" width="11.140625" style="14" bestFit="1" customWidth="1"/>
    <col min="4" max="5" width="12.140625" style="14" bestFit="1" customWidth="1"/>
    <col min="6" max="6" width="6.5703125" style="14" customWidth="1"/>
    <col min="7" max="7" width="6.140625" style="14" customWidth="1"/>
    <col min="8" max="8" width="12.85546875" style="14" bestFit="1" customWidth="1"/>
    <col min="9" max="9" width="9.42578125" style="14" bestFit="1" customWidth="1"/>
    <col min="10" max="16384" width="8.85546875" style="14"/>
  </cols>
  <sheetData>
    <row r="1" spans="1:9" ht="62.45">
      <c r="A1" s="47" t="s">
        <v>80</v>
      </c>
      <c r="B1" s="47" t="s">
        <v>81</v>
      </c>
      <c r="C1" s="47" t="s">
        <v>82</v>
      </c>
      <c r="D1" s="47" t="s">
        <v>83</v>
      </c>
      <c r="E1" s="47" t="s">
        <v>84</v>
      </c>
      <c r="F1" s="48"/>
      <c r="H1" s="49" t="s">
        <v>85</v>
      </c>
      <c r="I1" s="50" t="s">
        <v>86</v>
      </c>
    </row>
    <row r="2" spans="1:9">
      <c r="A2" s="63" t="s">
        <v>87</v>
      </c>
      <c r="B2" s="21">
        <f>'Table 4'!E13</f>
        <v>88569</v>
      </c>
      <c r="C2" s="19">
        <f>ROUND('Table 2'!H41*39,0)</f>
        <v>3802032</v>
      </c>
      <c r="D2" s="52">
        <f>B11</f>
        <v>11063780</v>
      </c>
      <c r="E2" s="19">
        <f>SUM(C2:D2)</f>
        <v>14865812</v>
      </c>
      <c r="F2" s="53"/>
      <c r="G2" s="14" t="s">
        <v>88</v>
      </c>
      <c r="H2" s="54">
        <v>91276</v>
      </c>
      <c r="I2" s="55">
        <f>H2-B2</f>
        <v>2707</v>
      </c>
    </row>
    <row r="3" spans="1:9">
      <c r="A3" s="51" t="s">
        <v>89</v>
      </c>
      <c r="B3" s="21">
        <f>'Table 3'!B8</f>
        <v>3315</v>
      </c>
      <c r="C3" s="19">
        <f>'Table 3'!C8</f>
        <v>161607</v>
      </c>
      <c r="D3" s="52">
        <v>0</v>
      </c>
      <c r="E3" s="19">
        <f>SUM(C3:D3)</f>
        <v>161607</v>
      </c>
      <c r="F3" s="53"/>
      <c r="G3" s="14" t="s">
        <v>90</v>
      </c>
      <c r="H3" s="56">
        <v>11353146</v>
      </c>
      <c r="I3" s="57">
        <f>_Hlk521684389-D2</f>
        <v>289366</v>
      </c>
    </row>
    <row r="4" spans="1:9">
      <c r="A4" s="58" t="s">
        <v>78</v>
      </c>
      <c r="B4" s="59">
        <f>B2+B3</f>
        <v>91884</v>
      </c>
      <c r="C4" s="60">
        <f>C2+C3</f>
        <v>3963639</v>
      </c>
      <c r="D4" s="61">
        <f>SUM(D2:D3)</f>
        <v>11063780</v>
      </c>
      <c r="E4" s="60">
        <f>SUM(E2:E3)</f>
        <v>15027419</v>
      </c>
      <c r="F4" s="53"/>
      <c r="G4" s="14" t="s">
        <v>78</v>
      </c>
      <c r="H4" s="62">
        <v>15453308</v>
      </c>
      <c r="I4" s="57">
        <f>_Hlk521684829-E2</f>
        <v>587496</v>
      </c>
    </row>
    <row r="6" spans="1:9">
      <c r="A6" s="14" t="s">
        <v>91</v>
      </c>
    </row>
    <row r="7" spans="1:9">
      <c r="A7" s="14">
        <v>6079</v>
      </c>
      <c r="B7" s="14" t="s">
        <v>92</v>
      </c>
    </row>
    <row r="8" spans="1:9">
      <c r="A8" s="14">
        <v>2</v>
      </c>
      <c r="B8" s="14" t="s">
        <v>93</v>
      </c>
      <c r="C8" s="57"/>
      <c r="E8" s="57"/>
    </row>
    <row r="9" spans="1:9">
      <c r="A9" s="14">
        <v>26</v>
      </c>
      <c r="B9" s="14" t="s">
        <v>94</v>
      </c>
    </row>
    <row r="10" spans="1:9">
      <c r="A10" s="14">
        <v>35</v>
      </c>
      <c r="B10" s="14" t="s">
        <v>95</v>
      </c>
      <c r="F10" s="14" t="s">
        <v>96</v>
      </c>
    </row>
    <row r="11" spans="1:9">
      <c r="A11" s="14" t="s">
        <v>97</v>
      </c>
      <c r="B11" s="64">
        <f>A7*A8*A9*A10</f>
        <v>11063780</v>
      </c>
      <c r="C11" s="14" t="s">
        <v>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Tracy Bone</dc:creator>
  <cp:keywords/>
  <dc:description/>
  <cp:lastModifiedBy>Larimer, Lisa</cp:lastModifiedBy>
  <cp:revision/>
  <dcterms:created xsi:type="dcterms:W3CDTF">2015-09-16T16:41:27Z</dcterms:created>
  <dcterms:modified xsi:type="dcterms:W3CDTF">2019-03-27T14:58:32Z</dcterms:modified>
  <cp:category/>
  <cp:contentStatus/>
</cp:coreProperties>
</file>