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13_ncr:1_{7E20B83A-8052-4C09-B100-2D1664038690}" xr6:coauthVersionLast="36" xr6:coauthVersionMax="40" xr10:uidLastSave="{00000000-0000-0000-0000-000000000000}"/>
  <bookViews>
    <workbookView xWindow="-105" yWindow="-105" windowWidth="19425" windowHeight="10425" xr2:uid="{00000000-000D-0000-FFFF-FFFF00000000}"/>
  </bookViews>
  <sheets>
    <sheet name="Table 1" sheetId="1" r:id="rId1"/>
    <sheet name="Table 2" sheetId="2" r:id="rId2"/>
    <sheet name="Update to 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 i="1" l="1"/>
  <c r="C18" i="1" l="1"/>
  <c r="I40" i="1" l="1"/>
  <c r="F40" i="1"/>
  <c r="E10" i="2" l="1"/>
  <c r="D7" i="1" l="1"/>
  <c r="F7" i="1" s="1"/>
  <c r="H7" i="1" l="1"/>
  <c r="G7" i="1"/>
  <c r="I7" i="1" s="1"/>
  <c r="C16" i="1"/>
  <c r="C14" i="1" l="1"/>
  <c r="B5" i="3" l="1"/>
  <c r="D16" i="1" l="1"/>
  <c r="D18" i="1"/>
  <c r="D20" i="1"/>
  <c r="F20" i="1" l="1"/>
  <c r="H20" i="1" s="1"/>
  <c r="F18" i="1"/>
  <c r="F16" i="1"/>
  <c r="G16" i="1" s="1"/>
  <c r="H18" i="1" l="1"/>
  <c r="H16" i="1"/>
  <c r="I16" i="1" s="1"/>
  <c r="G20" i="1"/>
  <c r="I20" i="1" s="1"/>
  <c r="G18" i="1"/>
  <c r="I18" i="1" s="1"/>
  <c r="C19" i="1"/>
  <c r="D19" i="1" s="1"/>
  <c r="C17" i="1"/>
  <c r="D17" i="1" s="1"/>
  <c r="C15" i="1"/>
  <c r="D15" i="1" s="1"/>
  <c r="F30" i="1" l="1"/>
  <c r="F41" i="1" s="1"/>
  <c r="I30" i="1"/>
  <c r="I41" i="1" s="1"/>
  <c r="I43" i="1" s="1"/>
  <c r="E14" i="1"/>
  <c r="E12" i="2" l="1"/>
  <c r="C12" i="2"/>
  <c r="E11" i="2"/>
  <c r="C11" i="2"/>
  <c r="C10" i="2"/>
  <c r="C7" i="2"/>
  <c r="C8" i="2"/>
  <c r="C9" i="2"/>
  <c r="C6" i="2"/>
  <c r="E24" i="1"/>
  <c r="E25" i="1" s="1"/>
  <c r="E26" i="1" s="1"/>
  <c r="E27" i="1" s="1"/>
  <c r="E9" i="2" s="1"/>
  <c r="E15" i="1"/>
  <c r="E6" i="2" l="1"/>
  <c r="E7" i="2"/>
  <c r="E17" i="1"/>
  <c r="E19" i="1" s="1"/>
  <c r="F15" i="1"/>
  <c r="E8" i="2"/>
  <c r="D14" i="1"/>
  <c r="F14" i="1" s="1"/>
  <c r="D13" i="1"/>
  <c r="F13" i="1" s="1"/>
  <c r="G13" i="1" s="1"/>
  <c r="F17" i="1"/>
  <c r="H14" i="1" l="1"/>
  <c r="G14" i="1"/>
  <c r="H17" i="1"/>
  <c r="G17" i="1"/>
  <c r="H13" i="1"/>
  <c r="I13" i="1" s="1"/>
  <c r="G15" i="1"/>
  <c r="H15" i="1"/>
  <c r="D7" i="2"/>
  <c r="F7" i="2" s="1"/>
  <c r="G7" i="2" s="1"/>
  <c r="D8" i="2"/>
  <c r="F8" i="2" s="1"/>
  <c r="H8" i="2" s="1"/>
  <c r="D9" i="2"/>
  <c r="F9" i="2" s="1"/>
  <c r="H9" i="2" s="1"/>
  <c r="D10" i="2"/>
  <c r="F10" i="2" s="1"/>
  <c r="H10" i="2" s="1"/>
  <c r="D11" i="2"/>
  <c r="F11" i="2" s="1"/>
  <c r="G11" i="2" s="1"/>
  <c r="D12" i="2"/>
  <c r="F12" i="2" s="1"/>
  <c r="G12" i="2" s="1"/>
  <c r="D14" i="2"/>
  <c r="F14" i="2" s="1"/>
  <c r="D6" i="2"/>
  <c r="F6" i="2" s="1"/>
  <c r="G14" i="2" l="1"/>
  <c r="H14" i="2"/>
  <c r="H12" i="2"/>
  <c r="I12" i="2" s="1"/>
  <c r="H11" i="2"/>
  <c r="I11" i="2" s="1"/>
  <c r="H7" i="2"/>
  <c r="I7" i="2" s="1"/>
  <c r="G10" i="2"/>
  <c r="I10" i="2" s="1"/>
  <c r="G9" i="2"/>
  <c r="I9" i="2" s="1"/>
  <c r="G8" i="2"/>
  <c r="I8" i="2" s="1"/>
  <c r="G6" i="2"/>
  <c r="H6" i="2"/>
  <c r="I17" i="1"/>
  <c r="I14" i="1"/>
  <c r="I15" i="1"/>
  <c r="D37" i="1"/>
  <c r="F37" i="1" s="1"/>
  <c r="D11" i="1"/>
  <c r="F11" i="1" s="1"/>
  <c r="G11" i="1" s="1"/>
  <c r="F19" i="1"/>
  <c r="D24" i="1"/>
  <c r="F24" i="1" s="1"/>
  <c r="D25" i="1"/>
  <c r="F25" i="1" s="1"/>
  <c r="G25" i="1" s="1"/>
  <c r="D26" i="1"/>
  <c r="F26" i="1" s="1"/>
  <c r="H26" i="1" s="1"/>
  <c r="D27" i="1"/>
  <c r="F27" i="1" s="1"/>
  <c r="D29" i="1"/>
  <c r="F29" i="1" s="1"/>
  <c r="D8" i="1"/>
  <c r="F8" i="1" s="1"/>
  <c r="D9" i="1"/>
  <c r="F9" i="1" s="1"/>
  <c r="D6" i="1"/>
  <c r="F6" i="1" s="1"/>
  <c r="I6" i="2" l="1"/>
  <c r="F15" i="2"/>
  <c r="I14" i="2"/>
  <c r="H8" i="1"/>
  <c r="G8" i="1"/>
  <c r="I8" i="1" s="1"/>
  <c r="H25" i="1"/>
  <c r="I25" i="1" s="1"/>
  <c r="H11" i="1"/>
  <c r="I11" i="1" s="1"/>
  <c r="G29" i="1"/>
  <c r="H29" i="1"/>
  <c r="G24" i="1"/>
  <c r="H24" i="1"/>
  <c r="H6" i="1"/>
  <c r="G6" i="1"/>
  <c r="G27" i="1"/>
  <c r="G19" i="1"/>
  <c r="G26" i="1"/>
  <c r="I26" i="1" s="1"/>
  <c r="H9" i="1"/>
  <c r="H27" i="1"/>
  <c r="H19" i="1"/>
  <c r="G9" i="1"/>
  <c r="G37" i="1"/>
  <c r="H37" i="1"/>
  <c r="I15" i="2" l="1"/>
  <c r="K40" i="1"/>
  <c r="I6" i="1"/>
  <c r="I24" i="1"/>
  <c r="I9" i="1"/>
  <c r="I19" i="1"/>
  <c r="I29" i="1"/>
  <c r="I27" i="1"/>
  <c r="I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tc={E8D9145F-E766-404A-BD58-50C7850315DC}</author>
    <author>tc={77DEAE3A-5197-4B31-90D3-EA93A95DA145}</author>
    <author>tc={4A1D77E8-0976-4522-B8E8-0ECE2A704DA2}</author>
    <author>tc={470367B8-CACC-4D0D-9DA5-A1A4D31BBB34}</author>
  </authors>
  <commentList>
    <comment ref="A7" authorId="0" shapeId="0" xr:uid="{E8D9145F-E766-404A-BD58-50C7850315D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Added a line for facilities to revise existing flare management plans where a new flare is added. If EPA thinks these would be covered by existing plan, then can be removed.</t>
        </r>
      </text>
    </comment>
    <comment ref="C16" authorId="1" shapeId="0" xr:uid="{77DEAE3A-5197-4B31-90D3-EA93A95DA14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 CEMS (280 + 600) total /(150 facilities) times # of audits per year (1)</t>
        </r>
      </text>
    </comment>
    <comment ref="C18" authorId="2" shapeId="0" xr:uid="{4A1D77E8-0976-4522-B8E8-0ECE2A704DA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(280+450)/150 facilities x 2 test/yr</t>
        </r>
      </text>
    </comment>
    <comment ref="C20" authorId="3" shapeId="0" xr:uid="{470367B8-CACC-4D0D-9DA5-A1A4D31BBB3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=number of CPMS (1180 total)/(150 facilities) x # audits/yr (2)</t>
        </r>
      </text>
    </comment>
  </commentList>
</comments>
</file>

<file path=xl/sharedStrings.xml><?xml version="1.0" encoding="utf-8"?>
<sst xmlns="http://schemas.openxmlformats.org/spreadsheetml/2006/main" count="118" uniqueCount="107">
  <si>
    <r>
      <t xml:space="preserve">Table 1: Annual Respondent Burden and Cost – </t>
    </r>
    <r>
      <rPr>
        <b/>
        <sz val="12"/>
        <color theme="1"/>
        <rFont val="Times New Roman"/>
        <family val="1"/>
      </rPr>
      <t>NSPS for Petroleum Refineries for which Construction, Reconstruction, or Modification Commenced after May 14, 2007 (40 CFR Part 60, Subpart Ja) (Renewal)</t>
    </r>
  </si>
  <si>
    <t>Burden Item</t>
  </si>
  <si>
    <t>(A)
Person-hours per occurrence</t>
  </si>
  <si>
    <t>(C) 
Person-hrs. per respondent per year
(C=AxB)</t>
  </si>
  <si>
    <t>(E)
Technical person-hrs. per year 
(E=CxD)</t>
  </si>
  <si>
    <t>(F) 
Management person‑hrs. per year
(F=Ex0.05)</t>
  </si>
  <si>
    <t>(G)
Clerical person-hrs. per year 
(G=Ex0.1)</t>
  </si>
  <si>
    <t>N/A</t>
  </si>
  <si>
    <t>1.  Applications</t>
  </si>
  <si>
    <t>2.  Survey and Studies</t>
  </si>
  <si>
    <t xml:space="preserve">   A. Flare Management Plan</t>
  </si>
  <si>
    <t>3.  Reporting Requirements</t>
  </si>
  <si>
    <t xml:space="preserve">   B. Required Activities</t>
  </si>
  <si>
    <t xml:space="preserve">   C. Create Information</t>
  </si>
  <si>
    <t xml:space="preserve">   D. Gather Existing Information</t>
  </si>
  <si>
    <t xml:space="preserve">      Notification of construction, reconstruction, or modification</t>
  </si>
  <si>
    <t xml:space="preserve">      Notification of anticipated startup</t>
  </si>
  <si>
    <t xml:space="preserve">      Notification of actual startup</t>
  </si>
  <si>
    <t xml:space="preserve">      Notification of initial performance test</t>
  </si>
  <si>
    <t xml:space="preserve">      Report of performance test</t>
  </si>
  <si>
    <t>Subtotal for Reporting Requirements</t>
  </si>
  <si>
    <t>4.  Recordkeeping Requirements</t>
  </si>
  <si>
    <t xml:space="preserve">   B. Plan Activities</t>
  </si>
  <si>
    <t xml:space="preserve">   C. Implement Activities</t>
  </si>
  <si>
    <t xml:space="preserve">   D. Develop Record System</t>
  </si>
  <si>
    <t xml:space="preserve">   E. Time to Enter Information</t>
  </si>
  <si>
    <t xml:space="preserve">   F. Train Personnel</t>
  </si>
  <si>
    <t xml:space="preserve">   G. Audits</t>
  </si>
  <si>
    <t>Subtotal for Recordkeeping Requirements</t>
  </si>
  <si>
    <r>
      <t>(H)
Annual costs ($)</t>
    </r>
    <r>
      <rPr>
        <b/>
        <vertAlign val="superscript"/>
        <sz val="10"/>
        <color theme="1"/>
        <rFont val="Times New Roman"/>
        <family val="1"/>
      </rPr>
      <t>c</t>
    </r>
  </si>
  <si>
    <t>Activity</t>
  </si>
  <si>
    <t>(A)
 Person-hours per occurrence</t>
  </si>
  <si>
    <t>(B) 
No. of occurrences per respondent per year</t>
  </si>
  <si>
    <t>(C) 
Person-hours per respondent per year (C=AxB)</t>
  </si>
  <si>
    <r>
      <t xml:space="preserve">(D) Respondents per year </t>
    </r>
    <r>
      <rPr>
        <b/>
        <vertAlign val="superscript"/>
        <sz val="10"/>
        <color rgb="FF000000"/>
        <rFont val="Times New Roman"/>
        <family val="1"/>
      </rPr>
      <t>a</t>
    </r>
  </si>
  <si>
    <t>(E) Technical Person-hours per year (E=CxD)</t>
  </si>
  <si>
    <t>(F) Management person-hours per year (Ex0.05)</t>
  </si>
  <si>
    <t>(G) Clerical person-hours per year (Ex0.1)</t>
  </si>
  <si>
    <r>
      <t xml:space="preserve">(H) 
Cost, $ </t>
    </r>
    <r>
      <rPr>
        <b/>
        <vertAlign val="superscript"/>
        <sz val="10"/>
        <color rgb="FF000000"/>
        <rFont val="Times New Roman"/>
        <family val="1"/>
      </rPr>
      <t>b</t>
    </r>
  </si>
  <si>
    <t xml:space="preserve">   Report Review</t>
  </si>
  <si>
    <t xml:space="preserve">      Emission Reports</t>
  </si>
  <si>
    <t>Existing Plants:</t>
  </si>
  <si>
    <t>Assumptions</t>
  </si>
  <si>
    <r>
      <t>(B)
Number of occurrences per year per respondent</t>
    </r>
    <r>
      <rPr>
        <b/>
        <vertAlign val="superscript"/>
        <sz val="10"/>
        <color theme="1"/>
        <rFont val="Times New Roman"/>
        <family val="1"/>
      </rPr>
      <t>a</t>
    </r>
  </si>
  <si>
    <r>
      <t>(D)
Respondents per year</t>
    </r>
    <r>
      <rPr>
        <b/>
        <vertAlign val="superscript"/>
        <sz val="10"/>
        <color theme="1"/>
        <rFont val="Times New Roman"/>
        <family val="1"/>
      </rPr>
      <t>b</t>
    </r>
  </si>
  <si>
    <t xml:space="preserve">   A.  Familiarize with rule requirements</t>
  </si>
  <si>
    <t>Assumptions:</t>
  </si>
  <si>
    <r>
      <t xml:space="preserve">      Notification of construction, reconstruction, 
      or modification</t>
    </r>
    <r>
      <rPr>
        <vertAlign val="superscript"/>
        <sz val="10"/>
        <color theme="1"/>
        <rFont val="Times New Roman"/>
        <family val="1"/>
      </rPr>
      <t>c</t>
    </r>
  </si>
  <si>
    <r>
      <t xml:space="preserve">      Notification of actual startup</t>
    </r>
    <r>
      <rPr>
        <vertAlign val="superscript"/>
        <sz val="10"/>
        <color theme="1"/>
        <rFont val="Times New Roman"/>
        <family val="1"/>
      </rPr>
      <t>d</t>
    </r>
  </si>
  <si>
    <r>
      <t xml:space="preserve">      Notification of anticipated startup</t>
    </r>
    <r>
      <rPr>
        <vertAlign val="superscript"/>
        <sz val="10"/>
        <color theme="1"/>
        <rFont val="Times New Roman"/>
        <family val="1"/>
      </rPr>
      <t>d</t>
    </r>
  </si>
  <si>
    <r>
      <t xml:space="preserve">      Flare management plans</t>
    </r>
    <r>
      <rPr>
        <vertAlign val="superscript"/>
        <sz val="10"/>
        <color theme="1"/>
        <rFont val="Times New Roman"/>
        <family val="1"/>
      </rPr>
      <t>e</t>
    </r>
  </si>
  <si>
    <r>
      <rPr>
        <vertAlign val="superscript"/>
        <sz val="10"/>
        <color theme="1"/>
        <rFont val="Times New Roman"/>
        <family val="1"/>
      </rPr>
      <t>e</t>
    </r>
    <r>
      <rPr>
        <sz val="10"/>
        <color theme="1"/>
        <rFont val="Times New Roman"/>
        <family val="1"/>
      </rPr>
      <t xml:space="preserve">  Some plans will need more review than others, depending on complexity of flare connections and baseline calculations; assume 1 hour is the average amount of time spent per plan.</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</si>
  <si>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</si>
  <si>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See 3B</t>
  </si>
  <si>
    <t>See 3E</t>
  </si>
  <si>
    <t>See 3A</t>
  </si>
  <si>
    <r>
      <t xml:space="preserve">   Semiannual Emissions Reports</t>
    </r>
    <r>
      <rPr>
        <vertAlign val="superscript"/>
        <sz val="10"/>
        <color theme="1"/>
        <rFont val="Times New Roman"/>
        <family val="1"/>
      </rPr>
      <t>f</t>
    </r>
  </si>
  <si>
    <r>
      <rPr>
        <vertAlign val="superscript"/>
        <sz val="10"/>
        <color theme="1"/>
        <rFont val="Times New Roman"/>
        <family val="1"/>
      </rPr>
      <t>f</t>
    </r>
    <r>
      <rPr>
        <sz val="10"/>
        <color theme="1"/>
        <rFont val="Times New Roman"/>
        <family val="1"/>
      </rPr>
      <t xml:space="preserve">  We have assumed that all existing plants will be required to complete semiannual emissions reports.</t>
    </r>
  </si>
  <si>
    <t>Labor Rates:</t>
  </si>
  <si>
    <t>Management</t>
  </si>
  <si>
    <t>These rates were updated 2/4/19 to match the rates from the Office of Personnel Management (OPM), 2018 General Schedule.</t>
  </si>
  <si>
    <t>Technical</t>
  </si>
  <si>
    <t>Clerical</t>
  </si>
  <si>
    <r>
      <t>b</t>
    </r>
    <r>
      <rPr>
        <sz val="10"/>
        <color theme="1"/>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</si>
  <si>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t>These rates were updated 2/4/19 to match the United States Department of Labor, Bureau of Labor Statistics, June 2018, “Table 2. Civilian Workers, by occupational and industry group</t>
  </si>
  <si>
    <r>
      <t>c</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</si>
  <si>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t>hr/response</t>
  </si>
  <si>
    <r>
      <t xml:space="preserve">TOTAL (rounded) </t>
    </r>
    <r>
      <rPr>
        <b/>
        <vertAlign val="superscript"/>
        <sz val="10"/>
        <color theme="1"/>
        <rFont val="Times New Roman"/>
        <family val="1"/>
      </rPr>
      <t>g</t>
    </r>
  </si>
  <si>
    <t>New Affected Facilities:</t>
  </si>
  <si>
    <r>
      <t>a</t>
    </r>
    <r>
      <rPr>
        <sz val="10"/>
        <color theme="1"/>
        <rFont val="Times New Roman"/>
        <family val="1"/>
      </rPr>
      <t xml:space="preserve">  Assume that there are approximately 150 petroleum refineries (respondents) that are subject to the rule over a 3-year period. There will be no additional new petroleum refineries that will become subject to the rule over the three-year period of this ICR, but we assume that two facilities at each of the 150 petroleum refineries will become subject to the provisions of Subpart Ja over the three-year period of this ICR (100 affected facilities per year) due to being constructed, reconstructed, or modified and that these facilities will perform initial performance testing.</t>
    </r>
  </si>
  <si>
    <r>
      <t>c</t>
    </r>
    <r>
      <rPr>
        <sz val="10"/>
        <color theme="1"/>
        <rFont val="Times New Roman"/>
        <family val="1"/>
      </rPr>
      <t xml:space="preserve">  We have assumed that all sources with newly affected facilities (due to being constructed, reconstructed, or modified) will take 2 hours to complete report.</t>
    </r>
  </si>
  <si>
    <r>
      <t>d</t>
    </r>
    <r>
      <rPr>
        <sz val="10"/>
        <color theme="1"/>
        <rFont val="Times New Roman"/>
        <family val="1"/>
      </rPr>
      <t xml:space="preserve">  We have assumed that all sources with newly affected facilities (due to being constructed, reconstructed, or modified) will take 0.5 hours to complete report.</t>
    </r>
  </si>
  <si>
    <r>
      <rPr>
        <vertAlign val="superscript"/>
        <sz val="10"/>
        <color theme="1"/>
        <rFont val="Times New Roman"/>
        <family val="1"/>
      </rPr>
      <t>d</t>
    </r>
    <r>
      <rPr>
        <sz val="10"/>
        <color theme="1"/>
        <rFont val="Times New Roman"/>
        <family val="1"/>
      </rPr>
      <t xml:space="preserve"> We have assumed that it will take 40 hour</t>
    </r>
    <r>
      <rPr>
        <sz val="10"/>
        <color rgb="FFFF0000"/>
        <rFont val="Times New Roman"/>
        <family val="1"/>
      </rPr>
      <t>s</t>
    </r>
    <r>
      <rPr>
        <sz val="10"/>
        <color theme="1"/>
        <rFont val="Times New Roman"/>
        <family val="1"/>
      </rPr>
      <t xml:space="preserve"> for each respondent to perform initial performance tests.  </t>
    </r>
  </si>
  <si>
    <r>
      <t xml:space="preserve">      Initial Relative Accuracy Test </t>
    </r>
    <r>
      <rPr>
        <sz val="10"/>
        <color rgb="FFFF0000"/>
        <rFont val="Times New Roman"/>
        <family val="1"/>
      </rPr>
      <t>new facilities</t>
    </r>
    <r>
      <rPr>
        <sz val="10"/>
        <color theme="1"/>
        <rFont val="Times New Roman"/>
        <family val="1"/>
      </rPr>
      <t xml:space="preserve"> </t>
    </r>
    <r>
      <rPr>
        <vertAlign val="superscript"/>
        <sz val="10"/>
        <color theme="1"/>
        <rFont val="Times New Roman"/>
        <family val="1"/>
      </rPr>
      <t>f</t>
    </r>
  </si>
  <si>
    <t>CEPCI Cost Index for Equipment</t>
  </si>
  <si>
    <t>Cost Increase</t>
  </si>
  <si>
    <t>Year 2006</t>
  </si>
  <si>
    <t>Year 2018</t>
  </si>
  <si>
    <r>
      <t xml:space="preserve">      Initial performance tests on new facilities</t>
    </r>
    <r>
      <rPr>
        <vertAlign val="superscript"/>
        <sz val="10"/>
        <color theme="1"/>
        <rFont val="Times New Roman"/>
        <family val="1"/>
      </rPr>
      <t xml:space="preserve"> d</t>
    </r>
  </si>
  <si>
    <r>
      <t xml:space="preserve">      Repeat of initial performance tests on new facilities </t>
    </r>
    <r>
      <rPr>
        <vertAlign val="superscript"/>
        <sz val="10"/>
        <color theme="1"/>
        <rFont val="Times New Roman"/>
        <family val="1"/>
      </rPr>
      <t>e</t>
    </r>
  </si>
  <si>
    <r>
      <t>e</t>
    </r>
    <r>
      <rPr>
        <sz val="10"/>
        <color rgb="FFFF0000"/>
        <rFont val="Times New Roman"/>
        <family val="1"/>
      </rPr>
      <t xml:space="preserve">  We have assumed that 5 percent of sources would have to repeat performance test due to failure.</t>
    </r>
  </si>
  <si>
    <t xml:space="preserve">   C. Root Cause Analysis (flow)</t>
  </si>
  <si>
    <t xml:space="preserve">   D. Root Cause Analysis (sulfur)</t>
  </si>
  <si>
    <r>
      <t xml:space="preserve">   E. Write Report</t>
    </r>
    <r>
      <rPr>
        <vertAlign val="superscript"/>
        <sz val="10"/>
        <color theme="1"/>
        <rFont val="Times New Roman"/>
        <family val="1"/>
      </rPr>
      <t>h</t>
    </r>
  </si>
  <si>
    <r>
      <t xml:space="preserve">      Semiannual Emissions Reports</t>
    </r>
    <r>
      <rPr>
        <vertAlign val="superscript"/>
        <sz val="10"/>
        <color theme="1"/>
        <rFont val="Times New Roman"/>
        <family val="1"/>
      </rPr>
      <t>i</t>
    </r>
  </si>
  <si>
    <r>
      <t xml:space="preserve">      Records of operating parameters</t>
    </r>
    <r>
      <rPr>
        <vertAlign val="superscript"/>
        <sz val="10"/>
        <color theme="1"/>
        <rFont val="Times New Roman"/>
        <family val="1"/>
      </rPr>
      <t>j</t>
    </r>
  </si>
  <si>
    <r>
      <t xml:space="preserve">Total Labor Burden and Cost (rounded) </t>
    </r>
    <r>
      <rPr>
        <b/>
        <vertAlign val="superscript"/>
        <sz val="10"/>
        <color rgb="FF000000"/>
        <rFont val="Times New Roman"/>
        <family val="1"/>
      </rPr>
      <t>k</t>
    </r>
  </si>
  <si>
    <r>
      <t xml:space="preserve">Total Capital and O&amp;M Cost (rounded) </t>
    </r>
    <r>
      <rPr>
        <b/>
        <vertAlign val="superscript"/>
        <sz val="10"/>
        <rFont val="Times New Roman"/>
        <family val="1"/>
      </rPr>
      <t>k</t>
    </r>
  </si>
  <si>
    <r>
      <t xml:space="preserve">Grand TOTAL (rounded) </t>
    </r>
    <r>
      <rPr>
        <b/>
        <vertAlign val="superscript"/>
        <sz val="10"/>
        <rFont val="Times New Roman"/>
        <family val="1"/>
      </rPr>
      <t>k</t>
    </r>
  </si>
  <si>
    <r>
      <rPr>
        <vertAlign val="superscript"/>
        <sz val="10"/>
        <color theme="1"/>
        <rFont val="Times New Roman"/>
        <family val="1"/>
      </rPr>
      <t xml:space="preserve">h </t>
    </r>
    <r>
      <rPr>
        <sz val="10"/>
        <color theme="1"/>
        <rFont val="Times New Roman"/>
        <family val="1"/>
      </rPr>
      <t xml:space="preserve"> We have assumed that each respondent will take 2 hours to write report.</t>
    </r>
  </si>
  <si>
    <r>
      <t>i</t>
    </r>
    <r>
      <rPr>
        <sz val="10"/>
        <color theme="1"/>
        <rFont val="Times New Roman"/>
        <family val="1"/>
      </rPr>
      <t xml:space="preserve">  We have assumed that each respondent will take 8 hours twice per year to complete semiannual reports</t>
    </r>
  </si>
  <si>
    <r>
      <rPr>
        <vertAlign val="superscript"/>
        <sz val="10"/>
        <color theme="1"/>
        <rFont val="Times New Roman"/>
        <family val="1"/>
      </rPr>
      <t>k</t>
    </r>
    <r>
      <rPr>
        <sz val="10"/>
        <color theme="1"/>
        <rFont val="Times New Roman"/>
        <family val="1"/>
      </rPr>
      <t xml:space="preserve">  Totals have been rounded to 3 significant figures. Figures may not add exactly due to rounding.</t>
    </r>
  </si>
  <si>
    <r>
      <t>j</t>
    </r>
    <r>
      <rPr>
        <sz val="10"/>
        <color theme="1"/>
        <rFont val="Times New Roman"/>
        <family val="1"/>
      </rPr>
      <t xml:space="preserve">  Assume operation 350 days per year as specified in the NSPS review document.</t>
    </r>
  </si>
  <si>
    <r>
      <t xml:space="preserve">      CEMS Audits (RAA or CGA) existing facilities </t>
    </r>
    <r>
      <rPr>
        <vertAlign val="superscript"/>
        <sz val="10"/>
        <color rgb="FFFF0000"/>
        <rFont val="Times New Roman"/>
        <family val="1"/>
      </rPr>
      <t>g</t>
    </r>
  </si>
  <si>
    <r>
      <t xml:space="preserve">      CPMS Audits (RAA or CGA) existing facilities </t>
    </r>
    <r>
      <rPr>
        <vertAlign val="superscript"/>
        <sz val="10"/>
        <color rgb="FFFF0000"/>
        <rFont val="Times New Roman"/>
        <family val="1"/>
      </rPr>
      <t>g</t>
    </r>
  </si>
  <si>
    <r>
      <t xml:space="preserve">      Relative Accuracy Test existing facilities </t>
    </r>
    <r>
      <rPr>
        <vertAlign val="superscript"/>
        <sz val="10"/>
        <color rgb="FFFF0000"/>
        <rFont val="Times New Roman"/>
        <family val="1"/>
      </rPr>
      <t>g</t>
    </r>
  </si>
  <si>
    <r>
      <t xml:space="preserve">      </t>
    </r>
    <r>
      <rPr>
        <sz val="10"/>
        <color rgb="FFFF0000"/>
        <rFont val="Times New Roman"/>
        <family val="1"/>
      </rPr>
      <t xml:space="preserve">Initial </t>
    </r>
    <r>
      <rPr>
        <sz val="10"/>
        <color theme="1"/>
        <rFont val="Times New Roman"/>
        <family val="1"/>
      </rPr>
      <t xml:space="preserve">CEMS Audits (RAA or CGA) </t>
    </r>
    <r>
      <rPr>
        <sz val="10"/>
        <color rgb="FFFF0000"/>
        <rFont val="Times New Roman"/>
        <family val="1"/>
      </rPr>
      <t>new facilities</t>
    </r>
    <r>
      <rPr>
        <sz val="10"/>
        <color theme="1"/>
        <rFont val="Times New Roman"/>
        <family val="1"/>
      </rPr>
      <t xml:space="preserve"> </t>
    </r>
    <r>
      <rPr>
        <vertAlign val="superscript"/>
        <sz val="10"/>
        <color theme="1"/>
        <rFont val="Times New Roman"/>
        <family val="1"/>
      </rPr>
      <t>f</t>
    </r>
  </si>
  <si>
    <r>
      <t xml:space="preserve">     </t>
    </r>
    <r>
      <rPr>
        <sz val="10"/>
        <color rgb="FFFF0000"/>
        <rFont val="Times New Roman"/>
        <family val="1"/>
      </rPr>
      <t xml:space="preserve"> Initial</t>
    </r>
    <r>
      <rPr>
        <sz val="10"/>
        <color theme="1"/>
        <rFont val="Times New Roman"/>
        <family val="1"/>
      </rPr>
      <t xml:space="preserve"> CPMS Audits (RAA or CGA) </t>
    </r>
    <r>
      <rPr>
        <sz val="10"/>
        <color rgb="FFFF0000"/>
        <rFont val="Times New Roman"/>
        <family val="1"/>
      </rPr>
      <t>new facilities</t>
    </r>
    <r>
      <rPr>
        <sz val="10"/>
        <color theme="1"/>
        <rFont val="Times New Roman"/>
        <family val="1"/>
      </rPr>
      <t xml:space="preserve"> </t>
    </r>
    <r>
      <rPr>
        <vertAlign val="superscript"/>
        <sz val="10"/>
        <color theme="1"/>
        <rFont val="Times New Roman"/>
        <family val="1"/>
      </rPr>
      <t>f</t>
    </r>
  </si>
  <si>
    <t># responses</t>
  </si>
  <si>
    <t xml:space="preserve">      Review performance test results</t>
  </si>
  <si>
    <r>
      <t xml:space="preserve">      Notification of performance test</t>
    </r>
    <r>
      <rPr>
        <vertAlign val="superscript"/>
        <sz val="10"/>
        <color theme="1"/>
        <rFont val="Times New Roman"/>
        <family val="1"/>
      </rPr>
      <t>d</t>
    </r>
  </si>
  <si>
    <r>
      <t xml:space="preserve">Table 2: Average Annual EPA Burden and Cost – </t>
    </r>
    <r>
      <rPr>
        <b/>
        <sz val="12"/>
        <color theme="1"/>
        <rFont val="Times New Roman"/>
        <family val="1"/>
      </rPr>
      <t>NSPS for Petroleum Refineries for which Construction, Reconstruction, or Modification Commenced After May 14, 2007 (40 CFR Part 60, Subpart Ja) (Renewal)</t>
    </r>
  </si>
  <si>
    <r>
      <t>f</t>
    </r>
    <r>
      <rPr>
        <sz val="10"/>
        <color rgb="FFFF0000"/>
        <rFont val="Times New Roman"/>
        <family val="1"/>
      </rPr>
      <t xml:space="preserve">  We assume that two facilities at each of the 150 petroleum refineries will become subject to the provisions of Subpart Ja over the three-year period of this ICR (100 affected facilities per year) due to being constructed, reconstructed, or modified and that these facilities will have initial performance testing costs. We assume one CEMS monitor and two CPMS monitors needed for each newly affected facility. We assume that each new CEMS and CPMS monitor is audited at startup and once again in the first year (2x/yr), and that Relative Accuracy Audits or Cylinder Gas Audits take 36 hours. We assume that one initial relative accuracy test is required for each new CEMS and CPMS monitor (3 per new affected facility), that the relative accuracy test or RATA are conducted twice a year (3 x 2/yr), and take 24 hours per monitor. </t>
    </r>
  </si>
  <si>
    <r>
      <t>a</t>
    </r>
    <r>
      <rPr>
        <sz val="10"/>
        <color rgb="FFFF0000"/>
        <rFont val="Times New Roman"/>
        <family val="1"/>
      </rPr>
      <t xml:space="preserve"> Occurrences per respondent per year is calculated as the number of affected facilities (flares, FCCU, FCU, FGCD, sulfur plant) times the occurences per affected facility per respondent (refineries). For CEMS/CPMS Audits or RATA testing, this value refers to the number of monitors on an affected facility that requires audit or testing.</t>
    </r>
  </si>
  <si>
    <r>
      <t>g</t>
    </r>
    <r>
      <rPr>
        <sz val="10"/>
        <color rgb="FFFF0000"/>
        <rFont val="Times New Roman"/>
        <family val="1"/>
      </rPr>
      <t xml:space="preserve">  Subpart Ja requires regular relative accuracy evaluations of all monitors on existing affected facilities. We assume there are 5.9 CEMS at each refinery (280 flare CEMS + 600 other equipment CEMS)/150 refineries), that these CEMS are audited once per year, and that the Relative Accuracy Audits or Cylinder Gas Audits take 36 hours. We assume that relative accuracy tests are required for each CEMS and CPMS monitor (3 per existing affected facility), that there are 13.7 CEMS and CPMS per refinery (280 flare CEMS + 280 flare CPMS + 600 other equipment CEMS + 900 other equipment CPMS)/150 refineries, that the relative accuracy test or RATA are conducted twice a year, and take 24 hours per monitor.  We assume there are 7.9 CPMS at each refinery (280 flare CPMS + 900 other equipment CPMS)/150 refineries), that these CPMS are audited twice per year, and that these Relative Accuracy Audits or Cylinder Gas Audits take 36 hours.</t>
    </r>
  </si>
  <si>
    <r>
      <t xml:space="preserve">   B. Flare Management Plan Revision</t>
    </r>
    <r>
      <rPr>
        <vertAlign val="superscript"/>
        <sz val="10"/>
        <color rgb="FFFF0000"/>
        <rFont val="Times New Roman"/>
        <family val="1"/>
      </rPr>
      <t>b</t>
    </r>
  </si>
  <si>
    <r>
      <t>b</t>
    </r>
    <r>
      <rPr>
        <sz val="10"/>
        <color theme="1"/>
        <rFont val="Times New Roman"/>
        <family val="1"/>
      </rPr>
      <t xml:space="preserve"> Assume that there are approximately 150 petroleum refineries (respondents) that are subject to the rule over a 3-year period with at least one affected source. There will be no additional new petroleum refineries that will become subject to the rule over the three-year period of this ICR, but we assume that two facilities at each of the 150 petroleum refineries will become subject to the provisions of Subpart Ja over the three-year period of this ICR (100 affected facilities per year) due to being constructed, reconstructed, or modified and that these facilities will have initial performance testing costs. We assume 32 of these newly affected facilities will be flares.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</si>
</sst>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quot;$&quot;#,##0.00"/>
    <numFmt numFmtId="165" formatCode="#,##0.0"/>
    <numFmt numFmtId="166" formatCode="&quot;$&quot;#,##0.0_);[Red]\(&quot;$&quot;#,##0.0\)"/>
    <numFmt numFmtId="167" formatCode="&quot;$&quot;#,##0"/>
    <numFmt numFmtId="168" formatCode="0.0"/>
  </numFmts>
  <fonts count="25" x14ac:knownFonts="1">
    <font>
      <sz val="11"/>
      <color theme="1"/>
      <name val="Calibri"/>
      <family val="2"/>
      <scheme val="minor"/>
    </font>
    <font>
      <b/>
      <sz val="11"/>
      <color theme="1"/>
      <name val="Calibri"/>
      <family val="2"/>
      <scheme val="minor"/>
    </font>
    <font>
      <sz val="10"/>
      <color theme="1"/>
      <name val="Times New Roman"/>
      <family val="1"/>
    </font>
    <font>
      <vertAlign val="superscript"/>
      <sz val="10"/>
      <color theme="1"/>
      <name val="Times New Roman"/>
      <family val="1"/>
    </font>
    <font>
      <sz val="10"/>
      <color rgb="FF000000"/>
      <name val="Times New Roman"/>
      <family val="1"/>
    </font>
    <font>
      <b/>
      <sz val="12"/>
      <color theme="1"/>
      <name val="Times New Roman"/>
      <family val="1"/>
    </font>
    <font>
      <b/>
      <sz val="12"/>
      <color rgb="FF000000"/>
      <name val="Times New Roman"/>
      <family val="1"/>
    </font>
    <font>
      <b/>
      <sz val="10"/>
      <color theme="1"/>
      <name val="Times New Roman"/>
      <family val="1"/>
    </font>
    <font>
      <b/>
      <vertAlign val="superscript"/>
      <sz val="10"/>
      <color theme="1"/>
      <name val="Times New Roman"/>
      <family val="1"/>
    </font>
    <font>
      <b/>
      <sz val="10"/>
      <color rgb="FF000000"/>
      <name val="Times New Roman"/>
      <family val="1"/>
    </font>
    <font>
      <b/>
      <vertAlign val="superscript"/>
      <sz val="10"/>
      <color rgb="FF000000"/>
      <name val="Times New Roman"/>
      <family val="1"/>
    </font>
    <font>
      <b/>
      <sz val="10"/>
      <name val="Times New Roman"/>
      <family val="1"/>
    </font>
    <font>
      <vertAlign val="superscript"/>
      <sz val="12"/>
      <color theme="1"/>
      <name val="Times New Roman"/>
      <family val="1"/>
    </font>
    <font>
      <sz val="10"/>
      <name val="Times New Roman"/>
      <family val="1"/>
    </font>
    <font>
      <sz val="10"/>
      <color rgb="FFFF0000"/>
      <name val="Times New Roman"/>
      <family val="1"/>
    </font>
    <font>
      <sz val="11"/>
      <color theme="1"/>
      <name val="Times New Roman"/>
      <family val="1"/>
    </font>
    <font>
      <sz val="11"/>
      <color rgb="FFFF0000"/>
      <name val="Calibri"/>
      <family val="2"/>
      <scheme val="minor"/>
    </font>
    <font>
      <b/>
      <i/>
      <sz val="10"/>
      <color theme="1"/>
      <name val="Times New Roman"/>
      <family val="1"/>
    </font>
    <font>
      <i/>
      <sz val="10"/>
      <color theme="1"/>
      <name val="Times New Roman"/>
      <family val="1"/>
    </font>
    <font>
      <b/>
      <i/>
      <sz val="11"/>
      <color theme="1"/>
      <name val="Calibri"/>
      <family val="2"/>
      <scheme val="minor"/>
    </font>
    <font>
      <b/>
      <vertAlign val="superscript"/>
      <sz val="10"/>
      <name val="Times New Roman"/>
      <family val="1"/>
    </font>
    <font>
      <sz val="11"/>
      <color rgb="FF7030A0"/>
      <name val="Calibri"/>
      <family val="2"/>
      <scheme val="minor"/>
    </font>
    <font>
      <vertAlign val="superscript"/>
      <sz val="10"/>
      <color rgb="FFFF0000"/>
      <name val="Times New Roman"/>
      <family val="1"/>
    </font>
    <font>
      <sz val="11"/>
      <color theme="1"/>
      <name val="Calibri"/>
      <family val="2"/>
      <scheme val="minor"/>
    </font>
    <font>
      <sz val="11"/>
      <color theme="9" tint="-0.499984740745262"/>
      <name val="Calibri"/>
      <family val="2"/>
      <scheme val="minor"/>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3" fillId="0" borderId="0" applyFont="0" applyFill="0" applyBorder="0" applyAlignment="0" applyProtection="0"/>
  </cellStyleXfs>
  <cellXfs count="77">
    <xf numFmtId="0" fontId="0" fillId="0" borderId="0" xfId="0"/>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vertical="center" wrapText="1"/>
    </xf>
    <xf numFmtId="0" fontId="9" fillId="0" borderId="2" xfId="0" applyFont="1" applyBorder="1" applyAlignment="1">
      <alignment vertical="center" wrapText="1"/>
    </xf>
    <xf numFmtId="0" fontId="11" fillId="0" borderId="2" xfId="0" applyFont="1" applyBorder="1" applyAlignment="1">
      <alignment vertical="center" wrapText="1"/>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center" vertical="center" wrapText="1"/>
    </xf>
    <xf numFmtId="0" fontId="2" fillId="0" borderId="2" xfId="0" applyFont="1" applyBorder="1"/>
    <xf numFmtId="3" fontId="2" fillId="0" borderId="2" xfId="0" applyNumberFormat="1" applyFont="1" applyBorder="1" applyAlignment="1">
      <alignment horizontal="center" vertical="center" wrapText="1"/>
    </xf>
    <xf numFmtId="4" fontId="2" fillId="0" borderId="2" xfId="0" applyNumberFormat="1" applyFont="1" applyBorder="1"/>
    <xf numFmtId="165" fontId="2" fillId="0" borderId="2" xfId="0" applyNumberFormat="1" applyFont="1" applyBorder="1" applyAlignment="1">
      <alignment horizontal="center" vertical="center"/>
    </xf>
    <xf numFmtId="4"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7" fillId="0" borderId="0" xfId="0" applyFont="1"/>
    <xf numFmtId="0" fontId="2" fillId="0" borderId="0" xfId="0" applyFont="1"/>
    <xf numFmtId="0" fontId="13" fillId="0" borderId="2" xfId="0" applyFont="1" applyBorder="1"/>
    <xf numFmtId="0" fontId="14" fillId="0" borderId="0" xfId="0" applyFont="1"/>
    <xf numFmtId="0" fontId="15" fillId="0" borderId="0" xfId="0" applyFont="1"/>
    <xf numFmtId="2" fontId="2" fillId="0" borderId="2" xfId="0" applyNumberFormat="1" applyFont="1" applyBorder="1"/>
    <xf numFmtId="0" fontId="17" fillId="0" borderId="2" xfId="0" applyFont="1" applyBorder="1" applyAlignment="1">
      <alignment horizontal="left" vertical="center" wrapText="1"/>
    </xf>
    <xf numFmtId="0" fontId="18" fillId="0" borderId="2" xfId="0" applyFont="1" applyBorder="1" applyAlignment="1">
      <alignment horizontal="center" vertical="center" wrapText="1"/>
    </xf>
    <xf numFmtId="0" fontId="16" fillId="0" borderId="0" xfId="0" applyFont="1"/>
    <xf numFmtId="1" fontId="0" fillId="0" borderId="0" xfId="0" applyNumberFormat="1"/>
    <xf numFmtId="0" fontId="21" fillId="0" borderId="0" xfId="0" applyFont="1"/>
    <xf numFmtId="0" fontId="0" fillId="0" borderId="0" xfId="0" applyAlignment="1">
      <alignment wrapText="1"/>
    </xf>
    <xf numFmtId="0" fontId="14" fillId="0" borderId="2" xfId="0" applyFont="1" applyBorder="1" applyAlignment="1">
      <alignment horizontal="center" vertical="center" wrapText="1"/>
    </xf>
    <xf numFmtId="0" fontId="24" fillId="0" borderId="0" xfId="0" applyFont="1"/>
    <xf numFmtId="0" fontId="0" fillId="0" borderId="2" xfId="0" applyBorder="1" applyAlignment="1">
      <alignment horizontal="center"/>
    </xf>
    <xf numFmtId="0" fontId="1" fillId="0" borderId="2" xfId="0" applyFont="1" applyBorder="1" applyAlignment="1">
      <alignment horizontal="center"/>
    </xf>
    <xf numFmtId="9" fontId="1" fillId="0" borderId="2" xfId="1" applyFont="1" applyBorder="1" applyAlignment="1">
      <alignment horizontal="center"/>
    </xf>
    <xf numFmtId="3" fontId="14"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xf>
    <xf numFmtId="0" fontId="14" fillId="0" borderId="2" xfId="0" applyFont="1" applyBorder="1" applyAlignment="1">
      <alignment horizontal="left" vertical="center" wrapText="1"/>
    </xf>
    <xf numFmtId="168" fontId="14" fillId="0" borderId="2" xfId="0" quotePrefix="1"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1" fontId="14" fillId="0" borderId="2" xfId="0" applyNumberFormat="1" applyFont="1" applyBorder="1" applyAlignment="1">
      <alignment horizontal="center" vertical="center" wrapText="1"/>
    </xf>
    <xf numFmtId="6" fontId="2" fillId="0" borderId="2" xfId="0" applyNumberFormat="1" applyFont="1" applyBorder="1" applyAlignment="1">
      <alignment horizontal="right" vertical="center" wrapText="1"/>
    </xf>
    <xf numFmtId="6" fontId="14" fillId="0" borderId="2" xfId="0" applyNumberFormat="1" applyFont="1" applyBorder="1" applyAlignment="1">
      <alignment horizontal="right" vertical="center" wrapText="1"/>
    </xf>
    <xf numFmtId="8" fontId="2" fillId="0" borderId="2" xfId="0" applyNumberFormat="1" applyFont="1" applyBorder="1" applyAlignment="1">
      <alignment horizontal="right" vertical="center" wrapText="1"/>
    </xf>
    <xf numFmtId="166" fontId="2" fillId="0" borderId="2" xfId="0" applyNumberFormat="1" applyFont="1" applyBorder="1" applyAlignment="1">
      <alignment horizontal="right" vertical="center" wrapText="1"/>
    </xf>
    <xf numFmtId="164" fontId="2" fillId="0" borderId="2" xfId="0" applyNumberFormat="1" applyFont="1" applyBorder="1" applyAlignment="1">
      <alignment horizontal="right" vertical="center" wrapText="1"/>
    </xf>
    <xf numFmtId="164" fontId="14" fillId="0" borderId="2" xfId="0" applyNumberFormat="1" applyFont="1" applyBorder="1" applyAlignment="1">
      <alignment horizontal="right" vertical="center" wrapText="1"/>
    </xf>
    <xf numFmtId="3" fontId="2" fillId="0" borderId="2" xfId="0" applyNumberFormat="1" applyFont="1" applyBorder="1" applyAlignment="1">
      <alignment horizontal="right" vertical="center" wrapText="1"/>
    </xf>
    <xf numFmtId="6" fontId="17" fillId="0" borderId="2" xfId="0" applyNumberFormat="1" applyFont="1" applyBorder="1" applyAlignment="1">
      <alignment horizontal="right" vertical="center" wrapText="1"/>
    </xf>
    <xf numFmtId="6" fontId="7" fillId="0" borderId="2" xfId="0" applyNumberFormat="1" applyFont="1" applyBorder="1" applyAlignment="1">
      <alignment horizontal="right" vertical="center" wrapText="1"/>
    </xf>
    <xf numFmtId="0" fontId="2" fillId="0" borderId="2" xfId="0" applyFont="1" applyBorder="1" applyAlignment="1">
      <alignment vertical="center" wrapText="1"/>
    </xf>
    <xf numFmtId="164" fontId="2" fillId="0" borderId="2" xfId="0" applyNumberFormat="1" applyFont="1" applyBorder="1"/>
    <xf numFmtId="167" fontId="2" fillId="0" borderId="2" xfId="0" applyNumberFormat="1" applyFont="1" applyBorder="1"/>
    <xf numFmtId="0" fontId="7" fillId="0" borderId="2" xfId="0" applyFont="1" applyBorder="1" applyAlignment="1">
      <alignment vertical="center" wrapText="1"/>
    </xf>
    <xf numFmtId="167" fontId="7" fillId="0" borderId="2" xfId="0" applyNumberFormat="1" applyFont="1" applyBorder="1"/>
    <xf numFmtId="0" fontId="7" fillId="0" borderId="0" xfId="0" applyFont="1" applyAlignment="1">
      <alignment vertical="center"/>
    </xf>
    <xf numFmtId="3" fontId="0" fillId="0" borderId="0" xfId="0" applyNumberFormat="1"/>
    <xf numFmtId="0" fontId="6" fillId="0" borderId="0" xfId="0" applyFont="1" applyAlignment="1">
      <alignment horizontal="left" vertical="top" wrapText="1"/>
    </xf>
    <xf numFmtId="0" fontId="22" fillId="0" borderId="0" xfId="0" applyFont="1" applyAlignment="1">
      <alignment vertical="top" wrapText="1"/>
    </xf>
    <xf numFmtId="0" fontId="2" fillId="0" borderId="0" xfId="0" applyFont="1" applyAlignment="1">
      <alignment vertical="top" wrapText="1"/>
    </xf>
    <xf numFmtId="0" fontId="13" fillId="0" borderId="2" xfId="0" applyFont="1" applyBorder="1" applyAlignment="1">
      <alignment horizontal="center" vertical="top"/>
    </xf>
    <xf numFmtId="3" fontId="17" fillId="0" borderId="1" xfId="0" applyNumberFormat="1" applyFont="1" applyBorder="1" applyAlignment="1">
      <alignment horizontal="center" vertical="center" wrapText="1"/>
    </xf>
    <xf numFmtId="3" fontId="19" fillId="0" borderId="3" xfId="0" applyNumberFormat="1" applyFont="1" applyBorder="1"/>
    <xf numFmtId="3" fontId="19" fillId="0" borderId="4" xfId="0" applyNumberFormat="1" applyFont="1" applyBorder="1"/>
    <xf numFmtId="3" fontId="7" fillId="0" borderId="1" xfId="0" applyNumberFormat="1" applyFont="1" applyBorder="1" applyAlignment="1">
      <alignment horizontal="center" vertical="center" wrapText="1"/>
    </xf>
    <xf numFmtId="3" fontId="1" fillId="0" borderId="3" xfId="0" applyNumberFormat="1" applyFont="1" applyBorder="1"/>
    <xf numFmtId="3" fontId="1" fillId="0" borderId="4" xfId="0" applyNumberFormat="1" applyFont="1" applyBorder="1"/>
    <xf numFmtId="0" fontId="3" fillId="0" borderId="0" xfId="0" applyFont="1" applyAlignment="1">
      <alignment vertical="top" wrapText="1"/>
    </xf>
    <xf numFmtId="0" fontId="0" fillId="0" borderId="0" xfId="0" applyAlignment="1">
      <alignment vertical="top" wrapText="1"/>
    </xf>
    <xf numFmtId="0" fontId="12" fillId="0" borderId="0" xfId="0" applyFont="1" applyAlignment="1">
      <alignment vertical="top" wrapText="1"/>
    </xf>
    <xf numFmtId="0" fontId="6" fillId="0" borderId="0" xfId="0" applyFont="1" applyAlignment="1">
      <alignment horizontal="left" wrapText="1"/>
    </xf>
    <xf numFmtId="0" fontId="2" fillId="0" borderId="0" xfId="0" applyFont="1" applyAlignment="1">
      <alignment horizontal="left" vertical="top"/>
    </xf>
    <xf numFmtId="0" fontId="0" fillId="0" borderId="3" xfId="0" applyBorder="1"/>
    <xf numFmtId="0" fontId="0" fillId="0" borderId="4" xfId="0" applyBorder="1"/>
    <xf numFmtId="0" fontId="12"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center"/>
    </xf>
    <xf numFmtId="0" fontId="13" fillId="0" borderId="2"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Stephen Treimel" id="{5CD10A68-9B33-43AE-A5D7-C65CA578424F}" userId="Stephen Treimel" providerId="None"/>
  <person displayName="Tracy Curtis" id="{C294D7A5-0E5C-4139-8D56-A0891A35F83D}"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19-02-22T02:06:06.89" personId="{C294D7A5-0E5C-4139-8D56-A0891A35F83D}" id="{E8D9145F-E766-404A-BD58-50C7850315DC}">
    <text>Added a line for facilities to revise existing flare management plans where a new flare is added. If EPA thinks these would be covered by existing plan, then can be removed.</text>
  </threadedComment>
  <threadedComment ref="C16" dT="2019-02-20T22:14:22.53" personId="{5CD10A68-9B33-43AE-A5D7-C65CA578424F}" id="{77DEAE3A-5197-4B31-90D3-EA93A95DA145}">
    <text>=# CEMS (280 + 600) total /(150 facilities) times # of audits per year (1)</text>
  </threadedComment>
  <threadedComment ref="C18" dT="2019-02-21T01:05:41.46" personId="{5CD10A68-9B33-43AE-A5D7-C65CA578424F}" id="{4A1D77E8-0976-4522-B8E8-0ECE2A704DA2}">
    <text>(280+450)/150 facilities x 2 test/yr</text>
  </threadedComment>
  <threadedComment ref="C20" dT="2019-02-20T22:16:29.36" personId="{5CD10A68-9B33-43AE-A5D7-C65CA578424F}" id="{470367B8-CACC-4D0D-9DA5-A1A4D31BBB34}">
    <text>=number of CPMS (1180 total)/(150 facilities) x # audits/yr (2)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95" zoomScaleNormal="95" workbookViewId="0">
      <selection activeCell="A7" sqref="A7"/>
    </sheetView>
  </sheetViews>
  <sheetFormatPr defaultColWidth="9.140625" defaultRowHeight="15" x14ac:dyDescent="0.25"/>
  <cols>
    <col min="1" max="1" width="44.85546875" customWidth="1"/>
    <col min="2" max="2" width="12.28515625" customWidth="1"/>
    <col min="3" max="3" width="14.140625" customWidth="1"/>
    <col min="4" max="4" width="11.85546875" customWidth="1"/>
    <col min="5" max="5" width="12.7109375" bestFit="1" customWidth="1"/>
    <col min="6" max="6" width="11.85546875" customWidth="1"/>
    <col min="7" max="7" width="14.85546875" customWidth="1"/>
    <col min="8" max="8" width="13.140625" customWidth="1"/>
    <col min="9" max="9" width="13.28515625" customWidth="1"/>
    <col min="11" max="11" width="13.85546875" customWidth="1"/>
  </cols>
  <sheetData>
    <row r="1" spans="1:13" ht="30.75" customHeight="1" x14ac:dyDescent="0.25">
      <c r="A1" s="55" t="s">
        <v>0</v>
      </c>
      <c r="B1" s="55"/>
      <c r="C1" s="55"/>
      <c r="D1" s="55"/>
      <c r="E1" s="55"/>
      <c r="F1" s="55"/>
      <c r="G1" s="55"/>
      <c r="H1" s="55"/>
      <c r="I1" s="55"/>
    </row>
    <row r="3" spans="1:13" ht="81.75" customHeight="1" x14ac:dyDescent="0.25">
      <c r="A3" s="1" t="s">
        <v>1</v>
      </c>
      <c r="B3" s="1" t="s">
        <v>2</v>
      </c>
      <c r="C3" s="1" t="s">
        <v>43</v>
      </c>
      <c r="D3" s="1" t="s">
        <v>3</v>
      </c>
      <c r="E3" s="1" t="s">
        <v>44</v>
      </c>
      <c r="F3" s="1" t="s">
        <v>4</v>
      </c>
      <c r="G3" s="1" t="s">
        <v>5</v>
      </c>
      <c r="H3" s="1" t="s">
        <v>6</v>
      </c>
      <c r="I3" s="1" t="s">
        <v>29</v>
      </c>
    </row>
    <row r="4" spans="1:13" x14ac:dyDescent="0.25">
      <c r="A4" s="4" t="s">
        <v>8</v>
      </c>
      <c r="B4" s="2" t="s">
        <v>7</v>
      </c>
      <c r="C4" s="2"/>
      <c r="D4" s="2"/>
      <c r="E4" s="2"/>
      <c r="F4" s="2"/>
      <c r="G4" s="10"/>
      <c r="H4" s="10"/>
      <c r="I4" s="2"/>
      <c r="K4" s="58" t="s">
        <v>58</v>
      </c>
      <c r="L4" s="58"/>
      <c r="M4" s="17"/>
    </row>
    <row r="5" spans="1:13" x14ac:dyDescent="0.25">
      <c r="A5" s="4" t="s">
        <v>9</v>
      </c>
      <c r="B5" s="7"/>
      <c r="C5" s="7"/>
      <c r="D5" s="2"/>
      <c r="E5" s="7"/>
      <c r="F5" s="7"/>
      <c r="G5" s="10"/>
      <c r="H5" s="10"/>
      <c r="I5" s="7"/>
      <c r="K5" s="18" t="s">
        <v>59</v>
      </c>
      <c r="L5" s="21">
        <v>147.4</v>
      </c>
      <c r="M5" s="19" t="s">
        <v>64</v>
      </c>
    </row>
    <row r="6" spans="1:13" x14ac:dyDescent="0.25">
      <c r="A6" s="8" t="s">
        <v>10</v>
      </c>
      <c r="B6" s="2">
        <v>160</v>
      </c>
      <c r="C6" s="2">
        <v>1</v>
      </c>
      <c r="D6" s="2">
        <f>B6*C6</f>
        <v>160</v>
      </c>
      <c r="E6" s="28">
        <v>0</v>
      </c>
      <c r="F6" s="11">
        <f>D6*E6</f>
        <v>0</v>
      </c>
      <c r="G6" s="15">
        <f>F6*0.05</f>
        <v>0</v>
      </c>
      <c r="H6" s="15">
        <f>F6*0.1</f>
        <v>0</v>
      </c>
      <c r="I6" s="39">
        <f>$L$6*F6+$L$5*G6+$L$7*H6</f>
        <v>0</v>
      </c>
      <c r="K6" s="18" t="s">
        <v>61</v>
      </c>
      <c r="L6" s="10">
        <v>117.92</v>
      </c>
      <c r="M6" s="19"/>
    </row>
    <row r="7" spans="1:13" ht="15.75" x14ac:dyDescent="0.25">
      <c r="A7" s="35" t="s">
        <v>105</v>
      </c>
      <c r="B7" s="28">
        <v>8</v>
      </c>
      <c r="C7" s="28">
        <v>1</v>
      </c>
      <c r="D7" s="28">
        <f>B7*C7</f>
        <v>8</v>
      </c>
      <c r="E7" s="28">
        <v>32</v>
      </c>
      <c r="F7" s="33">
        <f>D7*E7</f>
        <v>256</v>
      </c>
      <c r="G7" s="34">
        <f>F7*0.05</f>
        <v>12.8</v>
      </c>
      <c r="H7" s="34">
        <f>F7*0.1</f>
        <v>25.6</v>
      </c>
      <c r="I7" s="40">
        <f>$L$6*F7+$L$5*G7+$L$7*H7</f>
        <v>33533.952000000005</v>
      </c>
      <c r="K7" s="18" t="s">
        <v>62</v>
      </c>
      <c r="L7" s="10">
        <v>57.02</v>
      </c>
      <c r="M7" s="19"/>
    </row>
    <row r="8" spans="1:13" x14ac:dyDescent="0.25">
      <c r="A8" s="8" t="s">
        <v>81</v>
      </c>
      <c r="B8" s="2">
        <v>45</v>
      </c>
      <c r="C8" s="2">
        <v>4</v>
      </c>
      <c r="D8" s="2">
        <f t="shared" ref="D8:D37" si="0">B8*C8</f>
        <v>180</v>
      </c>
      <c r="E8" s="2">
        <v>150</v>
      </c>
      <c r="F8" s="11">
        <f t="shared" ref="F8:F37" si="1">D8*E8</f>
        <v>27000</v>
      </c>
      <c r="G8" s="15">
        <f t="shared" ref="G8:G37" si="2">F8*0.05</f>
        <v>1350</v>
      </c>
      <c r="H8" s="15">
        <f t="shared" ref="H8:H37" si="3">F8*0.1</f>
        <v>2700</v>
      </c>
      <c r="I8" s="41">
        <f>$L$6*F8+$L$5*G8+$L$7*H8</f>
        <v>3536784</v>
      </c>
    </row>
    <row r="9" spans="1:13" x14ac:dyDescent="0.25">
      <c r="A9" s="8" t="s">
        <v>82</v>
      </c>
      <c r="B9" s="2">
        <v>24</v>
      </c>
      <c r="C9" s="2">
        <v>3</v>
      </c>
      <c r="D9" s="2">
        <f t="shared" si="0"/>
        <v>72</v>
      </c>
      <c r="E9" s="2">
        <v>150</v>
      </c>
      <c r="F9" s="11">
        <f t="shared" si="1"/>
        <v>10800</v>
      </c>
      <c r="G9" s="15">
        <f t="shared" si="2"/>
        <v>540</v>
      </c>
      <c r="H9" s="15">
        <f t="shared" si="3"/>
        <v>1080</v>
      </c>
      <c r="I9" s="41">
        <f>$L$6*F9+$L$5*G9+$L$7*H9</f>
        <v>1414713.6</v>
      </c>
    </row>
    <row r="10" spans="1:13" x14ac:dyDescent="0.25">
      <c r="A10" s="4" t="s">
        <v>11</v>
      </c>
      <c r="B10" s="2"/>
      <c r="C10" s="2"/>
      <c r="D10" s="2"/>
      <c r="E10" s="2"/>
      <c r="F10" s="9"/>
      <c r="G10" s="14"/>
      <c r="H10" s="14"/>
      <c r="I10" s="41"/>
      <c r="J10" s="26"/>
    </row>
    <row r="11" spans="1:13" x14ac:dyDescent="0.25">
      <c r="A11" s="4" t="s">
        <v>45</v>
      </c>
      <c r="B11" s="2">
        <v>1</v>
      </c>
      <c r="C11" s="2">
        <v>1</v>
      </c>
      <c r="D11" s="2">
        <f t="shared" si="0"/>
        <v>1</v>
      </c>
      <c r="E11" s="2">
        <v>150</v>
      </c>
      <c r="F11" s="11">
        <f t="shared" si="1"/>
        <v>150</v>
      </c>
      <c r="G11" s="13">
        <f t="shared" si="2"/>
        <v>7.5</v>
      </c>
      <c r="H11" s="15">
        <f t="shared" si="3"/>
        <v>15</v>
      </c>
      <c r="I11" s="42">
        <f>$L$6*F11+$L$5*G11+$L$7*H11</f>
        <v>19648.8</v>
      </c>
      <c r="J11" s="26"/>
    </row>
    <row r="12" spans="1:13" x14ac:dyDescent="0.25">
      <c r="A12" s="8" t="s">
        <v>12</v>
      </c>
      <c r="B12" s="2"/>
      <c r="C12" s="2"/>
      <c r="D12" s="2"/>
      <c r="E12" s="76"/>
      <c r="F12" s="9"/>
      <c r="G12" s="14"/>
      <c r="H12" s="14"/>
      <c r="I12" s="41"/>
      <c r="J12" s="26"/>
    </row>
    <row r="13" spans="1:13" ht="15.75" x14ac:dyDescent="0.25">
      <c r="A13" s="8" t="s">
        <v>78</v>
      </c>
      <c r="B13" s="2">
        <v>40</v>
      </c>
      <c r="C13" s="2">
        <v>1</v>
      </c>
      <c r="D13" s="2">
        <f t="shared" ref="D13:D14" si="4">B13*C13</f>
        <v>40</v>
      </c>
      <c r="E13" s="2">
        <v>100</v>
      </c>
      <c r="F13" s="11">
        <f t="shared" ref="F13:F14" si="5">D13*E13</f>
        <v>4000</v>
      </c>
      <c r="G13" s="15">
        <f t="shared" ref="G13:G14" si="6">F13*0.05</f>
        <v>200</v>
      </c>
      <c r="H13" s="15">
        <f t="shared" ref="H13:H14" si="7">F13*0.1</f>
        <v>400</v>
      </c>
      <c r="I13" s="43">
        <f t="shared" ref="I13:I20" si="8">$L$6*F13+$L$5*G13+$L$7*H13</f>
        <v>523968</v>
      </c>
      <c r="J13" s="26"/>
    </row>
    <row r="14" spans="1:13" ht="15.75" x14ac:dyDescent="0.25">
      <c r="A14" s="8" t="s">
        <v>79</v>
      </c>
      <c r="B14" s="2">
        <v>40</v>
      </c>
      <c r="C14" s="2">
        <f>C13*0.05</f>
        <v>0.05</v>
      </c>
      <c r="D14" s="2">
        <f t="shared" si="4"/>
        <v>2</v>
      </c>
      <c r="E14" s="2">
        <f>E13</f>
        <v>100</v>
      </c>
      <c r="F14" s="11">
        <f t="shared" si="5"/>
        <v>200</v>
      </c>
      <c r="G14" s="15">
        <f t="shared" si="6"/>
        <v>10</v>
      </c>
      <c r="H14" s="15">
        <f t="shared" si="7"/>
        <v>20</v>
      </c>
      <c r="I14" s="43">
        <f t="shared" si="8"/>
        <v>26198.400000000001</v>
      </c>
      <c r="J14" s="24"/>
    </row>
    <row r="15" spans="1:13" ht="15.75" x14ac:dyDescent="0.25">
      <c r="A15" s="8" t="s">
        <v>96</v>
      </c>
      <c r="B15" s="2">
        <v>36</v>
      </c>
      <c r="C15" s="28">
        <f>1*1</f>
        <v>1</v>
      </c>
      <c r="D15" s="2">
        <f>B15*C15</f>
        <v>36</v>
      </c>
      <c r="E15" s="2">
        <f t="shared" ref="E15" si="9">E14</f>
        <v>100</v>
      </c>
      <c r="F15" s="11">
        <f>D15*E15</f>
        <v>3600</v>
      </c>
      <c r="G15" s="15">
        <f t="shared" ref="G15" si="10">F15*0.05</f>
        <v>180</v>
      </c>
      <c r="H15" s="15">
        <f t="shared" ref="H15" si="11">F15*0.1</f>
        <v>360</v>
      </c>
      <c r="I15" s="43">
        <f t="shared" si="8"/>
        <v>471571.20000000001</v>
      </c>
      <c r="J15" s="29"/>
    </row>
    <row r="16" spans="1:13" ht="15.75" x14ac:dyDescent="0.25">
      <c r="A16" s="35" t="s">
        <v>93</v>
      </c>
      <c r="B16" s="28">
        <v>36</v>
      </c>
      <c r="C16" s="36">
        <f>(280+600)/150*1</f>
        <v>5.8666666666666663</v>
      </c>
      <c r="D16" s="38">
        <f t="shared" ref="D16:D20" si="12">B16*C16</f>
        <v>211.2</v>
      </c>
      <c r="E16" s="28">
        <v>150</v>
      </c>
      <c r="F16" s="33">
        <f>D16*E16</f>
        <v>31680</v>
      </c>
      <c r="G16" s="34">
        <f t="shared" ref="G16" si="13">F16*0.05</f>
        <v>1584</v>
      </c>
      <c r="H16" s="34">
        <f t="shared" ref="H16" si="14">F16*0.1</f>
        <v>3168</v>
      </c>
      <c r="I16" s="44">
        <f t="shared" si="8"/>
        <v>4149826.56</v>
      </c>
      <c r="J16" s="24"/>
    </row>
    <row r="17" spans="1:10" ht="15.75" x14ac:dyDescent="0.25">
      <c r="A17" s="8" t="s">
        <v>73</v>
      </c>
      <c r="B17" s="2">
        <v>24</v>
      </c>
      <c r="C17" s="28">
        <f>2*3</f>
        <v>6</v>
      </c>
      <c r="D17" s="37">
        <f t="shared" si="12"/>
        <v>144</v>
      </c>
      <c r="E17" s="2">
        <f>E15</f>
        <v>100</v>
      </c>
      <c r="F17" s="11">
        <f t="shared" si="1"/>
        <v>14400</v>
      </c>
      <c r="G17" s="15">
        <f t="shared" si="2"/>
        <v>720</v>
      </c>
      <c r="H17" s="15">
        <f t="shared" si="3"/>
        <v>1440</v>
      </c>
      <c r="I17" s="43">
        <f t="shared" si="8"/>
        <v>1886284.8</v>
      </c>
      <c r="J17" s="24"/>
    </row>
    <row r="18" spans="1:10" ht="15.75" x14ac:dyDescent="0.25">
      <c r="A18" s="35" t="s">
        <v>95</v>
      </c>
      <c r="B18" s="28">
        <v>24</v>
      </c>
      <c r="C18" s="36">
        <f>(280+280+600+900)/150*2</f>
        <v>27.466666666666665</v>
      </c>
      <c r="D18" s="38">
        <f t="shared" si="12"/>
        <v>659.19999999999993</v>
      </c>
      <c r="E18" s="28">
        <v>150</v>
      </c>
      <c r="F18" s="33">
        <f t="shared" ref="F18" si="15">D18*E18</f>
        <v>98879.999999999985</v>
      </c>
      <c r="G18" s="34">
        <f t="shared" ref="G18" si="16">F18*0.05</f>
        <v>4944</v>
      </c>
      <c r="H18" s="34">
        <f t="shared" ref="H18" si="17">F18*0.1</f>
        <v>9888</v>
      </c>
      <c r="I18" s="44">
        <f t="shared" si="8"/>
        <v>12952488.959999997</v>
      </c>
      <c r="J18" s="24"/>
    </row>
    <row r="19" spans="1:10" ht="15.75" x14ac:dyDescent="0.25">
      <c r="A19" s="8" t="s">
        <v>97</v>
      </c>
      <c r="B19" s="2">
        <v>36</v>
      </c>
      <c r="C19" s="28">
        <f>2*2</f>
        <v>4</v>
      </c>
      <c r="D19" s="37">
        <f t="shared" si="12"/>
        <v>144</v>
      </c>
      <c r="E19" s="2">
        <f>E17</f>
        <v>100</v>
      </c>
      <c r="F19" s="11">
        <f t="shared" si="1"/>
        <v>14400</v>
      </c>
      <c r="G19" s="15">
        <f t="shared" si="2"/>
        <v>720</v>
      </c>
      <c r="H19" s="15">
        <f t="shared" si="3"/>
        <v>1440</v>
      </c>
      <c r="I19" s="43">
        <f t="shared" si="8"/>
        <v>1886284.8</v>
      </c>
      <c r="J19" s="24"/>
    </row>
    <row r="20" spans="1:10" ht="15.75" x14ac:dyDescent="0.25">
      <c r="A20" s="35" t="s">
        <v>94</v>
      </c>
      <c r="B20" s="28">
        <v>36</v>
      </c>
      <c r="C20" s="36">
        <f>(280+900)/150*2</f>
        <v>15.733333333333333</v>
      </c>
      <c r="D20" s="38">
        <f t="shared" si="12"/>
        <v>566.4</v>
      </c>
      <c r="E20" s="28">
        <v>150</v>
      </c>
      <c r="F20" s="33">
        <f t="shared" ref="F20" si="18">D20*E20</f>
        <v>84960</v>
      </c>
      <c r="G20" s="34">
        <f t="shared" ref="G20" si="19">F20*0.05</f>
        <v>4248</v>
      </c>
      <c r="H20" s="34">
        <f t="shared" ref="H20" si="20">F20*0.1</f>
        <v>8496</v>
      </c>
      <c r="I20" s="44">
        <f t="shared" si="8"/>
        <v>11129080.319999998</v>
      </c>
      <c r="J20" s="26"/>
    </row>
    <row r="21" spans="1:10" x14ac:dyDescent="0.25">
      <c r="A21" s="8" t="s">
        <v>13</v>
      </c>
      <c r="B21" s="2" t="s">
        <v>53</v>
      </c>
      <c r="C21" s="2"/>
      <c r="D21" s="2"/>
      <c r="E21" s="2"/>
      <c r="F21" s="9"/>
      <c r="G21" s="14"/>
      <c r="H21" s="14"/>
      <c r="I21" s="45"/>
      <c r="J21" s="26"/>
    </row>
    <row r="22" spans="1:10" x14ac:dyDescent="0.25">
      <c r="A22" s="8" t="s">
        <v>14</v>
      </c>
      <c r="B22" s="2" t="s">
        <v>54</v>
      </c>
      <c r="C22" s="2"/>
      <c r="D22" s="2"/>
      <c r="E22" s="2"/>
      <c r="F22" s="9"/>
      <c r="G22" s="14"/>
      <c r="H22" s="14"/>
      <c r="I22" s="45"/>
      <c r="J22" s="26"/>
    </row>
    <row r="23" spans="1:10" ht="33.75" customHeight="1" x14ac:dyDescent="0.25">
      <c r="A23" s="8" t="s">
        <v>83</v>
      </c>
      <c r="B23" s="2"/>
      <c r="C23" s="2"/>
      <c r="D23" s="2"/>
      <c r="E23" s="2"/>
      <c r="F23" s="9"/>
      <c r="G23" s="14"/>
      <c r="H23" s="14"/>
      <c r="I23" s="45"/>
      <c r="J23" s="24"/>
    </row>
    <row r="24" spans="1:10" ht="25.5" x14ac:dyDescent="0.25">
      <c r="A24" s="8" t="s">
        <v>15</v>
      </c>
      <c r="B24" s="2">
        <v>2</v>
      </c>
      <c r="C24" s="2">
        <v>1</v>
      </c>
      <c r="D24" s="2">
        <f t="shared" si="0"/>
        <v>2</v>
      </c>
      <c r="E24" s="2">
        <f>E13</f>
        <v>100</v>
      </c>
      <c r="F24" s="11">
        <f t="shared" si="1"/>
        <v>200</v>
      </c>
      <c r="G24" s="15">
        <f t="shared" si="2"/>
        <v>10</v>
      </c>
      <c r="H24" s="15">
        <f t="shared" si="3"/>
        <v>20</v>
      </c>
      <c r="I24" s="43">
        <f>$L$6*F24+$L$5*G24+$L$7*H24</f>
        <v>26198.400000000001</v>
      </c>
      <c r="J24" s="27"/>
    </row>
    <row r="25" spans="1:10" x14ac:dyDescent="0.25">
      <c r="A25" s="8" t="s">
        <v>16</v>
      </c>
      <c r="B25" s="2">
        <v>2</v>
      </c>
      <c r="C25" s="2">
        <v>1</v>
      </c>
      <c r="D25" s="2">
        <f t="shared" si="0"/>
        <v>2</v>
      </c>
      <c r="E25" s="2">
        <f>E24</f>
        <v>100</v>
      </c>
      <c r="F25" s="11">
        <f t="shared" si="1"/>
        <v>200</v>
      </c>
      <c r="G25" s="15">
        <f t="shared" si="2"/>
        <v>10</v>
      </c>
      <c r="H25" s="15">
        <f t="shared" si="3"/>
        <v>20</v>
      </c>
      <c r="I25" s="43">
        <f>$L$6*F25+$L$5*G25+$L$7*H25</f>
        <v>26198.400000000001</v>
      </c>
      <c r="J25" s="27"/>
    </row>
    <row r="26" spans="1:10" x14ac:dyDescent="0.25">
      <c r="A26" s="8" t="s">
        <v>17</v>
      </c>
      <c r="B26" s="2">
        <v>2</v>
      </c>
      <c r="C26" s="2">
        <v>1</v>
      </c>
      <c r="D26" s="2">
        <f t="shared" si="0"/>
        <v>2</v>
      </c>
      <c r="E26" s="2">
        <f t="shared" ref="E26:E27" si="21">E25</f>
        <v>100</v>
      </c>
      <c r="F26" s="11">
        <f t="shared" si="1"/>
        <v>200</v>
      </c>
      <c r="G26" s="15">
        <f t="shared" si="2"/>
        <v>10</v>
      </c>
      <c r="H26" s="15">
        <f t="shared" si="3"/>
        <v>20</v>
      </c>
      <c r="I26" s="43">
        <f>$L$6*F26+$L$5*G26+$L$7*H26</f>
        <v>26198.400000000001</v>
      </c>
    </row>
    <row r="27" spans="1:10" x14ac:dyDescent="0.25">
      <c r="A27" s="8" t="s">
        <v>18</v>
      </c>
      <c r="B27" s="2">
        <v>2</v>
      </c>
      <c r="C27" s="2">
        <v>1</v>
      </c>
      <c r="D27" s="2">
        <f t="shared" si="0"/>
        <v>2</v>
      </c>
      <c r="E27" s="2">
        <f t="shared" si="21"/>
        <v>100</v>
      </c>
      <c r="F27" s="11">
        <f t="shared" si="1"/>
        <v>200</v>
      </c>
      <c r="G27" s="15">
        <f t="shared" si="2"/>
        <v>10</v>
      </c>
      <c r="H27" s="15">
        <f t="shared" si="3"/>
        <v>20</v>
      </c>
      <c r="I27" s="43">
        <f>$L$6*F27+$L$5*G27+$L$7*H27</f>
        <v>26198.400000000001</v>
      </c>
    </row>
    <row r="28" spans="1:10" x14ac:dyDescent="0.25">
      <c r="A28" s="8" t="s">
        <v>19</v>
      </c>
      <c r="B28" s="2" t="s">
        <v>53</v>
      </c>
      <c r="C28" s="2"/>
      <c r="D28" s="2"/>
      <c r="E28" s="2"/>
      <c r="F28" s="9"/>
      <c r="G28" s="14"/>
      <c r="H28" s="14"/>
      <c r="I28" s="41"/>
    </row>
    <row r="29" spans="1:10" ht="15.75" x14ac:dyDescent="0.25">
      <c r="A29" s="8" t="s">
        <v>84</v>
      </c>
      <c r="B29" s="2">
        <v>16</v>
      </c>
      <c r="C29" s="2">
        <v>2</v>
      </c>
      <c r="D29" s="2">
        <f t="shared" si="0"/>
        <v>32</v>
      </c>
      <c r="E29" s="2">
        <v>150</v>
      </c>
      <c r="F29" s="11">
        <f t="shared" si="1"/>
        <v>4800</v>
      </c>
      <c r="G29" s="15">
        <f t="shared" si="2"/>
        <v>240</v>
      </c>
      <c r="H29" s="15">
        <f t="shared" si="3"/>
        <v>480</v>
      </c>
      <c r="I29" s="41">
        <f>$L$6*F29+$L$5*G29+$L$7*H29</f>
        <v>628761.59999999998</v>
      </c>
    </row>
    <row r="30" spans="1:10" x14ac:dyDescent="0.25">
      <c r="A30" s="22" t="s">
        <v>20</v>
      </c>
      <c r="B30" s="23"/>
      <c r="C30" s="23"/>
      <c r="D30" s="23"/>
      <c r="E30" s="23"/>
      <c r="F30" s="59">
        <f>SUM(F6:H29)</f>
        <v>340314.89999999997</v>
      </c>
      <c r="G30" s="60"/>
      <c r="H30" s="61"/>
      <c r="I30" s="46">
        <f>SUM(I6:I29)</f>
        <v>38763938.591999993</v>
      </c>
    </row>
    <row r="31" spans="1:10" x14ac:dyDescent="0.25">
      <c r="A31" s="4" t="s">
        <v>21</v>
      </c>
      <c r="B31" s="2"/>
      <c r="C31" s="2"/>
      <c r="D31" s="2"/>
      <c r="E31" s="2"/>
      <c r="F31" s="9"/>
      <c r="G31" s="12"/>
      <c r="H31" s="12"/>
      <c r="I31" s="41"/>
    </row>
    <row r="32" spans="1:10" x14ac:dyDescent="0.25">
      <c r="A32" s="4" t="s">
        <v>45</v>
      </c>
      <c r="B32" s="2" t="s">
        <v>55</v>
      </c>
      <c r="C32" s="2"/>
      <c r="D32" s="2"/>
      <c r="E32" s="2"/>
      <c r="F32" s="9"/>
      <c r="G32" s="12"/>
      <c r="H32" s="12"/>
      <c r="I32" s="41"/>
    </row>
    <row r="33" spans="1:12" x14ac:dyDescent="0.25">
      <c r="A33" s="8" t="s">
        <v>22</v>
      </c>
      <c r="B33" s="2" t="s">
        <v>53</v>
      </c>
      <c r="C33" s="2"/>
      <c r="D33" s="2"/>
      <c r="E33" s="2"/>
      <c r="F33" s="9"/>
      <c r="G33" s="12"/>
      <c r="H33" s="12"/>
      <c r="I33" s="41"/>
      <c r="K33" s="54"/>
    </row>
    <row r="34" spans="1:12" x14ac:dyDescent="0.25">
      <c r="A34" s="8" t="s">
        <v>23</v>
      </c>
      <c r="B34" s="2" t="s">
        <v>53</v>
      </c>
      <c r="C34" s="2"/>
      <c r="D34" s="2"/>
      <c r="E34" s="2"/>
      <c r="F34" s="9"/>
      <c r="G34" s="12"/>
      <c r="H34" s="12"/>
      <c r="I34" s="41"/>
    </row>
    <row r="35" spans="1:12" x14ac:dyDescent="0.25">
      <c r="A35" s="8" t="s">
        <v>24</v>
      </c>
      <c r="B35" s="2" t="s">
        <v>7</v>
      </c>
      <c r="C35" s="2"/>
      <c r="D35" s="2"/>
      <c r="E35" s="2"/>
      <c r="F35" s="9"/>
      <c r="G35" s="12"/>
      <c r="H35" s="12"/>
      <c r="I35" s="41"/>
    </row>
    <row r="36" spans="1:12" x14ac:dyDescent="0.25">
      <c r="A36" s="8" t="s">
        <v>25</v>
      </c>
      <c r="B36" s="2"/>
      <c r="C36" s="2"/>
      <c r="D36" s="2"/>
      <c r="E36" s="2"/>
      <c r="F36" s="9"/>
      <c r="G36" s="12"/>
      <c r="H36" s="12"/>
      <c r="I36" s="41"/>
    </row>
    <row r="37" spans="1:12" ht="15.75" x14ac:dyDescent="0.25">
      <c r="A37" s="8" t="s">
        <v>85</v>
      </c>
      <c r="B37" s="2">
        <v>0.25</v>
      </c>
      <c r="C37" s="2">
        <v>350</v>
      </c>
      <c r="D37" s="2">
        <f t="shared" si="0"/>
        <v>87.5</v>
      </c>
      <c r="E37" s="2">
        <v>150</v>
      </c>
      <c r="F37" s="11">
        <f t="shared" si="1"/>
        <v>13125</v>
      </c>
      <c r="G37" s="15">
        <f t="shared" si="2"/>
        <v>656.25</v>
      </c>
      <c r="H37" s="15">
        <f t="shared" si="3"/>
        <v>1312.5</v>
      </c>
      <c r="I37" s="41">
        <f>$L$6*F37+$L$5*G37+$L$7*H37</f>
        <v>1719270</v>
      </c>
    </row>
    <row r="38" spans="1:12" x14ac:dyDescent="0.25">
      <c r="A38" s="8" t="s">
        <v>26</v>
      </c>
      <c r="B38" s="2" t="s">
        <v>7</v>
      </c>
      <c r="C38" s="2"/>
      <c r="D38" s="2"/>
      <c r="E38" s="2"/>
      <c r="F38" s="9"/>
      <c r="G38" s="12"/>
      <c r="H38" s="12"/>
      <c r="I38" s="41"/>
    </row>
    <row r="39" spans="1:12" x14ac:dyDescent="0.25">
      <c r="A39" s="8" t="s">
        <v>27</v>
      </c>
      <c r="B39" s="2" t="s">
        <v>7</v>
      </c>
      <c r="C39" s="2"/>
      <c r="D39" s="2"/>
      <c r="E39" s="2"/>
      <c r="F39" s="9"/>
      <c r="G39" s="12"/>
      <c r="H39" s="12"/>
      <c r="I39" s="41"/>
      <c r="K39">
        <v>832</v>
      </c>
      <c r="L39" t="s">
        <v>98</v>
      </c>
    </row>
    <row r="40" spans="1:12" ht="18" customHeight="1" x14ac:dyDescent="0.25">
      <c r="A40" s="22" t="s">
        <v>28</v>
      </c>
      <c r="B40" s="23"/>
      <c r="C40" s="23"/>
      <c r="D40" s="23"/>
      <c r="E40" s="23"/>
      <c r="F40" s="59">
        <f>SUM(F32:H39)</f>
        <v>15093.75</v>
      </c>
      <c r="G40" s="60"/>
      <c r="H40" s="61"/>
      <c r="I40" s="46">
        <f>SUM(I32:I39)</f>
        <v>1719270</v>
      </c>
      <c r="K40" s="25">
        <f>F41/K39</f>
        <v>426.68269230769232</v>
      </c>
      <c r="L40" t="s">
        <v>66</v>
      </c>
    </row>
    <row r="41" spans="1:12" ht="18" customHeight="1" x14ac:dyDescent="0.25">
      <c r="A41" s="5" t="s">
        <v>86</v>
      </c>
      <c r="B41" s="2"/>
      <c r="C41" s="2"/>
      <c r="D41" s="2"/>
      <c r="E41" s="2"/>
      <c r="F41" s="62">
        <f>ROUND(F30+F40,-3)</f>
        <v>355000</v>
      </c>
      <c r="G41" s="63"/>
      <c r="H41" s="64"/>
      <c r="I41" s="47">
        <f>ROUND(I30+I40, -5)</f>
        <v>40500000</v>
      </c>
      <c r="J41" s="24"/>
      <c r="K41" s="24"/>
    </row>
    <row r="42" spans="1:12" ht="18" customHeight="1" x14ac:dyDescent="0.25">
      <c r="A42" s="6" t="s">
        <v>87</v>
      </c>
      <c r="B42" s="2"/>
      <c r="C42" s="2"/>
      <c r="D42" s="2"/>
      <c r="E42" s="2"/>
      <c r="F42" s="9"/>
      <c r="G42" s="10"/>
      <c r="H42" s="10"/>
      <c r="I42" s="47">
        <v>102000000</v>
      </c>
      <c r="K42" s="24"/>
    </row>
    <row r="43" spans="1:12" ht="15.75" x14ac:dyDescent="0.25">
      <c r="A43" s="6" t="s">
        <v>88</v>
      </c>
      <c r="B43" s="2"/>
      <c r="C43" s="2"/>
      <c r="D43" s="2"/>
      <c r="E43" s="2"/>
      <c r="F43" s="9"/>
      <c r="G43" s="10"/>
      <c r="H43" s="10"/>
      <c r="I43" s="47">
        <f>ROUND(I41+I42, -6)</f>
        <v>143000000</v>
      </c>
    </row>
    <row r="45" spans="1:12" ht="16.5" customHeight="1" x14ac:dyDescent="0.25">
      <c r="A45" s="16" t="s">
        <v>42</v>
      </c>
      <c r="J45" s="24"/>
    </row>
    <row r="46" spans="1:12" ht="33" customHeight="1" x14ac:dyDescent="0.25">
      <c r="A46" s="56" t="s">
        <v>103</v>
      </c>
      <c r="B46" s="56"/>
      <c r="C46" s="56"/>
      <c r="D46" s="56"/>
      <c r="E46" s="56"/>
      <c r="F46" s="56"/>
      <c r="G46" s="56"/>
      <c r="H46" s="56"/>
      <c r="I46" s="56"/>
      <c r="J46" s="24"/>
    </row>
    <row r="47" spans="1:12" ht="45.75" customHeight="1" x14ac:dyDescent="0.25">
      <c r="A47" s="65" t="s">
        <v>106</v>
      </c>
      <c r="B47" s="66"/>
      <c r="C47" s="66"/>
      <c r="D47" s="66"/>
      <c r="E47" s="66"/>
      <c r="F47" s="66"/>
      <c r="G47" s="66"/>
      <c r="H47" s="66"/>
      <c r="I47" s="66"/>
    </row>
    <row r="48" spans="1:12" ht="47.25" customHeight="1" x14ac:dyDescent="0.25">
      <c r="A48" s="65" t="s">
        <v>65</v>
      </c>
      <c r="B48" s="66"/>
      <c r="C48" s="66"/>
      <c r="D48" s="66"/>
      <c r="E48" s="66"/>
      <c r="F48" s="66"/>
      <c r="G48" s="66"/>
      <c r="H48" s="66"/>
      <c r="I48" s="66"/>
    </row>
    <row r="49" spans="1:10" ht="17.25" customHeight="1" x14ac:dyDescent="0.25">
      <c r="A49" s="57" t="s">
        <v>72</v>
      </c>
      <c r="B49" s="57"/>
      <c r="C49" s="57"/>
      <c r="D49" s="57"/>
      <c r="E49" s="57"/>
      <c r="F49" s="57"/>
      <c r="G49" s="57"/>
      <c r="H49" s="57"/>
      <c r="I49" s="57"/>
      <c r="J49" s="24"/>
    </row>
    <row r="50" spans="1:10" ht="19.5" customHeight="1" x14ac:dyDescent="0.25">
      <c r="A50" s="56" t="s">
        <v>80</v>
      </c>
      <c r="B50" s="56"/>
      <c r="C50" s="56"/>
      <c r="D50" s="56"/>
      <c r="E50" s="56"/>
      <c r="F50" s="56"/>
      <c r="G50" s="56"/>
      <c r="H50" s="56"/>
      <c r="I50" s="56"/>
      <c r="J50" s="24"/>
    </row>
    <row r="51" spans="1:10" ht="69" customHeight="1" x14ac:dyDescent="0.25">
      <c r="A51" s="56" t="s">
        <v>102</v>
      </c>
      <c r="B51" s="56"/>
      <c r="C51" s="56"/>
      <c r="D51" s="56"/>
      <c r="E51" s="56"/>
      <c r="F51" s="56"/>
      <c r="G51" s="56"/>
      <c r="H51" s="56"/>
      <c r="I51" s="56"/>
    </row>
    <row r="52" spans="1:10" ht="72.75" customHeight="1" x14ac:dyDescent="0.25">
      <c r="A52" s="56" t="s">
        <v>104</v>
      </c>
      <c r="B52" s="56"/>
      <c r="C52" s="56"/>
      <c r="D52" s="56"/>
      <c r="E52" s="56"/>
      <c r="F52" s="56"/>
      <c r="G52" s="56"/>
      <c r="H52" s="56"/>
      <c r="I52" s="56"/>
    </row>
    <row r="53" spans="1:10" ht="17.25" customHeight="1" x14ac:dyDescent="0.25">
      <c r="A53" s="57" t="s">
        <v>89</v>
      </c>
      <c r="B53" s="57"/>
      <c r="C53" s="57"/>
      <c r="D53" s="57"/>
      <c r="E53" s="57"/>
      <c r="F53" s="57"/>
      <c r="G53" s="57"/>
      <c r="H53" s="57"/>
      <c r="I53" s="57"/>
    </row>
    <row r="54" spans="1:10" ht="17.25" customHeight="1" x14ac:dyDescent="0.25">
      <c r="A54" s="67" t="s">
        <v>90</v>
      </c>
      <c r="B54" s="67"/>
      <c r="C54" s="67"/>
      <c r="D54" s="67"/>
      <c r="E54" s="67"/>
      <c r="F54" s="67"/>
      <c r="G54" s="67"/>
      <c r="H54" s="67"/>
      <c r="I54" s="67"/>
    </row>
    <row r="55" spans="1:10" ht="17.25" customHeight="1" x14ac:dyDescent="0.25">
      <c r="A55" s="65" t="s">
        <v>92</v>
      </c>
      <c r="B55" s="65"/>
      <c r="C55" s="65"/>
      <c r="D55" s="65"/>
      <c r="E55" s="65"/>
      <c r="F55" s="65"/>
      <c r="G55" s="65"/>
      <c r="H55" s="65"/>
      <c r="I55" s="65"/>
    </row>
    <row r="56" spans="1:10" x14ac:dyDescent="0.25">
      <c r="A56" s="57" t="s">
        <v>91</v>
      </c>
      <c r="B56" s="57"/>
      <c r="C56" s="57"/>
      <c r="D56" s="57"/>
      <c r="E56" s="57"/>
      <c r="F56" s="57"/>
      <c r="G56" s="57"/>
      <c r="H56" s="57"/>
      <c r="I56" s="57"/>
    </row>
  </sheetData>
  <mergeCells count="16">
    <mergeCell ref="A53:I53"/>
    <mergeCell ref="A54:I54"/>
    <mergeCell ref="A55:I55"/>
    <mergeCell ref="A56:I56"/>
    <mergeCell ref="A48:I48"/>
    <mergeCell ref="A52:I52"/>
    <mergeCell ref="K4:L4"/>
    <mergeCell ref="F30:H30"/>
    <mergeCell ref="F40:H40"/>
    <mergeCell ref="F41:H41"/>
    <mergeCell ref="A47:I47"/>
    <mergeCell ref="A1:I1"/>
    <mergeCell ref="A46:I46"/>
    <mergeCell ref="A49:I49"/>
    <mergeCell ref="A50:I50"/>
    <mergeCell ref="A51:I5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workbookViewId="0">
      <selection activeCell="M5" sqref="M5"/>
    </sheetView>
  </sheetViews>
  <sheetFormatPr defaultColWidth="9.140625" defaultRowHeight="15" x14ac:dyDescent="0.25"/>
  <cols>
    <col min="1" max="1" width="37" customWidth="1"/>
    <col min="2" max="2" width="10" customWidth="1"/>
    <col min="3" max="3" width="10.7109375" customWidth="1"/>
    <col min="4" max="4" width="9.5703125" customWidth="1"/>
    <col min="5" max="5" width="11.140625" customWidth="1"/>
    <col min="7" max="7" width="10.85546875" customWidth="1"/>
    <col min="9" max="9" width="11.28515625" customWidth="1"/>
    <col min="11" max="11" width="12.5703125" customWidth="1"/>
  </cols>
  <sheetData>
    <row r="1" spans="1:13" ht="31.5" customHeight="1" x14ac:dyDescent="0.25">
      <c r="A1" s="68" t="s">
        <v>101</v>
      </c>
      <c r="B1" s="68"/>
      <c r="C1" s="68"/>
      <c r="D1" s="68"/>
      <c r="E1" s="68"/>
      <c r="F1" s="68"/>
      <c r="G1" s="68"/>
      <c r="H1" s="68"/>
      <c r="I1" s="68"/>
    </row>
    <row r="3" spans="1:13" ht="76.5" x14ac:dyDescent="0.25">
      <c r="A3" s="3" t="s">
        <v>30</v>
      </c>
      <c r="B3" s="3" t="s">
        <v>31</v>
      </c>
      <c r="C3" s="3" t="s">
        <v>32</v>
      </c>
      <c r="D3" s="3" t="s">
        <v>33</v>
      </c>
      <c r="E3" s="3" t="s">
        <v>34</v>
      </c>
      <c r="F3" s="3" t="s">
        <v>35</v>
      </c>
      <c r="G3" s="3" t="s">
        <v>36</v>
      </c>
      <c r="H3" s="3" t="s">
        <v>37</v>
      </c>
      <c r="I3" s="3" t="s">
        <v>38</v>
      </c>
    </row>
    <row r="4" spans="1:13" x14ac:dyDescent="0.25">
      <c r="A4" s="48" t="s">
        <v>68</v>
      </c>
      <c r="B4" s="10"/>
      <c r="C4" s="10"/>
      <c r="D4" s="10"/>
      <c r="E4" s="10"/>
      <c r="F4" s="10"/>
      <c r="G4" s="10"/>
      <c r="H4" s="10"/>
      <c r="I4" s="49"/>
      <c r="K4" s="58" t="s">
        <v>58</v>
      </c>
      <c r="L4" s="58"/>
      <c r="M4" s="20"/>
    </row>
    <row r="5" spans="1:13" x14ac:dyDescent="0.25">
      <c r="A5" s="8" t="s">
        <v>39</v>
      </c>
      <c r="B5" s="2"/>
      <c r="C5" s="2"/>
      <c r="D5" s="2"/>
      <c r="E5" s="2"/>
      <c r="F5" s="2"/>
      <c r="G5" s="10"/>
      <c r="H5" s="10"/>
      <c r="I5" s="49"/>
      <c r="K5" s="18" t="s">
        <v>59</v>
      </c>
      <c r="L5" s="10">
        <v>65.709999999999994</v>
      </c>
      <c r="M5" s="19" t="s">
        <v>60</v>
      </c>
    </row>
    <row r="6" spans="1:13" ht="27.75" customHeight="1" x14ac:dyDescent="0.25">
      <c r="A6" s="8" t="s">
        <v>47</v>
      </c>
      <c r="B6" s="2">
        <v>2</v>
      </c>
      <c r="C6" s="2">
        <f>'Table 1'!C24</f>
        <v>1</v>
      </c>
      <c r="D6" s="2">
        <f>B6*C6</f>
        <v>2</v>
      </c>
      <c r="E6" s="2">
        <f>'Table 1'!E24</f>
        <v>100</v>
      </c>
      <c r="F6" s="2">
        <f>D6*E6</f>
        <v>200</v>
      </c>
      <c r="G6" s="10">
        <f>F6*0.05</f>
        <v>10</v>
      </c>
      <c r="H6" s="10">
        <f>F6*0.1</f>
        <v>20</v>
      </c>
      <c r="I6" s="50">
        <f t="shared" ref="I6:I12" si="0">$L$6*F6+$L$5*G6+$L$7*H6</f>
        <v>10934.7</v>
      </c>
      <c r="K6" s="18" t="s">
        <v>61</v>
      </c>
      <c r="L6" s="10">
        <v>48.75</v>
      </c>
      <c r="M6" s="19"/>
    </row>
    <row r="7" spans="1:13" ht="15.75" x14ac:dyDescent="0.25">
      <c r="A7" s="8" t="s">
        <v>49</v>
      </c>
      <c r="B7" s="2">
        <v>0.5</v>
      </c>
      <c r="C7" s="2">
        <f>'Table 1'!C25</f>
        <v>1</v>
      </c>
      <c r="D7" s="2">
        <f t="shared" ref="D7:D12" si="1">B7*C7</f>
        <v>0.5</v>
      </c>
      <c r="E7" s="2">
        <f>'Table 1'!E25</f>
        <v>100</v>
      </c>
      <c r="F7" s="2">
        <f t="shared" ref="F7:F14" si="2">D7*E7</f>
        <v>50</v>
      </c>
      <c r="G7" s="10">
        <f t="shared" ref="G7:G14" si="3">F7*0.05</f>
        <v>2.5</v>
      </c>
      <c r="H7" s="10">
        <f t="shared" ref="H7:H14" si="4">F7*0.1</f>
        <v>5</v>
      </c>
      <c r="I7" s="50">
        <f t="shared" si="0"/>
        <v>2733.6750000000002</v>
      </c>
      <c r="K7" s="18" t="s">
        <v>62</v>
      </c>
      <c r="L7" s="10">
        <v>26.38</v>
      </c>
      <c r="M7" s="19"/>
    </row>
    <row r="8" spans="1:13" ht="15.75" x14ac:dyDescent="0.25">
      <c r="A8" s="8" t="s">
        <v>48</v>
      </c>
      <c r="B8" s="2">
        <v>0.5</v>
      </c>
      <c r="C8" s="2">
        <f>'Table 1'!C26</f>
        <v>1</v>
      </c>
      <c r="D8" s="2">
        <f t="shared" si="1"/>
        <v>0.5</v>
      </c>
      <c r="E8" s="2">
        <f>'Table 1'!E26</f>
        <v>100</v>
      </c>
      <c r="F8" s="2">
        <f t="shared" si="2"/>
        <v>50</v>
      </c>
      <c r="G8" s="10">
        <f t="shared" si="3"/>
        <v>2.5</v>
      </c>
      <c r="H8" s="10">
        <f t="shared" si="4"/>
        <v>5</v>
      </c>
      <c r="I8" s="50">
        <f t="shared" si="0"/>
        <v>2733.6750000000002</v>
      </c>
    </row>
    <row r="9" spans="1:13" ht="15.75" x14ac:dyDescent="0.25">
      <c r="A9" s="8" t="s">
        <v>100</v>
      </c>
      <c r="B9" s="2">
        <v>0.5</v>
      </c>
      <c r="C9" s="2">
        <f>'Table 1'!C27</f>
        <v>1</v>
      </c>
      <c r="D9" s="2">
        <f t="shared" si="1"/>
        <v>0.5</v>
      </c>
      <c r="E9" s="2">
        <f>'Table 1'!E27</f>
        <v>100</v>
      </c>
      <c r="F9" s="2">
        <f t="shared" si="2"/>
        <v>50</v>
      </c>
      <c r="G9" s="10">
        <f t="shared" si="3"/>
        <v>2.5</v>
      </c>
      <c r="H9" s="10">
        <f t="shared" si="4"/>
        <v>5</v>
      </c>
      <c r="I9" s="50">
        <f t="shared" si="0"/>
        <v>2733.6750000000002</v>
      </c>
    </row>
    <row r="10" spans="1:13" ht="19.5" customHeight="1" x14ac:dyDescent="0.25">
      <c r="A10" s="8" t="s">
        <v>50</v>
      </c>
      <c r="B10" s="2">
        <v>1</v>
      </c>
      <c r="C10" s="2">
        <f>'Table 1'!C6</f>
        <v>1</v>
      </c>
      <c r="D10" s="2">
        <f t="shared" si="1"/>
        <v>1</v>
      </c>
      <c r="E10" s="2">
        <f>'Table 1'!E7</f>
        <v>32</v>
      </c>
      <c r="F10" s="2">
        <f t="shared" si="2"/>
        <v>32</v>
      </c>
      <c r="G10" s="10">
        <f t="shared" si="3"/>
        <v>1.6</v>
      </c>
      <c r="H10" s="10">
        <f t="shared" si="4"/>
        <v>3.2</v>
      </c>
      <c r="I10" s="50">
        <f t="shared" si="0"/>
        <v>1749.5519999999999</v>
      </c>
    </row>
    <row r="11" spans="1:13" x14ac:dyDescent="0.25">
      <c r="A11" s="8" t="s">
        <v>99</v>
      </c>
      <c r="B11" s="2">
        <v>8</v>
      </c>
      <c r="C11" s="2">
        <f>'Table 1'!C13</f>
        <v>1</v>
      </c>
      <c r="D11" s="2">
        <f t="shared" si="1"/>
        <v>8</v>
      </c>
      <c r="E11" s="2">
        <f>'Table 1'!E13</f>
        <v>100</v>
      </c>
      <c r="F11" s="2">
        <f t="shared" si="2"/>
        <v>800</v>
      </c>
      <c r="G11" s="10">
        <f t="shared" si="3"/>
        <v>40</v>
      </c>
      <c r="H11" s="10">
        <f t="shared" si="4"/>
        <v>80</v>
      </c>
      <c r="I11" s="50">
        <f t="shared" si="0"/>
        <v>43738.8</v>
      </c>
    </row>
    <row r="12" spans="1:13" x14ac:dyDescent="0.25">
      <c r="A12" s="8" t="s">
        <v>40</v>
      </c>
      <c r="B12" s="2">
        <v>4.2</v>
      </c>
      <c r="C12" s="2">
        <f>'Table 1'!C13</f>
        <v>1</v>
      </c>
      <c r="D12" s="2">
        <f t="shared" si="1"/>
        <v>4.2</v>
      </c>
      <c r="E12" s="2">
        <f>'Table 1'!E13</f>
        <v>100</v>
      </c>
      <c r="F12" s="2">
        <f t="shared" si="2"/>
        <v>420</v>
      </c>
      <c r="G12" s="10">
        <f t="shared" si="3"/>
        <v>21</v>
      </c>
      <c r="H12" s="10">
        <f t="shared" si="4"/>
        <v>42</v>
      </c>
      <c r="I12" s="50">
        <f t="shared" si="0"/>
        <v>22962.87</v>
      </c>
    </row>
    <row r="13" spans="1:13" x14ac:dyDescent="0.25">
      <c r="A13" s="48" t="s">
        <v>41</v>
      </c>
      <c r="B13" s="10"/>
      <c r="C13" s="10"/>
      <c r="D13" s="10"/>
      <c r="E13" s="10"/>
      <c r="F13" s="2"/>
      <c r="G13" s="10"/>
      <c r="H13" s="10"/>
      <c r="I13" s="49"/>
    </row>
    <row r="14" spans="1:13" ht="15.75" x14ac:dyDescent="0.25">
      <c r="A14" s="8" t="s">
        <v>56</v>
      </c>
      <c r="B14" s="2">
        <v>4.2</v>
      </c>
      <c r="C14" s="2">
        <v>2</v>
      </c>
      <c r="D14" s="2">
        <f>B14*C14</f>
        <v>8.4</v>
      </c>
      <c r="E14" s="2">
        <v>150</v>
      </c>
      <c r="F14" s="2">
        <f t="shared" si="2"/>
        <v>1260</v>
      </c>
      <c r="G14" s="10">
        <f t="shared" si="3"/>
        <v>63</v>
      </c>
      <c r="H14" s="10">
        <f t="shared" si="4"/>
        <v>126</v>
      </c>
      <c r="I14" s="49">
        <f>$L$6*F14+$L$5*G14+$L$7*H14</f>
        <v>68888.61</v>
      </c>
    </row>
    <row r="15" spans="1:13" ht="15.75" x14ac:dyDescent="0.25">
      <c r="A15" s="51" t="s">
        <v>67</v>
      </c>
      <c r="B15" s="2"/>
      <c r="C15" s="2"/>
      <c r="D15" s="2"/>
      <c r="E15" s="2"/>
      <c r="F15" s="62">
        <f>ROUND(SUM(F6:H14),-1)</f>
        <v>3290</v>
      </c>
      <c r="G15" s="70"/>
      <c r="H15" s="71"/>
      <c r="I15" s="52">
        <f>ROUND(SUM(I6:I14),-3)</f>
        <v>156000</v>
      </c>
    </row>
    <row r="17" spans="1:9" x14ac:dyDescent="0.25">
      <c r="A17" s="53" t="s">
        <v>46</v>
      </c>
    </row>
    <row r="18" spans="1:9" ht="61.5" customHeight="1" x14ac:dyDescent="0.25">
      <c r="A18" s="72" t="s">
        <v>69</v>
      </c>
      <c r="B18" s="72"/>
      <c r="C18" s="72"/>
      <c r="D18" s="72"/>
      <c r="E18" s="72"/>
      <c r="F18" s="72"/>
      <c r="G18" s="72"/>
      <c r="H18" s="72"/>
      <c r="I18" s="72"/>
    </row>
    <row r="19" spans="1:9" ht="46.5" customHeight="1" x14ac:dyDescent="0.25">
      <c r="A19" s="72" t="s">
        <v>63</v>
      </c>
      <c r="B19" s="72"/>
      <c r="C19" s="72"/>
      <c r="D19" s="72"/>
      <c r="E19" s="72"/>
      <c r="F19" s="72"/>
      <c r="G19" s="72"/>
      <c r="H19" s="72"/>
      <c r="I19" s="72"/>
    </row>
    <row r="20" spans="1:9" ht="28.5" customHeight="1" x14ac:dyDescent="0.25">
      <c r="A20" s="74" t="s">
        <v>70</v>
      </c>
      <c r="B20" s="74"/>
      <c r="C20" s="74"/>
      <c r="D20" s="74"/>
      <c r="E20" s="74"/>
      <c r="F20" s="74"/>
      <c r="G20" s="74"/>
      <c r="H20" s="74"/>
      <c r="I20" s="74"/>
    </row>
    <row r="21" spans="1:9" ht="28.5" customHeight="1" x14ac:dyDescent="0.25">
      <c r="A21" s="74" t="s">
        <v>71</v>
      </c>
      <c r="B21" s="74"/>
      <c r="C21" s="74"/>
      <c r="D21" s="74"/>
      <c r="E21" s="74"/>
      <c r="F21" s="74"/>
      <c r="G21" s="74"/>
      <c r="H21" s="74"/>
      <c r="I21" s="74"/>
    </row>
    <row r="22" spans="1:9" ht="28.5" customHeight="1" x14ac:dyDescent="0.25">
      <c r="A22" s="73" t="s">
        <v>51</v>
      </c>
      <c r="B22" s="73"/>
      <c r="C22" s="73"/>
      <c r="D22" s="73"/>
      <c r="E22" s="73"/>
      <c r="F22" s="73"/>
      <c r="G22" s="73"/>
      <c r="H22" s="73"/>
      <c r="I22" s="73"/>
    </row>
    <row r="23" spans="1:9" ht="15.75" x14ac:dyDescent="0.25">
      <c r="A23" s="69" t="s">
        <v>57</v>
      </c>
      <c r="B23" s="69"/>
      <c r="C23" s="69"/>
      <c r="D23" s="69"/>
      <c r="E23" s="69"/>
      <c r="F23" s="69"/>
      <c r="G23" s="69"/>
      <c r="H23" s="69"/>
      <c r="I23" s="69"/>
    </row>
    <row r="24" spans="1:9" ht="15.75" x14ac:dyDescent="0.25">
      <c r="A24" s="69" t="s">
        <v>52</v>
      </c>
      <c r="B24" s="69"/>
      <c r="C24" s="69"/>
      <c r="D24" s="69"/>
      <c r="E24" s="69"/>
      <c r="F24" s="69"/>
      <c r="G24" s="69"/>
      <c r="H24" s="69"/>
      <c r="I24" s="69"/>
    </row>
  </sheetData>
  <mergeCells count="10">
    <mergeCell ref="A1:I1"/>
    <mergeCell ref="A23:I23"/>
    <mergeCell ref="A24:I24"/>
    <mergeCell ref="F15:H15"/>
    <mergeCell ref="K4:L4"/>
    <mergeCell ref="A19:I19"/>
    <mergeCell ref="A18:I18"/>
    <mergeCell ref="A22:I22"/>
    <mergeCell ref="A20:I20"/>
    <mergeCell ref="A21:I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85FF-96BC-4B02-963F-ED5A250B7FF2}">
  <dimension ref="A2:B5"/>
  <sheetViews>
    <sheetView workbookViewId="0">
      <selection activeCell="D22" sqref="D22"/>
    </sheetView>
  </sheetViews>
  <sheetFormatPr defaultRowHeight="15" x14ac:dyDescent="0.25"/>
  <cols>
    <col min="1" max="2" width="14.7109375" customWidth="1"/>
  </cols>
  <sheetData>
    <row r="2" spans="1:2" x14ac:dyDescent="0.25">
      <c r="A2" s="75" t="s">
        <v>74</v>
      </c>
      <c r="B2" s="75"/>
    </row>
    <row r="3" spans="1:2" x14ac:dyDescent="0.25">
      <c r="A3" s="30" t="s">
        <v>76</v>
      </c>
      <c r="B3" s="30">
        <v>606.5</v>
      </c>
    </row>
    <row r="4" spans="1:2" x14ac:dyDescent="0.25">
      <c r="A4" s="30" t="s">
        <v>77</v>
      </c>
      <c r="B4" s="30">
        <v>751.5</v>
      </c>
    </row>
    <row r="5" spans="1:2" x14ac:dyDescent="0.25">
      <c r="A5" s="31" t="s">
        <v>75</v>
      </c>
      <c r="B5" s="32">
        <f>B4/B3</f>
        <v>1.2390766694146744</v>
      </c>
    </row>
  </sheetData>
  <mergeCells count="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Update to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2015-08-28T14:46:03Z</dcterms:created>
  <dcterms:modified xsi:type="dcterms:W3CDTF">2019-04-04T15:59:45Z</dcterms:modified>
</cp:coreProperties>
</file>