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C:\Users\CKerwin\Downloads\"/>
    </mc:Choice>
  </mc:AlternateContent>
  <xr:revisionPtr revIDLastSave="0" documentId="8_{3922015A-80C5-4C10-8C31-3D4525FF4B0D}" xr6:coauthVersionLast="36" xr6:coauthVersionMax="36" xr10:uidLastSave="{00000000-0000-0000-0000-000000000000}"/>
  <bookViews>
    <workbookView xWindow="0" yWindow="0" windowWidth="25200" windowHeight="11160" tabRatio="768" firstSheet="6" activeTab="10" xr2:uid="{00000000-000D-0000-FFFF-FFFF00000000}"/>
  </bookViews>
  <sheets>
    <sheet name="Cover" sheetId="3" r:id="rId1"/>
    <sheet name="Inputs" sheetId="4" r:id="rId2"/>
    <sheet name="Current ICR" sheetId="5" r:id="rId3"/>
    <sheet name="TBL1-YR1" sheetId="1" r:id="rId4"/>
    <sheet name="TBL2-YR2" sheetId="6" r:id="rId5"/>
    <sheet name="TBL3-YR3" sheetId="7" r:id="rId6"/>
    <sheet name="TBL4-SUMMARY" sheetId="8" r:id="rId7"/>
    <sheet name="TBL5-EPA-YR1" sheetId="2" r:id="rId8"/>
    <sheet name="TBL6-EPA-YR2" sheetId="9" r:id="rId9"/>
    <sheet name="TBL7-EPA-YR3" sheetId="10" r:id="rId10"/>
    <sheet name="TBL8-EPA SUMMARY" sheetId="11" r:id="rId11"/>
  </sheets>
  <definedNames>
    <definedName name="_Hlk226374301" localSheetId="2">'Current ICR'!$A$10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1" i="10" l="1"/>
  <c r="F10" i="10"/>
  <c r="F12" i="7"/>
  <c r="G18" i="1"/>
  <c r="G7" i="1"/>
  <c r="C13" i="11"/>
  <c r="C12" i="11"/>
  <c r="D11" i="11"/>
  <c r="H9" i="11"/>
  <c r="H8" i="11"/>
  <c r="E14" i="10"/>
  <c r="G14" i="10"/>
  <c r="H14" i="10" s="1"/>
  <c r="G13" i="10"/>
  <c r="G12" i="10"/>
  <c r="G10" i="10"/>
  <c r="E8" i="10"/>
  <c r="G8" i="10" s="1"/>
  <c r="I8" i="10" s="1"/>
  <c r="E7" i="10"/>
  <c r="G7" i="10"/>
  <c r="H7" i="10" s="1"/>
  <c r="E14" i="9"/>
  <c r="G14" i="9" s="1"/>
  <c r="G13" i="9"/>
  <c r="G12" i="9"/>
  <c r="H12" i="9" s="1"/>
  <c r="E11" i="9"/>
  <c r="G11" i="9" s="1"/>
  <c r="I11" i="9" s="1"/>
  <c r="E10" i="9"/>
  <c r="G10" i="9"/>
  <c r="E8" i="9"/>
  <c r="G8" i="9" s="1"/>
  <c r="I8" i="9" s="1"/>
  <c r="E7" i="9"/>
  <c r="G7" i="9" s="1"/>
  <c r="C14" i="11"/>
  <c r="I7" i="10"/>
  <c r="H12" i="10"/>
  <c r="G11" i="10"/>
  <c r="H13" i="10"/>
  <c r="I10" i="10"/>
  <c r="H10" i="10"/>
  <c r="I12" i="10"/>
  <c r="I13" i="10"/>
  <c r="H8" i="9"/>
  <c r="H11" i="9"/>
  <c r="I12" i="9"/>
  <c r="H14" i="9"/>
  <c r="C14" i="8"/>
  <c r="H5" i="8"/>
  <c r="H4" i="8"/>
  <c r="H8" i="8" s="1"/>
  <c r="H11" i="10"/>
  <c r="I11" i="10"/>
  <c r="C15" i="8"/>
  <c r="G20" i="7"/>
  <c r="E20" i="7"/>
  <c r="H20" i="7" s="1"/>
  <c r="G19" i="7"/>
  <c r="E19" i="7"/>
  <c r="H19" i="7"/>
  <c r="G18" i="7"/>
  <c r="E18" i="7"/>
  <c r="H18" i="7" s="1"/>
  <c r="I18" i="7" s="1"/>
  <c r="G17" i="7"/>
  <c r="G24" i="7" s="1"/>
  <c r="E17" i="7"/>
  <c r="H17" i="7" s="1"/>
  <c r="G15" i="7"/>
  <c r="E15" i="7"/>
  <c r="H15" i="7" s="1"/>
  <c r="G14" i="7"/>
  <c r="E14" i="7"/>
  <c r="H14" i="7"/>
  <c r="I14" i="7" s="1"/>
  <c r="K14" i="7" s="1"/>
  <c r="G13" i="7"/>
  <c r="E13" i="7"/>
  <c r="H13" i="7" s="1"/>
  <c r="J13" i="7" s="1"/>
  <c r="E12" i="7"/>
  <c r="G11" i="7"/>
  <c r="E11" i="7"/>
  <c r="H11" i="7" s="1"/>
  <c r="G10" i="7"/>
  <c r="E10" i="7"/>
  <c r="H10" i="7"/>
  <c r="I10" i="7" s="1"/>
  <c r="G9" i="7"/>
  <c r="E9" i="7"/>
  <c r="H9" i="7" s="1"/>
  <c r="G8" i="7"/>
  <c r="E8" i="7"/>
  <c r="H8" i="7" s="1"/>
  <c r="G7" i="7"/>
  <c r="E7" i="7"/>
  <c r="H7" i="7"/>
  <c r="J7" i="7" s="1"/>
  <c r="G20" i="6"/>
  <c r="E20" i="6"/>
  <c r="H20" i="6" s="1"/>
  <c r="J20" i="6" s="1"/>
  <c r="G19" i="6"/>
  <c r="E19" i="6"/>
  <c r="H19" i="6" s="1"/>
  <c r="G18" i="6"/>
  <c r="E18" i="6"/>
  <c r="H18" i="6" s="1"/>
  <c r="G17" i="6"/>
  <c r="E17" i="6"/>
  <c r="H17" i="6"/>
  <c r="G15" i="6"/>
  <c r="E15" i="6"/>
  <c r="H15" i="6" s="1"/>
  <c r="G14" i="6"/>
  <c r="E14" i="6"/>
  <c r="H14" i="6" s="1"/>
  <c r="G13" i="6"/>
  <c r="E13" i="6"/>
  <c r="H13" i="6" s="1"/>
  <c r="F12" i="6"/>
  <c r="E12" i="6"/>
  <c r="G11" i="6"/>
  <c r="E11" i="6"/>
  <c r="H11" i="6" s="1"/>
  <c r="G10" i="6"/>
  <c r="E10" i="6"/>
  <c r="H10" i="6"/>
  <c r="I10" i="6" s="1"/>
  <c r="G9" i="6"/>
  <c r="E9" i="6"/>
  <c r="H9" i="6" s="1"/>
  <c r="G8" i="6"/>
  <c r="E8" i="6"/>
  <c r="H8" i="6" s="1"/>
  <c r="G7" i="6"/>
  <c r="E7" i="6"/>
  <c r="H7" i="6"/>
  <c r="I7" i="6" s="1"/>
  <c r="E19" i="1"/>
  <c r="E17" i="1"/>
  <c r="E9" i="1"/>
  <c r="E12" i="1"/>
  <c r="L8" i="5"/>
  <c r="E18" i="5"/>
  <c r="D10" i="5"/>
  <c r="F10" i="5"/>
  <c r="G10" i="5" s="1"/>
  <c r="D12" i="5"/>
  <c r="F12" i="5"/>
  <c r="D13" i="5"/>
  <c r="E13" i="5"/>
  <c r="D14" i="5"/>
  <c r="F14" i="5" s="1"/>
  <c r="H14" i="5"/>
  <c r="D15" i="5"/>
  <c r="E15" i="5"/>
  <c r="D16" i="5"/>
  <c r="F16" i="5"/>
  <c r="G16" i="5" s="1"/>
  <c r="D17" i="5"/>
  <c r="F17" i="5" s="1"/>
  <c r="G17" i="5" s="1"/>
  <c r="E17" i="5"/>
  <c r="D18" i="5"/>
  <c r="F18" i="5" s="1"/>
  <c r="G18" i="5" s="1"/>
  <c r="D19" i="5"/>
  <c r="D23" i="5"/>
  <c r="F23" i="5" s="1"/>
  <c r="G23" i="5" s="1"/>
  <c r="D24" i="5"/>
  <c r="F24" i="5" s="1"/>
  <c r="D25" i="5"/>
  <c r="F25" i="5" s="1"/>
  <c r="H25" i="5"/>
  <c r="D26" i="5"/>
  <c r="F26" i="5" s="1"/>
  <c r="D27" i="5"/>
  <c r="F27" i="5"/>
  <c r="G27" i="5" s="1"/>
  <c r="D28" i="5"/>
  <c r="F28" i="5" s="1"/>
  <c r="D29" i="5"/>
  <c r="F29" i="5" s="1"/>
  <c r="D30" i="5"/>
  <c r="E30" i="5"/>
  <c r="D31" i="5"/>
  <c r="E31" i="5"/>
  <c r="D32" i="5"/>
  <c r="E32" i="5"/>
  <c r="D33" i="5"/>
  <c r="F33" i="5" s="1"/>
  <c r="G33" i="5" s="1"/>
  <c r="E33" i="5"/>
  <c r="D34" i="5"/>
  <c r="F34" i="5" s="1"/>
  <c r="E34" i="5"/>
  <c r="D42" i="5"/>
  <c r="D45" i="5"/>
  <c r="I49" i="5"/>
  <c r="D83" i="5"/>
  <c r="F83" i="5"/>
  <c r="D84" i="5"/>
  <c r="F84" i="5"/>
  <c r="G84" i="5" s="1"/>
  <c r="L84" i="5"/>
  <c r="D85" i="5"/>
  <c r="F85" i="5" s="1"/>
  <c r="D87" i="5"/>
  <c r="F87" i="5" s="1"/>
  <c r="G87" i="5" s="1"/>
  <c r="D88" i="5"/>
  <c r="F88" i="5" s="1"/>
  <c r="D89" i="5"/>
  <c r="F89" i="5" s="1"/>
  <c r="G89" i="5"/>
  <c r="D90" i="5"/>
  <c r="F90" i="5" s="1"/>
  <c r="D91" i="5"/>
  <c r="F91" i="5"/>
  <c r="D92" i="5"/>
  <c r="F92" i="5" s="1"/>
  <c r="D93" i="5"/>
  <c r="F93" i="5"/>
  <c r="H93" i="5" s="1"/>
  <c r="D94" i="5"/>
  <c r="F94" i="5" s="1"/>
  <c r="D95" i="5"/>
  <c r="E95" i="5"/>
  <c r="F95" i="5" s="1"/>
  <c r="D96" i="5"/>
  <c r="E96" i="5"/>
  <c r="D97" i="5"/>
  <c r="E97" i="5"/>
  <c r="F97" i="5" s="1"/>
  <c r="G97" i="5" s="1"/>
  <c r="D98" i="5"/>
  <c r="F98" i="5" s="1"/>
  <c r="E98" i="5"/>
  <c r="D99" i="5"/>
  <c r="E99" i="5"/>
  <c r="F99" i="5" s="1"/>
  <c r="D4" i="4"/>
  <c r="I33" i="5" s="1"/>
  <c r="D5" i="4"/>
  <c r="D6" i="4"/>
  <c r="D16" i="4"/>
  <c r="J9" i="10" s="1"/>
  <c r="D17" i="4"/>
  <c r="D18" i="4"/>
  <c r="E14" i="2"/>
  <c r="G14" i="2"/>
  <c r="I14" i="2" s="1"/>
  <c r="G13" i="2"/>
  <c r="G12" i="2"/>
  <c r="E11" i="2"/>
  <c r="G11" i="2"/>
  <c r="H11" i="2" s="1"/>
  <c r="E10" i="2"/>
  <c r="G10" i="2" s="1"/>
  <c r="H10" i="2" s="1"/>
  <c r="E8" i="2"/>
  <c r="G8" i="2" s="1"/>
  <c r="E7" i="2"/>
  <c r="G7" i="2" s="1"/>
  <c r="G10" i="1"/>
  <c r="H33" i="5"/>
  <c r="G12" i="6"/>
  <c r="D12" i="8"/>
  <c r="H98" i="5"/>
  <c r="F31" i="5"/>
  <c r="H31" i="5" s="1"/>
  <c r="H12" i="6"/>
  <c r="J12" i="6" s="1"/>
  <c r="G12" i="1"/>
  <c r="H12" i="1"/>
  <c r="G92" i="5"/>
  <c r="H10" i="5"/>
  <c r="G91" i="5"/>
  <c r="F32" i="5"/>
  <c r="G12" i="7"/>
  <c r="F96" i="5"/>
  <c r="F15" i="5"/>
  <c r="H15" i="5" s="1"/>
  <c r="H13" i="2"/>
  <c r="J10" i="10"/>
  <c r="J13" i="10"/>
  <c r="F30" i="5"/>
  <c r="G25" i="5"/>
  <c r="I25" i="5" s="1"/>
  <c r="G14" i="5"/>
  <c r="F13" i="5"/>
  <c r="H12" i="7"/>
  <c r="J12" i="7" s="1"/>
  <c r="I19" i="7"/>
  <c r="J19" i="7"/>
  <c r="I7" i="7"/>
  <c r="J14" i="7"/>
  <c r="J20" i="7"/>
  <c r="J11" i="7"/>
  <c r="I11" i="7"/>
  <c r="L11" i="7" s="1"/>
  <c r="I13" i="7"/>
  <c r="L13" i="7" s="1"/>
  <c r="I15" i="7"/>
  <c r="I17" i="7"/>
  <c r="J18" i="7"/>
  <c r="J11" i="6"/>
  <c r="I11" i="6"/>
  <c r="I13" i="6"/>
  <c r="J7" i="6"/>
  <c r="J19" i="6"/>
  <c r="I15" i="6"/>
  <c r="I14" i="6"/>
  <c r="J15" i="6"/>
  <c r="I17" i="6"/>
  <c r="J17" i="6"/>
  <c r="H28" i="5"/>
  <c r="G28" i="5"/>
  <c r="H27" i="5"/>
  <c r="G24" i="5"/>
  <c r="G94" i="5"/>
  <c r="H94" i="5"/>
  <c r="H23" i="5"/>
  <c r="H83" i="5"/>
  <c r="G83" i="5"/>
  <c r="H89" i="5"/>
  <c r="I89" i="5"/>
  <c r="H17" i="5"/>
  <c r="H12" i="2"/>
  <c r="I12" i="2"/>
  <c r="I13" i="2"/>
  <c r="I10" i="2"/>
  <c r="G98" i="5"/>
  <c r="D13" i="8"/>
  <c r="G31" i="5"/>
  <c r="I31" i="5"/>
  <c r="I12" i="7"/>
  <c r="K12" i="7" s="1"/>
  <c r="H34" i="5"/>
  <c r="K13" i="7"/>
  <c r="H6" i="8"/>
  <c r="G30" i="5"/>
  <c r="I23" i="5"/>
  <c r="I12" i="1"/>
  <c r="J12" i="1"/>
  <c r="K12" i="1"/>
  <c r="G15" i="5"/>
  <c r="I15" i="5" s="1"/>
  <c r="L18" i="7"/>
  <c r="L19" i="7"/>
  <c r="I98" i="5"/>
  <c r="I28" i="5"/>
  <c r="L11" i="6"/>
  <c r="K18" i="7"/>
  <c r="K19" i="7"/>
  <c r="K11" i="7"/>
  <c r="K11" i="6"/>
  <c r="K7" i="6"/>
  <c r="L7" i="6"/>
  <c r="L12" i="1"/>
  <c r="L12" i="7"/>
  <c r="H7" i="8"/>
  <c r="G20" i="1"/>
  <c r="E20" i="1"/>
  <c r="H20" i="1" s="1"/>
  <c r="I20" i="1" s="1"/>
  <c r="G19" i="1"/>
  <c r="H19" i="1"/>
  <c r="E18" i="1"/>
  <c r="H18" i="1" s="1"/>
  <c r="G17" i="1"/>
  <c r="G8" i="1"/>
  <c r="D11" i="8" s="1"/>
  <c r="G9" i="1"/>
  <c r="G11" i="1"/>
  <c r="G13" i="1"/>
  <c r="G14" i="1"/>
  <c r="G15" i="1"/>
  <c r="H17" i="1"/>
  <c r="E15" i="1"/>
  <c r="H15" i="1"/>
  <c r="J15" i="1" s="1"/>
  <c r="E14" i="1"/>
  <c r="H14" i="1"/>
  <c r="E13" i="1"/>
  <c r="H13" i="1"/>
  <c r="I13" i="1" s="1"/>
  <c r="K13" i="1" s="1"/>
  <c r="E11" i="1"/>
  <c r="H11" i="1"/>
  <c r="E10" i="1"/>
  <c r="H10" i="1"/>
  <c r="J10" i="1" s="1"/>
  <c r="H9" i="1"/>
  <c r="E8" i="1"/>
  <c r="H8" i="1" s="1"/>
  <c r="E7" i="1"/>
  <c r="H7" i="1" s="1"/>
  <c r="J7" i="1" s="1"/>
  <c r="J19" i="1"/>
  <c r="K19" i="1" s="1"/>
  <c r="I19" i="1"/>
  <c r="J20" i="1"/>
  <c r="I17" i="1"/>
  <c r="L17" i="1" s="1"/>
  <c r="J17" i="1"/>
  <c r="J13" i="1"/>
  <c r="J9" i="1"/>
  <c r="I9" i="1"/>
  <c r="L9" i="1" s="1"/>
  <c r="I14" i="1"/>
  <c r="L14" i="1" s="1"/>
  <c r="J14" i="1"/>
  <c r="I11" i="1"/>
  <c r="J11" i="1"/>
  <c r="L11" i="1" s="1"/>
  <c r="J18" i="1"/>
  <c r="I18" i="1"/>
  <c r="K18" i="1" s="1"/>
  <c r="L20" i="1"/>
  <c r="L19" i="1"/>
  <c r="K17" i="1"/>
  <c r="K20" i="1"/>
  <c r="K9" i="1"/>
  <c r="K14" i="1"/>
  <c r="J8" i="1" l="1"/>
  <c r="I8" i="1"/>
  <c r="L8" i="1" s="1"/>
  <c r="K8" i="1"/>
  <c r="D15" i="8"/>
  <c r="D14" i="8"/>
  <c r="K11" i="1"/>
  <c r="H21" i="1"/>
  <c r="F11" i="8" s="1"/>
  <c r="I7" i="1"/>
  <c r="L13" i="1"/>
  <c r="I10" i="1"/>
  <c r="K10" i="1" s="1"/>
  <c r="C4" i="8"/>
  <c r="H8" i="2"/>
  <c r="J8" i="2" s="1"/>
  <c r="I8" i="2"/>
  <c r="J8" i="6"/>
  <c r="C5" i="8"/>
  <c r="I8" i="6"/>
  <c r="K8" i="6" s="1"/>
  <c r="J18" i="6"/>
  <c r="K18" i="6" s="1"/>
  <c r="I18" i="6"/>
  <c r="J15" i="7"/>
  <c r="K15" i="7" s="1"/>
  <c r="L18" i="1"/>
  <c r="L21" i="1" s="1"/>
  <c r="I15" i="1"/>
  <c r="L7" i="7"/>
  <c r="K7" i="7"/>
  <c r="H30" i="5"/>
  <c r="I30" i="5"/>
  <c r="G32" i="5"/>
  <c r="I32" i="5" s="1"/>
  <c r="H32" i="5"/>
  <c r="H97" i="5"/>
  <c r="I97" i="5" s="1"/>
  <c r="H88" i="5"/>
  <c r="G88" i="5"/>
  <c r="I88" i="5" s="1"/>
  <c r="G34" i="5"/>
  <c r="I34" i="5"/>
  <c r="H24" i="5"/>
  <c r="I24" i="5"/>
  <c r="J14" i="6"/>
  <c r="K14" i="6"/>
  <c r="L14" i="6"/>
  <c r="L8" i="7"/>
  <c r="J8" i="7"/>
  <c r="I8" i="7"/>
  <c r="H16" i="7" s="1"/>
  <c r="E13" i="8" s="1"/>
  <c r="C6" i="8"/>
  <c r="K8" i="7"/>
  <c r="I20" i="7"/>
  <c r="K20" i="7" s="1"/>
  <c r="L20" i="7"/>
  <c r="L17" i="6"/>
  <c r="L15" i="6"/>
  <c r="K15" i="6"/>
  <c r="G13" i="5"/>
  <c r="I13" i="5"/>
  <c r="H13" i="5"/>
  <c r="I99" i="5"/>
  <c r="H99" i="5"/>
  <c r="G99" i="5"/>
  <c r="H95" i="5"/>
  <c r="I95" i="5"/>
  <c r="G95" i="5"/>
  <c r="H90" i="5"/>
  <c r="G90" i="5"/>
  <c r="H29" i="5"/>
  <c r="G29" i="5"/>
  <c r="I29" i="5" s="1"/>
  <c r="G26" i="5"/>
  <c r="I26" i="5"/>
  <c r="H26" i="5"/>
  <c r="I17" i="5"/>
  <c r="I9" i="6"/>
  <c r="L9" i="6" s="1"/>
  <c r="K9" i="6"/>
  <c r="J9" i="6"/>
  <c r="I19" i="6"/>
  <c r="K19" i="6" s="1"/>
  <c r="J17" i="7"/>
  <c r="H21" i="7" s="1"/>
  <c r="F13" i="8" s="1"/>
  <c r="K17" i="7"/>
  <c r="L17" i="7"/>
  <c r="L21" i="7" s="1"/>
  <c r="C6" i="11"/>
  <c r="H7" i="9"/>
  <c r="G15" i="9" s="1"/>
  <c r="I7" i="9"/>
  <c r="J7" i="9"/>
  <c r="L10" i="1"/>
  <c r="G24" i="1"/>
  <c r="I96" i="5"/>
  <c r="G96" i="5"/>
  <c r="H96" i="5"/>
  <c r="C5" i="11"/>
  <c r="H92" i="5"/>
  <c r="I92" i="5" s="1"/>
  <c r="G85" i="5"/>
  <c r="H85" i="5"/>
  <c r="I85" i="5"/>
  <c r="J13" i="6"/>
  <c r="K13" i="6" s="1"/>
  <c r="L13" i="6"/>
  <c r="K9" i="7"/>
  <c r="J9" i="7"/>
  <c r="I9" i="7"/>
  <c r="L9" i="7" s="1"/>
  <c r="J13" i="2"/>
  <c r="I11" i="2"/>
  <c r="J11" i="2" s="1"/>
  <c r="I83" i="5"/>
  <c r="I20" i="6"/>
  <c r="J12" i="9"/>
  <c r="J9" i="2"/>
  <c r="H91" i="5"/>
  <c r="I91" i="5" s="1"/>
  <c r="H84" i="5"/>
  <c r="G93" i="5"/>
  <c r="K17" i="6"/>
  <c r="I13" i="9"/>
  <c r="H8" i="10"/>
  <c r="G15" i="10" s="1"/>
  <c r="H13" i="9"/>
  <c r="J13" i="9" s="1"/>
  <c r="I27" i="5"/>
  <c r="G12" i="5"/>
  <c r="H10" i="9"/>
  <c r="H18" i="5"/>
  <c r="I18" i="5" s="1"/>
  <c r="J12" i="2"/>
  <c r="H7" i="2"/>
  <c r="H87" i="5"/>
  <c r="I87" i="5" s="1"/>
  <c r="H16" i="5"/>
  <c r="I16" i="5" s="1"/>
  <c r="J10" i="6"/>
  <c r="K10" i="6" s="1"/>
  <c r="I12" i="6"/>
  <c r="J10" i="7"/>
  <c r="K10" i="7" s="1"/>
  <c r="L14" i="7"/>
  <c r="J8" i="9"/>
  <c r="J11" i="9"/>
  <c r="J11" i="10"/>
  <c r="I10" i="5"/>
  <c r="I84" i="5"/>
  <c r="I14" i="5"/>
  <c r="E19" i="5"/>
  <c r="F19" i="5" s="1"/>
  <c r="E42" i="5"/>
  <c r="G24" i="6"/>
  <c r="C7" i="11"/>
  <c r="I10" i="9"/>
  <c r="J10" i="9" s="1"/>
  <c r="I14" i="10"/>
  <c r="J14" i="10" s="1"/>
  <c r="I14" i="9"/>
  <c r="J14" i="9"/>
  <c r="C15" i="11"/>
  <c r="C16" i="11"/>
  <c r="J10" i="2"/>
  <c r="I94" i="5"/>
  <c r="H14" i="2"/>
  <c r="J14" i="2" s="1"/>
  <c r="I7" i="2"/>
  <c r="H12" i="5"/>
  <c r="I12" i="5" s="1"/>
  <c r="I93" i="5"/>
  <c r="J8" i="10"/>
  <c r="J12" i="10"/>
  <c r="J9" i="9"/>
  <c r="J7" i="10"/>
  <c r="G19" i="5" l="1"/>
  <c r="I19" i="5" s="1"/>
  <c r="I35" i="5" s="1"/>
  <c r="H19" i="5"/>
  <c r="J15" i="9"/>
  <c r="G6" i="11" s="1"/>
  <c r="I6" i="11" s="1"/>
  <c r="E6" i="11"/>
  <c r="D6" i="11"/>
  <c r="F6" i="11"/>
  <c r="D13" i="11" s="1"/>
  <c r="J15" i="10"/>
  <c r="G7" i="11" s="1"/>
  <c r="I7" i="11" s="1"/>
  <c r="D7" i="11"/>
  <c r="E7" i="11"/>
  <c r="F7" i="11" s="1"/>
  <c r="D14" i="11" s="1"/>
  <c r="K12" i="6"/>
  <c r="L12" i="6"/>
  <c r="J7" i="2"/>
  <c r="J15" i="2" s="1"/>
  <c r="G5" i="11" s="1"/>
  <c r="G15" i="2"/>
  <c r="E5" i="11"/>
  <c r="D5" i="11"/>
  <c r="C9" i="11"/>
  <c r="C8" i="11"/>
  <c r="F5" i="11"/>
  <c r="L19" i="6"/>
  <c r="I90" i="5"/>
  <c r="D6" i="8"/>
  <c r="F6" i="8" s="1"/>
  <c r="E6" i="8"/>
  <c r="L18" i="6"/>
  <c r="L10" i="6"/>
  <c r="E5" i="8"/>
  <c r="D5" i="8"/>
  <c r="F5" i="8" s="1"/>
  <c r="F100" i="5"/>
  <c r="K20" i="6"/>
  <c r="L20" i="6"/>
  <c r="L21" i="6" s="1"/>
  <c r="L22" i="6" s="1"/>
  <c r="H21" i="6"/>
  <c r="F12" i="8" s="1"/>
  <c r="L16" i="7"/>
  <c r="L22" i="7" s="1"/>
  <c r="L15" i="7"/>
  <c r="H16" i="6"/>
  <c r="E12" i="8" s="1"/>
  <c r="L8" i="6"/>
  <c r="L16" i="6" s="1"/>
  <c r="L7" i="1"/>
  <c r="H16" i="1"/>
  <c r="E11" i="8" s="1"/>
  <c r="K7" i="1"/>
  <c r="F42" i="5"/>
  <c r="E45" i="5"/>
  <c r="F45" i="5" s="1"/>
  <c r="F35" i="5"/>
  <c r="I100" i="5"/>
  <c r="G13" i="8"/>
  <c r="L10" i="7"/>
  <c r="K15" i="1"/>
  <c r="L15" i="1"/>
  <c r="C8" i="8"/>
  <c r="D4" i="8"/>
  <c r="E4" i="8"/>
  <c r="C7" i="8"/>
  <c r="G11" i="8"/>
  <c r="F15" i="8"/>
  <c r="F14" i="8"/>
  <c r="G6" i="8" l="1"/>
  <c r="I6" i="8" s="1"/>
  <c r="L24" i="7"/>
  <c r="G5" i="8"/>
  <c r="I5" i="8" s="1"/>
  <c r="L24" i="6"/>
  <c r="I13" i="8"/>
  <c r="H13" i="8"/>
  <c r="H45" i="5"/>
  <c r="G45" i="5"/>
  <c r="I45" i="5" s="1"/>
  <c r="E7" i="8"/>
  <c r="E8" i="8"/>
  <c r="F47" i="5"/>
  <c r="F48" i="5" s="1"/>
  <c r="G42" i="5"/>
  <c r="I42" i="5" s="1"/>
  <c r="I47" i="5" s="1"/>
  <c r="I48" i="5" s="1"/>
  <c r="I50" i="5" s="1"/>
  <c r="H42" i="5"/>
  <c r="G12" i="8"/>
  <c r="I12" i="8" s="1"/>
  <c r="G9" i="11"/>
  <c r="G8" i="11"/>
  <c r="I5" i="11"/>
  <c r="L16" i="1"/>
  <c r="L22" i="1" s="1"/>
  <c r="I11" i="8"/>
  <c r="H11" i="8"/>
  <c r="D8" i="8"/>
  <c r="D7" i="8"/>
  <c r="F4" i="8"/>
  <c r="E15" i="8"/>
  <c r="E14" i="8"/>
  <c r="D8" i="11"/>
  <c r="D9" i="11"/>
  <c r="D12" i="11"/>
  <c r="F8" i="11"/>
  <c r="F9" i="11"/>
  <c r="E8" i="11"/>
  <c r="E9" i="11"/>
  <c r="F7" i="8" l="1"/>
  <c r="F8" i="8"/>
  <c r="I9" i="11"/>
  <c r="I8" i="11"/>
  <c r="D15" i="11"/>
  <c r="D16" i="11"/>
  <c r="B18" i="11" s="1"/>
  <c r="G15" i="8"/>
  <c r="H14" i="8"/>
  <c r="H15" i="8"/>
  <c r="G4" i="8"/>
  <c r="L24" i="1"/>
  <c r="G14" i="8"/>
  <c r="I14" i="8"/>
  <c r="I15" i="8"/>
  <c r="I4" i="8" l="1"/>
  <c r="G7" i="8"/>
  <c r="G8" i="8"/>
  <c r="I8" i="8" l="1"/>
  <c r="B16" i="8" s="1"/>
  <c r="I7" i="8"/>
</calcChain>
</file>

<file path=xl/sharedStrings.xml><?xml version="1.0" encoding="utf-8"?>
<sst xmlns="http://schemas.openxmlformats.org/spreadsheetml/2006/main" count="505" uniqueCount="257">
  <si>
    <t>SUPPORTING STATEMENT</t>
  </si>
  <si>
    <t>ENVIRONMENTAL PROTECTION AGENCY</t>
  </si>
  <si>
    <t>National Emission Standards for Hazardous Air Pollutants for Printing, Coating, and Dyeing of Fabrics and Other Textiles (40 CFR Part 63, Subpart OOOO) (Amendments)</t>
  </si>
  <si>
    <t>ATTACHMENT 1</t>
  </si>
  <si>
    <t>TABLES 1, 2, 3, and 4</t>
  </si>
  <si>
    <t>Annual Respondent Burden and Cost of Recordkeeping and Reporting Requirements for the Printing, Coating, and Dyeing of Fabrics and Other Textiles NESHAP – Years 1-3 (Amendments)</t>
  </si>
  <si>
    <t>Summary of Annual Respondent Burden and Cost of Recordkeeping and Reporting Requirements for the Printing, Coating, and Dyeing of Fabrics and Other Textiles NESHAP (Amendments)</t>
  </si>
  <si>
    <t>ATTACHMENT 2</t>
  </si>
  <si>
    <t>TABLES 5, 6, 7, and 8</t>
  </si>
  <si>
    <r>
      <t xml:space="preserve">Annual Agency Burden and Cost of Recordkeeping and Reporting Requirements </t>
    </r>
    <r>
      <rPr>
        <sz val="12"/>
        <color theme="1"/>
        <rFont val="Times New Roman"/>
        <family val="1"/>
      </rPr>
      <t xml:space="preserve">for the Printing, Coating, and Dyeing of Fabrics and Other Textiles NESHAP </t>
    </r>
    <r>
      <rPr>
        <sz val="12"/>
        <color rgb="FF000000"/>
        <rFont val="Times New Roman"/>
        <family val="1"/>
      </rPr>
      <t xml:space="preserve">- Year 1-3 </t>
    </r>
    <r>
      <rPr>
        <sz val="12"/>
        <color theme="1"/>
        <rFont val="Times New Roman"/>
        <family val="1"/>
      </rPr>
      <t>(Amendments)</t>
    </r>
  </si>
  <si>
    <r>
      <t xml:space="preserve">Summary of Annual Agency Burden and Cost of Recordkeeping and Reporting Requirements </t>
    </r>
    <r>
      <rPr>
        <sz val="12"/>
        <color theme="1"/>
        <rFont val="Times New Roman"/>
        <family val="1"/>
      </rPr>
      <t>for the Printing, Coating, and Dyeing of Fabrics and Other Textiles NESHAP (Amendments)</t>
    </r>
  </si>
  <si>
    <t>Respondent Wages ($2016)</t>
  </si>
  <si>
    <t>Category (1)</t>
  </si>
  <si>
    <t>Hourly Mean Wage (2)</t>
  </si>
  <si>
    <t>Loaded Wage (3)</t>
  </si>
  <si>
    <t>Technical</t>
  </si>
  <si>
    <t>Clerical</t>
  </si>
  <si>
    <t>Managerial</t>
  </si>
  <si>
    <t>Footnotes:</t>
  </si>
  <si>
    <t xml:space="preserve">(1) The Wage categories "Technical," "Clerical," and "Managerial" refer to the labor category codes 11-3051, 43-6010, and 11-1021, respectively, in the United States Department of Labor, Bureau of Labor Statistics table titled "May 2016 National Industry-Specific Occupational Employment and Wage Estimates NAICS 313000 - Textile Mills," found here: </t>
  </si>
  <si>
    <t>https://www.bls.gov/oes/current/naics3_313000.htm</t>
  </si>
  <si>
    <t xml:space="preserve">(2) Selected "mean hourly wage" in the table referenced in footnote 1.  </t>
  </si>
  <si>
    <t xml:space="preserve">(3) Loaded Wage is the 2016 Wage increased by 110 percent to account for the benefit packages available to those employed by private industry. </t>
  </si>
  <si>
    <t>EPA Wages ($2016)</t>
  </si>
  <si>
    <t>Hourly Mean Wage</t>
  </si>
  <si>
    <t>Wage With  Fringe &amp; Overhead (2)</t>
  </si>
  <si>
    <t>(GS- 12, step 1) - Technical</t>
  </si>
  <si>
    <t>(GS- 13, step 5) - Managerial</t>
  </si>
  <si>
    <t>(GS-6, step 3) - Clerical</t>
  </si>
  <si>
    <t>(1) The hourly mean wage for each category is found here:</t>
  </si>
  <si>
    <t>https://www.opm.gov/policy-data-oversight/pay-leave/salaries-wages/salary-tables/17Tables/html/GS_h.aspx</t>
  </si>
  <si>
    <t xml:space="preserve">(2) Wage with fringe and overhead is the hourly mean wage increased by 60 percent to account for the benefit packages available to government employees.  </t>
  </si>
  <si>
    <t>Table 1: Annual Respondent Burden and Cost – NESHAP for Printing, Coating and Dyeing of Fabrics and Other Textiles (40 CFR Part 63, Subpart OOOO) (Amendments)</t>
  </si>
  <si>
    <t>Burden item</t>
  </si>
  <si>
    <t>(A)</t>
  </si>
  <si>
    <t>(B)</t>
  </si>
  <si>
    <t>(C)</t>
  </si>
  <si>
    <t>(D)</t>
  </si>
  <si>
    <t>(E)</t>
  </si>
  <si>
    <t>(F)</t>
  </si>
  <si>
    <t>(G)</t>
  </si>
  <si>
    <t>(H)</t>
  </si>
  <si>
    <t>Person - hours per occurrence</t>
  </si>
  <si>
    <t>No. of occurrence per respondent per year</t>
  </si>
  <si>
    <t>Person-hours per respondent per year</t>
  </si>
  <si>
    <r>
      <t xml:space="preserve">Respondents per year  </t>
    </r>
    <r>
      <rPr>
        <b/>
        <vertAlign val="superscript"/>
        <sz val="12"/>
        <color theme="1"/>
        <rFont val="Times New Roman"/>
        <family val="1"/>
      </rPr>
      <t>a</t>
    </r>
  </si>
  <si>
    <t>Technical Person - hours per year</t>
  </si>
  <si>
    <t>Management person-hours per year</t>
  </si>
  <si>
    <t>Clerical person - hours per year</t>
  </si>
  <si>
    <r>
      <t>Cost, $</t>
    </r>
    <r>
      <rPr>
        <b/>
        <vertAlign val="superscript"/>
        <sz val="12"/>
        <color theme="1"/>
        <rFont val="Times New Roman"/>
        <family val="1"/>
      </rPr>
      <t xml:space="preserve"> </t>
    </r>
    <r>
      <rPr>
        <b/>
        <vertAlign val="superscript"/>
        <sz val="15"/>
        <color theme="1"/>
        <rFont val="Times New Roman"/>
        <family val="1"/>
      </rPr>
      <t xml:space="preserve"> </t>
    </r>
    <r>
      <rPr>
        <b/>
        <vertAlign val="superscript"/>
        <sz val="12"/>
        <color theme="1"/>
        <rFont val="Times New Roman"/>
        <family val="1"/>
      </rPr>
      <t>b</t>
    </r>
  </si>
  <si>
    <t>(C=AxB)</t>
  </si>
  <si>
    <t>(E=CxD)</t>
  </si>
  <si>
    <t>(Ex0.05)</t>
  </si>
  <si>
    <t>(Ex0.1)</t>
  </si>
  <si>
    <t>coating and printing facilities</t>
  </si>
  <si>
    <t>1.  Applications</t>
  </si>
  <si>
    <t>N/A</t>
  </si>
  <si>
    <t>slashing, dyeing, and finishing facilities</t>
  </si>
  <si>
    <t>2.  Survey and Studies</t>
  </si>
  <si>
    <t>Total</t>
  </si>
  <si>
    <t>3.  Reporting Requirements</t>
  </si>
  <si>
    <t xml:space="preserve">   A.  Familiarization with rule requirement</t>
  </si>
  <si>
    <t xml:space="preserve">   B.  Required activities</t>
  </si>
  <si>
    <r>
      <t xml:space="preserve">       Initial oxidizer performance test </t>
    </r>
    <r>
      <rPr>
        <b/>
        <vertAlign val="superscript"/>
        <sz val="12"/>
        <color theme="1"/>
        <rFont val="Times New Roman"/>
        <family val="1"/>
      </rPr>
      <t>c, e</t>
    </r>
  </si>
  <si>
    <r>
      <t xml:space="preserve">       Repeat oxidizer performance test </t>
    </r>
    <r>
      <rPr>
        <b/>
        <vertAlign val="superscript"/>
        <sz val="12"/>
        <color theme="1"/>
        <rFont val="Times New Roman"/>
        <family val="1"/>
      </rPr>
      <t>c, e, f</t>
    </r>
    <r>
      <rPr>
        <vertAlign val="superscript"/>
        <sz val="12"/>
        <color theme="1"/>
        <rFont val="Times New Roman"/>
        <family val="1"/>
      </rPr>
      <t xml:space="preserve"> </t>
    </r>
  </si>
  <si>
    <r>
      <t xml:space="preserve">       Initial capture performance test </t>
    </r>
    <r>
      <rPr>
        <b/>
        <vertAlign val="superscript"/>
        <sz val="12"/>
        <color theme="1"/>
        <rFont val="Times New Roman"/>
        <family val="1"/>
      </rPr>
      <t>c, e</t>
    </r>
  </si>
  <si>
    <r>
      <t xml:space="preserve">       Repeat capture performance test </t>
    </r>
    <r>
      <rPr>
        <b/>
        <vertAlign val="superscript"/>
        <sz val="12"/>
        <color theme="1"/>
        <rFont val="Times New Roman"/>
        <family val="1"/>
      </rPr>
      <t>c, e, f</t>
    </r>
  </si>
  <si>
    <r>
      <t xml:space="preserve">       Startup, shutdown, malfunction plan </t>
    </r>
    <r>
      <rPr>
        <b/>
        <vertAlign val="superscript"/>
        <sz val="12"/>
        <color theme="1"/>
        <rFont val="Times New Roman"/>
        <family val="1"/>
      </rPr>
      <t>c</t>
    </r>
  </si>
  <si>
    <r>
      <t xml:space="preserve">       Solvent recovery system compliance determination </t>
    </r>
    <r>
      <rPr>
        <b/>
        <vertAlign val="superscript"/>
        <sz val="12"/>
        <color theme="1"/>
        <rFont val="Times New Roman"/>
        <family val="1"/>
      </rPr>
      <t>c, p</t>
    </r>
  </si>
  <si>
    <t xml:space="preserve">       Emission rate limit compliance determination  </t>
  </si>
  <si>
    <r>
      <t xml:space="preserve">       Coordination with suppliers </t>
    </r>
    <r>
      <rPr>
        <b/>
        <vertAlign val="superscript"/>
        <sz val="12"/>
        <color theme="1"/>
        <rFont val="Times New Roman"/>
        <family val="1"/>
      </rPr>
      <t>g</t>
    </r>
  </si>
  <si>
    <t xml:space="preserve">    C.  Create information</t>
  </si>
  <si>
    <t>See 4B</t>
  </si>
  <si>
    <t xml:space="preserve">    D.  Gather existing information</t>
  </si>
  <si>
    <t xml:space="preserve">    E.  Write report</t>
  </si>
  <si>
    <r>
      <t xml:space="preserve">        Initial notification </t>
    </r>
    <r>
      <rPr>
        <vertAlign val="superscript"/>
        <sz val="12"/>
        <color theme="1"/>
        <rFont val="Times New Roman"/>
        <family val="1"/>
      </rPr>
      <t>c</t>
    </r>
  </si>
  <si>
    <r>
      <t xml:space="preserve">        Notification of construction/reconstruction </t>
    </r>
    <r>
      <rPr>
        <b/>
        <vertAlign val="superscript"/>
        <sz val="12"/>
        <color theme="1"/>
        <rFont val="Times New Roman"/>
        <family val="1"/>
      </rPr>
      <t>c</t>
    </r>
  </si>
  <si>
    <r>
      <t xml:space="preserve">        Notification of anticipated startup </t>
    </r>
    <r>
      <rPr>
        <b/>
        <vertAlign val="superscript"/>
        <sz val="12"/>
        <color theme="1"/>
        <rFont val="Times New Roman"/>
        <family val="1"/>
      </rPr>
      <t>c</t>
    </r>
  </si>
  <si>
    <r>
      <t xml:space="preserve">        Notification of actual startup </t>
    </r>
    <r>
      <rPr>
        <b/>
        <vertAlign val="superscript"/>
        <sz val="12"/>
        <color theme="1"/>
        <rFont val="Times New Roman"/>
        <family val="1"/>
      </rPr>
      <t>c</t>
    </r>
  </si>
  <si>
    <r>
      <t xml:space="preserve">        Notification of compliance status </t>
    </r>
    <r>
      <rPr>
        <vertAlign val="superscript"/>
        <sz val="12"/>
        <color theme="1"/>
        <rFont val="Times New Roman"/>
        <family val="1"/>
      </rPr>
      <t>c</t>
    </r>
  </si>
  <si>
    <r>
      <t xml:space="preserve">        Notification of performance test </t>
    </r>
    <r>
      <rPr>
        <b/>
        <vertAlign val="superscript"/>
        <sz val="12"/>
        <color theme="1"/>
        <rFont val="Times New Roman"/>
        <family val="1"/>
      </rPr>
      <t>c, e</t>
    </r>
  </si>
  <si>
    <r>
      <t xml:space="preserve">        Performance test report </t>
    </r>
    <r>
      <rPr>
        <b/>
        <vertAlign val="superscript"/>
        <sz val="12"/>
        <color theme="1"/>
        <rFont val="Times New Roman"/>
        <family val="1"/>
      </rPr>
      <t>c,</t>
    </r>
    <r>
      <rPr>
        <b/>
        <sz val="10"/>
        <color theme="1"/>
        <rFont val="Times New Roman"/>
        <family val="1"/>
      </rPr>
      <t xml:space="preserve"> </t>
    </r>
    <r>
      <rPr>
        <b/>
        <vertAlign val="superscript"/>
        <sz val="12"/>
        <color theme="1"/>
        <rFont val="Times New Roman"/>
        <family val="1"/>
      </rPr>
      <t>e</t>
    </r>
  </si>
  <si>
    <r>
      <t xml:space="preserve">        Report of monitoring exceedances </t>
    </r>
    <r>
      <rPr>
        <b/>
        <vertAlign val="superscript"/>
        <sz val="12"/>
        <color theme="1"/>
        <rFont val="Times New Roman"/>
        <family val="1"/>
      </rPr>
      <t>c,</t>
    </r>
    <r>
      <rPr>
        <b/>
        <sz val="10"/>
        <color theme="1"/>
        <rFont val="Times New Roman"/>
        <family val="1"/>
      </rPr>
      <t xml:space="preserve"> </t>
    </r>
    <r>
      <rPr>
        <b/>
        <vertAlign val="superscript"/>
        <sz val="12"/>
        <color theme="1"/>
        <rFont val="Times New Roman"/>
        <family val="1"/>
      </rPr>
      <t>h, k</t>
    </r>
  </si>
  <si>
    <r>
      <t xml:space="preserve">        Report of no excess emissions </t>
    </r>
    <r>
      <rPr>
        <b/>
        <vertAlign val="superscript"/>
        <sz val="12"/>
        <color theme="1"/>
        <rFont val="Times New Roman"/>
        <family val="1"/>
      </rPr>
      <t>c, i,  k</t>
    </r>
  </si>
  <si>
    <r>
      <t xml:space="preserve">        Startup, shutdown, malfunction report </t>
    </r>
    <r>
      <rPr>
        <b/>
        <vertAlign val="superscript"/>
        <sz val="12"/>
        <color theme="1"/>
        <rFont val="Times New Roman"/>
        <family val="1"/>
      </rPr>
      <t>c, j, k</t>
    </r>
  </si>
  <si>
    <r>
      <t xml:space="preserve">        Report of compliance deviation </t>
    </r>
    <r>
      <rPr>
        <b/>
        <vertAlign val="superscript"/>
        <sz val="12"/>
        <color theme="1"/>
        <rFont val="Times New Roman"/>
        <family val="1"/>
      </rPr>
      <t>d, k, l</t>
    </r>
  </si>
  <si>
    <r>
      <t xml:space="preserve">        Report of no compliance deviations </t>
    </r>
    <r>
      <rPr>
        <b/>
        <vertAlign val="superscript"/>
        <sz val="12"/>
        <color theme="1"/>
        <rFont val="Times New Roman"/>
        <family val="1"/>
      </rPr>
      <t>d, k, m</t>
    </r>
  </si>
  <si>
    <t>Subtotal for Reporting Requirements</t>
  </si>
  <si>
    <t>4.  Recordkeeping Requirements</t>
  </si>
  <si>
    <t xml:space="preserve">    A.  Familiarization with rule requirement</t>
  </si>
  <si>
    <t xml:space="preserve">    B.  Plan activities</t>
  </si>
  <si>
    <t xml:space="preserve">    C.  Implement activities </t>
  </si>
  <si>
    <t xml:space="preserve">    D.  Develop record system</t>
  </si>
  <si>
    <t xml:space="preserve"> </t>
  </si>
  <si>
    <t xml:space="preserve">    E.  Time to enter information</t>
  </si>
  <si>
    <r>
      <t xml:space="preserve">        Records of all information required by standards </t>
    </r>
    <r>
      <rPr>
        <b/>
        <vertAlign val="superscript"/>
        <sz val="12"/>
        <color theme="1"/>
        <rFont val="Times New Roman"/>
        <family val="1"/>
      </rPr>
      <t>n</t>
    </r>
  </si>
  <si>
    <t xml:space="preserve">    F.  Time to train personnel</t>
  </si>
  <si>
    <t xml:space="preserve">    G. Time to adjust existing ways to comply with previously applicable requirements                       </t>
  </si>
  <si>
    <r>
      <t xml:space="preserve">    H. Time to transmit or disclose information </t>
    </r>
    <r>
      <rPr>
        <b/>
        <vertAlign val="superscript"/>
        <sz val="10"/>
        <color theme="1"/>
        <rFont val="Times New Roman"/>
        <family val="1"/>
      </rPr>
      <t>o</t>
    </r>
  </si>
  <si>
    <t xml:space="preserve">     I. Time for audits </t>
  </si>
  <si>
    <t>Subtotal for Recordkeeping Requirements</t>
  </si>
  <si>
    <r>
      <t xml:space="preserve">TOTAL LABOR BURDEN AND COST </t>
    </r>
    <r>
      <rPr>
        <b/>
        <vertAlign val="superscript"/>
        <sz val="10"/>
        <rFont val="Times New Roman"/>
        <family val="1"/>
      </rPr>
      <t>q</t>
    </r>
  </si>
  <si>
    <r>
      <t xml:space="preserve">Capital and O&amp;M Cost (see Section 6(b)(iii)): </t>
    </r>
    <r>
      <rPr>
        <b/>
        <vertAlign val="superscript"/>
        <sz val="10"/>
        <rFont val="Times New Roman"/>
        <family val="1"/>
      </rPr>
      <t>q</t>
    </r>
  </si>
  <si>
    <r>
      <t xml:space="preserve">TOTAL COST: </t>
    </r>
    <r>
      <rPr>
        <b/>
        <vertAlign val="superscript"/>
        <sz val="10"/>
        <rFont val="Times New Roman"/>
        <family val="1"/>
      </rPr>
      <t>q</t>
    </r>
  </si>
  <si>
    <t>Assumptions:</t>
  </si>
  <si>
    <r>
      <t>a</t>
    </r>
    <r>
      <rPr>
        <sz val="10"/>
        <color theme="1"/>
        <rFont val="Times New Roman"/>
        <family val="1"/>
      </rPr>
      <t xml:space="preserve">  We have assumed that the average number of respondents that will be subject to the rule will be 146, which equates to 69 coating and printing sources, and 74 slashing, dyeing, and finishing sources.  There will </t>
    </r>
  </si>
  <si>
    <t xml:space="preserve">be one additional new source per year that will become subject to the rule over the three-year period of this ICR. </t>
  </si>
  <si>
    <r>
      <t>b</t>
    </r>
    <r>
      <rPr>
        <sz val="10"/>
        <color theme="1"/>
        <rFont val="Times New Roman"/>
        <family val="1"/>
      </rPr>
      <t xml:space="preserve">  This ICR uses the following labor rates: $120.22 per hour for Executive, Administrative, and Managerial labor; $94.79 per hour for Technical labor, and $38.03 per hour for Clerical labor.  These rates are from the </t>
    </r>
  </si>
  <si>
    <t>United States Department of Labor, Bureau of Labor Statistics,  "May 2016 National Industry-Specific Occupational Employment and Wage Estimates NAICS 313000 - Textile Mills."  The rates are from</t>
  </si>
  <si>
    <t xml:space="preserve"> column 1, “Total Compensation.”  The rates have been increased by 110% to account for the benefit packages available to those employed by private industry.</t>
  </si>
  <si>
    <r>
      <t>c</t>
    </r>
    <r>
      <rPr>
        <sz val="10"/>
        <color theme="1"/>
        <rFont val="Times New Roman"/>
        <family val="1"/>
      </rPr>
      <t xml:space="preserve">  This applies only to coating and printing facilities.</t>
    </r>
  </si>
  <si>
    <r>
      <t>d</t>
    </r>
    <r>
      <rPr>
        <sz val="10"/>
        <color theme="1"/>
        <rFont val="Times New Roman"/>
        <family val="1"/>
      </rPr>
      <t xml:space="preserve">  This applies only to slashing, dyeing and finishing facilities.</t>
    </r>
  </si>
  <si>
    <r>
      <t>e</t>
    </r>
    <r>
      <rPr>
        <sz val="10"/>
        <color theme="1"/>
        <rFont val="Times New Roman"/>
        <family val="1"/>
      </rPr>
      <t xml:space="preserve">  Occurs one time for new sources and involves one-time startup costs associated with initial compliance determination and acquisition, installation, and utilization of technology and systems needed to support</t>
    </r>
  </si>
  <si>
    <t>recordkeeping and reporting.</t>
  </si>
  <si>
    <r>
      <t>f</t>
    </r>
    <r>
      <rPr>
        <sz val="10"/>
        <color theme="1"/>
        <rFont val="Times New Roman"/>
        <family val="1"/>
      </rPr>
      <t xml:space="preserve">   It is assumed that 20 percent of respondents will have to repeat performance tests. </t>
    </r>
  </si>
  <si>
    <r>
      <t xml:space="preserve">g </t>
    </r>
    <r>
      <rPr>
        <sz val="10"/>
        <color theme="1"/>
        <rFont val="Times New Roman"/>
        <family val="1"/>
      </rPr>
      <t xml:space="preserve"> We have assumed that it will take 40 hours for each respondent to coordinate with suppliers.</t>
    </r>
  </si>
  <si>
    <r>
      <t>h</t>
    </r>
    <r>
      <rPr>
        <sz val="10"/>
        <color theme="1"/>
        <rFont val="Times New Roman"/>
        <family val="1"/>
      </rPr>
      <t xml:space="preserve">  We have assumed that 10 percent of respondents will report monitoring exceedances.</t>
    </r>
  </si>
  <si>
    <r>
      <t>i</t>
    </r>
    <r>
      <rPr>
        <sz val="10"/>
        <color theme="1"/>
        <rFont val="Times New Roman"/>
        <family val="1"/>
      </rPr>
      <t xml:space="preserve">   We have assumed that 90 percent of respondents will report no excess emissions.</t>
    </r>
  </si>
  <si>
    <r>
      <t>j</t>
    </r>
    <r>
      <rPr>
        <sz val="10"/>
        <color theme="1"/>
        <rFont val="Times New Roman"/>
        <family val="1"/>
      </rPr>
      <t xml:space="preserve">   We have assumed that 10 percent of respondents will file a startup, shutdown, malfunction reports.</t>
    </r>
  </si>
  <si>
    <r>
      <t>k</t>
    </r>
    <r>
      <rPr>
        <sz val="10"/>
        <color theme="1"/>
        <rFont val="Times New Roman"/>
        <family val="1"/>
      </rPr>
      <t xml:space="preserve">  Semiannual reports are required.</t>
    </r>
  </si>
  <si>
    <r>
      <t>l</t>
    </r>
    <r>
      <rPr>
        <sz val="10"/>
        <color theme="1"/>
        <rFont val="Times New Roman"/>
        <family val="1"/>
      </rPr>
      <t xml:space="preserve">   It is assumed that 10 percent of respondents will report compliance deviations.</t>
    </r>
  </si>
  <si>
    <r>
      <t>m</t>
    </r>
    <r>
      <rPr>
        <sz val="10"/>
        <color theme="1"/>
        <rFont val="Times New Roman"/>
        <family val="1"/>
      </rPr>
      <t xml:space="preserve"> It is assumed that 90 percent of respondents will report no compliance deviations.</t>
    </r>
  </si>
  <si>
    <r>
      <t>n</t>
    </r>
    <r>
      <rPr>
        <sz val="10"/>
        <color theme="1"/>
        <rFont val="Times New Roman"/>
        <family val="1"/>
      </rPr>
      <t xml:space="preserve">  It is assumed that all of the respondents will be required to record information on a weekly basis.</t>
    </r>
  </si>
  <si>
    <r>
      <t>o</t>
    </r>
    <r>
      <rPr>
        <sz val="10"/>
        <color theme="1"/>
        <rFont val="Times New Roman"/>
        <family val="1"/>
      </rPr>
      <t xml:space="preserve">  It is assumed that respondents will be required to transmit/disclose information on a semiannual basis. </t>
    </r>
  </si>
  <si>
    <r>
      <t>p</t>
    </r>
    <r>
      <rPr>
        <sz val="10"/>
        <color theme="1"/>
        <rFont val="Times New Roman"/>
        <family val="1"/>
      </rPr>
      <t xml:space="preserve">  It is assumed that 20 percent of the coating and printing facilities will use solvent recovery equipment.</t>
    </r>
  </si>
  <si>
    <r>
      <t xml:space="preserve">q </t>
    </r>
    <r>
      <rPr>
        <sz val="10"/>
        <color theme="1"/>
        <rFont val="Times New Roman"/>
        <family val="1"/>
      </rPr>
      <t>Totals have been rounded to 3 significant values.  Figures may not add exactly due to rounding.</t>
    </r>
  </si>
  <si>
    <t>Table 2: Average Annual EPA Burden and Cost – NESHAP for Printing, Coating and Dyeing of Fabrics and Other Textiles (40 CFR Part 63, Subpart OOOO) (Amendments)</t>
  </si>
  <si>
    <t>Activity</t>
  </si>
  <si>
    <t>EPA person- hours per occurrence</t>
  </si>
  <si>
    <t>No. of occurrences per plant per year</t>
  </si>
  <si>
    <t>EPA person hours per plant per year</t>
  </si>
  <si>
    <r>
      <t xml:space="preserve">Plants per year </t>
    </r>
    <r>
      <rPr>
        <b/>
        <vertAlign val="superscript"/>
        <sz val="12"/>
        <color theme="1"/>
        <rFont val="Times New Roman"/>
        <family val="1"/>
      </rPr>
      <t>a</t>
    </r>
  </si>
  <si>
    <t>Technical person-hours per year</t>
  </si>
  <si>
    <t>Clerical person- hours per year</t>
  </si>
  <si>
    <r>
      <t xml:space="preserve">Cost, $ </t>
    </r>
    <r>
      <rPr>
        <b/>
        <vertAlign val="superscript"/>
        <sz val="12"/>
        <color theme="1"/>
        <rFont val="Times New Roman"/>
        <family val="1"/>
      </rPr>
      <t>b</t>
    </r>
  </si>
  <si>
    <r>
      <t xml:space="preserve">1.  Initial performance test </t>
    </r>
    <r>
      <rPr>
        <b/>
        <vertAlign val="superscript"/>
        <sz val="12"/>
        <color theme="1"/>
        <rFont val="Times New Roman"/>
        <family val="1"/>
      </rPr>
      <t>c</t>
    </r>
  </si>
  <si>
    <r>
      <t xml:space="preserve">2.  Repeat performance test preparations </t>
    </r>
    <r>
      <rPr>
        <b/>
        <vertAlign val="superscript"/>
        <sz val="12"/>
        <color theme="1"/>
        <rFont val="Times New Roman"/>
        <family val="1"/>
      </rPr>
      <t>c, e</t>
    </r>
  </si>
  <si>
    <r>
      <t xml:space="preserve">3.   Repeat performance test </t>
    </r>
    <r>
      <rPr>
        <b/>
        <vertAlign val="superscript"/>
        <sz val="12"/>
        <color theme="1"/>
        <rFont val="Times New Roman"/>
        <family val="1"/>
      </rPr>
      <t>c, e</t>
    </r>
  </si>
  <si>
    <t>4.   Report Review</t>
  </si>
  <si>
    <t xml:space="preserve">        Notification of applicability</t>
  </si>
  <si>
    <t xml:space="preserve">        Notification of construction/ reconstruction</t>
  </si>
  <si>
    <t xml:space="preserve">        Notification of anticipated startup</t>
  </si>
  <si>
    <t xml:space="preserve">        Notification of actual startup</t>
  </si>
  <si>
    <r>
      <t xml:space="preserve">        Notification of initial performance test </t>
    </r>
    <r>
      <rPr>
        <b/>
        <vertAlign val="superscript"/>
        <sz val="12"/>
        <color theme="1"/>
        <rFont val="Times New Roman"/>
        <family val="1"/>
      </rPr>
      <t>c</t>
    </r>
  </si>
  <si>
    <r>
      <t xml:space="preserve">        Notification of compliance status </t>
    </r>
    <r>
      <rPr>
        <b/>
        <vertAlign val="superscript"/>
        <sz val="12"/>
        <color theme="1"/>
        <rFont val="Times New Roman"/>
        <family val="1"/>
      </rPr>
      <t>c</t>
    </r>
  </si>
  <si>
    <r>
      <t xml:space="preserve">        Review of initial performance test report </t>
    </r>
    <r>
      <rPr>
        <b/>
        <vertAlign val="superscript"/>
        <sz val="12"/>
        <color theme="1"/>
        <rFont val="Times New Roman"/>
        <family val="1"/>
      </rPr>
      <t>c</t>
    </r>
  </si>
  <si>
    <r>
      <t xml:space="preserve">        Review of repeat performance test report </t>
    </r>
    <r>
      <rPr>
        <b/>
        <vertAlign val="superscript"/>
        <sz val="12"/>
        <color theme="1"/>
        <rFont val="Times New Roman"/>
        <family val="1"/>
      </rPr>
      <t>c, f</t>
    </r>
  </si>
  <si>
    <r>
      <t xml:space="preserve">        Review of excess emissions report </t>
    </r>
    <r>
      <rPr>
        <b/>
        <vertAlign val="superscript"/>
        <sz val="12"/>
        <color theme="1"/>
        <rFont val="Times New Roman"/>
        <family val="1"/>
      </rPr>
      <t>c, g</t>
    </r>
  </si>
  <si>
    <r>
      <t xml:space="preserve">        Review of no excess emissions report </t>
    </r>
    <r>
      <rPr>
        <b/>
        <vertAlign val="superscript"/>
        <sz val="12"/>
        <color theme="1"/>
        <rFont val="Times New Roman"/>
        <family val="1"/>
      </rPr>
      <t>c, h</t>
    </r>
  </si>
  <si>
    <r>
      <t xml:space="preserve">        Review of startup, shutdown, malfunction reports </t>
    </r>
    <r>
      <rPr>
        <b/>
        <vertAlign val="superscript"/>
        <sz val="12"/>
        <color theme="1"/>
        <rFont val="Times New Roman"/>
        <family val="1"/>
      </rPr>
      <t>c, i</t>
    </r>
  </si>
  <si>
    <r>
      <t xml:space="preserve">        Review of compliance deviations report </t>
    </r>
    <r>
      <rPr>
        <b/>
        <vertAlign val="superscript"/>
        <sz val="12"/>
        <color theme="1"/>
        <rFont val="Times New Roman"/>
        <family val="1"/>
      </rPr>
      <t>d, j</t>
    </r>
  </si>
  <si>
    <r>
      <t xml:space="preserve">       Review of no compliance deviations reports </t>
    </r>
    <r>
      <rPr>
        <b/>
        <vertAlign val="superscript"/>
        <sz val="12"/>
        <color theme="1"/>
        <rFont val="Times New Roman"/>
        <family val="1"/>
      </rPr>
      <t>d, k</t>
    </r>
  </si>
  <si>
    <r>
      <t xml:space="preserve">TOTAL ANNUAL BURDEN AND COST </t>
    </r>
    <r>
      <rPr>
        <b/>
        <vertAlign val="superscript"/>
        <sz val="10"/>
        <color theme="1"/>
        <rFont val="Times New Roman"/>
        <family val="1"/>
      </rPr>
      <t>l</t>
    </r>
  </si>
  <si>
    <r>
      <t xml:space="preserve">a </t>
    </r>
    <r>
      <rPr>
        <sz val="10"/>
        <color theme="1"/>
        <rFont val="Times New Roman"/>
        <family val="1"/>
      </rPr>
      <t xml:space="preserve"> We have assumed that the average number of respondents that will be subject to the rule will be 145, which equates to 70 coating and printing sources, and 75 </t>
    </r>
  </si>
  <si>
    <t>slashing, dyeing, and finishing sources.  There will be one additional new source per year that will become subject to the rule over the three-year period of this ICR.</t>
  </si>
  <si>
    <r>
      <t xml:space="preserve">b </t>
    </r>
    <r>
      <rPr>
        <sz val="10"/>
        <color theme="1"/>
        <rFont val="Times New Roman"/>
        <family val="1"/>
      </rPr>
      <t xml:space="preserve"> This cost is based on the following labor rates which incorporate a 1.6 benefits multiplication factor to account for government overhead expenses:  Managerial rate of $62.90 (GS-13, Step 5, $39.31 x 1.6), Technical rate </t>
    </r>
  </si>
  <si>
    <t>of $46.67 (GS-12, Step 1, $29.17 x 1.6), and Clerical rate of $25.25 (GS-6, Step 3, $15.78 x 1.6).  These  rates are from the Office of Personnel Management (OPM) “2015 General Schedule” which excludes locality rates of pay.</t>
  </si>
  <si>
    <r>
      <t>c</t>
    </r>
    <r>
      <rPr>
        <sz val="10"/>
        <color theme="1"/>
        <rFont val="Times New Roman"/>
        <family val="1"/>
      </rPr>
      <t xml:space="preserve">  This applies only to coating and printing facilities. </t>
    </r>
  </si>
  <si>
    <r>
      <t>d</t>
    </r>
    <r>
      <rPr>
        <sz val="10"/>
        <color theme="1"/>
        <rFont val="Times New Roman"/>
        <family val="1"/>
      </rPr>
      <t xml:space="preserve">  This applies only to slashing, dyeing and finishing facilities. </t>
    </r>
  </si>
  <si>
    <r>
      <t>e</t>
    </r>
    <r>
      <rPr>
        <sz val="10"/>
        <color theme="1"/>
        <rFont val="Times New Roman"/>
        <family val="1"/>
      </rPr>
      <t xml:space="preserve">  We have assumed that 10 percent of new sources will have to repeat performance test preparations and testing.</t>
    </r>
  </si>
  <si>
    <r>
      <t>f</t>
    </r>
    <r>
      <rPr>
        <sz val="10"/>
        <color theme="1"/>
        <rFont val="Times New Roman"/>
        <family val="1"/>
      </rPr>
      <t xml:space="preserve">  Assume that 10 percent of new sources will review the repeat performance test report.</t>
    </r>
  </si>
  <si>
    <r>
      <t>g</t>
    </r>
    <r>
      <rPr>
        <sz val="10"/>
        <color theme="1"/>
        <rFont val="Times New Roman"/>
        <family val="1"/>
      </rPr>
      <t xml:space="preserve">  We have assumed that 10 percent of respondents will be engaged in the reviewing of excess emissions reports.</t>
    </r>
  </si>
  <si>
    <r>
      <t>h</t>
    </r>
    <r>
      <rPr>
        <sz val="10"/>
        <color theme="1"/>
        <rFont val="Times New Roman"/>
        <family val="1"/>
      </rPr>
      <t xml:space="preserve">  We have assumed that 90 percent of respondents will be engaged in the reviewing of no excess emissions reports.</t>
    </r>
  </si>
  <si>
    <r>
      <t>i</t>
    </r>
    <r>
      <rPr>
        <sz val="10"/>
        <color theme="1"/>
        <rFont val="Times New Roman"/>
        <family val="1"/>
      </rPr>
      <t xml:space="preserve">  We have assumed that 10 percent of respondents will have to review the startup, shutdown, malfunction reports.</t>
    </r>
  </si>
  <si>
    <r>
      <t>j</t>
    </r>
    <r>
      <rPr>
        <sz val="10"/>
        <color theme="1"/>
        <rFont val="Times New Roman"/>
        <family val="1"/>
      </rPr>
      <t xml:space="preserve">  We have assumed that 10 percent of respondents will review the compliance deviations report.</t>
    </r>
  </si>
  <si>
    <r>
      <t>k</t>
    </r>
    <r>
      <rPr>
        <sz val="10"/>
        <color theme="1"/>
        <rFont val="Times New Roman"/>
        <family val="1"/>
      </rPr>
      <t xml:space="preserve">  We have assumed that 90 percent of respondents will review the no compliance deviations report.</t>
    </r>
  </si>
  <si>
    <r>
      <t xml:space="preserve">l </t>
    </r>
    <r>
      <rPr>
        <sz val="10"/>
        <color theme="1"/>
        <rFont val="Times New Roman"/>
        <family val="1"/>
      </rPr>
      <t>Totals have been rounded to 3 significant values.  Figures may not add exactly due to rounding.</t>
    </r>
  </si>
  <si>
    <t>Table 1 - Annual Respondent Burden and Cost of Recordkeeping and Reporting Requirements for the Printing, Coating, and Dyeing of Fabrics and Other Textiles NESHAP - Year 1 (Amendments)</t>
  </si>
  <si>
    <t>(I)</t>
  </si>
  <si>
    <t>(J)</t>
  </si>
  <si>
    <t>Person hours per occurrence</t>
  </si>
  <si>
    <t>No. of occurrences per respondent per year</t>
  </si>
  <si>
    <t>Person hours per respondent per year (C=AxB)</t>
  </si>
  <si>
    <r>
      <t xml:space="preserve">Respondents per year  </t>
    </r>
    <r>
      <rPr>
        <b/>
        <vertAlign val="superscript"/>
        <sz val="8"/>
        <color theme="1"/>
        <rFont val="Arial"/>
        <family val="2"/>
      </rPr>
      <t>a</t>
    </r>
  </si>
  <si>
    <t>Total Number of Responses per Year
(E=BXD)</t>
  </si>
  <si>
    <t>Technical person- hours per year 
(F=CxD)</t>
  </si>
  <si>
    <t>Management person hours per year (G=Fx0.05)</t>
  </si>
  <si>
    <t>Clerical person hours per year (H=Fx0.1)</t>
  </si>
  <si>
    <t>Total Hours per Year
(I=F+G+H)</t>
  </si>
  <si>
    <r>
      <t xml:space="preserve">Total Cost Per year </t>
    </r>
    <r>
      <rPr>
        <b/>
        <vertAlign val="superscript"/>
        <sz val="8"/>
        <color theme="1"/>
        <rFont val="Arial"/>
        <family val="2"/>
      </rPr>
      <t>b</t>
    </r>
    <r>
      <rPr>
        <b/>
        <sz val="8"/>
        <color theme="1"/>
        <rFont val="Arial"/>
        <family val="2"/>
      </rPr>
      <t xml:space="preserve"> </t>
    </r>
  </si>
  <si>
    <r>
      <t xml:space="preserve">1   Familiarization with rule requirements </t>
    </r>
    <r>
      <rPr>
        <vertAlign val="superscript"/>
        <sz val="9"/>
        <color theme="1"/>
        <rFont val="Arial"/>
        <family val="2"/>
      </rPr>
      <t>c</t>
    </r>
  </si>
  <si>
    <t>2   Plan activities</t>
  </si>
  <si>
    <r>
      <t xml:space="preserve">3   Training </t>
    </r>
    <r>
      <rPr>
        <vertAlign val="superscript"/>
        <sz val="9"/>
        <color theme="1"/>
        <rFont val="Arial"/>
        <family val="2"/>
      </rPr>
      <t>d</t>
    </r>
  </si>
  <si>
    <r>
      <t xml:space="preserve">Due To Final Revisions </t>
    </r>
    <r>
      <rPr>
        <vertAlign val="superscript"/>
        <sz val="9"/>
        <color theme="1"/>
        <rFont val="Arial"/>
        <family val="2"/>
      </rPr>
      <t>e</t>
    </r>
  </si>
  <si>
    <r>
      <t xml:space="preserve">4   Add-on control performance test </t>
    </r>
    <r>
      <rPr>
        <vertAlign val="superscript"/>
        <sz val="9"/>
        <color theme="1"/>
        <rFont val="Arial"/>
        <family val="2"/>
      </rPr>
      <t>f</t>
    </r>
  </si>
  <si>
    <r>
      <t xml:space="preserve">Repeat performance test </t>
    </r>
    <r>
      <rPr>
        <vertAlign val="superscript"/>
        <sz val="9"/>
        <color theme="1"/>
        <rFont val="Arial"/>
        <family val="2"/>
      </rPr>
      <t>g</t>
    </r>
  </si>
  <si>
    <r>
      <t xml:space="preserve">5   Gather info, monitor, inspect, and determine complaince </t>
    </r>
    <r>
      <rPr>
        <vertAlign val="superscript"/>
        <sz val="9"/>
        <color theme="1"/>
        <rFont val="Arial"/>
        <family val="2"/>
      </rPr>
      <t>h</t>
    </r>
  </si>
  <si>
    <r>
      <t xml:space="preserve">6   Process/compile and review </t>
    </r>
    <r>
      <rPr>
        <vertAlign val="superscript"/>
        <sz val="9"/>
        <color theme="1"/>
        <rFont val="Arial"/>
        <family val="2"/>
      </rPr>
      <t>i</t>
    </r>
  </si>
  <si>
    <r>
      <t xml:space="preserve">7   Complete notifications and reports </t>
    </r>
    <r>
      <rPr>
        <vertAlign val="superscript"/>
        <sz val="9"/>
        <color theme="1"/>
        <rFont val="Arial"/>
        <family val="2"/>
      </rPr>
      <t>j</t>
    </r>
  </si>
  <si>
    <r>
      <t xml:space="preserve">8   Record/transmit/disclose </t>
    </r>
    <r>
      <rPr>
        <vertAlign val="superscript"/>
        <sz val="9"/>
        <color theme="1"/>
        <rFont val="Arial"/>
        <family val="2"/>
      </rPr>
      <t>k</t>
    </r>
  </si>
  <si>
    <r>
      <t xml:space="preserve">Due To Final Revisions </t>
    </r>
    <r>
      <rPr>
        <vertAlign val="superscript"/>
        <sz val="9"/>
        <color theme="1"/>
        <rFont val="Arial"/>
        <family val="2"/>
      </rPr>
      <t>l</t>
    </r>
  </si>
  <si>
    <r>
      <t xml:space="preserve">9   Store/file </t>
    </r>
    <r>
      <rPr>
        <vertAlign val="superscript"/>
        <sz val="9"/>
        <color theme="1"/>
        <rFont val="Arial"/>
        <family val="2"/>
      </rPr>
      <t>m</t>
    </r>
  </si>
  <si>
    <t>10  Reporting and recordkeeping</t>
  </si>
  <si>
    <t>TOTAL LABOR BURDEN AND COST (rounded)</t>
  </si>
  <si>
    <t>Capital and O&amp;M Cost (see Section 6(b)(iii)):</t>
  </si>
  <si>
    <t>TOTAL COST</t>
  </si>
  <si>
    <r>
      <t>a</t>
    </r>
    <r>
      <rPr>
        <sz val="9"/>
        <color theme="1"/>
        <rFont val="Arial"/>
        <family val="2"/>
      </rPr>
      <t xml:space="preserve">  It is assumed that there are fourty two sources that are subject to the standard, and no additional new sources will become subject to the rule over the next three years.</t>
    </r>
  </si>
  <si>
    <r>
      <t>b</t>
    </r>
    <r>
      <rPr>
        <sz val="9"/>
        <color theme="1"/>
        <rFont val="Arial"/>
        <family val="2"/>
      </rPr>
      <t xml:space="preserve"> This ICR uses the following labor rates: $120.22 per hour for Executive, Administrative, and Managerial labor; $94.79 per hour for Technical labor, and $38.03 per hour for Clerical labor.  These rates are from the United States Department of Labor, Bureau of Labor Statistics,  "May 2016 National Industry-Specific Occupational Employment and Wage Estimates NAICS 313000 - Textile Mills."  The rates are from column 1, “Total Compensation.”  The rates have been increased by 110% to account for the benefit packages available to those employed by private industry.</t>
    </r>
  </si>
  <si>
    <r>
      <t>c</t>
    </r>
    <r>
      <rPr>
        <sz val="9"/>
        <color theme="1"/>
        <rFont val="Arial"/>
        <family val="2"/>
      </rPr>
      <t xml:space="preserve">  It is assumed that each respondent will take 4 hours to read the rule and instructions.</t>
    </r>
  </si>
  <si>
    <r>
      <t>d</t>
    </r>
    <r>
      <rPr>
        <sz val="9"/>
        <color theme="1"/>
        <rFont val="Arial"/>
        <family val="2"/>
      </rPr>
      <t xml:space="preserve">  The current ICR assumes each respondent will take eight hours, once per year to plan activities and train staff. The final RTR amendments do not impact this item.</t>
    </r>
  </si>
  <si>
    <r>
      <t>e</t>
    </r>
    <r>
      <rPr>
        <sz val="9"/>
        <color theme="1"/>
        <rFont val="Arial"/>
        <family val="2"/>
      </rPr>
      <t xml:space="preserve">  EPA did not identify any add-on control technologies, other equipment or work practices and procedures that had not previously been considered during development of the NESHAP, nor did we identify any developments since the promulgation of the NESHAP. Therefore, no additional training is required.</t>
    </r>
  </si>
  <si>
    <r>
      <t>f</t>
    </r>
    <r>
      <rPr>
        <sz val="9"/>
        <color theme="1"/>
        <rFont val="Arial"/>
        <family val="2"/>
      </rPr>
      <t xml:space="preserve">  Facilities that comply using emission capture systems and add-on controls conduct air emissions performance testing, within 3 years of the effective date of the revised standards. Labor totals include hours for the facility to obtain the testing contractor, plan and attend the test, review the test report, and load it to ERT. Eighteen process lines have add-on controls and would require testing in year 3 due to the final revisions. The 18 does not include other lines also with add-on controls that are already required to periodically test because of state operating permit conditions.</t>
    </r>
  </si>
  <si>
    <r>
      <t>g</t>
    </r>
    <r>
      <rPr>
        <sz val="9"/>
        <color theme="1"/>
        <rFont val="Arial"/>
        <family val="2"/>
      </rPr>
      <t xml:space="preserve">  It is assumed that 20 percent of respondents will have to repeat performance tests. </t>
    </r>
  </si>
  <si>
    <r>
      <t>h</t>
    </r>
    <r>
      <rPr>
        <sz val="9"/>
        <color theme="1"/>
        <rFont val="Arial"/>
        <family val="2"/>
      </rPr>
      <t xml:space="preserve">  The final RTR amendments do not impact this item. The current ICR assumes each respondent will take twelve hours, twelve times per year to complete task. Labor totals include hours for the facility to coordinate with suppliers, and gather information on monitoring and emissions. </t>
    </r>
  </si>
  <si>
    <r>
      <t>i</t>
    </r>
    <r>
      <rPr>
        <sz val="9"/>
        <color theme="1"/>
        <rFont val="Arial"/>
        <family val="2"/>
      </rPr>
      <t xml:space="preserve">  The final RTR amendments do not impact this item. The current ICR assumes each respondent will take eight hours twelve times per year to complete task. </t>
    </r>
  </si>
  <si>
    <r>
      <t>j</t>
    </r>
    <r>
      <rPr>
        <sz val="9"/>
        <color theme="1"/>
        <rFont val="Arial"/>
        <family val="2"/>
      </rPr>
      <t xml:space="preserve">  The current ICR assumes that each respondent will take eight hours twice per year to complete reports. The final RTR amendments do not impact this item.</t>
    </r>
  </si>
  <si>
    <r>
      <t>k</t>
    </r>
    <r>
      <rPr>
        <sz val="9"/>
        <color theme="1"/>
        <rFont val="Arial"/>
        <family val="2"/>
      </rPr>
      <t xml:space="preserve">  The current ICR assumes each respondent will take one hour two times per week to record and disclose information. EPA is requiring sources to electronically submit semiannual reports starting 2 years after the effective date of the final rule. It is assumed that this will not increase labor.</t>
    </r>
  </si>
  <si>
    <r>
      <t>l</t>
    </r>
    <r>
      <rPr>
        <sz val="9"/>
        <color theme="1"/>
        <rFont val="Arial"/>
        <family val="2"/>
      </rPr>
      <t xml:space="preserve">  We are eliminating the startup, shutdown, and malfunction (SSM) exemption in this rule. Costs associated with elimination of the SSM exemption include time for re-evaluating previously developed SSM record systems in year one. Costs are also associated with the use of electronic reporting and include time to become familiar with CEDRI and the semi-annual reporting form. Two responses with 8 hours per response.</t>
    </r>
  </si>
  <si>
    <r>
      <t>m</t>
    </r>
    <r>
      <rPr>
        <sz val="9"/>
        <color theme="1"/>
        <rFont val="Arial"/>
        <family val="2"/>
      </rPr>
      <t xml:space="preserve">  The final RTR amendments do not impact this item. The current ICR assumes that each respondent will take half an hour annually to store and file reports.</t>
    </r>
  </si>
  <si>
    <t>Table 2 - Annual Respondent Burden and Cost of Recordkeeping and Reporting Requirements for the Printing, Coating, and Dyeing of Fabrics and Other Textiles NESHAP - Year 2 (Amendments)</t>
  </si>
  <si>
    <t>Table 3 - Annual Respondent Burden and Cost of Recordkeeping and Reporting Requirements for the Printing, Coating, and Dyeing of Fabrics and Other Textiles NESHAP - Year 3 (Amendments)</t>
  </si>
  <si>
    <t>Table 4 - Summary of Annual Respondent Burden and Cost of Recordkeeping and Reporting Requirements for the Printing, Coating, and Dyeing of Fabrics and Other Textiles NESHAP (Amendments)</t>
  </si>
  <si>
    <t>Year</t>
  </si>
  <si>
    <t>Technical Hours</t>
  </si>
  <si>
    <t>Clerical Hours</t>
  </si>
  <si>
    <t>Management Hours</t>
  </si>
  <si>
    <t>Total Labor Hours</t>
  </si>
  <si>
    <t>Labor Costs</t>
  </si>
  <si>
    <t>Non-Labor (Capital/Startup and O&amp;M) Costs</t>
  </si>
  <si>
    <t>Total Costs</t>
  </si>
  <si>
    <t>Average</t>
  </si>
  <si>
    <t>Number of Respondents</t>
  </si>
  <si>
    <t>Number of Responses</t>
  </si>
  <si>
    <t>Reporting Hours</t>
  </si>
  <si>
    <t>Recordkeeping Hours</t>
  </si>
  <si>
    <t>Total Hours</t>
  </si>
  <si>
    <t>Hours per Response</t>
  </si>
  <si>
    <t>Hours Per Respondent</t>
  </si>
  <si>
    <t>Table 5 - Annual Agency Burden and Cost of Recordkeeping and Reporting Requirements for the Printing, Coating, and Dyeing of Fabrics and Other Textiles NESHAP - Year 1 (Amendments)</t>
  </si>
  <si>
    <t>EPA person- hours per plant per year (C=AxB)</t>
  </si>
  <si>
    <r>
      <t xml:space="preserve">Plants per year  </t>
    </r>
    <r>
      <rPr>
        <b/>
        <vertAlign val="superscript"/>
        <sz val="8"/>
        <color theme="1"/>
        <rFont val="Arial"/>
        <family val="2"/>
      </rPr>
      <t>a</t>
    </r>
  </si>
  <si>
    <t>Technical person- hours per year (E=CxD)</t>
  </si>
  <si>
    <t>Management person-hours per year (F=Ex0.05)</t>
  </si>
  <si>
    <t>Clerical person-hours per year (G=Ex0.1)</t>
  </si>
  <si>
    <r>
      <t xml:space="preserve">Cost, $ </t>
    </r>
    <r>
      <rPr>
        <b/>
        <vertAlign val="superscript"/>
        <sz val="8"/>
        <color theme="1"/>
        <rFont val="Arial"/>
        <family val="2"/>
      </rPr>
      <t>b</t>
    </r>
  </si>
  <si>
    <r>
      <t xml:space="preserve">1   Add-on control performance test </t>
    </r>
    <r>
      <rPr>
        <vertAlign val="superscript"/>
        <sz val="9"/>
        <color theme="1"/>
        <rFont val="Arial"/>
        <family val="2"/>
      </rPr>
      <t>a, c, d</t>
    </r>
  </si>
  <si>
    <r>
      <t xml:space="preserve">2   Repeat performance test </t>
    </r>
    <r>
      <rPr>
        <vertAlign val="superscript"/>
        <sz val="9"/>
        <color theme="1"/>
        <rFont val="Arial"/>
        <family val="2"/>
      </rPr>
      <t>d</t>
    </r>
  </si>
  <si>
    <t xml:space="preserve">3   Report review </t>
  </si>
  <si>
    <r>
      <t xml:space="preserve">  a) Initial notification </t>
    </r>
    <r>
      <rPr>
        <vertAlign val="superscript"/>
        <sz val="9"/>
        <color theme="1"/>
        <rFont val="Arial"/>
        <family val="2"/>
      </rPr>
      <t>e</t>
    </r>
  </si>
  <si>
    <r>
      <t xml:space="preserve">  b) Performance test report </t>
    </r>
    <r>
      <rPr>
        <vertAlign val="superscript"/>
        <sz val="9"/>
        <color theme="1"/>
        <rFont val="Arial"/>
        <family val="2"/>
      </rPr>
      <t>f</t>
    </r>
  </si>
  <si>
    <r>
      <t xml:space="preserve">  c) Notification of compliance status </t>
    </r>
    <r>
      <rPr>
        <vertAlign val="superscript"/>
        <sz val="9"/>
        <color theme="1"/>
        <rFont val="Arial"/>
        <family val="2"/>
      </rPr>
      <t>g</t>
    </r>
  </si>
  <si>
    <r>
      <t xml:space="preserve">  d) Semiannual reports </t>
    </r>
    <r>
      <rPr>
        <vertAlign val="superscript"/>
        <sz val="9"/>
        <color theme="1"/>
        <rFont val="Arial"/>
        <family val="2"/>
      </rPr>
      <t>h</t>
    </r>
  </si>
  <si>
    <r>
      <t>Due To Final Revisions</t>
    </r>
    <r>
      <rPr>
        <vertAlign val="superscript"/>
        <sz val="9"/>
        <color theme="1"/>
        <rFont val="Arial"/>
        <family val="2"/>
      </rPr>
      <t xml:space="preserve"> i</t>
    </r>
  </si>
  <si>
    <t>TOTAL ANNUAL BURDEN AND COST (rounded)</t>
  </si>
  <si>
    <r>
      <t>b</t>
    </r>
    <r>
      <rPr>
        <sz val="9"/>
        <color theme="1"/>
        <rFont val="Arial"/>
        <family val="2"/>
      </rPr>
      <t xml:space="preserve"> This cost is based on the following labor rates: Managerial rate of $64.80 (GS-13, Step 5, $40.50 + 60%), Technical rate of $48.08 (GS-12, Step 1, $30.05 + 60%), and Clerical rate of $26.02 (GS-6, Step3, $16.26 + 60%).  These rates are from the Office of Personnel Management (OPM), 2017 General Schedule, which excludes locality rates of pay.  The rates have been increased by 60 percent to account for the benefit packages available to government employees.</t>
    </r>
  </si>
  <si>
    <r>
      <t>c</t>
    </r>
    <r>
      <rPr>
        <sz val="9"/>
        <color theme="1"/>
        <rFont val="Arial"/>
        <family val="2"/>
      </rPr>
      <t xml:space="preserve">  The final RTR amendments do not impact this item. The current ICR assumes it will take 24 hours to complete the task for each respondent. </t>
    </r>
  </si>
  <si>
    <r>
      <t>d</t>
    </r>
    <r>
      <rPr>
        <sz val="9"/>
        <color theme="1"/>
        <rFont val="Arial"/>
        <family val="2"/>
      </rPr>
      <t xml:space="preserve">  Facilities that comply using emission capture systems and add-on controls conduct air emissions performance testing, within 3 years of the effective date of the revised standards. Labor totals include hours for the agency to travel to and from the facility to attend the test. Eighteen process lines have add-on controls and would require testing due to the final revisions. It is assumed that 5 percent of respondents will have to repeat performance tests. </t>
    </r>
  </si>
  <si>
    <r>
      <t>e</t>
    </r>
    <r>
      <rPr>
        <sz val="9"/>
        <color theme="1"/>
        <rFont val="Arial"/>
        <family val="2"/>
      </rPr>
      <t xml:space="preserve">  It is assumed that it will take four hours to review the notification of the test and the test plan for each respondent.</t>
    </r>
  </si>
  <si>
    <r>
      <t>f</t>
    </r>
    <r>
      <rPr>
        <sz val="9"/>
        <color theme="1"/>
        <rFont val="Arial"/>
        <family val="2"/>
      </rPr>
      <t xml:space="preserve">  It is assumed that it will take eight hours to review the test report for each respondent.</t>
    </r>
  </si>
  <si>
    <r>
      <t>g</t>
    </r>
    <r>
      <rPr>
        <sz val="9"/>
        <color theme="1"/>
        <rFont val="Arial"/>
        <family val="2"/>
      </rPr>
      <t xml:space="preserve">  The final RTR amendments do not impact this item. The current ICR assumes that it will take eight hours, once a year to review the complaince stats for each respondent. </t>
    </r>
  </si>
  <si>
    <r>
      <t>h</t>
    </r>
    <r>
      <rPr>
        <sz val="9"/>
        <color theme="1"/>
        <rFont val="Arial"/>
        <family val="2"/>
      </rPr>
      <t xml:space="preserve">  The final RTR amendments do not impact this item. The current ICR assumes that it will take twelve hours to review the test reports, twice a year for each respondent. </t>
    </r>
  </si>
  <si>
    <r>
      <rPr>
        <vertAlign val="superscript"/>
        <sz val="9"/>
        <color theme="1"/>
        <rFont val="Arial"/>
        <family val="2"/>
      </rPr>
      <t xml:space="preserve">i </t>
    </r>
    <r>
      <rPr>
        <sz val="9"/>
        <color theme="1"/>
        <rFont val="Arial"/>
        <family val="2"/>
      </rPr>
      <t xml:space="preserve"> EPA is eliminating of the startup, shutdown, and malfunction (SSM) exemption in this rule. Costs associated with elimination of the SSM exemption include time for evaluating new SSM record systems in year one. </t>
    </r>
  </si>
  <si>
    <t>Table 6 - Annual Agency Burden and Cost of Recordkeeping and Reporting Requirements for the Printing, Coating, and Dyeing of Fabrics and Other Textiles NESHAP - Year 2 (Amendments)</t>
  </si>
  <si>
    <t>Table 7 - Annual Agency Burden and Cost of Recordkeeping and Reporting Requirements for the Printing, Coating, and Dyeing of Fabrics and Other Textiles NESHAP - Year 3 (Amendments)</t>
  </si>
  <si>
    <t>Table 8 - Summary of Annual Agency Burden and Cost of Recordkeeping and Reporting Requirements for the Printing, Coating, and Dyeing of Fabrics and Other Textiles NESHAP (Amendments)</t>
  </si>
  <si>
    <t>Non-Labor Costs</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</si>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</sst>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General_)"/>
    <numFmt numFmtId="165" formatCode="&quot;$&quot;#,##0"/>
    <numFmt numFmtId="166" formatCode="&quot;$&quot;#,##0.00"/>
    <numFmt numFmtId="167" formatCode="0.0"/>
    <numFmt numFmtId="168" formatCode="#,##0.0"/>
  </numFmts>
  <fonts count="45" x14ac:knownFonts="1">
    <font>
      <sz val="11"/>
      <color theme="1"/>
      <name val="Calibri"/>
      <family val="2"/>
      <scheme val="minor"/>
    </font>
    <font>
      <b/>
      <sz val="12"/>
      <name val="Arial"/>
      <family val="2"/>
    </font>
    <font>
      <b/>
      <sz val="8"/>
      <color theme="1"/>
      <name val="Arial"/>
      <family val="2"/>
    </font>
    <font>
      <b/>
      <vertAlign val="superscript"/>
      <sz val="8"/>
      <color theme="1"/>
      <name val="Arial"/>
      <family val="2"/>
    </font>
    <font>
      <sz val="8"/>
      <color theme="1"/>
      <name val="Arial"/>
      <family val="2"/>
    </font>
    <font>
      <sz val="9"/>
      <color theme="1"/>
      <name val="Arial"/>
      <family val="2"/>
    </font>
    <font>
      <vertAlign val="superscript"/>
      <sz val="9"/>
      <color theme="1"/>
      <name val="Arial"/>
      <family val="2"/>
    </font>
    <font>
      <sz val="10"/>
      <color rgb="FF000000"/>
      <name val="Arial"/>
      <family val="2"/>
    </font>
    <font>
      <sz val="10"/>
      <color theme="1"/>
      <name val="Arial"/>
      <family val="2"/>
    </font>
    <font>
      <sz val="10"/>
      <name val="Arial"/>
      <family val="2"/>
    </font>
    <font>
      <b/>
      <i/>
      <sz val="9"/>
      <color theme="1"/>
      <name val="Arial"/>
      <family val="2"/>
    </font>
    <font>
      <b/>
      <i/>
      <sz val="10"/>
      <color theme="1"/>
      <name val="Arial"/>
      <family val="2"/>
    </font>
    <font>
      <b/>
      <sz val="10"/>
      <name val="Arial"/>
      <family val="2"/>
    </font>
    <font>
      <sz val="10"/>
      <color rgb="FF000000"/>
      <name val="Times New Roman"/>
      <family val="1"/>
    </font>
    <font>
      <sz val="8"/>
      <name val="Arial"/>
      <family val="2"/>
    </font>
    <font>
      <b/>
      <sz val="9"/>
      <color theme="1"/>
      <name val="Arial"/>
      <family val="2"/>
    </font>
    <font>
      <b/>
      <sz val="10"/>
      <color theme="1"/>
      <name val="Arial"/>
      <family val="2"/>
    </font>
    <font>
      <sz val="11"/>
      <color rgb="FFFF0000"/>
      <name val="Calibri"/>
      <family val="2"/>
      <scheme val="minor"/>
    </font>
    <font>
      <sz val="10"/>
      <name val="Times New Roman"/>
      <family val="1"/>
    </font>
    <font>
      <b/>
      <sz val="10"/>
      <color theme="1"/>
      <name val="Times New Roman"/>
      <family val="1"/>
    </font>
    <font>
      <sz val="12"/>
      <color theme="1"/>
      <name val="Times New Roman"/>
      <family val="1"/>
    </font>
    <font>
      <sz val="12"/>
      <color rgb="FF000000"/>
      <name val="Times New Roman"/>
      <family val="1"/>
    </font>
    <font>
      <b/>
      <sz val="12"/>
      <color rgb="FF000000"/>
      <name val="Times New Roman"/>
      <family val="1"/>
    </font>
    <font>
      <b/>
      <sz val="12"/>
      <color theme="1"/>
      <name val="Times New Roman"/>
      <family val="1"/>
    </font>
    <font>
      <u/>
      <sz val="11"/>
      <color theme="10"/>
      <name val="Calibri"/>
      <family val="2"/>
    </font>
    <font>
      <sz val="9"/>
      <name val="Arial"/>
      <family val="2"/>
    </font>
    <font>
      <sz val="8"/>
      <name val="Courier"/>
      <family val="3"/>
    </font>
    <font>
      <b/>
      <sz val="9"/>
      <name val="Arial"/>
      <family val="2"/>
    </font>
    <font>
      <u/>
      <sz val="11"/>
      <color theme="10"/>
      <name val="Calibri"/>
      <family val="2"/>
      <scheme val="minor"/>
    </font>
    <font>
      <vertAlign val="superscript"/>
      <sz val="12"/>
      <color theme="1"/>
      <name val="Times New Roman"/>
      <family val="1"/>
    </font>
    <font>
      <sz val="10"/>
      <color theme="1"/>
      <name val="Times New Roman"/>
      <family val="1"/>
    </font>
    <font>
      <b/>
      <sz val="10"/>
      <color rgb="FF000000"/>
      <name val="Times New Roman"/>
      <family val="1"/>
    </font>
    <font>
      <b/>
      <vertAlign val="superscript"/>
      <sz val="10"/>
      <color theme="1"/>
      <name val="Times New Roman"/>
      <family val="1"/>
    </font>
    <font>
      <b/>
      <vertAlign val="superscript"/>
      <sz val="12"/>
      <color theme="1"/>
      <name val="Times New Roman"/>
      <family val="1"/>
    </font>
    <font>
      <b/>
      <sz val="8"/>
      <color rgb="FFFF0000"/>
      <name val="Times New Roman"/>
      <family val="1"/>
    </font>
    <font>
      <b/>
      <sz val="10"/>
      <name val="Times New Roman"/>
      <family val="1"/>
    </font>
    <font>
      <sz val="11"/>
      <name val="Calibri"/>
      <family val="2"/>
      <scheme val="minor"/>
    </font>
    <font>
      <b/>
      <vertAlign val="superscript"/>
      <sz val="10"/>
      <name val="Times New Roman"/>
      <family val="1"/>
    </font>
    <font>
      <b/>
      <i/>
      <sz val="10"/>
      <color theme="1"/>
      <name val="Times New Roman"/>
      <family val="1"/>
    </font>
    <font>
      <b/>
      <i/>
      <sz val="10"/>
      <color rgb="FF000000"/>
      <name val="Times New Roman"/>
      <family val="1"/>
    </font>
    <font>
      <sz val="12"/>
      <color rgb="FFFF0000"/>
      <name val="Times New Roman"/>
      <family val="1"/>
    </font>
    <font>
      <b/>
      <i/>
      <sz val="8"/>
      <color rgb="FFFF0000"/>
      <name val="Times New Roman"/>
      <family val="1"/>
    </font>
    <font>
      <sz val="12"/>
      <color rgb="FFFF0000"/>
      <name val="Symbol"/>
      <family val="1"/>
      <charset val="2"/>
    </font>
    <font>
      <b/>
      <vertAlign val="superscript"/>
      <sz val="15"/>
      <color theme="1"/>
      <name val="Times New Roman"/>
      <family val="1"/>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s>
  <borders count="63">
    <border>
      <left/>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rgb="FF000000"/>
      </right>
      <top/>
      <bottom style="medium">
        <color indexed="64"/>
      </bottom>
      <diagonal/>
    </border>
  </borders>
  <cellStyleXfs count="6">
    <xf numFmtId="0" fontId="0" fillId="0" borderId="0"/>
    <xf numFmtId="0" fontId="24" fillId="0" borderId="0" applyNumberFormat="0" applyFill="0" applyBorder="0" applyAlignment="0" applyProtection="0">
      <alignment vertical="top"/>
      <protection locked="0"/>
    </xf>
    <xf numFmtId="0" fontId="26" fillId="0" borderId="0"/>
    <xf numFmtId="0" fontId="9" fillId="0" borderId="0"/>
    <xf numFmtId="0" fontId="28" fillId="0" borderId="0" applyNumberFormat="0" applyFill="0" applyBorder="0" applyAlignment="0" applyProtection="0"/>
    <xf numFmtId="0" fontId="9" fillId="0" borderId="0"/>
  </cellStyleXfs>
  <cellXfs count="284">
    <xf numFmtId="0" fontId="0" fillId="0" borderId="0" xfId="0"/>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0" borderId="11" xfId="0" applyFont="1" applyFill="1" applyBorder="1" applyAlignment="1">
      <alignment horizontal="left" vertical="center" wrapText="1" indent="1"/>
    </xf>
    <xf numFmtId="0" fontId="7" fillId="0" borderId="12" xfId="0" applyFont="1" applyFill="1" applyBorder="1" applyAlignment="1">
      <alignment horizontal="center" wrapText="1"/>
    </xf>
    <xf numFmtId="0" fontId="8"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3" xfId="0" applyFont="1" applyFill="1" applyBorder="1" applyAlignment="1">
      <alignment horizontal="center" vertical="center" wrapText="1"/>
    </xf>
    <xf numFmtId="6" fontId="8" fillId="0" borderId="8" xfId="0" applyNumberFormat="1" applyFont="1" applyFill="1" applyBorder="1" applyAlignment="1">
      <alignment horizontal="right" vertical="center" wrapText="1" indent="1"/>
    </xf>
    <xf numFmtId="0" fontId="5" fillId="0" borderId="5" xfId="0" applyFont="1" applyFill="1" applyBorder="1" applyAlignment="1">
      <alignment horizontal="left" vertical="center" wrapText="1" indent="1"/>
    </xf>
    <xf numFmtId="0" fontId="5" fillId="0" borderId="5" xfId="0" applyFont="1" applyFill="1" applyBorder="1" applyAlignment="1">
      <alignment horizontal="left" vertical="center" wrapText="1" indent="4"/>
    </xf>
    <xf numFmtId="0" fontId="7" fillId="0" borderId="0" xfId="0" applyFont="1" applyFill="1" applyBorder="1" applyAlignment="1">
      <alignment horizontal="center" wrapText="1"/>
    </xf>
    <xf numFmtId="165" fontId="12" fillId="0" borderId="8" xfId="0" applyNumberFormat="1" applyFont="1" applyFill="1" applyBorder="1" applyAlignment="1">
      <alignment horizontal="right" vertical="center" wrapText="1" indent="1"/>
    </xf>
    <xf numFmtId="0" fontId="13" fillId="0" borderId="12" xfId="0" applyFont="1" applyFill="1" applyBorder="1" applyAlignment="1">
      <alignment horizontal="center" wrapText="1"/>
    </xf>
    <xf numFmtId="0" fontId="5" fillId="0" borderId="5" xfId="0" applyFont="1" applyBorder="1" applyAlignment="1">
      <alignment horizontal="left" vertical="center" wrapText="1" indent="1"/>
    </xf>
    <xf numFmtId="0" fontId="13" fillId="0" borderId="12" xfId="0" applyFont="1" applyBorder="1" applyAlignment="1">
      <alignment horizontal="center" wrapText="1"/>
    </xf>
    <xf numFmtId="0" fontId="8" fillId="0" borderId="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3" xfId="0" applyFont="1" applyBorder="1" applyAlignment="1">
      <alignment horizontal="center" vertical="center" wrapText="1"/>
    </xf>
    <xf numFmtId="0" fontId="14" fillId="0" borderId="6" xfId="0" applyFont="1" applyFill="1" applyBorder="1" applyAlignment="1">
      <alignment horizontal="center" vertical="center" wrapText="1"/>
    </xf>
    <xf numFmtId="165" fontId="12" fillId="0" borderId="8" xfId="0" applyNumberFormat="1" applyFont="1" applyBorder="1" applyAlignment="1">
      <alignment horizontal="right" vertical="center" wrapText="1" indent="1"/>
    </xf>
    <xf numFmtId="0" fontId="14" fillId="0" borderId="6" xfId="0" applyFont="1" applyBorder="1" applyAlignment="1">
      <alignment horizontal="center" vertical="center" wrapText="1"/>
    </xf>
    <xf numFmtId="0" fontId="14" fillId="0" borderId="13" xfId="0" applyFont="1" applyBorder="1" applyAlignment="1">
      <alignment horizontal="center" vertical="center" wrapText="1"/>
    </xf>
    <xf numFmtId="6" fontId="15" fillId="0" borderId="21" xfId="0" applyNumberFormat="1" applyFont="1" applyBorder="1" applyAlignment="1">
      <alignment horizontal="right" vertical="center" wrapText="1" indent="1"/>
    </xf>
    <xf numFmtId="6" fontId="16" fillId="0" borderId="8" xfId="0" applyNumberFormat="1" applyFont="1" applyBorder="1" applyAlignment="1">
      <alignment horizontal="right" vertical="center" wrapText="1" indent="1"/>
    </xf>
    <xf numFmtId="0" fontId="9" fillId="0" borderId="23" xfId="0" applyFont="1" applyFill="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165" fontId="12" fillId="0" borderId="25" xfId="0" applyNumberFormat="1" applyFont="1" applyBorder="1" applyAlignment="1">
      <alignment horizontal="right" vertical="center" wrapText="1" indent="1"/>
    </xf>
    <xf numFmtId="38" fontId="0" fillId="0" borderId="0" xfId="0" applyNumberFormat="1"/>
    <xf numFmtId="0" fontId="16" fillId="0" borderId="0" xfId="0" applyFont="1" applyAlignment="1">
      <alignment vertical="center"/>
    </xf>
    <xf numFmtId="0" fontId="8" fillId="0" borderId="0" xfId="0" applyFont="1"/>
    <xf numFmtId="0" fontId="6" fillId="0" borderId="0" xfId="0" applyFont="1" applyAlignment="1">
      <alignment vertical="center"/>
    </xf>
    <xf numFmtId="0" fontId="5" fillId="0" borderId="0" xfId="0" applyFont="1"/>
    <xf numFmtId="0" fontId="9" fillId="0" borderId="0" xfId="0" applyFont="1" applyAlignment="1">
      <alignment wrapText="1"/>
    </xf>
    <xf numFmtId="0" fontId="9" fillId="0" borderId="0" xfId="0" applyFont="1"/>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5" fillId="0" borderId="26" xfId="0" applyFont="1" applyBorder="1" applyAlignment="1">
      <alignment horizontal="left" vertical="center" wrapText="1" indent="1"/>
    </xf>
    <xf numFmtId="0" fontId="13" fillId="0" borderId="27" xfId="0" applyFont="1" applyFill="1" applyBorder="1" applyAlignment="1">
      <alignment horizontal="center" wrapText="1"/>
    </xf>
    <xf numFmtId="0" fontId="5" fillId="0" borderId="34" xfId="0" applyFont="1" applyBorder="1" applyAlignment="1">
      <alignment horizontal="center" vertical="center" wrapText="1"/>
    </xf>
    <xf numFmtId="0" fontId="5" fillId="0" borderId="2" xfId="0" applyFont="1" applyBorder="1" applyAlignment="1">
      <alignment horizontal="center" vertical="center" wrapText="1"/>
    </xf>
    <xf numFmtId="6" fontId="5" fillId="0" borderId="4" xfId="0" applyNumberFormat="1" applyFont="1" applyBorder="1" applyAlignment="1">
      <alignment horizontal="right" vertical="center" wrapText="1" indent="1"/>
    </xf>
    <xf numFmtId="0" fontId="5" fillId="0" borderId="29" xfId="0" applyFont="1" applyBorder="1" applyAlignment="1">
      <alignment horizontal="left" vertical="center" wrapText="1" indent="1"/>
    </xf>
    <xf numFmtId="0" fontId="18" fillId="0" borderId="12" xfId="0" applyFont="1" applyFill="1" applyBorder="1" applyAlignment="1">
      <alignment horizont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6" fontId="5" fillId="0" borderId="8" xfId="0" applyNumberFormat="1" applyFont="1" applyBorder="1" applyAlignment="1">
      <alignment horizontal="right" vertical="center" wrapText="1" indent="1"/>
    </xf>
    <xf numFmtId="0" fontId="5" fillId="0" borderId="5" xfId="0" applyFont="1" applyBorder="1" applyAlignment="1">
      <alignment horizontal="left" vertical="center" wrapText="1" indent="4"/>
    </xf>
    <xf numFmtId="6" fontId="5" fillId="0" borderId="30" xfId="0" applyNumberFormat="1" applyFont="1" applyBorder="1" applyAlignment="1">
      <alignment horizontal="right" vertical="center" wrapText="1" indent="1"/>
    </xf>
    <xf numFmtId="3" fontId="5" fillId="0" borderId="12" xfId="0" applyNumberFormat="1" applyFont="1" applyBorder="1" applyAlignment="1">
      <alignment horizontal="center" vertical="center" wrapText="1"/>
    </xf>
    <xf numFmtId="0" fontId="13" fillId="0" borderId="35" xfId="0" applyFont="1" applyFill="1" applyBorder="1" applyAlignment="1">
      <alignment horizontal="center" wrapText="1"/>
    </xf>
    <xf numFmtId="0" fontId="5" fillId="0" borderId="35" xfId="0" applyFont="1" applyBorder="1" applyAlignment="1">
      <alignment horizontal="center" vertical="center" wrapText="1"/>
    </xf>
    <xf numFmtId="6" fontId="15" fillId="0" borderId="25" xfId="0" applyNumberFormat="1" applyFont="1" applyBorder="1" applyAlignment="1">
      <alignment horizontal="right" vertical="center" wrapText="1" indent="1"/>
    </xf>
    <xf numFmtId="0" fontId="19" fillId="0" borderId="0" xfId="0" applyFont="1" applyAlignment="1">
      <alignment vertical="center"/>
    </xf>
    <xf numFmtId="0" fontId="20" fillId="0" borderId="0" xfId="0" applyFont="1" applyAlignment="1">
      <alignment horizontal="left" vertical="center" indent="10"/>
    </xf>
    <xf numFmtId="0" fontId="21" fillId="0" borderId="0" xfId="0" applyFont="1" applyAlignment="1">
      <alignment horizontal="left" vertical="center" indent="10"/>
    </xf>
    <xf numFmtId="0" fontId="21" fillId="0" borderId="0" xfId="0" applyFont="1" applyAlignment="1">
      <alignment vertical="center"/>
    </xf>
    <xf numFmtId="0" fontId="22" fillId="0" borderId="0" xfId="0" applyFont="1" applyAlignment="1">
      <alignment vertical="center"/>
    </xf>
    <xf numFmtId="0" fontId="20" fillId="0" borderId="0" xfId="0" applyFont="1" applyAlignment="1">
      <alignment vertical="center"/>
    </xf>
    <xf numFmtId="0" fontId="23" fillId="0" borderId="0" xfId="0" applyFont="1" applyAlignment="1">
      <alignment vertical="center"/>
    </xf>
    <xf numFmtId="0" fontId="20" fillId="0" borderId="0" xfId="0" applyFont="1" applyAlignment="1">
      <alignment horizontal="center" vertical="center"/>
    </xf>
    <xf numFmtId="0" fontId="0" fillId="0" borderId="0" xfId="0" applyAlignment="1"/>
    <xf numFmtId="166" fontId="25" fillId="0" borderId="43" xfId="2" applyNumberFormat="1" applyFont="1" applyFill="1" applyBorder="1"/>
    <xf numFmtId="166" fontId="25" fillId="0" borderId="0" xfId="3" applyNumberFormat="1" applyFont="1" applyFill="1" applyBorder="1"/>
    <xf numFmtId="0" fontId="25" fillId="0" borderId="44" xfId="3" applyFont="1" applyFill="1" applyBorder="1"/>
    <xf numFmtId="166" fontId="25" fillId="0" borderId="45" xfId="2" applyNumberFormat="1" applyFont="1" applyFill="1" applyBorder="1"/>
    <xf numFmtId="166" fontId="25" fillId="0" borderId="46" xfId="3" applyNumberFormat="1" applyFont="1" applyFill="1" applyBorder="1"/>
    <xf numFmtId="0" fontId="25" fillId="0" borderId="47" xfId="1" applyFont="1" applyBorder="1" applyAlignment="1" applyProtection="1"/>
    <xf numFmtId="166" fontId="25" fillId="0" borderId="33" xfId="2" applyNumberFormat="1" applyFont="1" applyFill="1" applyBorder="1"/>
    <xf numFmtId="166" fontId="25" fillId="0" borderId="32" xfId="3" applyNumberFormat="1" applyFont="1" applyFill="1" applyBorder="1"/>
    <xf numFmtId="0" fontId="25" fillId="0" borderId="31" xfId="3" applyFont="1" applyFill="1" applyBorder="1"/>
    <xf numFmtId="166" fontId="25" fillId="0" borderId="30" xfId="2" applyNumberFormat="1" applyFont="1" applyFill="1" applyBorder="1"/>
    <xf numFmtId="166" fontId="25" fillId="0" borderId="12" xfId="2" applyNumberFormat="1" applyFont="1" applyFill="1" applyBorder="1"/>
    <xf numFmtId="0" fontId="25" fillId="0" borderId="29" xfId="2" applyFont="1" applyFill="1" applyBorder="1"/>
    <xf numFmtId="166" fontId="25" fillId="0" borderId="12" xfId="3" applyNumberFormat="1" applyFont="1" applyFill="1" applyBorder="1"/>
    <xf numFmtId="0" fontId="25" fillId="0" borderId="29" xfId="3" applyFont="1" applyFill="1" applyBorder="1"/>
    <xf numFmtId="0" fontId="27" fillId="3" borderId="48" xfId="3" applyFont="1" applyFill="1" applyBorder="1" applyAlignment="1">
      <alignment wrapText="1"/>
    </xf>
    <xf numFmtId="0" fontId="27" fillId="4" borderId="38" xfId="3" applyFont="1" applyFill="1" applyBorder="1" applyAlignment="1">
      <alignment wrapText="1"/>
    </xf>
    <xf numFmtId="0" fontId="27" fillId="4" borderId="37" xfId="3" applyFont="1" applyFill="1" applyBorder="1" applyAlignment="1">
      <alignment wrapText="1"/>
    </xf>
    <xf numFmtId="0" fontId="24" fillId="0" borderId="0" xfId="1" applyAlignment="1" applyProtection="1"/>
    <xf numFmtId="2" fontId="25" fillId="0" borderId="43" xfId="0" applyNumberFormat="1" applyFont="1" applyFill="1" applyBorder="1"/>
    <xf numFmtId="0" fontId="25" fillId="0" borderId="0" xfId="0" applyFont="1" applyBorder="1"/>
    <xf numFmtId="0" fontId="25" fillId="0" borderId="44" xfId="1" applyFont="1" applyBorder="1" applyAlignment="1" applyProtection="1"/>
    <xf numFmtId="166" fontId="25" fillId="0" borderId="33" xfId="0" applyNumberFormat="1" applyFont="1" applyFill="1" applyBorder="1"/>
    <xf numFmtId="166" fontId="25" fillId="0" borderId="32" xfId="0" applyNumberFormat="1" applyFont="1" applyBorder="1"/>
    <xf numFmtId="0" fontId="5" fillId="0" borderId="31" xfId="0" applyFont="1" applyBorder="1"/>
    <xf numFmtId="166" fontId="25" fillId="0" borderId="30" xfId="0" applyNumberFormat="1" applyFont="1" applyFill="1" applyBorder="1"/>
    <xf numFmtId="166" fontId="25" fillId="0" borderId="12" xfId="0" applyNumberFormat="1" applyFont="1" applyBorder="1"/>
    <xf numFmtId="0" fontId="5" fillId="0" borderId="29" xfId="0" applyFont="1" applyBorder="1"/>
    <xf numFmtId="0" fontId="27" fillId="3" borderId="28" xfId="5" applyFont="1" applyFill="1" applyBorder="1" applyAlignment="1">
      <alignment horizontal="center"/>
    </xf>
    <xf numFmtId="17" fontId="27" fillId="4" borderId="27" xfId="5" applyNumberFormat="1" applyFont="1" applyFill="1" applyBorder="1" applyAlignment="1">
      <alignment horizontal="center"/>
    </xf>
    <xf numFmtId="0" fontId="27" fillId="4" borderId="26" xfId="5" applyFont="1" applyFill="1" applyBorder="1" applyAlignment="1">
      <alignment horizontal="center"/>
    </xf>
    <xf numFmtId="0" fontId="15" fillId="0" borderId="0" xfId="0" applyFont="1" applyAlignment="1">
      <alignment vertical="center"/>
    </xf>
    <xf numFmtId="0" fontId="0" fillId="0" borderId="0" xfId="0" applyFill="1"/>
    <xf numFmtId="14" fontId="0" fillId="0" borderId="0" xfId="0" applyNumberFormat="1" applyFill="1"/>
    <xf numFmtId="0" fontId="29" fillId="0" borderId="0" xfId="0" applyFont="1" applyFill="1"/>
    <xf numFmtId="0" fontId="17" fillId="0" borderId="0" xfId="0" applyFont="1" applyFill="1"/>
    <xf numFmtId="0" fontId="30" fillId="0" borderId="0" xfId="0" applyFont="1" applyFill="1" applyAlignment="1">
      <alignment horizontal="left" indent="1"/>
    </xf>
    <xf numFmtId="0" fontId="29" fillId="0" borderId="0" xfId="0" applyFont="1" applyFill="1" applyAlignment="1">
      <alignment horizontal="left"/>
    </xf>
    <xf numFmtId="0" fontId="19" fillId="0" borderId="0" xfId="0" applyFont="1" applyFill="1"/>
    <xf numFmtId="6" fontId="31" fillId="0" borderId="12" xfId="0" applyNumberFormat="1" applyFont="1" applyFill="1" applyBorder="1" applyAlignment="1"/>
    <xf numFmtId="0" fontId="30" fillId="0" borderId="12" xfId="0" applyFont="1" applyFill="1" applyBorder="1" applyAlignment="1">
      <alignment vertical="top"/>
    </xf>
    <xf numFmtId="0" fontId="19" fillId="0" borderId="12" xfId="0" applyFont="1" applyFill="1" applyBorder="1" applyAlignment="1">
      <alignment vertical="center"/>
    </xf>
    <xf numFmtId="6" fontId="13" fillId="0" borderId="12" xfId="0" applyNumberFormat="1" applyFont="1" applyFill="1" applyBorder="1" applyAlignment="1">
      <alignment horizontal="right"/>
    </xf>
    <xf numFmtId="0" fontId="13" fillId="0" borderId="12" xfId="0" applyFont="1" applyFill="1" applyBorder="1" applyAlignment="1">
      <alignment horizontal="center" vertical="center"/>
    </xf>
    <xf numFmtId="0" fontId="30" fillId="0" borderId="12" xfId="0" applyFont="1" applyFill="1" applyBorder="1" applyAlignment="1">
      <alignment horizontal="left" vertical="center"/>
    </xf>
    <xf numFmtId="0" fontId="18" fillId="0" borderId="0" xfId="0" applyFont="1" applyFill="1" applyBorder="1" applyAlignment="1"/>
    <xf numFmtId="0" fontId="18" fillId="0" borderId="0" xfId="0" applyFont="1" applyFill="1"/>
    <xf numFmtId="0" fontId="18" fillId="0" borderId="0" xfId="0" applyFont="1" applyFill="1" applyBorder="1"/>
    <xf numFmtId="0" fontId="18" fillId="0" borderId="55" xfId="0" applyFont="1" applyFill="1" applyBorder="1"/>
    <xf numFmtId="0" fontId="0" fillId="0" borderId="38" xfId="0" applyFill="1" applyBorder="1" applyAlignment="1">
      <alignment horizontal="center" vertical="center"/>
    </xf>
    <xf numFmtId="0" fontId="19" fillId="0" borderId="38" xfId="0" applyFont="1" applyFill="1" applyBorder="1" applyAlignment="1">
      <alignment horizontal="center" vertical="center"/>
    </xf>
    <xf numFmtId="0" fontId="0" fillId="0" borderId="0" xfId="0" applyFill="1" applyAlignment="1">
      <alignment wrapText="1"/>
    </xf>
    <xf numFmtId="0" fontId="19" fillId="0" borderId="39" xfId="0" applyFont="1" applyFill="1" applyBorder="1" applyAlignment="1">
      <alignment horizontal="center" vertical="center" wrapText="1"/>
    </xf>
    <xf numFmtId="0" fontId="19" fillId="0" borderId="35" xfId="0" applyFont="1" applyFill="1" applyBorder="1" applyAlignment="1">
      <alignment horizontal="center" vertical="center"/>
    </xf>
    <xf numFmtId="0" fontId="19" fillId="0" borderId="0" xfId="0" applyFont="1" applyFill="1" applyAlignment="1">
      <alignment horizontal="left" indent="1"/>
    </xf>
    <xf numFmtId="0" fontId="34" fillId="0" borderId="0" xfId="0" applyFont="1" applyFill="1" applyBorder="1"/>
    <xf numFmtId="6" fontId="35" fillId="0" borderId="12" xfId="0" applyNumberFormat="1" applyFont="1" applyFill="1" applyBorder="1"/>
    <xf numFmtId="0" fontId="36" fillId="0" borderId="12" xfId="0" applyFont="1" applyFill="1" applyBorder="1"/>
    <xf numFmtId="0" fontId="35" fillId="0" borderId="12" xfId="0" applyFont="1" applyFill="1" applyBorder="1"/>
    <xf numFmtId="1" fontId="0" fillId="0" borderId="0" xfId="0" applyNumberFormat="1" applyFill="1"/>
    <xf numFmtId="6" fontId="35" fillId="0" borderId="12" xfId="0" applyNumberFormat="1" applyFont="1" applyFill="1" applyBorder="1" applyAlignment="1">
      <alignment horizontal="right"/>
    </xf>
    <xf numFmtId="0" fontId="18" fillId="0" borderId="12" xfId="0" applyFont="1" applyFill="1" applyBorder="1" applyAlignment="1">
      <alignment horizontal="center" vertical="center"/>
    </xf>
    <xf numFmtId="0" fontId="35" fillId="0" borderId="12" xfId="0" applyFont="1" applyFill="1" applyBorder="1" applyAlignment="1">
      <alignment horizontal="left" vertical="top"/>
    </xf>
    <xf numFmtId="6" fontId="38" fillId="0" borderId="12" xfId="0" applyNumberFormat="1" applyFont="1" applyFill="1" applyBorder="1" applyAlignment="1">
      <alignment horizontal="right" vertical="top"/>
    </xf>
    <xf numFmtId="0" fontId="38" fillId="0" borderId="12" xfId="0" applyFont="1" applyFill="1" applyBorder="1" applyAlignment="1">
      <alignment horizontal="center" vertical="center"/>
    </xf>
    <xf numFmtId="0" fontId="39" fillId="0" borderId="12" xfId="0" applyFont="1" applyFill="1" applyBorder="1" applyAlignment="1">
      <alignment horizontal="left" vertical="top"/>
    </xf>
    <xf numFmtId="0" fontId="30" fillId="0" borderId="12" xfId="0" applyFont="1" applyFill="1" applyBorder="1" applyAlignment="1">
      <alignment horizontal="left" vertical="top"/>
    </xf>
    <xf numFmtId="6" fontId="13" fillId="0" borderId="12" xfId="0" applyNumberFormat="1" applyFont="1" applyFill="1" applyBorder="1" applyAlignment="1"/>
    <xf numFmtId="3" fontId="13" fillId="0" borderId="12" xfId="0" applyNumberFormat="1" applyFont="1" applyFill="1" applyBorder="1" applyAlignment="1">
      <alignment horizontal="center" vertical="center"/>
    </xf>
    <xf numFmtId="6" fontId="30" fillId="0" borderId="12" xfId="0" applyNumberFormat="1" applyFont="1" applyFill="1" applyBorder="1" applyAlignment="1">
      <alignment horizontal="right" vertical="top"/>
    </xf>
    <xf numFmtId="0" fontId="30" fillId="0" borderId="12" xfId="0" applyFont="1" applyFill="1" applyBorder="1" applyAlignment="1">
      <alignment horizontal="center" vertical="center"/>
    </xf>
    <xf numFmtId="6" fontId="39" fillId="0" borderId="12" xfId="0" applyNumberFormat="1" applyFont="1" applyFill="1" applyBorder="1" applyAlignment="1">
      <alignment horizontal="right"/>
    </xf>
    <xf numFmtId="0" fontId="39" fillId="0" borderId="12" xfId="0" applyFont="1" applyFill="1" applyBorder="1" applyAlignment="1">
      <alignment horizontal="center" vertical="center"/>
    </xf>
    <xf numFmtId="0" fontId="0" fillId="0" borderId="0" xfId="0" applyFill="1" applyBorder="1"/>
    <xf numFmtId="0" fontId="40" fillId="0" borderId="0" xfId="0" applyFont="1" applyFill="1" applyBorder="1"/>
    <xf numFmtId="0" fontId="41" fillId="0" borderId="0" xfId="0" applyFont="1" applyFill="1" applyBorder="1"/>
    <xf numFmtId="0" fontId="42" fillId="0" borderId="0" xfId="0" applyFont="1" applyFill="1" applyBorder="1" applyAlignment="1">
      <alignment horizontal="left" indent="5"/>
    </xf>
    <xf numFmtId="0" fontId="13" fillId="0" borderId="12" xfId="0" applyFont="1" applyFill="1" applyBorder="1" applyAlignment="1">
      <alignment horizontal="right"/>
    </xf>
    <xf numFmtId="0" fontId="18" fillId="0" borderId="0" xfId="0" applyFont="1" applyFill="1" applyAlignment="1">
      <alignment wrapText="1"/>
    </xf>
    <xf numFmtId="1" fontId="8" fillId="0" borderId="6" xfId="0" applyNumberFormat="1" applyFont="1" applyFill="1" applyBorder="1" applyAlignment="1">
      <alignment horizontal="center" vertical="center" wrapText="1"/>
    </xf>
    <xf numFmtId="164" fontId="9" fillId="2" borderId="56" xfId="0" applyNumberFormat="1" applyFont="1" applyFill="1" applyBorder="1" applyAlignment="1">
      <alignment horizontal="center" vertical="center"/>
    </xf>
    <xf numFmtId="164" fontId="9" fillId="2" borderId="57" xfId="0" applyNumberFormat="1" applyFont="1" applyFill="1" applyBorder="1" applyAlignment="1">
      <alignment horizontal="center" vertical="center" wrapText="1"/>
    </xf>
    <xf numFmtId="164" fontId="9" fillId="2" borderId="58" xfId="0" applyNumberFormat="1" applyFont="1" applyFill="1" applyBorder="1" applyAlignment="1">
      <alignment horizontal="center" vertical="center" wrapText="1"/>
    </xf>
    <xf numFmtId="164" fontId="9" fillId="2" borderId="37" xfId="0" applyNumberFormat="1" applyFont="1" applyFill="1" applyBorder="1" applyAlignment="1">
      <alignment horizontal="center"/>
    </xf>
    <xf numFmtId="3" fontId="9" fillId="2" borderId="38" xfId="0" applyNumberFormat="1" applyFont="1" applyFill="1" applyBorder="1" applyAlignment="1">
      <alignment horizontal="center"/>
    </xf>
    <xf numFmtId="3" fontId="9" fillId="2" borderId="12" xfId="0" applyNumberFormat="1" applyFont="1" applyFill="1" applyBorder="1" applyAlignment="1">
      <alignment horizontal="center"/>
    </xf>
    <xf numFmtId="165" fontId="9" fillId="2" borderId="38" xfId="0" applyNumberFormat="1" applyFont="1" applyFill="1" applyBorder="1" applyAlignment="1">
      <alignment horizontal="center"/>
    </xf>
    <xf numFmtId="165" fontId="9" fillId="2" borderId="12" xfId="0" applyNumberFormat="1" applyFont="1" applyFill="1" applyBorder="1" applyAlignment="1">
      <alignment horizontal="center"/>
    </xf>
    <xf numFmtId="165" fontId="9" fillId="2" borderId="48" xfId="0" applyNumberFormat="1" applyFont="1" applyFill="1" applyBorder="1" applyAlignment="1">
      <alignment horizontal="center"/>
    </xf>
    <xf numFmtId="164" fontId="9" fillId="2" borderId="29" xfId="0" applyNumberFormat="1" applyFont="1" applyFill="1" applyBorder="1" applyAlignment="1">
      <alignment horizontal="center"/>
    </xf>
    <xf numFmtId="165" fontId="9" fillId="2" borderId="30" xfId="0" applyNumberFormat="1" applyFont="1" applyFill="1" applyBorder="1" applyAlignment="1">
      <alignment horizontal="center"/>
    </xf>
    <xf numFmtId="164" fontId="9" fillId="2" borderId="59" xfId="0" applyNumberFormat="1" applyFont="1" applyFill="1" applyBorder="1" applyAlignment="1">
      <alignment horizontal="center"/>
    </xf>
    <xf numFmtId="3" fontId="9" fillId="2" borderId="60" xfId="0" applyNumberFormat="1" applyFont="1" applyFill="1" applyBorder="1" applyAlignment="1">
      <alignment horizontal="center"/>
    </xf>
    <xf numFmtId="165" fontId="9" fillId="2" borderId="60" xfId="0" applyNumberFormat="1" applyFont="1" applyFill="1" applyBorder="1" applyAlignment="1">
      <alignment horizontal="center"/>
    </xf>
    <xf numFmtId="165" fontId="9" fillId="2" borderId="61" xfId="0" applyNumberFormat="1" applyFont="1" applyFill="1" applyBorder="1" applyAlignment="1">
      <alignment horizontal="center"/>
    </xf>
    <xf numFmtId="164" fontId="9" fillId="2" borderId="31" xfId="0" applyNumberFormat="1" applyFont="1" applyFill="1" applyBorder="1" applyAlignment="1">
      <alignment horizontal="center"/>
    </xf>
    <xf numFmtId="3" fontId="9" fillId="2" borderId="32" xfId="0" applyNumberFormat="1" applyFont="1" applyFill="1" applyBorder="1" applyAlignment="1">
      <alignment horizontal="center"/>
    </xf>
    <xf numFmtId="165" fontId="9" fillId="0" borderId="32" xfId="0" applyNumberFormat="1" applyFont="1" applyFill="1" applyBorder="1" applyAlignment="1">
      <alignment horizontal="center"/>
    </xf>
    <xf numFmtId="165" fontId="9" fillId="2" borderId="32" xfId="0" applyNumberFormat="1" applyFont="1" applyFill="1" applyBorder="1" applyAlignment="1">
      <alignment horizontal="center"/>
    </xf>
    <xf numFmtId="165" fontId="9" fillId="2" borderId="33" xfId="0" applyNumberFormat="1" applyFont="1" applyFill="1" applyBorder="1" applyAlignment="1">
      <alignment horizontal="center"/>
    </xf>
    <xf numFmtId="0" fontId="44" fillId="5" borderId="44" xfId="0" applyFont="1" applyFill="1" applyBorder="1"/>
    <xf numFmtId="0" fontId="44" fillId="5" borderId="0" xfId="0" applyFont="1" applyFill="1" applyBorder="1"/>
    <xf numFmtId="0" fontId="44" fillId="5" borderId="43" xfId="0" applyFont="1" applyFill="1" applyBorder="1"/>
    <xf numFmtId="164" fontId="9" fillId="0" borderId="57" xfId="0" applyNumberFormat="1" applyFont="1" applyFill="1" applyBorder="1" applyAlignment="1">
      <alignment horizontal="center" vertical="center" wrapText="1"/>
    </xf>
    <xf numFmtId="164" fontId="9" fillId="0" borderId="58" xfId="0" applyNumberFormat="1" applyFont="1" applyFill="1" applyBorder="1" applyAlignment="1">
      <alignment horizontal="center" vertical="center" wrapText="1"/>
    </xf>
    <xf numFmtId="1" fontId="9" fillId="2" borderId="38" xfId="0" applyNumberFormat="1" applyFont="1" applyFill="1" applyBorder="1" applyAlignment="1">
      <alignment horizontal="center"/>
    </xf>
    <xf numFmtId="167" fontId="9" fillId="0" borderId="38" xfId="0" applyNumberFormat="1" applyFont="1" applyFill="1" applyBorder="1" applyAlignment="1">
      <alignment horizontal="center"/>
    </xf>
    <xf numFmtId="168" fontId="9" fillId="0" borderId="48" xfId="0" applyNumberFormat="1" applyFont="1" applyFill="1" applyBorder="1" applyAlignment="1">
      <alignment horizontal="center"/>
    </xf>
    <xf numFmtId="3" fontId="9" fillId="0" borderId="12" xfId="0" applyNumberFormat="1" applyFont="1" applyFill="1" applyBorder="1" applyAlignment="1">
      <alignment horizontal="center"/>
    </xf>
    <xf numFmtId="1" fontId="9" fillId="0" borderId="12" xfId="0" applyNumberFormat="1" applyFont="1" applyFill="1" applyBorder="1" applyAlignment="1">
      <alignment horizontal="center"/>
    </xf>
    <xf numFmtId="1" fontId="9" fillId="0" borderId="38" xfId="0" applyNumberFormat="1" applyFont="1" applyFill="1" applyBorder="1" applyAlignment="1">
      <alignment horizontal="center"/>
    </xf>
    <xf numFmtId="3" fontId="9" fillId="0" borderId="48" xfId="0" applyNumberFormat="1" applyFont="1" applyFill="1" applyBorder="1" applyAlignment="1">
      <alignment horizontal="center"/>
    </xf>
    <xf numFmtId="3" fontId="9" fillId="0" borderId="60" xfId="0" applyNumberFormat="1" applyFont="1" applyFill="1" applyBorder="1" applyAlignment="1">
      <alignment horizontal="center"/>
    </xf>
    <xf numFmtId="1" fontId="9" fillId="0" borderId="60" xfId="0" applyNumberFormat="1" applyFont="1" applyFill="1" applyBorder="1" applyAlignment="1">
      <alignment horizontal="center"/>
    </xf>
    <xf numFmtId="1" fontId="9" fillId="2" borderId="32" xfId="0" applyNumberFormat="1" applyFont="1" applyFill="1" applyBorder="1" applyAlignment="1">
      <alignment horizontal="center"/>
    </xf>
    <xf numFmtId="168" fontId="9" fillId="0" borderId="33" xfId="0" applyNumberFormat="1" applyFont="1" applyFill="1" applyBorder="1" applyAlignment="1">
      <alignment horizontal="center"/>
    </xf>
    <xf numFmtId="168" fontId="9" fillId="0" borderId="60" xfId="0" applyNumberFormat="1" applyFont="1" applyFill="1" applyBorder="1" applyAlignment="1">
      <alignment horizontal="center"/>
    </xf>
    <xf numFmtId="168" fontId="9" fillId="0" borderId="61" xfId="0" applyNumberFormat="1" applyFont="1" applyFill="1" applyBorder="1" applyAlignment="1">
      <alignment horizontal="center"/>
    </xf>
    <xf numFmtId="1" fontId="9" fillId="2" borderId="48" xfId="0" applyNumberFormat="1" applyFont="1" applyFill="1" applyBorder="1" applyAlignment="1">
      <alignment horizontal="center"/>
    </xf>
    <xf numFmtId="1" fontId="9" fillId="2" borderId="61" xfId="0" applyNumberFormat="1" applyFont="1" applyFill="1" applyBorder="1" applyAlignment="1">
      <alignment horizontal="center"/>
    </xf>
    <xf numFmtId="1" fontId="9" fillId="2" borderId="33" xfId="0" applyNumberFormat="1" applyFont="1" applyFill="1" applyBorder="1" applyAlignment="1">
      <alignment horizontal="center"/>
    </xf>
    <xf numFmtId="0" fontId="5" fillId="0" borderId="29" xfId="0" applyFont="1" applyFill="1" applyBorder="1" applyAlignment="1">
      <alignment horizontal="left" vertical="center" wrapText="1" indent="1"/>
    </xf>
    <xf numFmtId="0" fontId="5" fillId="0" borderId="12" xfId="0" applyFont="1" applyFill="1" applyBorder="1" applyAlignment="1">
      <alignment horizontal="center" vertical="center" wrapText="1"/>
    </xf>
    <xf numFmtId="6" fontId="5" fillId="0" borderId="30" xfId="0" applyNumberFormat="1" applyFont="1" applyFill="1" applyBorder="1" applyAlignment="1">
      <alignment horizontal="right" vertical="center" wrapText="1" indent="1"/>
    </xf>
    <xf numFmtId="0" fontId="5" fillId="0" borderId="6" xfId="0" applyFont="1" applyFill="1" applyBorder="1" applyAlignment="1">
      <alignment horizontal="center" vertical="center" wrapText="1"/>
    </xf>
    <xf numFmtId="6" fontId="5" fillId="0" borderId="8" xfId="0" applyNumberFormat="1" applyFont="1" applyFill="1" applyBorder="1" applyAlignment="1">
      <alignment horizontal="right" vertical="center" wrapText="1" indent="1"/>
    </xf>
    <xf numFmtId="3" fontId="5" fillId="0" borderId="12" xfId="0" applyNumberFormat="1" applyFont="1" applyFill="1" applyBorder="1" applyAlignment="1">
      <alignment horizontal="center" vertical="center" wrapText="1"/>
    </xf>
    <xf numFmtId="0" fontId="5" fillId="0" borderId="35" xfId="0" applyFont="1" applyFill="1" applyBorder="1" applyAlignment="1">
      <alignment horizontal="center" vertical="center" wrapText="1"/>
    </xf>
    <xf numFmtId="6" fontId="15" fillId="0" borderId="25" xfId="0" applyNumberFormat="1" applyFont="1" applyFill="1" applyBorder="1" applyAlignment="1">
      <alignment horizontal="right" vertical="center" wrapText="1" indent="1"/>
    </xf>
    <xf numFmtId="0" fontId="19" fillId="0" borderId="0" xfId="0" applyFont="1" applyFill="1" applyAlignment="1">
      <alignment vertical="center"/>
    </xf>
    <xf numFmtId="168" fontId="9" fillId="0" borderId="38" xfId="0" applyNumberFormat="1" applyFont="1" applyFill="1" applyBorder="1" applyAlignment="1">
      <alignment horizontal="center"/>
    </xf>
    <xf numFmtId="168" fontId="9" fillId="0" borderId="32" xfId="0" applyNumberFormat="1" applyFont="1" applyFill="1" applyBorder="1" applyAlignment="1">
      <alignment horizontal="center"/>
    </xf>
    <xf numFmtId="0" fontId="23" fillId="0" borderId="0" xfId="0" applyFont="1" applyAlignment="1">
      <alignment horizontal="center" vertical="center" wrapText="1"/>
    </xf>
    <xf numFmtId="0" fontId="0" fillId="0" borderId="0" xfId="0" applyAlignment="1">
      <alignment wrapText="1"/>
    </xf>
    <xf numFmtId="0" fontId="0" fillId="0" borderId="0" xfId="0" applyFill="1" applyAlignment="1">
      <alignment wrapText="1"/>
    </xf>
    <xf numFmtId="0" fontId="23" fillId="0" borderId="0" xfId="0" applyFont="1" applyAlignment="1">
      <alignment horizontal="center" vertical="center" wrapText="1"/>
    </xf>
    <xf numFmtId="0" fontId="0" fillId="0" borderId="0" xfId="0" applyAlignment="1">
      <alignment wrapText="1"/>
    </xf>
    <xf numFmtId="0" fontId="23" fillId="0" borderId="0" xfId="0" applyFont="1" applyAlignment="1">
      <alignment horizontal="left" vertical="center" wrapText="1"/>
    </xf>
    <xf numFmtId="0" fontId="0" fillId="0" borderId="0" xfId="0" applyAlignment="1">
      <alignment horizontal="left" wrapText="1"/>
    </xf>
    <xf numFmtId="0" fontId="22" fillId="0" borderId="0" xfId="0" applyFont="1" applyAlignment="1">
      <alignment horizontal="left" vertical="center" wrapText="1"/>
    </xf>
    <xf numFmtId="0" fontId="24" fillId="0" borderId="44" xfId="1" applyFill="1" applyBorder="1" applyAlignment="1" applyProtection="1">
      <alignment wrapText="1"/>
    </xf>
    <xf numFmtId="0" fontId="5" fillId="0" borderId="0" xfId="0" applyFont="1" applyFill="1" applyBorder="1" applyAlignment="1">
      <alignment wrapText="1"/>
    </xf>
    <xf numFmtId="0" fontId="5" fillId="0" borderId="43" xfId="0" applyFont="1" applyFill="1" applyBorder="1" applyAlignment="1">
      <alignment wrapText="1"/>
    </xf>
    <xf numFmtId="0" fontId="25" fillId="0" borderId="42" xfId="1" applyFont="1" applyBorder="1" applyAlignment="1" applyProtection="1">
      <alignment wrapText="1"/>
    </xf>
    <xf numFmtId="0" fontId="5" fillId="0" borderId="41" xfId="0" applyFont="1" applyBorder="1" applyAlignment="1">
      <alignment wrapText="1"/>
    </xf>
    <xf numFmtId="0" fontId="5" fillId="0" borderId="40" xfId="0" applyFont="1" applyBorder="1" applyAlignment="1">
      <alignment wrapText="1"/>
    </xf>
    <xf numFmtId="0" fontId="27" fillId="0" borderId="51" xfId="5" applyFont="1" applyFill="1" applyBorder="1" applyAlignment="1">
      <alignment horizontal="center"/>
    </xf>
    <xf numFmtId="0" fontId="5" fillId="0" borderId="50" xfId="0" applyFont="1" applyBorder="1" applyAlignment="1">
      <alignment horizontal="center"/>
    </xf>
    <xf numFmtId="0" fontId="5" fillId="0" borderId="49" xfId="0" applyFont="1" applyBorder="1" applyAlignment="1">
      <alignment horizontal="center"/>
    </xf>
    <xf numFmtId="0" fontId="25" fillId="0" borderId="44" xfId="1" applyFont="1" applyBorder="1" applyAlignment="1" applyProtection="1">
      <alignment wrapText="1"/>
    </xf>
    <xf numFmtId="0" fontId="5" fillId="0" borderId="0" xfId="0" applyFont="1" applyBorder="1" applyAlignment="1">
      <alignment wrapText="1"/>
    </xf>
    <xf numFmtId="0" fontId="5" fillId="0" borderId="43" xfId="0" applyFont="1" applyBorder="1" applyAlignment="1">
      <alignment wrapText="1"/>
    </xf>
    <xf numFmtId="0" fontId="28" fillId="0" borderId="44" xfId="4" applyBorder="1" applyAlignment="1" applyProtection="1">
      <alignment wrapText="1"/>
    </xf>
    <xf numFmtId="0" fontId="25" fillId="0" borderId="44" xfId="1" applyFont="1" applyFill="1" applyBorder="1" applyAlignment="1" applyProtection="1">
      <alignment wrapText="1"/>
    </xf>
    <xf numFmtId="0" fontId="5" fillId="0" borderId="42" xfId="0" applyFont="1" applyFill="1" applyBorder="1" applyAlignment="1">
      <alignment wrapText="1"/>
    </xf>
    <xf numFmtId="0" fontId="27" fillId="0" borderId="51" xfId="3" applyFont="1" applyFill="1" applyBorder="1" applyAlignment="1">
      <alignment horizontal="center"/>
    </xf>
    <xf numFmtId="3" fontId="39" fillId="0" borderId="54" xfId="0" applyNumberFormat="1" applyFont="1" applyFill="1" applyBorder="1" applyAlignment="1">
      <alignment horizontal="center" vertical="center"/>
    </xf>
    <xf numFmtId="3" fontId="39" fillId="0" borderId="53" xfId="0" applyNumberFormat="1" applyFont="1" applyFill="1" applyBorder="1" applyAlignment="1">
      <alignment horizontal="center" vertical="center"/>
    </xf>
    <xf numFmtId="3" fontId="39" fillId="0" borderId="52" xfId="0" applyNumberFormat="1" applyFont="1" applyFill="1" applyBorder="1" applyAlignment="1">
      <alignment horizontal="center" vertical="center"/>
    </xf>
    <xf numFmtId="3" fontId="38" fillId="0" borderId="54" xfId="0" applyNumberFormat="1" applyFont="1" applyFill="1" applyBorder="1" applyAlignment="1">
      <alignment horizontal="center" vertical="center"/>
    </xf>
    <xf numFmtId="3" fontId="38" fillId="0" borderId="53" xfId="0" applyNumberFormat="1" applyFont="1" applyFill="1" applyBorder="1" applyAlignment="1">
      <alignment horizontal="center" vertical="center"/>
    </xf>
    <xf numFmtId="3" fontId="38" fillId="0" borderId="52" xfId="0" applyNumberFormat="1" applyFont="1" applyFill="1" applyBorder="1" applyAlignment="1">
      <alignment horizontal="center" vertical="center"/>
    </xf>
    <xf numFmtId="3" fontId="35" fillId="0" borderId="54" xfId="0" applyNumberFormat="1" applyFont="1" applyFill="1" applyBorder="1" applyAlignment="1">
      <alignment horizontal="center" vertical="center"/>
    </xf>
    <xf numFmtId="3" fontId="35" fillId="0" borderId="53" xfId="0" applyNumberFormat="1" applyFont="1" applyFill="1" applyBorder="1" applyAlignment="1">
      <alignment horizontal="center" vertical="center"/>
    </xf>
    <xf numFmtId="3" fontId="35" fillId="0" borderId="52" xfId="0" applyNumberFormat="1" applyFont="1" applyFill="1" applyBorder="1" applyAlignment="1">
      <alignment horizontal="center" vertical="center"/>
    </xf>
    <xf numFmtId="3" fontId="31" fillId="0" borderId="54" xfId="0" applyNumberFormat="1" applyFont="1" applyFill="1" applyBorder="1" applyAlignment="1">
      <alignment horizontal="center"/>
    </xf>
    <xf numFmtId="3" fontId="31" fillId="0" borderId="53" xfId="0" applyNumberFormat="1" applyFont="1" applyFill="1" applyBorder="1" applyAlignment="1">
      <alignment horizontal="center"/>
    </xf>
    <xf numFmtId="3" fontId="31" fillId="0" borderId="52" xfId="0" applyNumberFormat="1" applyFont="1" applyFill="1" applyBorder="1" applyAlignment="1">
      <alignment horizontal="center"/>
    </xf>
    <xf numFmtId="0" fontId="10" fillId="0" borderId="14" xfId="0" applyFont="1" applyFill="1" applyBorder="1" applyAlignment="1">
      <alignment horizontal="left" vertical="center" wrapText="1" indent="2"/>
    </xf>
    <xf numFmtId="0" fontId="10" fillId="0" borderId="15" xfId="0" applyFont="1" applyFill="1" applyBorder="1" applyAlignment="1">
      <alignment horizontal="left" vertical="center" wrapText="1" indent="2"/>
    </xf>
    <xf numFmtId="0" fontId="10" fillId="0" borderId="16" xfId="0" applyFont="1" applyFill="1" applyBorder="1" applyAlignment="1">
      <alignment horizontal="left" vertical="center" wrapText="1" indent="2"/>
    </xf>
    <xf numFmtId="3" fontId="11" fillId="0" borderId="13" xfId="0" applyNumberFormat="1" applyFont="1" applyFill="1" applyBorder="1" applyAlignment="1">
      <alignment horizontal="center" vertical="center" wrapText="1"/>
    </xf>
    <xf numFmtId="3" fontId="11" fillId="0" borderId="17" xfId="0" applyNumberFormat="1" applyFont="1" applyFill="1" applyBorder="1" applyAlignment="1">
      <alignment horizontal="center" vertical="center" wrapText="1"/>
    </xf>
    <xf numFmtId="3" fontId="11" fillId="0" borderId="18" xfId="0" applyNumberFormat="1" applyFont="1" applyFill="1" applyBorder="1" applyAlignment="1">
      <alignment horizontal="center" vertical="center" wrapText="1"/>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3" fontId="11" fillId="0" borderId="13" xfId="0" applyNumberFormat="1" applyFont="1" applyBorder="1" applyAlignment="1">
      <alignment horizontal="center" vertical="center" wrapText="1"/>
    </xf>
    <xf numFmtId="3" fontId="11" fillId="0" borderId="17" xfId="0" applyNumberFormat="1" applyFont="1" applyBorder="1" applyAlignment="1">
      <alignment horizontal="center" vertical="center" wrapText="1"/>
    </xf>
    <xf numFmtId="3" fontId="11" fillId="0" borderId="18" xfId="0" applyNumberFormat="1" applyFont="1" applyBorder="1" applyAlignment="1">
      <alignment horizontal="center" vertical="center" wrapText="1"/>
    </xf>
    <xf numFmtId="0" fontId="6" fillId="0" borderId="0" xfId="0" applyFont="1" applyAlignment="1">
      <alignment horizontal="left" vertical="center" wrapText="1"/>
    </xf>
    <xf numFmtId="0" fontId="15" fillId="0" borderId="19" xfId="0" applyFont="1" applyBorder="1" applyAlignment="1">
      <alignment horizontal="left" vertical="center" wrapText="1" indent="1"/>
    </xf>
    <xf numFmtId="0" fontId="15" fillId="0" borderId="20" xfId="0" applyFont="1" applyBorder="1" applyAlignment="1">
      <alignment horizontal="left" vertical="center" wrapText="1" indent="1"/>
    </xf>
    <xf numFmtId="0" fontId="15" fillId="0" borderId="22" xfId="0" applyFont="1" applyBorder="1" applyAlignment="1">
      <alignment horizontal="left" vertical="center" wrapText="1" indent="1"/>
    </xf>
    <xf numFmtId="0" fontId="15" fillId="0" borderId="23" xfId="0" applyFont="1" applyBorder="1" applyAlignment="1">
      <alignment horizontal="left" vertical="center" wrapText="1" indent="1"/>
    </xf>
    <xf numFmtId="0" fontId="2" fillId="0" borderId="7"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2" fillId="0" borderId="6" xfId="0" applyFont="1" applyBorder="1" applyAlignment="1">
      <alignment horizontal="center" vertical="center" wrapText="1"/>
    </xf>
    <xf numFmtId="0" fontId="4" fillId="0" borderId="6" xfId="0" applyFont="1" applyBorder="1" applyAlignment="1">
      <alignment horizontal="center" vertical="center" wrapText="1"/>
    </xf>
    <xf numFmtId="164" fontId="1" fillId="2" borderId="0" xfId="0" applyNumberFormat="1" applyFont="1" applyFill="1" applyBorder="1" applyAlignment="1" applyProtection="1">
      <alignment horizontal="center" vertical="center" wrapText="1"/>
    </xf>
    <xf numFmtId="164" fontId="1" fillId="2" borderId="41" xfId="0" applyNumberFormat="1" applyFont="1" applyFill="1" applyBorder="1" applyAlignment="1" applyProtection="1">
      <alignment horizontal="center" vertical="center" wrapText="1"/>
    </xf>
    <xf numFmtId="0" fontId="2" fillId="0" borderId="8" xfId="0" applyFont="1" applyBorder="1" applyAlignment="1">
      <alignment horizontal="center" vertical="center" wrapText="1"/>
    </xf>
    <xf numFmtId="0" fontId="4"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6" fillId="0" borderId="0" xfId="0" applyFont="1" applyFill="1" applyAlignment="1">
      <alignment vertical="center" wrapText="1"/>
    </xf>
    <xf numFmtId="0" fontId="0" fillId="0" borderId="0" xfId="0" applyFill="1" applyAlignment="1">
      <alignment wrapText="1"/>
    </xf>
    <xf numFmtId="0" fontId="5" fillId="0" borderId="0" xfId="0" applyFont="1" applyAlignment="1">
      <alignment horizontal="left" vertical="center" wrapText="1"/>
    </xf>
    <xf numFmtId="164" fontId="1" fillId="2" borderId="0" xfId="0" applyNumberFormat="1" applyFont="1" applyFill="1" applyBorder="1" applyAlignment="1" applyProtection="1">
      <alignment horizontal="center" wrapText="1"/>
    </xf>
    <xf numFmtId="164" fontId="1" fillId="2" borderId="41" xfId="0" applyNumberFormat="1" applyFont="1" applyFill="1" applyBorder="1" applyAlignment="1" applyProtection="1">
      <alignment horizontal="center" wrapText="1"/>
    </xf>
    <xf numFmtId="3" fontId="2" fillId="0" borderId="41" xfId="0" applyNumberFormat="1" applyFont="1" applyBorder="1" applyAlignment="1">
      <alignment horizontal="center" vertical="center" wrapText="1"/>
    </xf>
    <xf numFmtId="3" fontId="2" fillId="0" borderId="62" xfId="0" applyNumberFormat="1" applyFont="1" applyBorder="1" applyAlignment="1">
      <alignment horizontal="center" vertical="center" wrapText="1"/>
    </xf>
    <xf numFmtId="0" fontId="2" fillId="0" borderId="2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12" xfId="0" applyFont="1" applyBorder="1" applyAlignment="1">
      <alignment wrapText="1"/>
    </xf>
    <xf numFmtId="0" fontId="4" fillId="0" borderId="32" xfId="0" applyFont="1" applyBorder="1" applyAlignment="1">
      <alignment wrapText="1"/>
    </xf>
    <xf numFmtId="0" fontId="4" fillId="0" borderId="12" xfId="0" applyFont="1" applyBorder="1" applyAlignment="1">
      <alignment horizontal="center" vertical="center" wrapText="1"/>
    </xf>
    <xf numFmtId="0" fontId="4" fillId="0" borderId="32" xfId="0" applyFont="1" applyBorder="1" applyAlignment="1">
      <alignment horizontal="center" vertical="center" wrapText="1"/>
    </xf>
    <xf numFmtId="0" fontId="2" fillId="0" borderId="30" xfId="0" applyFont="1" applyBorder="1" applyAlignment="1">
      <alignment horizontal="center" vertical="center" wrapText="1"/>
    </xf>
    <xf numFmtId="0" fontId="4" fillId="0" borderId="30" xfId="0" applyFont="1" applyBorder="1" applyAlignment="1">
      <alignment wrapText="1"/>
    </xf>
    <xf numFmtId="0" fontId="4" fillId="0" borderId="33" xfId="0" applyFont="1" applyBorder="1" applyAlignment="1">
      <alignment wrapText="1"/>
    </xf>
    <xf numFmtId="0" fontId="2" fillId="0" borderId="31" xfId="0" applyFont="1" applyBorder="1" applyAlignment="1">
      <alignment horizontal="left" vertical="center" wrapText="1" indent="1"/>
    </xf>
    <xf numFmtId="0" fontId="2" fillId="0" borderId="32" xfId="0" applyFont="1" applyBorder="1" applyAlignment="1">
      <alignment horizontal="left" vertical="center" wrapText="1" indent="1"/>
    </xf>
    <xf numFmtId="0" fontId="2" fillId="0" borderId="36" xfId="0" applyFont="1" applyBorder="1" applyAlignment="1">
      <alignment horizontal="left" vertical="center" wrapText="1" indent="1"/>
    </xf>
    <xf numFmtId="0" fontId="2" fillId="0" borderId="31" xfId="0" applyFont="1" applyFill="1" applyBorder="1" applyAlignment="1">
      <alignment horizontal="left" vertical="center" wrapText="1" indent="1"/>
    </xf>
    <xf numFmtId="0" fontId="2" fillId="0" borderId="32" xfId="0" applyFont="1" applyFill="1" applyBorder="1" applyAlignment="1">
      <alignment horizontal="left" vertical="center" wrapText="1" indent="1"/>
    </xf>
    <xf numFmtId="0" fontId="2" fillId="0" borderId="36" xfId="0" applyFont="1" applyFill="1" applyBorder="1" applyAlignment="1">
      <alignment horizontal="left" vertical="center" wrapText="1" indent="1"/>
    </xf>
    <xf numFmtId="3" fontId="2" fillId="0" borderId="41" xfId="0" applyNumberFormat="1" applyFont="1" applyFill="1" applyBorder="1" applyAlignment="1">
      <alignment horizontal="center" vertical="center" wrapText="1"/>
    </xf>
    <xf numFmtId="3" fontId="2" fillId="0" borderId="62" xfId="0" applyNumberFormat="1" applyFont="1" applyFill="1" applyBorder="1" applyAlignment="1">
      <alignment horizontal="center" vertical="center" wrapText="1"/>
    </xf>
  </cellXfs>
  <cellStyles count="6">
    <cellStyle name="Hyperlink" xfId="4" builtinId="8"/>
    <cellStyle name="Hyperlink 2" xfId="1" xr:uid="{00000000-0005-0000-0000-000001000000}"/>
    <cellStyle name="Normal" xfId="0" builtinId="0"/>
    <cellStyle name="Normal 2" xfId="5" xr:uid="{00000000-0005-0000-0000-000003000000}"/>
    <cellStyle name="Normal_HMIWI EG SS" xfId="2" xr:uid="{00000000-0005-0000-0000-000004000000}"/>
    <cellStyle name="Normal_ICR Cost Inputs"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pm.gov/policy-data-oversight/pay-leave/salaries-wages/salary-tables/17Tables/html/GS_h.aspx" TargetMode="External"/><Relationship Id="rId1" Type="http://schemas.openxmlformats.org/officeDocument/2006/relationships/hyperlink" Target="https://www.bls.gov/oes/current/naics3_313000.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2"/>
  <sheetViews>
    <sheetView workbookViewId="0">
      <selection activeCell="G19" sqref="G19"/>
    </sheetView>
  </sheetViews>
  <sheetFormatPr defaultRowHeight="15" x14ac:dyDescent="0.25"/>
  <sheetData>
    <row r="1" spans="1:17" x14ac:dyDescent="0.25">
      <c r="A1" s="198" t="s">
        <v>0</v>
      </c>
      <c r="B1" s="199"/>
      <c r="C1" s="199"/>
      <c r="D1" s="199"/>
      <c r="E1" s="199"/>
      <c r="F1" s="199"/>
      <c r="G1" s="199"/>
      <c r="H1" s="199"/>
      <c r="I1" s="199"/>
      <c r="J1" s="199"/>
      <c r="K1" s="199"/>
      <c r="L1" s="199"/>
      <c r="M1" s="199"/>
      <c r="N1" s="199"/>
      <c r="O1" s="199"/>
      <c r="P1" s="199"/>
      <c r="Q1" s="199"/>
    </row>
    <row r="2" spans="1:17" x14ac:dyDescent="0.25">
      <c r="A2" s="198" t="s">
        <v>1</v>
      </c>
      <c r="B2" s="199"/>
      <c r="C2" s="199"/>
      <c r="D2" s="199"/>
      <c r="E2" s="199"/>
      <c r="F2" s="199"/>
      <c r="G2" s="199"/>
      <c r="H2" s="199"/>
      <c r="I2" s="199"/>
      <c r="J2" s="199"/>
      <c r="K2" s="199"/>
      <c r="L2" s="199"/>
      <c r="M2" s="199"/>
      <c r="N2" s="199"/>
      <c r="O2" s="199"/>
      <c r="P2" s="199"/>
      <c r="Q2" s="199"/>
    </row>
    <row r="3" spans="1:17" ht="15.75" x14ac:dyDescent="0.25">
      <c r="A3" s="62"/>
    </row>
    <row r="4" spans="1:17" x14ac:dyDescent="0.25">
      <c r="A4" s="198" t="s">
        <v>2</v>
      </c>
      <c r="B4" s="199"/>
      <c r="C4" s="199"/>
      <c r="D4" s="199"/>
      <c r="E4" s="199"/>
      <c r="F4" s="199"/>
      <c r="G4" s="199"/>
      <c r="H4" s="199"/>
      <c r="I4" s="199"/>
      <c r="J4" s="199"/>
      <c r="K4" s="199"/>
      <c r="L4" s="199"/>
      <c r="M4" s="199"/>
      <c r="N4" s="199"/>
      <c r="O4" s="199"/>
      <c r="P4" s="199"/>
      <c r="Q4" s="199"/>
    </row>
    <row r="5" spans="1:17" ht="15.75" x14ac:dyDescent="0.25">
      <c r="A5" s="195"/>
      <c r="B5" s="196"/>
      <c r="C5" s="196"/>
      <c r="D5" s="196"/>
      <c r="E5" s="196"/>
      <c r="F5" s="196"/>
      <c r="G5" s="196"/>
      <c r="H5" s="196"/>
      <c r="I5" s="196"/>
      <c r="J5" s="196"/>
      <c r="K5" s="196"/>
      <c r="L5" s="196"/>
      <c r="M5" s="196"/>
      <c r="N5" s="196"/>
      <c r="O5" s="196"/>
      <c r="P5" s="196"/>
      <c r="Q5" s="196"/>
    </row>
    <row r="6" spans="1:17" x14ac:dyDescent="0.25">
      <c r="A6" s="200" t="s">
        <v>3</v>
      </c>
      <c r="B6" s="201"/>
      <c r="C6" s="201"/>
      <c r="D6" s="201"/>
      <c r="E6" s="201"/>
      <c r="F6" s="201"/>
      <c r="G6" s="201"/>
      <c r="H6" s="201"/>
      <c r="I6" s="201"/>
      <c r="J6" s="201"/>
      <c r="K6" s="201"/>
      <c r="L6" s="201"/>
      <c r="M6" s="201"/>
      <c r="N6" s="201"/>
      <c r="O6" s="201"/>
      <c r="P6" s="201"/>
      <c r="Q6" s="201"/>
    </row>
    <row r="7" spans="1:17" ht="15.75" x14ac:dyDescent="0.25">
      <c r="A7" s="60"/>
    </row>
    <row r="8" spans="1:17" ht="15.75" x14ac:dyDescent="0.25">
      <c r="B8" s="61" t="s">
        <v>4</v>
      </c>
    </row>
    <row r="9" spans="1:17" ht="15.75" x14ac:dyDescent="0.25">
      <c r="A9" s="60"/>
    </row>
    <row r="10" spans="1:17" ht="15.75" x14ac:dyDescent="0.25">
      <c r="A10" s="56" t="s">
        <v>5</v>
      </c>
    </row>
    <row r="11" spans="1:17" ht="15.75" x14ac:dyDescent="0.25">
      <c r="A11" s="56"/>
    </row>
    <row r="12" spans="1:17" ht="15.75" x14ac:dyDescent="0.25">
      <c r="A12" s="56" t="s">
        <v>6</v>
      </c>
    </row>
    <row r="15" spans="1:17" x14ac:dyDescent="0.25">
      <c r="A15" s="202" t="s">
        <v>7</v>
      </c>
      <c r="B15" s="201"/>
      <c r="C15" s="201"/>
      <c r="D15" s="201"/>
      <c r="E15" s="201"/>
      <c r="F15" s="201"/>
      <c r="G15" s="201"/>
      <c r="H15" s="201"/>
      <c r="I15" s="201"/>
      <c r="J15" s="201"/>
      <c r="K15" s="201"/>
      <c r="L15" s="201"/>
      <c r="M15" s="201"/>
      <c r="N15" s="201"/>
      <c r="O15" s="201"/>
      <c r="P15" s="201"/>
      <c r="Q15" s="201"/>
    </row>
    <row r="16" spans="1:17" ht="15.75" x14ac:dyDescent="0.25">
      <c r="A16" s="58"/>
    </row>
    <row r="17" spans="1:2" ht="15.75" x14ac:dyDescent="0.25">
      <c r="B17" s="59" t="s">
        <v>8</v>
      </c>
    </row>
    <row r="18" spans="1:2" ht="15.75" x14ac:dyDescent="0.25">
      <c r="A18" s="58"/>
    </row>
    <row r="19" spans="1:2" ht="15.75" x14ac:dyDescent="0.25">
      <c r="A19" s="57" t="s">
        <v>9</v>
      </c>
    </row>
    <row r="21" spans="1:2" ht="15.75" x14ac:dyDescent="0.25">
      <c r="A21" s="57" t="s">
        <v>10</v>
      </c>
    </row>
    <row r="22" spans="1:2" ht="15.75" x14ac:dyDescent="0.25">
      <c r="A22" s="56"/>
    </row>
  </sheetData>
  <mergeCells count="5">
    <mergeCell ref="A1:Q1"/>
    <mergeCell ref="A2:Q2"/>
    <mergeCell ref="A4:Q4"/>
    <mergeCell ref="A6:Q6"/>
    <mergeCell ref="A15:Q1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26"/>
  <sheetViews>
    <sheetView topLeftCell="B1" zoomScaleNormal="100" workbookViewId="0">
      <selection activeCell="B19" sqref="B19:J19"/>
    </sheetView>
  </sheetViews>
  <sheetFormatPr defaultRowHeight="15" x14ac:dyDescent="0.25"/>
  <cols>
    <col min="1" max="1" width="2.7109375" customWidth="1"/>
    <col min="2" max="2" width="52.7109375" customWidth="1"/>
    <col min="3" max="3" width="11.7109375" customWidth="1"/>
    <col min="4" max="4" width="14.140625" customWidth="1"/>
    <col min="5" max="5" width="12.28515625" customWidth="1"/>
    <col min="6" max="6" width="9.7109375" customWidth="1"/>
    <col min="7" max="7" width="12.5703125" customWidth="1"/>
    <col min="8" max="8" width="12.85546875" customWidth="1"/>
    <col min="9" max="9" width="12.140625" customWidth="1"/>
    <col min="10" max="10" width="12.85546875" customWidth="1"/>
  </cols>
  <sheetData>
    <row r="1" spans="2:10" ht="15.75" customHeight="1" x14ac:dyDescent="0.25">
      <c r="B1" s="261" t="s">
        <v>253</v>
      </c>
      <c r="C1" s="261"/>
      <c r="D1" s="261"/>
      <c r="E1" s="261"/>
      <c r="F1" s="261"/>
      <c r="G1" s="261"/>
      <c r="H1" s="261"/>
      <c r="I1" s="261"/>
      <c r="J1" s="261"/>
    </row>
    <row r="2" spans="2:10" ht="15.75" thickBot="1" x14ac:dyDescent="0.3">
      <c r="B2" s="262"/>
      <c r="C2" s="262"/>
      <c r="D2" s="262"/>
      <c r="E2" s="262"/>
      <c r="F2" s="262"/>
      <c r="G2" s="262"/>
      <c r="H2" s="262"/>
      <c r="I2" s="262"/>
      <c r="J2" s="262"/>
    </row>
    <row r="3" spans="2:10" x14ac:dyDescent="0.25">
      <c r="B3" s="265" t="s">
        <v>127</v>
      </c>
      <c r="C3" s="37" t="s">
        <v>34</v>
      </c>
      <c r="D3" s="37" t="s">
        <v>35</v>
      </c>
      <c r="E3" s="37" t="s">
        <v>36</v>
      </c>
      <c r="F3" s="37" t="s">
        <v>37</v>
      </c>
      <c r="G3" s="37" t="s">
        <v>38</v>
      </c>
      <c r="H3" s="37" t="s">
        <v>39</v>
      </c>
      <c r="I3" s="37" t="s">
        <v>40</v>
      </c>
      <c r="J3" s="38" t="s">
        <v>41</v>
      </c>
    </row>
    <row r="4" spans="2:10" x14ac:dyDescent="0.25">
      <c r="B4" s="266"/>
      <c r="C4" s="268" t="s">
        <v>128</v>
      </c>
      <c r="D4" s="268" t="s">
        <v>129</v>
      </c>
      <c r="E4" s="268" t="s">
        <v>229</v>
      </c>
      <c r="F4" s="268" t="s">
        <v>230</v>
      </c>
      <c r="G4" s="268" t="s">
        <v>231</v>
      </c>
      <c r="H4" s="268" t="s">
        <v>232</v>
      </c>
      <c r="I4" s="268" t="s">
        <v>233</v>
      </c>
      <c r="J4" s="273" t="s">
        <v>234</v>
      </c>
    </row>
    <row r="5" spans="2:10" x14ac:dyDescent="0.25">
      <c r="B5" s="266"/>
      <c r="C5" s="269"/>
      <c r="D5" s="269"/>
      <c r="E5" s="269"/>
      <c r="F5" s="269"/>
      <c r="G5" s="269"/>
      <c r="H5" s="271"/>
      <c r="I5" s="269"/>
      <c r="J5" s="274"/>
    </row>
    <row r="6" spans="2:10" ht="15.75" thickBot="1" x14ac:dyDescent="0.3">
      <c r="B6" s="267"/>
      <c r="C6" s="270"/>
      <c r="D6" s="270"/>
      <c r="E6" s="270"/>
      <c r="F6" s="270"/>
      <c r="G6" s="270"/>
      <c r="H6" s="272"/>
      <c r="I6" s="270"/>
      <c r="J6" s="275"/>
    </row>
    <row r="7" spans="2:10" x14ac:dyDescent="0.25">
      <c r="B7" s="39" t="s">
        <v>235</v>
      </c>
      <c r="C7" s="40">
        <v>24</v>
      </c>
      <c r="D7" s="40">
        <v>1</v>
      </c>
      <c r="E7" s="41">
        <f>C7*D7</f>
        <v>24</v>
      </c>
      <c r="F7" s="41">
        <v>18</v>
      </c>
      <c r="G7" s="41">
        <f>E7*F7</f>
        <v>432</v>
      </c>
      <c r="H7" s="42">
        <f t="shared" ref="H7:H14" si="0">G7*0.05</f>
        <v>21.6</v>
      </c>
      <c r="I7" s="42">
        <f t="shared" ref="I7:I8" si="1">G7*0.1</f>
        <v>43.2</v>
      </c>
      <c r="J7" s="43">
        <f>G7*Inputs!$D$16+H7*Inputs!$D$17+I7*Inputs!$D$18</f>
        <v>23294.131200000003</v>
      </c>
    </row>
    <row r="8" spans="2:10" x14ac:dyDescent="0.25">
      <c r="B8" s="44" t="s">
        <v>236</v>
      </c>
      <c r="C8" s="14">
        <v>24</v>
      </c>
      <c r="D8" s="45">
        <v>1</v>
      </c>
      <c r="E8" s="46">
        <f>C8*D8</f>
        <v>24</v>
      </c>
      <c r="F8" s="46">
        <v>1</v>
      </c>
      <c r="G8" s="46">
        <f>E8*F8</f>
        <v>24</v>
      </c>
      <c r="H8" s="47">
        <f t="shared" si="0"/>
        <v>1.2000000000000002</v>
      </c>
      <c r="I8" s="47">
        <f t="shared" si="1"/>
        <v>2.4000000000000004</v>
      </c>
      <c r="J8" s="48">
        <f>G8*Inputs!$D$16+H8*Inputs!$D$17+I8*Inputs!$D$18</f>
        <v>1294.1184000000001</v>
      </c>
    </row>
    <row r="9" spans="2:10" x14ac:dyDescent="0.25">
      <c r="B9" s="184" t="s">
        <v>237</v>
      </c>
      <c r="C9" s="14"/>
      <c r="D9" s="14"/>
      <c r="E9" s="185"/>
      <c r="F9" s="185"/>
      <c r="G9" s="185"/>
      <c r="H9" s="185"/>
      <c r="I9" s="185"/>
      <c r="J9" s="186">
        <f>G9*Inputs!$D$16+H9*Inputs!$D$17+I9*Inputs!$D$18</f>
        <v>0</v>
      </c>
    </row>
    <row r="10" spans="2:10" x14ac:dyDescent="0.25">
      <c r="B10" s="184" t="s">
        <v>238</v>
      </c>
      <c r="C10" s="14">
        <v>10</v>
      </c>
      <c r="D10" s="14">
        <v>1</v>
      </c>
      <c r="E10" s="185">
        <v>4</v>
      </c>
      <c r="F10" s="185">
        <f>18+ROUND(18*0.05,0)</f>
        <v>19</v>
      </c>
      <c r="G10" s="185">
        <f t="shared" ref="G10:G14" si="2">E10*F10</f>
        <v>76</v>
      </c>
      <c r="H10" s="187">
        <f t="shared" si="0"/>
        <v>3.8000000000000003</v>
      </c>
      <c r="I10" s="187">
        <f t="shared" ref="I10:I14" si="3">G10*0.1</f>
        <v>7.6000000000000005</v>
      </c>
      <c r="J10" s="188">
        <f>G10*Inputs!$D$16+H10*Inputs!$D$17+I10*Inputs!$D$18</f>
        <v>4098.0416000000005</v>
      </c>
    </row>
    <row r="11" spans="2:10" x14ac:dyDescent="0.25">
      <c r="B11" s="184" t="s">
        <v>239</v>
      </c>
      <c r="C11" s="14">
        <v>20</v>
      </c>
      <c r="D11" s="14">
        <v>1</v>
      </c>
      <c r="E11" s="185">
        <v>8</v>
      </c>
      <c r="F11" s="185">
        <f>18+ROUND(18*0.05,0)</f>
        <v>19</v>
      </c>
      <c r="G11" s="185">
        <f t="shared" si="2"/>
        <v>152</v>
      </c>
      <c r="H11" s="187">
        <f t="shared" si="0"/>
        <v>7.6000000000000005</v>
      </c>
      <c r="I11" s="187">
        <f t="shared" si="3"/>
        <v>15.200000000000001</v>
      </c>
      <c r="J11" s="188">
        <f>G11*Inputs!$D$16+H11*Inputs!$D$17+I11*Inputs!$D$18</f>
        <v>8196.0832000000009</v>
      </c>
    </row>
    <row r="12" spans="2:10" x14ac:dyDescent="0.25">
      <c r="B12" s="184" t="s">
        <v>240</v>
      </c>
      <c r="C12" s="14">
        <v>8</v>
      </c>
      <c r="D12" s="14">
        <v>1</v>
      </c>
      <c r="E12" s="185">
        <v>0</v>
      </c>
      <c r="F12" s="185">
        <v>0</v>
      </c>
      <c r="G12" s="185">
        <f t="shared" si="2"/>
        <v>0</v>
      </c>
      <c r="H12" s="187">
        <f t="shared" si="0"/>
        <v>0</v>
      </c>
      <c r="I12" s="187">
        <f t="shared" si="3"/>
        <v>0</v>
      </c>
      <c r="J12" s="188">
        <f>G12*Inputs!$D$16+H12*Inputs!$D$17+I12*Inputs!$D$18</f>
        <v>0</v>
      </c>
    </row>
    <row r="13" spans="2:10" x14ac:dyDescent="0.25">
      <c r="B13" s="184" t="s">
        <v>241</v>
      </c>
      <c r="C13" s="14">
        <v>12</v>
      </c>
      <c r="D13" s="14">
        <v>2</v>
      </c>
      <c r="E13" s="185">
        <v>0</v>
      </c>
      <c r="F13" s="185">
        <v>0</v>
      </c>
      <c r="G13" s="189">
        <f t="shared" si="2"/>
        <v>0</v>
      </c>
      <c r="H13" s="187">
        <f t="shared" si="0"/>
        <v>0</v>
      </c>
      <c r="I13" s="187">
        <f t="shared" si="3"/>
        <v>0</v>
      </c>
      <c r="J13" s="188">
        <f>G13*Inputs!$D$16+H13*Inputs!$D$17+I13*Inputs!$D$18</f>
        <v>0</v>
      </c>
    </row>
    <row r="14" spans="2:10" x14ac:dyDescent="0.25">
      <c r="B14" s="11" t="s">
        <v>242</v>
      </c>
      <c r="C14" s="52">
        <v>2</v>
      </c>
      <c r="D14" s="52">
        <v>2</v>
      </c>
      <c r="E14" s="190">
        <f t="shared" ref="E14" si="4">C14*D14</f>
        <v>4</v>
      </c>
      <c r="F14" s="185">
        <v>0</v>
      </c>
      <c r="G14" s="189">
        <f t="shared" si="2"/>
        <v>0</v>
      </c>
      <c r="H14" s="187">
        <f t="shared" si="0"/>
        <v>0</v>
      </c>
      <c r="I14" s="187">
        <f t="shared" si="3"/>
        <v>0</v>
      </c>
      <c r="J14" s="188">
        <f>G14*Inputs!$D$16+H14*Inputs!$D$17+I14*Inputs!$D$18</f>
        <v>0</v>
      </c>
    </row>
    <row r="15" spans="2:10" ht="15.75" thickBot="1" x14ac:dyDescent="0.3">
      <c r="B15" s="279" t="s">
        <v>243</v>
      </c>
      <c r="C15" s="280"/>
      <c r="D15" s="280"/>
      <c r="E15" s="280"/>
      <c r="F15" s="281"/>
      <c r="G15" s="282">
        <f>ROUND(SUM(G7:I14),0)</f>
        <v>787</v>
      </c>
      <c r="H15" s="282"/>
      <c r="I15" s="283"/>
      <c r="J15" s="191">
        <f>ROUND(SUM(J7:J14),-2)</f>
        <v>36900</v>
      </c>
    </row>
    <row r="16" spans="2:10" x14ac:dyDescent="0.25">
      <c r="B16" s="95"/>
      <c r="C16" s="95"/>
      <c r="D16" s="95"/>
      <c r="E16" s="95"/>
      <c r="F16" s="95"/>
      <c r="G16" s="95"/>
      <c r="H16" s="95"/>
      <c r="I16" s="95"/>
      <c r="J16" s="95"/>
    </row>
    <row r="17" spans="2:10" x14ac:dyDescent="0.25">
      <c r="B17" s="192" t="s">
        <v>104</v>
      </c>
      <c r="C17" s="95"/>
      <c r="D17" s="95"/>
      <c r="E17" s="95"/>
      <c r="F17" s="95"/>
      <c r="G17" s="95"/>
      <c r="H17" s="95"/>
      <c r="I17" s="95"/>
      <c r="J17" s="95"/>
    </row>
    <row r="18" spans="2:10" ht="15" customHeight="1" x14ac:dyDescent="0.25">
      <c r="B18" s="242" t="s">
        <v>196</v>
      </c>
      <c r="C18" s="242"/>
      <c r="D18" s="242"/>
      <c r="E18" s="242"/>
      <c r="F18" s="242"/>
      <c r="G18" s="242"/>
      <c r="H18" s="242"/>
      <c r="I18" s="242"/>
      <c r="J18" s="242"/>
    </row>
    <row r="19" spans="2:10" ht="45" customHeight="1" x14ac:dyDescent="0.25">
      <c r="B19" s="258" t="s">
        <v>244</v>
      </c>
      <c r="C19" s="259"/>
      <c r="D19" s="259"/>
      <c r="E19" s="259"/>
      <c r="F19" s="259"/>
      <c r="G19" s="259"/>
      <c r="H19" s="259"/>
      <c r="I19" s="259"/>
      <c r="J19" s="259"/>
    </row>
    <row r="20" spans="2:10" x14ac:dyDescent="0.25">
      <c r="B20" s="33" t="s">
        <v>245</v>
      </c>
      <c r="C20" s="34"/>
      <c r="D20" s="34"/>
      <c r="E20" s="34"/>
      <c r="F20" s="34"/>
      <c r="G20" s="34"/>
      <c r="H20" s="34"/>
      <c r="I20" s="34"/>
      <c r="J20" s="34"/>
    </row>
    <row r="21" spans="2:10" ht="37.5" customHeight="1" x14ac:dyDescent="0.25">
      <c r="B21" s="242" t="s">
        <v>246</v>
      </c>
      <c r="C21" s="242"/>
      <c r="D21" s="242"/>
      <c r="E21" s="242"/>
      <c r="F21" s="242"/>
      <c r="G21" s="242"/>
      <c r="H21" s="242"/>
      <c r="I21" s="242"/>
      <c r="J21" s="242"/>
    </row>
    <row r="22" spans="2:10" x14ac:dyDescent="0.25">
      <c r="B22" s="33" t="s">
        <v>247</v>
      </c>
    </row>
    <row r="23" spans="2:10" x14ac:dyDescent="0.25">
      <c r="B23" s="33" t="s">
        <v>248</v>
      </c>
    </row>
    <row r="24" spans="2:10" x14ac:dyDescent="0.25">
      <c r="B24" s="33" t="s">
        <v>249</v>
      </c>
    </row>
    <row r="25" spans="2:10" x14ac:dyDescent="0.25">
      <c r="B25" s="33" t="s">
        <v>250</v>
      </c>
    </row>
    <row r="26" spans="2:10" ht="27" customHeight="1" x14ac:dyDescent="0.25">
      <c r="B26" s="260" t="s">
        <v>251</v>
      </c>
      <c r="C26" s="260"/>
      <c r="D26" s="260"/>
      <c r="E26" s="260"/>
      <c r="F26" s="260"/>
      <c r="G26" s="260"/>
      <c r="H26" s="260"/>
      <c r="I26" s="260"/>
      <c r="J26" s="260"/>
    </row>
  </sheetData>
  <mergeCells count="16">
    <mergeCell ref="B15:F15"/>
    <mergeCell ref="B18:J18"/>
    <mergeCell ref="B19:J19"/>
    <mergeCell ref="B21:J21"/>
    <mergeCell ref="B26:J26"/>
    <mergeCell ref="G15:I15"/>
    <mergeCell ref="B1:J2"/>
    <mergeCell ref="B3:B6"/>
    <mergeCell ref="C4:C6"/>
    <mergeCell ref="D4:D6"/>
    <mergeCell ref="E4:E6"/>
    <mergeCell ref="F4:F6"/>
    <mergeCell ref="G4:G6"/>
    <mergeCell ref="H4:H6"/>
    <mergeCell ref="I4:I6"/>
    <mergeCell ref="J4:J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18"/>
  <sheetViews>
    <sheetView tabSelected="1" workbookViewId="0">
      <selection activeCell="I10" sqref="I10"/>
    </sheetView>
  </sheetViews>
  <sheetFormatPr defaultRowHeight="15" x14ac:dyDescent="0.25"/>
  <cols>
    <col min="1" max="1" width="2.7109375" customWidth="1"/>
    <col min="3" max="9" width="12.140625" customWidth="1"/>
  </cols>
  <sheetData>
    <row r="1" spans="2:9" ht="15.75" customHeight="1" x14ac:dyDescent="0.25">
      <c r="B1" s="261" t="s">
        <v>254</v>
      </c>
      <c r="C1" s="261"/>
      <c r="D1" s="261"/>
      <c r="E1" s="261"/>
      <c r="F1" s="261"/>
      <c r="G1" s="261"/>
      <c r="H1" s="261"/>
      <c r="I1" s="261"/>
    </row>
    <row r="2" spans="2:9" ht="15.75" customHeight="1" x14ac:dyDescent="0.25">
      <c r="B2" s="261"/>
      <c r="C2" s="261"/>
      <c r="D2" s="261"/>
      <c r="E2" s="261"/>
      <c r="F2" s="261"/>
      <c r="G2" s="261"/>
      <c r="H2" s="261"/>
      <c r="I2" s="261"/>
    </row>
    <row r="3" spans="2:9" ht="16.5" customHeight="1" thickBot="1" x14ac:dyDescent="0.3">
      <c r="B3" s="262"/>
      <c r="C3" s="262"/>
      <c r="D3" s="262"/>
      <c r="E3" s="262"/>
      <c r="F3" s="262"/>
      <c r="G3" s="262"/>
      <c r="H3" s="262"/>
      <c r="I3" s="262"/>
    </row>
    <row r="4" spans="2:9" ht="26.25" thickBot="1" x14ac:dyDescent="0.3">
      <c r="B4" s="143" t="s">
        <v>212</v>
      </c>
      <c r="C4" s="144" t="s">
        <v>213</v>
      </c>
      <c r="D4" s="144" t="s">
        <v>215</v>
      </c>
      <c r="E4" s="144" t="s">
        <v>214</v>
      </c>
      <c r="F4" s="144" t="s">
        <v>225</v>
      </c>
      <c r="G4" s="144" t="s">
        <v>217</v>
      </c>
      <c r="H4" s="144" t="s">
        <v>255</v>
      </c>
      <c r="I4" s="145" t="s">
        <v>219</v>
      </c>
    </row>
    <row r="5" spans="2:9" ht="15.75" thickTop="1" x14ac:dyDescent="0.25">
      <c r="B5" s="146">
        <v>1</v>
      </c>
      <c r="C5" s="147">
        <f>SUM('TBL5-EPA-YR1'!G7:G14)</f>
        <v>86</v>
      </c>
      <c r="D5" s="147">
        <f>C5*0.05</f>
        <v>4.3</v>
      </c>
      <c r="E5" s="147">
        <f>C5*0.1</f>
        <v>8.6</v>
      </c>
      <c r="F5" s="147">
        <f>SUM(C5:E5)</f>
        <v>98.899999999999991</v>
      </c>
      <c r="G5" s="149">
        <f>'TBL5-EPA-YR1'!J15</f>
        <v>4640</v>
      </c>
      <c r="H5" s="149">
        <v>0</v>
      </c>
      <c r="I5" s="151">
        <f>+G5+H5</f>
        <v>4640</v>
      </c>
    </row>
    <row r="6" spans="2:9" x14ac:dyDescent="0.25">
      <c r="B6" s="152">
        <v>2</v>
      </c>
      <c r="C6" s="148">
        <f>SUM('TBL6-EPA-YR2'!G7:G14)</f>
        <v>0</v>
      </c>
      <c r="D6" s="148">
        <f t="shared" ref="D6:D7" si="0">C6*0.05</f>
        <v>0</v>
      </c>
      <c r="E6" s="148">
        <f t="shared" ref="E6:E7" si="1">C6*0.1</f>
        <v>0</v>
      </c>
      <c r="F6" s="147">
        <f>SUM(C6:E6)</f>
        <v>0</v>
      </c>
      <c r="G6" s="150">
        <f>'TBL6-EPA-YR2'!J15</f>
        <v>0</v>
      </c>
      <c r="H6" s="150">
        <v>0</v>
      </c>
      <c r="I6" s="151">
        <f>+G6+H6</f>
        <v>0</v>
      </c>
    </row>
    <row r="7" spans="2:9" ht="15.75" thickBot="1" x14ac:dyDescent="0.3">
      <c r="B7" s="154">
        <v>3</v>
      </c>
      <c r="C7" s="155">
        <f>SUM('TBL7-EPA-YR3'!G7:G14)</f>
        <v>684</v>
      </c>
      <c r="D7" s="155">
        <f t="shared" si="0"/>
        <v>34.200000000000003</v>
      </c>
      <c r="E7" s="155">
        <f t="shared" si="1"/>
        <v>68.400000000000006</v>
      </c>
      <c r="F7" s="155">
        <f>SUM(C7:E7)</f>
        <v>786.6</v>
      </c>
      <c r="G7" s="156">
        <f>'TBL7-EPA-YR3'!J15</f>
        <v>36900</v>
      </c>
      <c r="H7" s="156">
        <v>0</v>
      </c>
      <c r="I7" s="157">
        <f>+G7+H7</f>
        <v>36900</v>
      </c>
    </row>
    <row r="8" spans="2:9" ht="15.75" thickTop="1" x14ac:dyDescent="0.25">
      <c r="B8" s="146" t="s">
        <v>59</v>
      </c>
      <c r="C8" s="147">
        <f t="shared" ref="C8:I8" si="2">SUM(C5:C7)</f>
        <v>770</v>
      </c>
      <c r="D8" s="147">
        <f t="shared" si="2"/>
        <v>38.5</v>
      </c>
      <c r="E8" s="147">
        <f t="shared" si="2"/>
        <v>77</v>
      </c>
      <c r="F8" s="147">
        <f t="shared" si="2"/>
        <v>885.5</v>
      </c>
      <c r="G8" s="149">
        <f t="shared" si="2"/>
        <v>41540</v>
      </c>
      <c r="H8" s="149">
        <f t="shared" si="2"/>
        <v>0</v>
      </c>
      <c r="I8" s="151">
        <f t="shared" si="2"/>
        <v>41540</v>
      </c>
    </row>
    <row r="9" spans="2:9" ht="15.75" thickBot="1" x14ac:dyDescent="0.3">
      <c r="B9" s="158" t="s">
        <v>220</v>
      </c>
      <c r="C9" s="159">
        <f>AVERAGE(C5:C7)</f>
        <v>256.66666666666669</v>
      </c>
      <c r="D9" s="159">
        <f>AVERAGE(D5:D7)</f>
        <v>12.833333333333334</v>
      </c>
      <c r="E9" s="159">
        <f>AVERAGE(E5:E7)</f>
        <v>25.666666666666668</v>
      </c>
      <c r="F9" s="159">
        <f>AVERAGE(F5:F7)</f>
        <v>295.16666666666669</v>
      </c>
      <c r="G9" s="161">
        <f>ROUND(AVERAGE(G5:G7),-3)</f>
        <v>14000</v>
      </c>
      <c r="H9" s="161">
        <f>AVERAGE(H5:H7)</f>
        <v>0</v>
      </c>
      <c r="I9" s="162">
        <f>ROUND(AVERAGE(I5:I7),-3)</f>
        <v>14000</v>
      </c>
    </row>
    <row r="10" spans="2:9" ht="15.75" thickBot="1" x14ac:dyDescent="0.3">
      <c r="B10" s="163"/>
      <c r="C10" s="164"/>
      <c r="D10" s="164"/>
      <c r="E10" s="164"/>
      <c r="F10" s="164"/>
      <c r="G10" s="164"/>
      <c r="H10" s="164"/>
      <c r="I10" s="165"/>
    </row>
    <row r="11" spans="2:9" ht="26.25" thickBot="1" x14ac:dyDescent="0.3">
      <c r="B11" s="143" t="s">
        <v>212</v>
      </c>
      <c r="C11" s="144" t="s">
        <v>222</v>
      </c>
      <c r="D11" s="145" t="str">
        <f>F4</f>
        <v>Total Hours</v>
      </c>
    </row>
    <row r="12" spans="2:9" ht="15.75" thickTop="1" x14ac:dyDescent="0.25">
      <c r="B12" s="146">
        <v>1</v>
      </c>
      <c r="C12" s="147">
        <f>SUM('TBL5-EPA-YR1'!F7:F14)</f>
        <v>43</v>
      </c>
      <c r="D12" s="181">
        <f>F5</f>
        <v>98.899999999999991</v>
      </c>
    </row>
    <row r="13" spans="2:9" x14ac:dyDescent="0.25">
      <c r="B13" s="152">
        <v>2</v>
      </c>
      <c r="C13" s="148">
        <f>SUM('TBL6-EPA-YR2'!F7:F14)</f>
        <v>0</v>
      </c>
      <c r="D13" s="181">
        <f>F6</f>
        <v>0</v>
      </c>
    </row>
    <row r="14" spans="2:9" ht="15.75" thickBot="1" x14ac:dyDescent="0.3">
      <c r="B14" s="154">
        <v>3</v>
      </c>
      <c r="C14" s="155">
        <f>SUM('TBL7-EPA-YR3'!F7:F14)</f>
        <v>57</v>
      </c>
      <c r="D14" s="182">
        <f>F7</f>
        <v>786.6</v>
      </c>
    </row>
    <row r="15" spans="2:9" ht="15.75" thickTop="1" x14ac:dyDescent="0.25">
      <c r="B15" s="146" t="s">
        <v>59</v>
      </c>
      <c r="C15" s="147">
        <f t="shared" ref="C15:D15" si="3">SUM(C12:C14)</f>
        <v>100</v>
      </c>
      <c r="D15" s="181">
        <f t="shared" si="3"/>
        <v>885.5</v>
      </c>
    </row>
    <row r="16" spans="2:9" ht="15.75" thickBot="1" x14ac:dyDescent="0.3">
      <c r="B16" s="158" t="s">
        <v>220</v>
      </c>
      <c r="C16" s="159">
        <f>AVERAGE(C12:C14)</f>
        <v>33.333333333333336</v>
      </c>
      <c r="D16" s="183">
        <f>AVERAGE(D12:D14)</f>
        <v>295.16666666666669</v>
      </c>
      <c r="E16" t="s">
        <v>256</v>
      </c>
    </row>
    <row r="18" spans="2:2" x14ac:dyDescent="0.25">
      <c r="B18" t="str">
        <f>"(a) = Average annual hours per respondant:  "&amp;ROUND(D16/C16,1)</f>
        <v>(a) = Average annual hours per respondant:  8.9</v>
      </c>
    </row>
  </sheetData>
  <mergeCells count="1">
    <mergeCell ref="B1: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2"/>
  <sheetViews>
    <sheetView zoomScale="110" zoomScaleNormal="110" workbookViewId="0"/>
  </sheetViews>
  <sheetFormatPr defaultRowHeight="15" x14ac:dyDescent="0.25"/>
  <cols>
    <col min="1" max="1" width="9.140625" customWidth="1"/>
    <col min="2" max="2" width="24.85546875" customWidth="1"/>
    <col min="3" max="3" width="19" customWidth="1"/>
    <col min="4" max="4" width="17.5703125" customWidth="1"/>
  </cols>
  <sheetData>
    <row r="1" spans="1:7" ht="15.75" thickBot="1" x14ac:dyDescent="0.3"/>
    <row r="2" spans="1:7" ht="15.75" thickBot="1" x14ac:dyDescent="0.3">
      <c r="A2" s="94"/>
      <c r="B2" s="209" t="s">
        <v>11</v>
      </c>
      <c r="C2" s="210"/>
      <c r="D2" s="211"/>
    </row>
    <row r="3" spans="1:7" x14ac:dyDescent="0.25">
      <c r="A3" s="33"/>
      <c r="B3" s="93" t="s">
        <v>12</v>
      </c>
      <c r="C3" s="92" t="s">
        <v>13</v>
      </c>
      <c r="D3" s="91" t="s">
        <v>14</v>
      </c>
    </row>
    <row r="4" spans="1:7" x14ac:dyDescent="0.25">
      <c r="A4" s="33"/>
      <c r="B4" s="90" t="s">
        <v>15</v>
      </c>
      <c r="C4" s="89">
        <v>45.14</v>
      </c>
      <c r="D4" s="88">
        <f>C4*2.1</f>
        <v>94.794000000000011</v>
      </c>
    </row>
    <row r="5" spans="1:7" x14ac:dyDescent="0.25">
      <c r="A5" s="33"/>
      <c r="B5" s="90" t="s">
        <v>16</v>
      </c>
      <c r="C5" s="89">
        <v>18.11</v>
      </c>
      <c r="D5" s="88">
        <f>C5*2.1</f>
        <v>38.030999999999999</v>
      </c>
    </row>
    <row r="6" spans="1:7" ht="15.75" thickBot="1" x14ac:dyDescent="0.3">
      <c r="A6" s="33"/>
      <c r="B6" s="87" t="s">
        <v>17</v>
      </c>
      <c r="C6" s="86">
        <v>57.25</v>
      </c>
      <c r="D6" s="85">
        <f>C6*2.1</f>
        <v>120.22500000000001</v>
      </c>
    </row>
    <row r="7" spans="1:7" x14ac:dyDescent="0.25">
      <c r="A7" s="33"/>
      <c r="B7" s="84" t="s">
        <v>18</v>
      </c>
      <c r="C7" s="83"/>
      <c r="D7" s="82"/>
      <c r="G7" s="81"/>
    </row>
    <row r="8" spans="1:7" ht="64.5" customHeight="1" x14ac:dyDescent="0.25">
      <c r="A8" s="33"/>
      <c r="B8" s="212" t="s">
        <v>19</v>
      </c>
      <c r="C8" s="213"/>
      <c r="D8" s="214"/>
    </row>
    <row r="9" spans="1:7" ht="13.5" customHeight="1" x14ac:dyDescent="0.25">
      <c r="A9" s="33"/>
      <c r="B9" s="215" t="s">
        <v>20</v>
      </c>
      <c r="C9" s="213"/>
      <c r="D9" s="214"/>
    </row>
    <row r="10" spans="1:7" ht="15.75" customHeight="1" x14ac:dyDescent="0.25">
      <c r="A10" s="33"/>
      <c r="B10" s="216" t="s">
        <v>21</v>
      </c>
      <c r="C10" s="213"/>
      <c r="D10" s="214"/>
    </row>
    <row r="11" spans="1:7" ht="27" customHeight="1" thickBot="1" x14ac:dyDescent="0.3">
      <c r="A11" s="34"/>
      <c r="B11" s="217" t="s">
        <v>22</v>
      </c>
      <c r="C11" s="207"/>
      <c r="D11" s="208"/>
    </row>
    <row r="12" spans="1:7" x14ac:dyDescent="0.25">
      <c r="A12" s="34"/>
      <c r="B12" s="34"/>
      <c r="C12" s="34"/>
      <c r="D12" s="34"/>
    </row>
    <row r="13" spans="1:7" ht="15.75" thickBot="1" x14ac:dyDescent="0.3">
      <c r="A13" s="34"/>
      <c r="B13" s="34"/>
      <c r="C13" s="34"/>
      <c r="D13" s="34"/>
    </row>
    <row r="14" spans="1:7" ht="15.75" thickBot="1" x14ac:dyDescent="0.3">
      <c r="A14" s="34"/>
      <c r="B14" s="218" t="s">
        <v>23</v>
      </c>
      <c r="C14" s="210"/>
      <c r="D14" s="211"/>
    </row>
    <row r="15" spans="1:7" ht="24.75" x14ac:dyDescent="0.25">
      <c r="A15" s="34"/>
      <c r="B15" s="80" t="s">
        <v>12</v>
      </c>
      <c r="C15" s="79" t="s">
        <v>24</v>
      </c>
      <c r="D15" s="78" t="s">
        <v>25</v>
      </c>
    </row>
    <row r="16" spans="1:7" x14ac:dyDescent="0.25">
      <c r="A16" s="34"/>
      <c r="B16" s="77" t="s">
        <v>26</v>
      </c>
      <c r="C16" s="76">
        <v>30.05</v>
      </c>
      <c r="D16" s="73">
        <f>C16*1.6</f>
        <v>48.080000000000005</v>
      </c>
    </row>
    <row r="17" spans="1:9" x14ac:dyDescent="0.25">
      <c r="A17" s="34"/>
      <c r="B17" s="75" t="s">
        <v>27</v>
      </c>
      <c r="C17" s="74">
        <v>40.5</v>
      </c>
      <c r="D17" s="73">
        <f>C17*1.6</f>
        <v>64.8</v>
      </c>
    </row>
    <row r="18" spans="1:9" ht="15.75" thickBot="1" x14ac:dyDescent="0.3">
      <c r="A18" s="34"/>
      <c r="B18" s="72" t="s">
        <v>28</v>
      </c>
      <c r="C18" s="71">
        <v>16.260000000000002</v>
      </c>
      <c r="D18" s="70">
        <f>C18*1.6</f>
        <v>26.016000000000005</v>
      </c>
    </row>
    <row r="19" spans="1:9" x14ac:dyDescent="0.25">
      <c r="A19" s="34"/>
      <c r="B19" s="69" t="s">
        <v>18</v>
      </c>
      <c r="C19" s="68"/>
      <c r="D19" s="67"/>
    </row>
    <row r="20" spans="1:9" x14ac:dyDescent="0.25">
      <c r="A20" s="34"/>
      <c r="B20" s="66" t="s">
        <v>29</v>
      </c>
      <c r="C20" s="65"/>
      <c r="D20" s="64"/>
    </row>
    <row r="21" spans="1:9" ht="30" customHeight="1" x14ac:dyDescent="0.25">
      <c r="A21" s="34"/>
      <c r="B21" s="203" t="s">
        <v>30</v>
      </c>
      <c r="C21" s="204"/>
      <c r="D21" s="205"/>
      <c r="E21" s="63"/>
      <c r="F21" s="63"/>
      <c r="G21" s="63"/>
      <c r="H21" s="63"/>
      <c r="I21" s="63"/>
    </row>
    <row r="22" spans="1:9" ht="39.75" customHeight="1" thickBot="1" x14ac:dyDescent="0.3">
      <c r="A22" s="34"/>
      <c r="B22" s="206" t="s">
        <v>31</v>
      </c>
      <c r="C22" s="207"/>
      <c r="D22" s="208"/>
      <c r="E22" s="63"/>
      <c r="F22" s="63"/>
      <c r="G22" s="63"/>
      <c r="H22" s="63"/>
      <c r="I22" s="63"/>
    </row>
  </sheetData>
  <mergeCells count="8">
    <mergeCell ref="B21:D21"/>
    <mergeCell ref="B22:D22"/>
    <mergeCell ref="B2:D2"/>
    <mergeCell ref="B8:D8"/>
    <mergeCell ref="B9:D9"/>
    <mergeCell ref="B10:D10"/>
    <mergeCell ref="B11:D11"/>
    <mergeCell ref="B14:D14"/>
  </mergeCells>
  <hyperlinks>
    <hyperlink ref="B9" r:id="rId1" xr:uid="{00000000-0004-0000-0100-000000000000}"/>
    <hyperlink ref="B21" r:id="rId2" xr:uid="{00000000-0004-0000-0100-000001000000}"/>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18"/>
  <sheetViews>
    <sheetView zoomScaleNormal="100" workbookViewId="0"/>
  </sheetViews>
  <sheetFormatPr defaultRowHeight="15" x14ac:dyDescent="0.25"/>
  <cols>
    <col min="1" max="1" width="68.85546875" style="95" bestFit="1" customWidth="1"/>
    <col min="2" max="4" width="10.28515625" style="95" customWidth="1"/>
    <col min="5" max="5" width="14.85546875" style="95" customWidth="1"/>
    <col min="6" max="8" width="10.28515625" style="95" customWidth="1"/>
    <col min="9" max="9" width="13" style="95" customWidth="1"/>
    <col min="10" max="10" width="10.28515625" style="95" customWidth="1"/>
    <col min="11" max="16384" width="9.140625" style="95"/>
  </cols>
  <sheetData>
    <row r="1" spans="1:14" x14ac:dyDescent="0.25">
      <c r="A1" s="95" t="s">
        <v>32</v>
      </c>
    </row>
    <row r="4" spans="1:14" x14ac:dyDescent="0.25">
      <c r="A4" s="116" t="s">
        <v>33</v>
      </c>
      <c r="B4" s="116" t="s">
        <v>34</v>
      </c>
      <c r="C4" s="116" t="s">
        <v>35</v>
      </c>
      <c r="D4" s="116" t="s">
        <v>36</v>
      </c>
      <c r="E4" s="116" t="s">
        <v>37</v>
      </c>
      <c r="F4" s="116" t="s">
        <v>38</v>
      </c>
      <c r="G4" s="116" t="s">
        <v>39</v>
      </c>
      <c r="H4" s="116" t="s">
        <v>40</v>
      </c>
      <c r="I4" s="116" t="s">
        <v>41</v>
      </c>
    </row>
    <row r="5" spans="1:14" s="114" customFormat="1" ht="63.75" x14ac:dyDescent="0.25">
      <c r="A5" s="115"/>
      <c r="B5" s="115" t="s">
        <v>42</v>
      </c>
      <c r="C5" s="115" t="s">
        <v>43</v>
      </c>
      <c r="D5" s="115" t="s">
        <v>44</v>
      </c>
      <c r="E5" s="115" t="s">
        <v>45</v>
      </c>
      <c r="F5" s="115" t="s">
        <v>46</v>
      </c>
      <c r="G5" s="115" t="s">
        <v>47</v>
      </c>
      <c r="H5" s="115" t="s">
        <v>48</v>
      </c>
      <c r="I5" s="115" t="s">
        <v>49</v>
      </c>
      <c r="J5" s="197"/>
      <c r="K5" s="197"/>
      <c r="L5" s="141"/>
      <c r="M5" s="141"/>
      <c r="N5" s="141"/>
    </row>
    <row r="6" spans="1:14" x14ac:dyDescent="0.25">
      <c r="A6" s="113"/>
      <c r="B6" s="112"/>
      <c r="C6" s="112"/>
      <c r="D6" s="113" t="s">
        <v>50</v>
      </c>
      <c r="E6" s="112"/>
      <c r="F6" s="113" t="s">
        <v>51</v>
      </c>
      <c r="G6" s="113" t="s">
        <v>52</v>
      </c>
      <c r="H6" s="113" t="s">
        <v>53</v>
      </c>
      <c r="I6" s="112"/>
      <c r="L6" s="109">
        <v>72</v>
      </c>
      <c r="M6" s="109" t="s">
        <v>54</v>
      </c>
      <c r="N6" s="109"/>
    </row>
    <row r="7" spans="1:14" x14ac:dyDescent="0.25">
      <c r="A7" s="129" t="s">
        <v>55</v>
      </c>
      <c r="B7" s="106" t="s">
        <v>56</v>
      </c>
      <c r="C7" s="106"/>
      <c r="D7" s="106"/>
      <c r="E7" s="106"/>
      <c r="F7" s="106"/>
      <c r="G7" s="106"/>
      <c r="H7" s="106"/>
      <c r="I7" s="140"/>
      <c r="L7" s="111">
        <v>74</v>
      </c>
      <c r="M7" s="110" t="s">
        <v>57</v>
      </c>
      <c r="N7" s="109"/>
    </row>
    <row r="8" spans="1:14" x14ac:dyDescent="0.25">
      <c r="A8" s="129" t="s">
        <v>58</v>
      </c>
      <c r="B8" s="106" t="s">
        <v>56</v>
      </c>
      <c r="C8" s="106"/>
      <c r="D8" s="106"/>
      <c r="E8" s="106"/>
      <c r="F8" s="106"/>
      <c r="G8" s="106"/>
      <c r="H8" s="106"/>
      <c r="I8" s="140"/>
      <c r="L8" s="109">
        <f>L6+L7</f>
        <v>146</v>
      </c>
      <c r="M8" s="108" t="s">
        <v>59</v>
      </c>
      <c r="N8" s="109"/>
    </row>
    <row r="9" spans="1:14" ht="15.75" x14ac:dyDescent="0.25">
      <c r="A9" s="129" t="s">
        <v>60</v>
      </c>
      <c r="B9" s="106"/>
      <c r="C9" s="106"/>
      <c r="D9" s="106"/>
      <c r="E9" s="106"/>
      <c r="F9" s="106"/>
      <c r="G9" s="106"/>
      <c r="H9" s="106"/>
      <c r="I9" s="140"/>
      <c r="M9" s="139"/>
    </row>
    <row r="10" spans="1:14" ht="15.75" x14ac:dyDescent="0.25">
      <c r="A10" s="129" t="s">
        <v>61</v>
      </c>
      <c r="B10" s="106">
        <v>4</v>
      </c>
      <c r="C10" s="106">
        <v>1</v>
      </c>
      <c r="D10" s="106">
        <f>B10*C10</f>
        <v>4</v>
      </c>
      <c r="E10" s="106">
        <v>146</v>
      </c>
      <c r="F10" s="106">
        <f>D10*E10</f>
        <v>584</v>
      </c>
      <c r="G10" s="106">
        <f>F10*0.05</f>
        <v>29.200000000000003</v>
      </c>
      <c r="H10" s="106">
        <f>F10*0.1</f>
        <v>58.400000000000006</v>
      </c>
      <c r="I10" s="105">
        <f>F10*Inputs!$D$4+G10*Inputs!$D$6+H10*Inputs!$D$5</f>
        <v>61091.276400000002</v>
      </c>
      <c r="M10" s="137"/>
    </row>
    <row r="11" spans="1:14" ht="15.75" x14ac:dyDescent="0.25">
      <c r="A11" s="129" t="s">
        <v>62</v>
      </c>
      <c r="B11" s="106"/>
      <c r="C11" s="106"/>
      <c r="D11" s="106"/>
      <c r="E11" s="106"/>
      <c r="F11" s="106"/>
      <c r="G11" s="106"/>
      <c r="H11" s="106"/>
      <c r="I11" s="105"/>
      <c r="M11" s="137"/>
    </row>
    <row r="12" spans="1:14" ht="18.75" x14ac:dyDescent="0.25">
      <c r="A12" s="129" t="s">
        <v>63</v>
      </c>
      <c r="B12" s="106">
        <v>280</v>
      </c>
      <c r="C12" s="106">
        <v>1</v>
      </c>
      <c r="D12" s="106">
        <f t="shared" ref="D12:D19" si="0">B12*C12</f>
        <v>280</v>
      </c>
      <c r="E12" s="106">
        <v>1</v>
      </c>
      <c r="F12" s="106">
        <f t="shared" ref="F12:F19" si="1">D12*E12</f>
        <v>280</v>
      </c>
      <c r="G12" s="106">
        <f t="shared" ref="G12:G19" si="2">F12*0.05</f>
        <v>14</v>
      </c>
      <c r="H12" s="106">
        <f t="shared" ref="H12:H19" si="3">F12*0.1</f>
        <v>28</v>
      </c>
      <c r="I12" s="105">
        <f>F12*Inputs!$D$4+G12*Inputs!$D$6+H12*Inputs!$D$5</f>
        <v>29290.338000000003</v>
      </c>
      <c r="M12" s="138"/>
    </row>
    <row r="13" spans="1:14" ht="18.75" x14ac:dyDescent="0.25">
      <c r="A13" s="129" t="s">
        <v>64</v>
      </c>
      <c r="B13" s="106">
        <v>280</v>
      </c>
      <c r="C13" s="106">
        <v>1</v>
      </c>
      <c r="D13" s="106">
        <f t="shared" si="0"/>
        <v>280</v>
      </c>
      <c r="E13" s="106">
        <f>0.2*1</f>
        <v>0.2</v>
      </c>
      <c r="F13" s="106">
        <f t="shared" si="1"/>
        <v>56</v>
      </c>
      <c r="G13" s="106">
        <f t="shared" si="2"/>
        <v>2.8000000000000003</v>
      </c>
      <c r="H13" s="106">
        <f t="shared" si="3"/>
        <v>5.6000000000000005</v>
      </c>
      <c r="I13" s="105">
        <f>F13*Inputs!$D$4+G13*Inputs!$D$6+H13*Inputs!$D$5</f>
        <v>5858.0676000000012</v>
      </c>
      <c r="M13" s="118"/>
    </row>
    <row r="14" spans="1:14" ht="18.75" x14ac:dyDescent="0.25">
      <c r="A14" s="129" t="s">
        <v>65</v>
      </c>
      <c r="B14" s="106">
        <v>215</v>
      </c>
      <c r="C14" s="106">
        <v>1</v>
      </c>
      <c r="D14" s="106">
        <f t="shared" si="0"/>
        <v>215</v>
      </c>
      <c r="E14" s="106">
        <v>1</v>
      </c>
      <c r="F14" s="106">
        <f t="shared" si="1"/>
        <v>215</v>
      </c>
      <c r="G14" s="106">
        <f t="shared" si="2"/>
        <v>10.75</v>
      </c>
      <c r="H14" s="106">
        <f t="shared" si="3"/>
        <v>21.5</v>
      </c>
      <c r="I14" s="105">
        <f>F14*Inputs!$D$4+G14*Inputs!$D$6+H14*Inputs!$D$5</f>
        <v>22490.795250000003</v>
      </c>
      <c r="M14" s="118"/>
    </row>
    <row r="15" spans="1:14" ht="18.75" x14ac:dyDescent="0.25">
      <c r="A15" s="129" t="s">
        <v>66</v>
      </c>
      <c r="B15" s="106">
        <v>215</v>
      </c>
      <c r="C15" s="106">
        <v>1</v>
      </c>
      <c r="D15" s="106">
        <f t="shared" si="0"/>
        <v>215</v>
      </c>
      <c r="E15" s="106">
        <f>0.2*1</f>
        <v>0.2</v>
      </c>
      <c r="F15" s="106">
        <f t="shared" si="1"/>
        <v>43</v>
      </c>
      <c r="G15" s="106">
        <f t="shared" si="2"/>
        <v>2.15</v>
      </c>
      <c r="H15" s="106">
        <f t="shared" si="3"/>
        <v>4.3</v>
      </c>
      <c r="I15" s="105">
        <f>F15*Inputs!$D$4+G15*Inputs!$D$6+H15*Inputs!$D$5</f>
        <v>4498.1590500000002</v>
      </c>
      <c r="M15" s="118"/>
    </row>
    <row r="16" spans="1:14" ht="18.75" x14ac:dyDescent="0.25">
      <c r="A16" s="129" t="s">
        <v>67</v>
      </c>
      <c r="B16" s="106">
        <v>40</v>
      </c>
      <c r="C16" s="106">
        <v>1</v>
      </c>
      <c r="D16" s="106">
        <f t="shared" si="0"/>
        <v>40</v>
      </c>
      <c r="E16" s="106">
        <v>1</v>
      </c>
      <c r="F16" s="106">
        <f t="shared" si="1"/>
        <v>40</v>
      </c>
      <c r="G16" s="106">
        <f t="shared" si="2"/>
        <v>2</v>
      </c>
      <c r="H16" s="106">
        <f t="shared" si="3"/>
        <v>4</v>
      </c>
      <c r="I16" s="105">
        <f>F16*Inputs!$D$4+G16*Inputs!$D$6+H16*Inputs!$D$5</f>
        <v>4184.3339999999998</v>
      </c>
      <c r="M16" s="118"/>
    </row>
    <row r="17" spans="1:13" ht="18.75" x14ac:dyDescent="0.25">
      <c r="A17" s="129" t="s">
        <v>68</v>
      </c>
      <c r="B17" s="106">
        <v>4</v>
      </c>
      <c r="C17" s="106">
        <v>12</v>
      </c>
      <c r="D17" s="106">
        <f t="shared" si="0"/>
        <v>48</v>
      </c>
      <c r="E17" s="106">
        <f>0.2*L6</f>
        <v>14.4</v>
      </c>
      <c r="F17" s="106">
        <f t="shared" si="1"/>
        <v>691.2</v>
      </c>
      <c r="G17" s="106">
        <f t="shared" si="2"/>
        <v>34.56</v>
      </c>
      <c r="H17" s="106">
        <f t="shared" si="3"/>
        <v>69.12</v>
      </c>
      <c r="I17" s="105">
        <f>F17*Inputs!$D$4+G17*Inputs!$D$6+H17*Inputs!$D$5</f>
        <v>72305.291520000013</v>
      </c>
      <c r="M17" s="137"/>
    </row>
    <row r="18" spans="1:13" ht="15.75" x14ac:dyDescent="0.25">
      <c r="A18" s="107" t="s">
        <v>69</v>
      </c>
      <c r="B18" s="106">
        <v>4</v>
      </c>
      <c r="C18" s="106">
        <v>12</v>
      </c>
      <c r="D18" s="106">
        <f t="shared" si="0"/>
        <v>48</v>
      </c>
      <c r="E18" s="106">
        <f>L8</f>
        <v>146</v>
      </c>
      <c r="F18" s="131">
        <f t="shared" si="1"/>
        <v>7008</v>
      </c>
      <c r="G18" s="106">
        <f t="shared" si="2"/>
        <v>350.40000000000003</v>
      </c>
      <c r="H18" s="106">
        <f t="shared" si="3"/>
        <v>700.80000000000007</v>
      </c>
      <c r="I18" s="105">
        <f>F18*Inputs!$D$4+G18*Inputs!$D$6+H18*Inputs!$D$5</f>
        <v>733095.31680000003</v>
      </c>
      <c r="M18" s="137"/>
    </row>
    <row r="19" spans="1:13" ht="18.75" x14ac:dyDescent="0.25">
      <c r="A19" s="129" t="s">
        <v>70</v>
      </c>
      <c r="B19" s="106">
        <v>40</v>
      </c>
      <c r="C19" s="106">
        <v>1</v>
      </c>
      <c r="D19" s="106">
        <f t="shared" si="0"/>
        <v>40</v>
      </c>
      <c r="E19" s="106">
        <f>L8</f>
        <v>146</v>
      </c>
      <c r="F19" s="131">
        <f t="shared" si="1"/>
        <v>5840</v>
      </c>
      <c r="G19" s="106">
        <f t="shared" si="2"/>
        <v>292</v>
      </c>
      <c r="H19" s="106">
        <f t="shared" si="3"/>
        <v>584</v>
      </c>
      <c r="I19" s="105">
        <f>F19*Inputs!$D$4+G19*Inputs!$D$6+H19*Inputs!$D$5</f>
        <v>610912.76400000008</v>
      </c>
      <c r="M19" s="137"/>
    </row>
    <row r="20" spans="1:13" ht="15.75" x14ac:dyDescent="0.25">
      <c r="A20" s="129" t="s">
        <v>71</v>
      </c>
      <c r="B20" s="106" t="s">
        <v>72</v>
      </c>
      <c r="C20" s="106"/>
      <c r="D20" s="106"/>
      <c r="E20" s="106"/>
      <c r="F20" s="106"/>
      <c r="G20" s="106"/>
      <c r="H20" s="106"/>
      <c r="I20" s="105"/>
      <c r="M20" s="137"/>
    </row>
    <row r="21" spans="1:13" ht="15.75" x14ac:dyDescent="0.25">
      <c r="A21" s="129" t="s">
        <v>73</v>
      </c>
      <c r="B21" s="106" t="s">
        <v>72</v>
      </c>
      <c r="C21" s="106"/>
      <c r="D21" s="106"/>
      <c r="E21" s="106"/>
      <c r="F21" s="106"/>
      <c r="G21" s="106"/>
      <c r="H21" s="106"/>
      <c r="I21" s="105"/>
      <c r="M21" s="137"/>
    </row>
    <row r="22" spans="1:13" ht="15.75" x14ac:dyDescent="0.25">
      <c r="A22" s="129" t="s">
        <v>74</v>
      </c>
      <c r="B22" s="106"/>
      <c r="C22" s="106"/>
      <c r="D22" s="106"/>
      <c r="E22" s="106"/>
      <c r="F22" s="106"/>
      <c r="G22" s="106"/>
      <c r="H22" s="106"/>
      <c r="I22" s="105"/>
      <c r="M22" s="137"/>
    </row>
    <row r="23" spans="1:13" ht="18.75" x14ac:dyDescent="0.25">
      <c r="A23" s="129" t="s">
        <v>75</v>
      </c>
      <c r="B23" s="106">
        <v>2</v>
      </c>
      <c r="C23" s="106">
        <v>1</v>
      </c>
      <c r="D23" s="106">
        <f t="shared" ref="D23:D34" si="4">B23*C23</f>
        <v>2</v>
      </c>
      <c r="E23" s="106">
        <v>1</v>
      </c>
      <c r="F23" s="106">
        <f t="shared" ref="F23:F34" si="5">D23*E23</f>
        <v>2</v>
      </c>
      <c r="G23" s="106">
        <f t="shared" ref="G23:G34" si="6">F23*0.05</f>
        <v>0.1</v>
      </c>
      <c r="H23" s="106">
        <f t="shared" ref="H23:H34" si="7">F23*0.1</f>
        <v>0.2</v>
      </c>
      <c r="I23" s="105">
        <f>F23*Inputs!$D$4+G23*Inputs!$D$6+H23*Inputs!$D$5</f>
        <v>209.21670000000003</v>
      </c>
      <c r="M23" s="137"/>
    </row>
    <row r="24" spans="1:13" ht="18.75" x14ac:dyDescent="0.25">
      <c r="A24" s="129" t="s">
        <v>76</v>
      </c>
      <c r="B24" s="106">
        <v>2</v>
      </c>
      <c r="C24" s="106">
        <v>1</v>
      </c>
      <c r="D24" s="106">
        <f t="shared" si="4"/>
        <v>2</v>
      </c>
      <c r="E24" s="106">
        <v>1</v>
      </c>
      <c r="F24" s="106">
        <f t="shared" si="5"/>
        <v>2</v>
      </c>
      <c r="G24" s="106">
        <f t="shared" si="6"/>
        <v>0.1</v>
      </c>
      <c r="H24" s="106">
        <f t="shared" si="7"/>
        <v>0.2</v>
      </c>
      <c r="I24" s="105">
        <f>F24*Inputs!$D$4+G24*Inputs!$D$6+H24*Inputs!$D$5</f>
        <v>209.21670000000003</v>
      </c>
      <c r="M24" s="137"/>
    </row>
    <row r="25" spans="1:13" ht="18.75" x14ac:dyDescent="0.25">
      <c r="A25" s="129" t="s">
        <v>77</v>
      </c>
      <c r="B25" s="106">
        <v>2</v>
      </c>
      <c r="C25" s="106">
        <v>1</v>
      </c>
      <c r="D25" s="106">
        <f t="shared" si="4"/>
        <v>2</v>
      </c>
      <c r="E25" s="106">
        <v>1</v>
      </c>
      <c r="F25" s="106">
        <f t="shared" si="5"/>
        <v>2</v>
      </c>
      <c r="G25" s="106">
        <f t="shared" si="6"/>
        <v>0.1</v>
      </c>
      <c r="H25" s="106">
        <f t="shared" si="7"/>
        <v>0.2</v>
      </c>
      <c r="I25" s="105">
        <f>F25*Inputs!$D$4+G25*Inputs!$D$6+H25*Inputs!$D$5</f>
        <v>209.21670000000003</v>
      </c>
      <c r="M25" s="136"/>
    </row>
    <row r="26" spans="1:13" ht="18.75" x14ac:dyDescent="0.25">
      <c r="A26" s="129" t="s">
        <v>78</v>
      </c>
      <c r="B26" s="106">
        <v>2</v>
      </c>
      <c r="C26" s="106">
        <v>1</v>
      </c>
      <c r="D26" s="106">
        <f t="shared" si="4"/>
        <v>2</v>
      </c>
      <c r="E26" s="106">
        <v>1</v>
      </c>
      <c r="F26" s="106">
        <f t="shared" si="5"/>
        <v>2</v>
      </c>
      <c r="G26" s="106">
        <f t="shared" si="6"/>
        <v>0.1</v>
      </c>
      <c r="H26" s="106">
        <f t="shared" si="7"/>
        <v>0.2</v>
      </c>
      <c r="I26" s="105">
        <f>F26*Inputs!$D$4+G26*Inputs!$D$6+H26*Inputs!$D$5</f>
        <v>209.21670000000003</v>
      </c>
    </row>
    <row r="27" spans="1:13" ht="18.75" x14ac:dyDescent="0.25">
      <c r="A27" s="129" t="s">
        <v>79</v>
      </c>
      <c r="B27" s="106">
        <v>4</v>
      </c>
      <c r="C27" s="106">
        <v>1</v>
      </c>
      <c r="D27" s="106">
        <f t="shared" si="4"/>
        <v>4</v>
      </c>
      <c r="E27" s="106">
        <v>1</v>
      </c>
      <c r="F27" s="106">
        <f t="shared" si="5"/>
        <v>4</v>
      </c>
      <c r="G27" s="106">
        <f t="shared" si="6"/>
        <v>0.2</v>
      </c>
      <c r="H27" s="106">
        <f t="shared" si="7"/>
        <v>0.4</v>
      </c>
      <c r="I27" s="105">
        <f>F27*Inputs!$D$4+G27*Inputs!$D$6+H27*Inputs!$D$5</f>
        <v>418.43340000000006</v>
      </c>
    </row>
    <row r="28" spans="1:13" ht="18.75" x14ac:dyDescent="0.25">
      <c r="A28" s="129" t="s">
        <v>80</v>
      </c>
      <c r="B28" s="106">
        <v>2</v>
      </c>
      <c r="C28" s="106">
        <v>1</v>
      </c>
      <c r="D28" s="106">
        <f t="shared" si="4"/>
        <v>2</v>
      </c>
      <c r="E28" s="106">
        <v>1</v>
      </c>
      <c r="F28" s="106">
        <f t="shared" si="5"/>
        <v>2</v>
      </c>
      <c r="G28" s="106">
        <f t="shared" si="6"/>
        <v>0.1</v>
      </c>
      <c r="H28" s="106">
        <f t="shared" si="7"/>
        <v>0.2</v>
      </c>
      <c r="I28" s="105">
        <f>F28*Inputs!$D$4+G28*Inputs!$D$6+H28*Inputs!$D$5</f>
        <v>209.21670000000003</v>
      </c>
    </row>
    <row r="29" spans="1:13" ht="18.75" x14ac:dyDescent="0.25">
      <c r="A29" s="129" t="s">
        <v>81</v>
      </c>
      <c r="B29" s="106">
        <v>40</v>
      </c>
      <c r="C29" s="106">
        <v>1</v>
      </c>
      <c r="D29" s="106">
        <f t="shared" si="4"/>
        <v>40</v>
      </c>
      <c r="E29" s="106">
        <v>1</v>
      </c>
      <c r="F29" s="106">
        <f t="shared" si="5"/>
        <v>40</v>
      </c>
      <c r="G29" s="106">
        <f t="shared" si="6"/>
        <v>2</v>
      </c>
      <c r="H29" s="106">
        <f t="shared" si="7"/>
        <v>4</v>
      </c>
      <c r="I29" s="105">
        <f>F29*Inputs!$D$4+G29*Inputs!$D$6+H29*Inputs!$D$5</f>
        <v>4184.3339999999998</v>
      </c>
    </row>
    <row r="30" spans="1:13" ht="18.75" x14ac:dyDescent="0.25">
      <c r="A30" s="129" t="s">
        <v>82</v>
      </c>
      <c r="B30" s="106">
        <v>16</v>
      </c>
      <c r="C30" s="106">
        <v>2</v>
      </c>
      <c r="D30" s="106">
        <f t="shared" si="4"/>
        <v>32</v>
      </c>
      <c r="E30" s="106">
        <f>0.1*L6</f>
        <v>7.2</v>
      </c>
      <c r="F30" s="106">
        <f t="shared" si="5"/>
        <v>230.4</v>
      </c>
      <c r="G30" s="106">
        <f t="shared" si="6"/>
        <v>11.520000000000001</v>
      </c>
      <c r="H30" s="106">
        <f t="shared" si="7"/>
        <v>23.040000000000003</v>
      </c>
      <c r="I30" s="105">
        <f>F30*Inputs!$D$4+G30*Inputs!$D$6+H30*Inputs!$D$5</f>
        <v>24101.763840000003</v>
      </c>
    </row>
    <row r="31" spans="1:13" ht="18.75" x14ac:dyDescent="0.25">
      <c r="A31" s="129" t="s">
        <v>83</v>
      </c>
      <c r="B31" s="106">
        <v>8</v>
      </c>
      <c r="C31" s="106">
        <v>2</v>
      </c>
      <c r="D31" s="106">
        <f t="shared" si="4"/>
        <v>16</v>
      </c>
      <c r="E31" s="106">
        <f>0.9*L6</f>
        <v>64.8</v>
      </c>
      <c r="F31" s="131">
        <f t="shared" si="5"/>
        <v>1036.8</v>
      </c>
      <c r="G31" s="106">
        <f t="shared" si="6"/>
        <v>51.84</v>
      </c>
      <c r="H31" s="106">
        <f t="shared" si="7"/>
        <v>103.68</v>
      </c>
      <c r="I31" s="105">
        <f>F31*Inputs!$D$4+G31*Inputs!$D$6+H31*Inputs!$D$5</f>
        <v>108457.93728000001</v>
      </c>
    </row>
    <row r="32" spans="1:13" ht="18.75" x14ac:dyDescent="0.25">
      <c r="A32" s="129" t="s">
        <v>84</v>
      </c>
      <c r="B32" s="106">
        <v>8</v>
      </c>
      <c r="C32" s="106">
        <v>2</v>
      </c>
      <c r="D32" s="106">
        <f t="shared" si="4"/>
        <v>16</v>
      </c>
      <c r="E32" s="106">
        <f>L6*0.1</f>
        <v>7.2</v>
      </c>
      <c r="F32" s="106">
        <f t="shared" si="5"/>
        <v>115.2</v>
      </c>
      <c r="G32" s="106">
        <f t="shared" si="6"/>
        <v>5.7600000000000007</v>
      </c>
      <c r="H32" s="106">
        <f t="shared" si="7"/>
        <v>11.520000000000001</v>
      </c>
      <c r="I32" s="105">
        <f>F32*Inputs!$D$4+G32*Inputs!$D$6+H32*Inputs!$D$5</f>
        <v>12050.881920000002</v>
      </c>
    </row>
    <row r="33" spans="1:11" ht="18.75" x14ac:dyDescent="0.25">
      <c r="A33" s="129" t="s">
        <v>85</v>
      </c>
      <c r="B33" s="106">
        <v>16</v>
      </c>
      <c r="C33" s="106">
        <v>2</v>
      </c>
      <c r="D33" s="106">
        <f t="shared" si="4"/>
        <v>32</v>
      </c>
      <c r="E33" s="106">
        <f>L7*0.1</f>
        <v>7.4</v>
      </c>
      <c r="F33" s="106">
        <f t="shared" si="5"/>
        <v>236.8</v>
      </c>
      <c r="G33" s="106">
        <f t="shared" si="6"/>
        <v>11.840000000000002</v>
      </c>
      <c r="H33" s="106">
        <f t="shared" si="7"/>
        <v>23.680000000000003</v>
      </c>
      <c r="I33" s="105">
        <f>F33*Inputs!$D$4+G33*Inputs!$D$6+H33*Inputs!$D$5</f>
        <v>24771.257280000002</v>
      </c>
    </row>
    <row r="34" spans="1:11" ht="18.75" x14ac:dyDescent="0.25">
      <c r="A34" s="129" t="s">
        <v>86</v>
      </c>
      <c r="B34" s="106">
        <v>8</v>
      </c>
      <c r="C34" s="106">
        <v>2</v>
      </c>
      <c r="D34" s="106">
        <f t="shared" si="4"/>
        <v>16</v>
      </c>
      <c r="E34" s="106">
        <f>L7*0.9</f>
        <v>66.600000000000009</v>
      </c>
      <c r="F34" s="131">
        <f t="shared" si="5"/>
        <v>1065.6000000000001</v>
      </c>
      <c r="G34" s="106">
        <f t="shared" si="6"/>
        <v>53.280000000000008</v>
      </c>
      <c r="H34" s="106">
        <f t="shared" si="7"/>
        <v>106.56000000000002</v>
      </c>
      <c r="I34" s="105">
        <f>F34*Inputs!$D$4+G34*Inputs!$D$6+H34*Inputs!$D$5</f>
        <v>111470.65776000003</v>
      </c>
    </row>
    <row r="35" spans="1:11" x14ac:dyDescent="0.25">
      <c r="A35" s="128" t="s">
        <v>87</v>
      </c>
      <c r="B35" s="135"/>
      <c r="C35" s="135"/>
      <c r="D35" s="135"/>
      <c r="E35" s="135"/>
      <c r="F35" s="219">
        <f>SUM(F7:H34)</f>
        <v>20120.399999999998</v>
      </c>
      <c r="G35" s="220"/>
      <c r="H35" s="221"/>
      <c r="I35" s="134">
        <f>SUM(I7:I34)</f>
        <v>1830227.6916000003</v>
      </c>
    </row>
    <row r="36" spans="1:11" x14ac:dyDescent="0.25">
      <c r="A36" s="129" t="s">
        <v>88</v>
      </c>
      <c r="B36" s="133"/>
      <c r="C36" s="133"/>
      <c r="D36" s="133"/>
      <c r="E36" s="133"/>
      <c r="F36" s="133"/>
      <c r="G36" s="133"/>
      <c r="H36" s="133"/>
      <c r="I36" s="132"/>
    </row>
    <row r="37" spans="1:11" x14ac:dyDescent="0.25">
      <c r="A37" s="129" t="s">
        <v>89</v>
      </c>
      <c r="B37" s="133" t="s">
        <v>72</v>
      </c>
      <c r="C37" s="133"/>
      <c r="D37" s="133"/>
      <c r="E37" s="133"/>
      <c r="F37" s="133"/>
      <c r="G37" s="133"/>
      <c r="H37" s="133"/>
      <c r="I37" s="132"/>
    </row>
    <row r="38" spans="1:11" x14ac:dyDescent="0.25">
      <c r="A38" s="129" t="s">
        <v>90</v>
      </c>
      <c r="B38" s="133" t="s">
        <v>56</v>
      </c>
      <c r="C38" s="133"/>
      <c r="D38" s="133"/>
      <c r="E38" s="133"/>
      <c r="F38" s="133"/>
      <c r="G38" s="133"/>
      <c r="H38" s="133"/>
      <c r="I38" s="132"/>
    </row>
    <row r="39" spans="1:11" x14ac:dyDescent="0.25">
      <c r="A39" s="129" t="s">
        <v>91</v>
      </c>
      <c r="B39" s="133" t="s">
        <v>56</v>
      </c>
      <c r="C39" s="133"/>
      <c r="D39" s="133"/>
      <c r="E39" s="133"/>
      <c r="F39" s="133"/>
      <c r="G39" s="133"/>
      <c r="H39" s="133"/>
      <c r="I39" s="132"/>
    </row>
    <row r="40" spans="1:11" x14ac:dyDescent="0.25">
      <c r="A40" s="129" t="s">
        <v>92</v>
      </c>
      <c r="B40" s="133" t="s">
        <v>56</v>
      </c>
      <c r="C40" s="133"/>
      <c r="D40" s="133"/>
      <c r="E40" s="133"/>
      <c r="F40" s="133"/>
      <c r="G40" s="133"/>
      <c r="H40" s="133"/>
      <c r="I40" s="132" t="s">
        <v>93</v>
      </c>
    </row>
    <row r="41" spans="1:11" x14ac:dyDescent="0.25">
      <c r="A41" s="129" t="s">
        <v>94</v>
      </c>
      <c r="B41" s="133"/>
      <c r="C41" s="133"/>
      <c r="D41" s="133"/>
      <c r="E41" s="133"/>
      <c r="F41" s="133"/>
      <c r="G41" s="133"/>
      <c r="H41" s="133"/>
      <c r="I41" s="132"/>
    </row>
    <row r="42" spans="1:11" ht="18.75" x14ac:dyDescent="0.25">
      <c r="A42" s="129" t="s">
        <v>95</v>
      </c>
      <c r="B42" s="106">
        <v>0.25</v>
      </c>
      <c r="C42" s="106">
        <v>52</v>
      </c>
      <c r="D42" s="106">
        <f>B42*C42</f>
        <v>13</v>
      </c>
      <c r="E42" s="106">
        <f>L8</f>
        <v>146</v>
      </c>
      <c r="F42" s="131">
        <f>D42*E42</f>
        <v>1898</v>
      </c>
      <c r="G42" s="106">
        <f>F42*0.05</f>
        <v>94.9</v>
      </c>
      <c r="H42" s="106">
        <f>F42*0.1</f>
        <v>189.8</v>
      </c>
      <c r="I42" s="105">
        <f>F42*Inputs!$D$4+G42*Inputs!$D$6+H42*Inputs!$D$5</f>
        <v>198546.64830000003</v>
      </c>
    </row>
    <row r="43" spans="1:11" x14ac:dyDescent="0.25">
      <c r="A43" s="129" t="s">
        <v>96</v>
      </c>
      <c r="B43" s="106" t="s">
        <v>56</v>
      </c>
      <c r="C43" s="106"/>
      <c r="D43" s="106"/>
      <c r="E43" s="106"/>
      <c r="F43" s="106"/>
      <c r="G43" s="106"/>
      <c r="H43" s="106"/>
      <c r="I43" s="105"/>
    </row>
    <row r="44" spans="1:11" x14ac:dyDescent="0.25">
      <c r="A44" s="129" t="s">
        <v>97</v>
      </c>
      <c r="B44" s="106" t="s">
        <v>56</v>
      </c>
      <c r="C44" s="106"/>
      <c r="D44" s="106"/>
      <c r="E44" s="106"/>
      <c r="F44" s="106"/>
      <c r="G44" s="106"/>
      <c r="H44" s="106"/>
      <c r="I44" s="130"/>
    </row>
    <row r="45" spans="1:11" ht="15.75" x14ac:dyDescent="0.25">
      <c r="A45" s="129" t="s">
        <v>98</v>
      </c>
      <c r="B45" s="106">
        <v>0.25</v>
      </c>
      <c r="C45" s="106">
        <v>2</v>
      </c>
      <c r="D45" s="106">
        <f>B45*C45</f>
        <v>0.5</v>
      </c>
      <c r="E45" s="106">
        <f>E42</f>
        <v>146</v>
      </c>
      <c r="F45" s="106">
        <f>D45*E45</f>
        <v>73</v>
      </c>
      <c r="G45" s="106">
        <f>F45*0.05</f>
        <v>3.6500000000000004</v>
      </c>
      <c r="H45" s="106">
        <f>F45*0.1</f>
        <v>7.3000000000000007</v>
      </c>
      <c r="I45" s="105">
        <f>F45*Inputs!$D$4+G45*Inputs!$D$6+H45*Inputs!$D$5</f>
        <v>7636.4095500000003</v>
      </c>
    </row>
    <row r="46" spans="1:11" x14ac:dyDescent="0.25">
      <c r="A46" s="129" t="s">
        <v>99</v>
      </c>
      <c r="B46" s="106" t="s">
        <v>56</v>
      </c>
      <c r="C46" s="106"/>
      <c r="D46" s="106"/>
      <c r="E46" s="106"/>
      <c r="F46" s="106"/>
      <c r="G46" s="106"/>
      <c r="H46" s="106"/>
      <c r="I46" s="105"/>
    </row>
    <row r="47" spans="1:11" x14ac:dyDescent="0.25">
      <c r="A47" s="128" t="s">
        <v>100</v>
      </c>
      <c r="B47" s="127"/>
      <c r="C47" s="127"/>
      <c r="D47" s="127"/>
      <c r="E47" s="127"/>
      <c r="F47" s="222">
        <f>SUM(F37:H46)</f>
        <v>2266.6500000000005</v>
      </c>
      <c r="G47" s="223"/>
      <c r="H47" s="224"/>
      <c r="I47" s="126">
        <f>SUM(I37:I46)</f>
        <v>206183.05785000004</v>
      </c>
    </row>
    <row r="48" spans="1:11" ht="15.75" x14ac:dyDescent="0.25">
      <c r="A48" s="125" t="s">
        <v>101</v>
      </c>
      <c r="B48" s="124"/>
      <c r="C48" s="124"/>
      <c r="D48" s="124"/>
      <c r="E48" s="124"/>
      <c r="F48" s="225">
        <f>ROUND(F47+F35,-2)</f>
        <v>22400</v>
      </c>
      <c r="G48" s="226"/>
      <c r="H48" s="227"/>
      <c r="I48" s="123">
        <f>ROUND(I47+I35,-4)</f>
        <v>2040000</v>
      </c>
      <c r="K48" s="122"/>
    </row>
    <row r="49" spans="1:9" ht="16.5" x14ac:dyDescent="0.25">
      <c r="A49" s="121" t="s">
        <v>102</v>
      </c>
      <c r="B49" s="120"/>
      <c r="C49" s="120"/>
      <c r="D49" s="120"/>
      <c r="E49" s="120"/>
      <c r="F49" s="120"/>
      <c r="G49" s="120"/>
      <c r="H49" s="120"/>
      <c r="I49" s="119">
        <f>ROUND(2953+(26*146),-1)</f>
        <v>6750</v>
      </c>
    </row>
    <row r="50" spans="1:9" ht="16.5" x14ac:dyDescent="0.25">
      <c r="A50" s="121" t="s">
        <v>103</v>
      </c>
      <c r="B50" s="120"/>
      <c r="C50" s="120"/>
      <c r="D50" s="120"/>
      <c r="E50" s="120"/>
      <c r="F50" s="120"/>
      <c r="G50" s="120"/>
      <c r="H50" s="120"/>
      <c r="I50" s="119">
        <f>ROUND(I49+I48,-4)</f>
        <v>2050000</v>
      </c>
    </row>
    <row r="51" spans="1:9" x14ac:dyDescent="0.25">
      <c r="A51" s="118"/>
    </row>
    <row r="52" spans="1:9" x14ac:dyDescent="0.25">
      <c r="A52" s="118"/>
    </row>
    <row r="53" spans="1:9" x14ac:dyDescent="0.25">
      <c r="A53" s="117" t="s">
        <v>104</v>
      </c>
    </row>
    <row r="54" spans="1:9" ht="18.75" x14ac:dyDescent="0.25">
      <c r="A54" s="100" t="s">
        <v>105</v>
      </c>
    </row>
    <row r="55" spans="1:9" x14ac:dyDescent="0.25">
      <c r="A55" s="99" t="s">
        <v>106</v>
      </c>
    </row>
    <row r="56" spans="1:9" ht="18.75" x14ac:dyDescent="0.25">
      <c r="A56" s="100" t="s">
        <v>107</v>
      </c>
    </row>
    <row r="57" spans="1:9" x14ac:dyDescent="0.25">
      <c r="A57" s="99" t="s">
        <v>108</v>
      </c>
    </row>
    <row r="58" spans="1:9" x14ac:dyDescent="0.25">
      <c r="A58" s="99" t="s">
        <v>109</v>
      </c>
    </row>
    <row r="59" spans="1:9" ht="18.75" x14ac:dyDescent="0.25">
      <c r="A59" s="97" t="s">
        <v>110</v>
      </c>
    </row>
    <row r="60" spans="1:9" ht="18.75" x14ac:dyDescent="0.25">
      <c r="A60" s="97" t="s">
        <v>111</v>
      </c>
    </row>
    <row r="61" spans="1:9" ht="18.75" x14ac:dyDescent="0.25">
      <c r="A61" s="97" t="s">
        <v>112</v>
      </c>
    </row>
    <row r="62" spans="1:9" x14ac:dyDescent="0.25">
      <c r="A62" s="99" t="s">
        <v>113</v>
      </c>
    </row>
    <row r="63" spans="1:9" ht="18.75" x14ac:dyDescent="0.25">
      <c r="A63" s="97" t="s">
        <v>114</v>
      </c>
    </row>
    <row r="64" spans="1:9" ht="18.75" x14ac:dyDescent="0.25">
      <c r="A64" s="97" t="s">
        <v>115</v>
      </c>
    </row>
    <row r="65" spans="1:9" ht="18.75" x14ac:dyDescent="0.25">
      <c r="A65" s="97" t="s">
        <v>116</v>
      </c>
    </row>
    <row r="66" spans="1:9" ht="18.75" x14ac:dyDescent="0.25">
      <c r="A66" s="97" t="s">
        <v>117</v>
      </c>
    </row>
    <row r="67" spans="1:9" ht="18.75" x14ac:dyDescent="0.25">
      <c r="A67" s="97" t="s">
        <v>118</v>
      </c>
    </row>
    <row r="68" spans="1:9" ht="18.75" x14ac:dyDescent="0.25">
      <c r="A68" s="97" t="s">
        <v>119</v>
      </c>
    </row>
    <row r="69" spans="1:9" ht="18.75" x14ac:dyDescent="0.25">
      <c r="A69" s="97" t="s">
        <v>120</v>
      </c>
    </row>
    <row r="70" spans="1:9" ht="18.75" x14ac:dyDescent="0.25">
      <c r="A70" s="97" t="s">
        <v>121</v>
      </c>
    </row>
    <row r="71" spans="1:9" ht="18.75" x14ac:dyDescent="0.25">
      <c r="A71" s="97" t="s">
        <v>122</v>
      </c>
    </row>
    <row r="72" spans="1:9" ht="18.75" x14ac:dyDescent="0.25">
      <c r="A72" s="97" t="s">
        <v>123</v>
      </c>
    </row>
    <row r="73" spans="1:9" ht="18.75" x14ac:dyDescent="0.25">
      <c r="A73" s="97" t="s">
        <v>124</v>
      </c>
    </row>
    <row r="74" spans="1:9" ht="18.75" x14ac:dyDescent="0.25">
      <c r="A74" s="97" t="s">
        <v>125</v>
      </c>
    </row>
    <row r="77" spans="1:9" x14ac:dyDescent="0.25">
      <c r="A77" s="95" t="s">
        <v>126</v>
      </c>
    </row>
    <row r="80" spans="1:9" x14ac:dyDescent="0.25">
      <c r="A80" s="116" t="s">
        <v>127</v>
      </c>
      <c r="B80" s="116" t="s">
        <v>34</v>
      </c>
      <c r="C80" s="116" t="s">
        <v>35</v>
      </c>
      <c r="D80" s="116" t="s">
        <v>36</v>
      </c>
      <c r="E80" s="116" t="s">
        <v>37</v>
      </c>
      <c r="F80" s="116" t="s">
        <v>38</v>
      </c>
      <c r="G80" s="116" t="s">
        <v>39</v>
      </c>
      <c r="H80" s="116" t="s">
        <v>40</v>
      </c>
      <c r="I80" s="116" t="s">
        <v>41</v>
      </c>
    </row>
    <row r="81" spans="1:13" ht="51" x14ac:dyDescent="0.25">
      <c r="A81" s="115"/>
      <c r="B81" s="115" t="s">
        <v>128</v>
      </c>
      <c r="C81" s="115" t="s">
        <v>129</v>
      </c>
      <c r="D81" s="115" t="s">
        <v>130</v>
      </c>
      <c r="E81" s="115" t="s">
        <v>131</v>
      </c>
      <c r="F81" s="115" t="s">
        <v>132</v>
      </c>
      <c r="G81" s="115" t="s">
        <v>47</v>
      </c>
      <c r="H81" s="115" t="s">
        <v>133</v>
      </c>
      <c r="I81" s="115" t="s">
        <v>134</v>
      </c>
      <c r="J81" s="197"/>
      <c r="K81" s="197"/>
      <c r="L81" s="197"/>
      <c r="M81" s="197"/>
    </row>
    <row r="82" spans="1:13" x14ac:dyDescent="0.25">
      <c r="A82" s="113"/>
      <c r="B82" s="112"/>
      <c r="C82" s="112"/>
      <c r="D82" s="113" t="s">
        <v>50</v>
      </c>
      <c r="E82" s="112"/>
      <c r="F82" s="113" t="s">
        <v>51</v>
      </c>
      <c r="G82" s="113" t="s">
        <v>52</v>
      </c>
      <c r="H82" s="113" t="s">
        <v>53</v>
      </c>
      <c r="I82" s="112"/>
      <c r="L82" s="109">
        <v>72</v>
      </c>
      <c r="M82" s="109" t="s">
        <v>54</v>
      </c>
    </row>
    <row r="83" spans="1:13" ht="18.75" x14ac:dyDescent="0.25">
      <c r="A83" s="107" t="s">
        <v>135</v>
      </c>
      <c r="B83" s="106">
        <v>495</v>
      </c>
      <c r="C83" s="106">
        <v>1</v>
      </c>
      <c r="D83" s="106">
        <f>B83*C83</f>
        <v>495</v>
      </c>
      <c r="E83" s="106">
        <v>1</v>
      </c>
      <c r="F83" s="106">
        <f>D83*E83</f>
        <v>495</v>
      </c>
      <c r="G83" s="106">
        <f>F83*0.05</f>
        <v>24.75</v>
      </c>
      <c r="H83" s="106">
        <f>F83*0.1</f>
        <v>49.5</v>
      </c>
      <c r="I83" s="105">
        <f>F83*Inputs!$D$16+G83*Inputs!$D$17+H83*Inputs!$D$18</f>
        <v>26691.192000000003</v>
      </c>
      <c r="L83" s="111">
        <v>74</v>
      </c>
      <c r="M83" s="110" t="s">
        <v>57</v>
      </c>
    </row>
    <row r="84" spans="1:13" ht="18.75" x14ac:dyDescent="0.25">
      <c r="A84" s="107" t="s">
        <v>136</v>
      </c>
      <c r="B84" s="106">
        <v>4</v>
      </c>
      <c r="C84" s="106">
        <v>0.1</v>
      </c>
      <c r="D84" s="106">
        <f>B84*C84</f>
        <v>0.4</v>
      </c>
      <c r="E84" s="106">
        <v>1</v>
      </c>
      <c r="F84" s="106">
        <f>D84*E84</f>
        <v>0.4</v>
      </c>
      <c r="G84" s="106">
        <f>F84*0.05</f>
        <v>2.0000000000000004E-2</v>
      </c>
      <c r="H84" s="106">
        <f>F84*0.1</f>
        <v>4.0000000000000008E-2</v>
      </c>
      <c r="I84" s="105">
        <f>F84*Inputs!$D$16+G84*Inputs!$D$17+H84*Inputs!$D$18</f>
        <v>21.568640000000002</v>
      </c>
      <c r="L84" s="109">
        <f>L82+L83</f>
        <v>146</v>
      </c>
      <c r="M84" s="108" t="s">
        <v>59</v>
      </c>
    </row>
    <row r="85" spans="1:13" ht="18.75" x14ac:dyDescent="0.25">
      <c r="A85" s="107" t="s">
        <v>137</v>
      </c>
      <c r="B85" s="106">
        <v>495</v>
      </c>
      <c r="C85" s="106">
        <v>0.1</v>
      </c>
      <c r="D85" s="106">
        <f>B85*C85</f>
        <v>49.5</v>
      </c>
      <c r="E85" s="106">
        <v>1</v>
      </c>
      <c r="F85" s="106">
        <f>D85*E85</f>
        <v>49.5</v>
      </c>
      <c r="G85" s="106">
        <f>F85*0.05</f>
        <v>2.4750000000000001</v>
      </c>
      <c r="H85" s="106">
        <f>F85*0.1</f>
        <v>4.95</v>
      </c>
      <c r="I85" s="105">
        <f>F85*Inputs!$D$16+G85*Inputs!$D$17+H85*Inputs!$D$18</f>
        <v>2669.1192000000005</v>
      </c>
    </row>
    <row r="86" spans="1:13" x14ac:dyDescent="0.25">
      <c r="A86" s="107" t="s">
        <v>138</v>
      </c>
      <c r="B86" s="106"/>
      <c r="C86" s="106"/>
      <c r="D86" s="106"/>
      <c r="E86" s="106"/>
      <c r="F86" s="106"/>
      <c r="G86" s="106"/>
      <c r="H86" s="106"/>
      <c r="I86" s="105"/>
    </row>
    <row r="87" spans="1:13" x14ac:dyDescent="0.25">
      <c r="A87" s="107" t="s">
        <v>139</v>
      </c>
      <c r="B87" s="106">
        <v>2</v>
      </c>
      <c r="C87" s="106">
        <v>1</v>
      </c>
      <c r="D87" s="106">
        <f t="shared" ref="D87:D99" si="8">B87*C87</f>
        <v>2</v>
      </c>
      <c r="E87" s="106">
        <v>1</v>
      </c>
      <c r="F87" s="106">
        <f t="shared" ref="F87:F99" si="9">D87*E87</f>
        <v>2</v>
      </c>
      <c r="G87" s="106">
        <f t="shared" ref="G87:G99" si="10">F87*0.05</f>
        <v>0.1</v>
      </c>
      <c r="H87" s="106">
        <f t="shared" ref="H87:H99" si="11">F87*0.1</f>
        <v>0.2</v>
      </c>
      <c r="I87" s="105">
        <f>F87*Inputs!$D$16+G87*Inputs!$D$17+H87*Inputs!$D$18</f>
        <v>107.84320000000001</v>
      </c>
    </row>
    <row r="88" spans="1:13" x14ac:dyDescent="0.25">
      <c r="A88" s="107" t="s">
        <v>140</v>
      </c>
      <c r="B88" s="106">
        <v>2</v>
      </c>
      <c r="C88" s="106">
        <v>1</v>
      </c>
      <c r="D88" s="106">
        <f t="shared" si="8"/>
        <v>2</v>
      </c>
      <c r="E88" s="106">
        <v>1</v>
      </c>
      <c r="F88" s="106">
        <f t="shared" si="9"/>
        <v>2</v>
      </c>
      <c r="G88" s="106">
        <f t="shared" si="10"/>
        <v>0.1</v>
      </c>
      <c r="H88" s="106">
        <f t="shared" si="11"/>
        <v>0.2</v>
      </c>
      <c r="I88" s="105">
        <f>F88*Inputs!$D$16+G88*Inputs!$D$17+H88*Inputs!$D$18</f>
        <v>107.84320000000001</v>
      </c>
    </row>
    <row r="89" spans="1:13" x14ac:dyDescent="0.25">
      <c r="A89" s="107" t="s">
        <v>141</v>
      </c>
      <c r="B89" s="106">
        <v>2</v>
      </c>
      <c r="C89" s="106">
        <v>1</v>
      </c>
      <c r="D89" s="106">
        <f t="shared" si="8"/>
        <v>2</v>
      </c>
      <c r="E89" s="106">
        <v>1</v>
      </c>
      <c r="F89" s="106">
        <f t="shared" si="9"/>
        <v>2</v>
      </c>
      <c r="G89" s="106">
        <f t="shared" si="10"/>
        <v>0.1</v>
      </c>
      <c r="H89" s="106">
        <f t="shared" si="11"/>
        <v>0.2</v>
      </c>
      <c r="I89" s="105">
        <f>F89*Inputs!$D$16+G89*Inputs!$D$17+H89*Inputs!$D$18</f>
        <v>107.84320000000001</v>
      </c>
    </row>
    <row r="90" spans="1:13" x14ac:dyDescent="0.25">
      <c r="A90" s="107" t="s">
        <v>142</v>
      </c>
      <c r="B90" s="106">
        <v>2</v>
      </c>
      <c r="C90" s="106">
        <v>1</v>
      </c>
      <c r="D90" s="106">
        <f t="shared" si="8"/>
        <v>2</v>
      </c>
      <c r="E90" s="106">
        <v>1</v>
      </c>
      <c r="F90" s="106">
        <f t="shared" si="9"/>
        <v>2</v>
      </c>
      <c r="G90" s="106">
        <f t="shared" si="10"/>
        <v>0.1</v>
      </c>
      <c r="H90" s="106">
        <f t="shared" si="11"/>
        <v>0.2</v>
      </c>
      <c r="I90" s="105">
        <f>F90*Inputs!$D$16+G90*Inputs!$D$17+H90*Inputs!$D$18</f>
        <v>107.84320000000001</v>
      </c>
    </row>
    <row r="91" spans="1:13" ht="18.75" x14ac:dyDescent="0.25">
      <c r="A91" s="107" t="s">
        <v>143</v>
      </c>
      <c r="B91" s="106">
        <v>2</v>
      </c>
      <c r="C91" s="106">
        <v>1</v>
      </c>
      <c r="D91" s="106">
        <f t="shared" si="8"/>
        <v>2</v>
      </c>
      <c r="E91" s="106">
        <v>1</v>
      </c>
      <c r="F91" s="106">
        <f t="shared" si="9"/>
        <v>2</v>
      </c>
      <c r="G91" s="106">
        <f t="shared" si="10"/>
        <v>0.1</v>
      </c>
      <c r="H91" s="106">
        <f t="shared" si="11"/>
        <v>0.2</v>
      </c>
      <c r="I91" s="105">
        <f>F91*Inputs!$D$16+G91*Inputs!$D$17+H91*Inputs!$D$18</f>
        <v>107.84320000000001</v>
      </c>
    </row>
    <row r="92" spans="1:13" ht="18.75" x14ac:dyDescent="0.25">
      <c r="A92" s="107" t="s">
        <v>144</v>
      </c>
      <c r="B92" s="106">
        <v>2</v>
      </c>
      <c r="C92" s="106">
        <v>1</v>
      </c>
      <c r="D92" s="106">
        <f t="shared" si="8"/>
        <v>2</v>
      </c>
      <c r="E92" s="106">
        <v>1</v>
      </c>
      <c r="F92" s="106">
        <f t="shared" si="9"/>
        <v>2</v>
      </c>
      <c r="G92" s="106">
        <f t="shared" si="10"/>
        <v>0.1</v>
      </c>
      <c r="H92" s="106">
        <f t="shared" si="11"/>
        <v>0.2</v>
      </c>
      <c r="I92" s="105">
        <f>F92*Inputs!$D$16+G92*Inputs!$D$17+H92*Inputs!$D$18</f>
        <v>107.84320000000001</v>
      </c>
    </row>
    <row r="93" spans="1:13" ht="18.75" x14ac:dyDescent="0.25">
      <c r="A93" s="107" t="s">
        <v>145</v>
      </c>
      <c r="B93" s="106">
        <v>8</v>
      </c>
      <c r="C93" s="106">
        <v>1</v>
      </c>
      <c r="D93" s="106">
        <f t="shared" si="8"/>
        <v>8</v>
      </c>
      <c r="E93" s="106">
        <v>1</v>
      </c>
      <c r="F93" s="106">
        <f t="shared" si="9"/>
        <v>8</v>
      </c>
      <c r="G93" s="106">
        <f t="shared" si="10"/>
        <v>0.4</v>
      </c>
      <c r="H93" s="106">
        <f t="shared" si="11"/>
        <v>0.8</v>
      </c>
      <c r="I93" s="105">
        <f>F93*Inputs!$D$16+G93*Inputs!$D$17+H93*Inputs!$D$18</f>
        <v>431.37280000000004</v>
      </c>
    </row>
    <row r="94" spans="1:13" ht="18.75" x14ac:dyDescent="0.25">
      <c r="A94" s="107" t="s">
        <v>146</v>
      </c>
      <c r="B94" s="106">
        <v>8</v>
      </c>
      <c r="C94" s="106">
        <v>0.1</v>
      </c>
      <c r="D94" s="106">
        <f t="shared" si="8"/>
        <v>0.8</v>
      </c>
      <c r="E94" s="106">
        <v>1</v>
      </c>
      <c r="F94" s="106">
        <f t="shared" si="9"/>
        <v>0.8</v>
      </c>
      <c r="G94" s="106">
        <f t="shared" si="10"/>
        <v>4.0000000000000008E-2</v>
      </c>
      <c r="H94" s="106">
        <f t="shared" si="11"/>
        <v>8.0000000000000016E-2</v>
      </c>
      <c r="I94" s="105">
        <f>F94*Inputs!$D$16+G94*Inputs!$D$17+H94*Inputs!$D$18</f>
        <v>43.137280000000004</v>
      </c>
    </row>
    <row r="95" spans="1:13" ht="18.75" x14ac:dyDescent="0.25">
      <c r="A95" s="107" t="s">
        <v>147</v>
      </c>
      <c r="B95" s="106">
        <v>8</v>
      </c>
      <c r="C95" s="106">
        <v>1</v>
      </c>
      <c r="D95" s="106">
        <f t="shared" si="8"/>
        <v>8</v>
      </c>
      <c r="E95" s="106">
        <f>L82*0.1</f>
        <v>7.2</v>
      </c>
      <c r="F95" s="106">
        <f t="shared" si="9"/>
        <v>57.6</v>
      </c>
      <c r="G95" s="106">
        <f t="shared" si="10"/>
        <v>2.8800000000000003</v>
      </c>
      <c r="H95" s="106">
        <f t="shared" si="11"/>
        <v>5.7600000000000007</v>
      </c>
      <c r="I95" s="105">
        <f>F95*Inputs!$D$16+G95*Inputs!$D$17+H95*Inputs!$D$18</f>
        <v>3105.8841600000001</v>
      </c>
    </row>
    <row r="96" spans="1:13" ht="18.75" x14ac:dyDescent="0.25">
      <c r="A96" s="107" t="s">
        <v>148</v>
      </c>
      <c r="B96" s="106">
        <v>2</v>
      </c>
      <c r="C96" s="106">
        <v>1</v>
      </c>
      <c r="D96" s="106">
        <f t="shared" si="8"/>
        <v>2</v>
      </c>
      <c r="E96" s="106">
        <f>L82*0.9</f>
        <v>64.8</v>
      </c>
      <c r="F96" s="106">
        <f t="shared" si="9"/>
        <v>129.6</v>
      </c>
      <c r="G96" s="106">
        <f t="shared" si="10"/>
        <v>6.48</v>
      </c>
      <c r="H96" s="106">
        <f t="shared" si="11"/>
        <v>12.96</v>
      </c>
      <c r="I96" s="105">
        <f>F96*Inputs!$D$16+G96*Inputs!$D$17+H96*Inputs!$D$18</f>
        <v>6988.2393600000005</v>
      </c>
    </row>
    <row r="97" spans="1:9" ht="18.75" x14ac:dyDescent="0.25">
      <c r="A97" s="107" t="s">
        <v>149</v>
      </c>
      <c r="B97" s="106">
        <v>2</v>
      </c>
      <c r="C97" s="106">
        <v>1</v>
      </c>
      <c r="D97" s="106">
        <f t="shared" si="8"/>
        <v>2</v>
      </c>
      <c r="E97" s="106">
        <f>0.1*L82</f>
        <v>7.2</v>
      </c>
      <c r="F97" s="106">
        <f t="shared" si="9"/>
        <v>14.4</v>
      </c>
      <c r="G97" s="106">
        <f t="shared" si="10"/>
        <v>0.72000000000000008</v>
      </c>
      <c r="H97" s="106">
        <f t="shared" si="11"/>
        <v>1.4400000000000002</v>
      </c>
      <c r="I97" s="105">
        <f>F97*Inputs!$D$16+G97*Inputs!$D$17+H97*Inputs!$D$18</f>
        <v>776.47104000000002</v>
      </c>
    </row>
    <row r="98" spans="1:9" ht="18.75" x14ac:dyDescent="0.25">
      <c r="A98" s="107" t="s">
        <v>150</v>
      </c>
      <c r="B98" s="106">
        <v>8</v>
      </c>
      <c r="C98" s="106">
        <v>1</v>
      </c>
      <c r="D98" s="106">
        <f t="shared" si="8"/>
        <v>8</v>
      </c>
      <c r="E98" s="106">
        <f>L83*0.1</f>
        <v>7.4</v>
      </c>
      <c r="F98" s="106">
        <f t="shared" si="9"/>
        <v>59.2</v>
      </c>
      <c r="G98" s="106">
        <f t="shared" si="10"/>
        <v>2.9600000000000004</v>
      </c>
      <c r="H98" s="106">
        <f t="shared" si="11"/>
        <v>5.9200000000000008</v>
      </c>
      <c r="I98" s="105">
        <f>F98*Inputs!$D$16+G98*Inputs!$D$17+H98*Inputs!$D$18</f>
        <v>3192.1587200000004</v>
      </c>
    </row>
    <row r="99" spans="1:9" ht="18.75" x14ac:dyDescent="0.25">
      <c r="A99" s="107" t="s">
        <v>151</v>
      </c>
      <c r="B99" s="106">
        <v>2</v>
      </c>
      <c r="C99" s="106">
        <v>1</v>
      </c>
      <c r="D99" s="106">
        <f t="shared" si="8"/>
        <v>2</v>
      </c>
      <c r="E99" s="106">
        <f>L83*0.9</f>
        <v>66.600000000000009</v>
      </c>
      <c r="F99" s="106">
        <f t="shared" si="9"/>
        <v>133.20000000000002</v>
      </c>
      <c r="G99" s="106">
        <f t="shared" si="10"/>
        <v>6.660000000000001</v>
      </c>
      <c r="H99" s="106">
        <f t="shared" si="11"/>
        <v>13.320000000000002</v>
      </c>
      <c r="I99" s="105">
        <f>F99*Inputs!$D$16+G99*Inputs!$D$17+H99*Inputs!$D$18</f>
        <v>7182.3571200000015</v>
      </c>
    </row>
    <row r="100" spans="1:9" ht="15.75" x14ac:dyDescent="0.25">
      <c r="A100" s="104" t="s">
        <v>152</v>
      </c>
      <c r="B100" s="103"/>
      <c r="C100" s="103"/>
      <c r="D100" s="103"/>
      <c r="E100" s="103"/>
      <c r="F100" s="228">
        <f>ROUND(SUM(F83:H99), -1)</f>
        <v>1100</v>
      </c>
      <c r="G100" s="229"/>
      <c r="H100" s="230"/>
      <c r="I100" s="102">
        <f>ROUND(SUM(I83:I99),-2)</f>
        <v>51700</v>
      </c>
    </row>
    <row r="104" spans="1:9" x14ac:dyDescent="0.25">
      <c r="A104" s="101" t="s">
        <v>104</v>
      </c>
    </row>
    <row r="105" spans="1:9" ht="18.75" x14ac:dyDescent="0.25">
      <c r="A105" s="97" t="s">
        <v>153</v>
      </c>
    </row>
    <row r="106" spans="1:9" x14ac:dyDescent="0.25">
      <c r="A106" s="99" t="s">
        <v>154</v>
      </c>
    </row>
    <row r="107" spans="1:9" ht="18.75" x14ac:dyDescent="0.25">
      <c r="A107" s="100" t="s">
        <v>155</v>
      </c>
    </row>
    <row r="108" spans="1:9" x14ac:dyDescent="0.25">
      <c r="A108" s="99" t="s">
        <v>156</v>
      </c>
    </row>
    <row r="109" spans="1:9" ht="18.75" x14ac:dyDescent="0.25">
      <c r="A109" s="97" t="s">
        <v>157</v>
      </c>
    </row>
    <row r="110" spans="1:9" ht="18.75" x14ac:dyDescent="0.25">
      <c r="A110" s="97" t="s">
        <v>158</v>
      </c>
    </row>
    <row r="111" spans="1:9" ht="18.75" x14ac:dyDescent="0.25">
      <c r="A111" s="97" t="s">
        <v>159</v>
      </c>
    </row>
    <row r="112" spans="1:9" ht="18.75" x14ac:dyDescent="0.25">
      <c r="A112" s="97" t="s">
        <v>160</v>
      </c>
    </row>
    <row r="113" spans="1:7" ht="18.75" x14ac:dyDescent="0.25">
      <c r="A113" s="97" t="s">
        <v>161</v>
      </c>
    </row>
    <row r="114" spans="1:7" ht="18.75" x14ac:dyDescent="0.25">
      <c r="A114" s="97" t="s">
        <v>162</v>
      </c>
    </row>
    <row r="115" spans="1:7" ht="18.75" x14ac:dyDescent="0.25">
      <c r="A115" s="97" t="s">
        <v>163</v>
      </c>
      <c r="G115" s="98"/>
    </row>
    <row r="116" spans="1:7" ht="18.75" x14ac:dyDescent="0.25">
      <c r="A116" s="97" t="s">
        <v>164</v>
      </c>
    </row>
    <row r="117" spans="1:7" ht="18.75" x14ac:dyDescent="0.25">
      <c r="A117" s="97" t="s">
        <v>165</v>
      </c>
      <c r="G117" s="96"/>
    </row>
    <row r="118" spans="1:7" ht="18.75" x14ac:dyDescent="0.25">
      <c r="A118" s="97" t="s">
        <v>166</v>
      </c>
      <c r="G118" s="96"/>
    </row>
  </sheetData>
  <mergeCells count="4">
    <mergeCell ref="F35:H35"/>
    <mergeCell ref="F47:H47"/>
    <mergeCell ref="F48:H48"/>
    <mergeCell ref="F100:H10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39"/>
  <sheetViews>
    <sheetView topLeftCell="C1" workbookViewId="0">
      <selection activeCell="B7" sqref="B7:B15"/>
    </sheetView>
  </sheetViews>
  <sheetFormatPr defaultRowHeight="15" x14ac:dyDescent="0.25"/>
  <cols>
    <col min="1" max="1" width="2.7109375" customWidth="1"/>
    <col min="2" max="2" width="52.7109375" customWidth="1"/>
    <col min="3" max="3" width="11.42578125" customWidth="1"/>
    <col min="4" max="4" width="11.5703125" customWidth="1"/>
    <col min="5" max="5" width="11.7109375" customWidth="1"/>
    <col min="6" max="6" width="12.140625" customWidth="1"/>
    <col min="7" max="7" width="12.42578125" customWidth="1"/>
    <col min="8" max="8" width="13.5703125" customWidth="1"/>
    <col min="9" max="9" width="12.42578125" customWidth="1"/>
    <col min="10" max="10" width="12" customWidth="1"/>
    <col min="12" max="12" width="10.140625" customWidth="1"/>
  </cols>
  <sheetData>
    <row r="1" spans="2:12" ht="15" customHeight="1" x14ac:dyDescent="0.25">
      <c r="B1" s="252" t="s">
        <v>167</v>
      </c>
      <c r="C1" s="252"/>
      <c r="D1" s="252"/>
      <c r="E1" s="252"/>
      <c r="F1" s="252"/>
      <c r="G1" s="252"/>
      <c r="H1" s="252"/>
      <c r="I1" s="252"/>
      <c r="J1" s="252"/>
      <c r="K1" s="252"/>
      <c r="L1" s="252"/>
    </row>
    <row r="2" spans="2:12" ht="15.75" thickBot="1" x14ac:dyDescent="0.3">
      <c r="B2" s="253"/>
      <c r="C2" s="253"/>
      <c r="D2" s="253"/>
      <c r="E2" s="253"/>
      <c r="F2" s="253"/>
      <c r="G2" s="253"/>
      <c r="H2" s="253"/>
      <c r="I2" s="253"/>
      <c r="J2" s="253"/>
      <c r="K2" s="253"/>
      <c r="L2" s="253"/>
    </row>
    <row r="3" spans="2:12" x14ac:dyDescent="0.25">
      <c r="B3" s="256" t="s">
        <v>33</v>
      </c>
      <c r="C3" s="1" t="s">
        <v>34</v>
      </c>
      <c r="D3" s="1" t="s">
        <v>35</v>
      </c>
      <c r="E3" s="1" t="s">
        <v>36</v>
      </c>
      <c r="F3" s="1" t="s">
        <v>37</v>
      </c>
      <c r="G3" s="1" t="s">
        <v>38</v>
      </c>
      <c r="H3" s="1" t="s">
        <v>39</v>
      </c>
      <c r="I3" s="1" t="s">
        <v>40</v>
      </c>
      <c r="J3" s="1" t="s">
        <v>41</v>
      </c>
      <c r="K3" s="2" t="s">
        <v>168</v>
      </c>
      <c r="L3" s="3" t="s">
        <v>169</v>
      </c>
    </row>
    <row r="4" spans="2:12" x14ac:dyDescent="0.25">
      <c r="B4" s="257"/>
      <c r="C4" s="250" t="s">
        <v>170</v>
      </c>
      <c r="D4" s="250" t="s">
        <v>171</v>
      </c>
      <c r="E4" s="250" t="s">
        <v>172</v>
      </c>
      <c r="F4" s="250" t="s">
        <v>173</v>
      </c>
      <c r="G4" s="247" t="s">
        <v>174</v>
      </c>
      <c r="H4" s="250" t="s">
        <v>175</v>
      </c>
      <c r="I4" s="250" t="s">
        <v>176</v>
      </c>
      <c r="J4" s="250" t="s">
        <v>177</v>
      </c>
      <c r="K4" s="247" t="s">
        <v>178</v>
      </c>
      <c r="L4" s="254" t="s">
        <v>179</v>
      </c>
    </row>
    <row r="5" spans="2:12" x14ac:dyDescent="0.25">
      <c r="B5" s="257"/>
      <c r="C5" s="251"/>
      <c r="D5" s="251"/>
      <c r="E5" s="251"/>
      <c r="F5" s="251"/>
      <c r="G5" s="248"/>
      <c r="H5" s="251"/>
      <c r="I5" s="251"/>
      <c r="J5" s="251"/>
      <c r="K5" s="248"/>
      <c r="L5" s="255"/>
    </row>
    <row r="6" spans="2:12" x14ac:dyDescent="0.25">
      <c r="B6" s="257"/>
      <c r="C6" s="251"/>
      <c r="D6" s="251"/>
      <c r="E6" s="251"/>
      <c r="F6" s="251"/>
      <c r="G6" s="249"/>
      <c r="H6" s="251"/>
      <c r="I6" s="251"/>
      <c r="J6" s="251"/>
      <c r="K6" s="249"/>
      <c r="L6" s="255"/>
    </row>
    <row r="7" spans="2:12" x14ac:dyDescent="0.25">
      <c r="B7" s="4" t="s">
        <v>180</v>
      </c>
      <c r="C7" s="5">
        <v>4</v>
      </c>
      <c r="D7" s="5">
        <v>1</v>
      </c>
      <c r="E7" s="6">
        <f t="shared" ref="E7:E15" si="0">C7*D7</f>
        <v>4</v>
      </c>
      <c r="F7" s="6">
        <v>43</v>
      </c>
      <c r="G7" s="7">
        <f>D7*F7</f>
        <v>43</v>
      </c>
      <c r="H7" s="7">
        <f>E7*F7</f>
        <v>172</v>
      </c>
      <c r="I7" s="7">
        <f>H7*0.05</f>
        <v>8.6</v>
      </c>
      <c r="J7" s="7">
        <f>H7*0.1</f>
        <v>17.2</v>
      </c>
      <c r="K7" s="8">
        <f>SUM(H7:J7)</f>
        <v>197.79999999999998</v>
      </c>
      <c r="L7" s="9">
        <f>H7*Inputs!$D$4+I7*Inputs!$D$6+J7*Inputs!$D$5</f>
        <v>17992.636200000001</v>
      </c>
    </row>
    <row r="8" spans="2:12" x14ac:dyDescent="0.25">
      <c r="B8" s="10" t="s">
        <v>181</v>
      </c>
      <c r="C8" s="5">
        <v>0</v>
      </c>
      <c r="D8" s="5">
        <v>0</v>
      </c>
      <c r="E8" s="6">
        <f t="shared" si="0"/>
        <v>0</v>
      </c>
      <c r="F8" s="6">
        <v>0</v>
      </c>
      <c r="G8" s="7">
        <f>D8*F8</f>
        <v>0</v>
      </c>
      <c r="H8" s="7">
        <f>E8*F8</f>
        <v>0</v>
      </c>
      <c r="I8" s="7">
        <f>H8*0.05</f>
        <v>0</v>
      </c>
      <c r="J8" s="7">
        <f>H8*0.1</f>
        <v>0</v>
      </c>
      <c r="K8" s="8">
        <f>SUM(H8:J8)</f>
        <v>0</v>
      </c>
      <c r="L8" s="9">
        <f>H8*Inputs!$D$4+I8*Inputs!$D$6+J8*Inputs!$D$5</f>
        <v>0</v>
      </c>
    </row>
    <row r="9" spans="2:12" x14ac:dyDescent="0.25">
      <c r="B9" s="10" t="s">
        <v>182</v>
      </c>
      <c r="C9" s="5">
        <v>8</v>
      </c>
      <c r="D9" s="5">
        <v>1</v>
      </c>
      <c r="E9" s="6">
        <f t="shared" si="0"/>
        <v>8</v>
      </c>
      <c r="F9" s="6">
        <v>0</v>
      </c>
      <c r="G9" s="7">
        <f>D9*F9</f>
        <v>0</v>
      </c>
      <c r="H9" s="7">
        <f>E9*F9</f>
        <v>0</v>
      </c>
      <c r="I9" s="7">
        <f>H9*0.05</f>
        <v>0</v>
      </c>
      <c r="J9" s="7">
        <f>H9*0.1</f>
        <v>0</v>
      </c>
      <c r="K9" s="8">
        <f>SUM(H9:J9)</f>
        <v>0</v>
      </c>
      <c r="L9" s="9">
        <f>H9*Inputs!$D$4+I9*Inputs!$D$6+J9*Inputs!$D$5</f>
        <v>0</v>
      </c>
    </row>
    <row r="10" spans="2:12" x14ac:dyDescent="0.25">
      <c r="B10" s="11" t="s">
        <v>183</v>
      </c>
      <c r="C10" s="12">
        <v>0</v>
      </c>
      <c r="D10" s="5">
        <v>0</v>
      </c>
      <c r="E10" s="6">
        <f t="shared" si="0"/>
        <v>0</v>
      </c>
      <c r="F10" s="6">
        <v>0</v>
      </c>
      <c r="G10" s="7">
        <f>D10*F10</f>
        <v>0</v>
      </c>
      <c r="H10" s="7">
        <f>E10*F10</f>
        <v>0</v>
      </c>
      <c r="I10" s="7">
        <f>H10*0.05</f>
        <v>0</v>
      </c>
      <c r="J10" s="7">
        <f>H10*0.1</f>
        <v>0</v>
      </c>
      <c r="K10" s="8">
        <f>SUM(H10:J10)</f>
        <v>0</v>
      </c>
      <c r="L10" s="9">
        <f>H10*Inputs!$D$4+I10*Inputs!$D$6+J10*Inputs!$D$5</f>
        <v>0</v>
      </c>
    </row>
    <row r="11" spans="2:12" x14ac:dyDescent="0.25">
      <c r="B11" s="10" t="s">
        <v>184</v>
      </c>
      <c r="C11" s="7">
        <v>30</v>
      </c>
      <c r="D11" s="7">
        <v>1</v>
      </c>
      <c r="E11" s="6">
        <f t="shared" si="0"/>
        <v>30</v>
      </c>
      <c r="F11" s="6">
        <v>0</v>
      </c>
      <c r="G11" s="7">
        <f t="shared" ref="G11:G14" si="1">D11*F11</f>
        <v>0</v>
      </c>
      <c r="H11" s="7">
        <f t="shared" ref="H11:H15" si="2">E11*F11</f>
        <v>0</v>
      </c>
      <c r="I11" s="7">
        <f t="shared" ref="I11:I15" si="3">H11*0.05</f>
        <v>0</v>
      </c>
      <c r="J11" s="7">
        <f t="shared" ref="J11:J15" si="4">H11*0.1</f>
        <v>0</v>
      </c>
      <c r="K11" s="8">
        <f t="shared" ref="K11:K15" si="5">SUM(H11:J11)</f>
        <v>0</v>
      </c>
      <c r="L11" s="9">
        <f>H11*Inputs!$D$4+I11*Inputs!$D$6+J11*Inputs!$D$5</f>
        <v>0</v>
      </c>
    </row>
    <row r="12" spans="2:12" x14ac:dyDescent="0.25">
      <c r="B12" s="11" t="s">
        <v>185</v>
      </c>
      <c r="C12" s="7">
        <v>30</v>
      </c>
      <c r="D12" s="7">
        <v>1</v>
      </c>
      <c r="E12" s="6">
        <f t="shared" si="0"/>
        <v>30</v>
      </c>
      <c r="F12" s="142">
        <v>0</v>
      </c>
      <c r="G12" s="7">
        <f t="shared" ref="G12" si="6">D12*F12</f>
        <v>0</v>
      </c>
      <c r="H12" s="7">
        <f t="shared" ref="H12" si="7">E12*F12</f>
        <v>0</v>
      </c>
      <c r="I12" s="7">
        <f t="shared" ref="I12" si="8">H12*0.05</f>
        <v>0</v>
      </c>
      <c r="J12" s="7">
        <f t="shared" ref="J12" si="9">H12*0.1</f>
        <v>0</v>
      </c>
      <c r="K12" s="8">
        <f t="shared" ref="K12" si="10">SUM(H12:J12)</f>
        <v>0</v>
      </c>
      <c r="L12" s="9">
        <f>H12*Inputs!$D$4+I12*Inputs!$D$6+J12*Inputs!$D$5</f>
        <v>0</v>
      </c>
    </row>
    <row r="13" spans="2:12" x14ac:dyDescent="0.25">
      <c r="B13" s="10" t="s">
        <v>186</v>
      </c>
      <c r="C13" s="7">
        <v>12</v>
      </c>
      <c r="D13" s="7">
        <v>12</v>
      </c>
      <c r="E13" s="6">
        <f t="shared" si="0"/>
        <v>144</v>
      </c>
      <c r="F13" s="6">
        <v>0</v>
      </c>
      <c r="G13" s="7">
        <f t="shared" si="1"/>
        <v>0</v>
      </c>
      <c r="H13" s="7">
        <f t="shared" si="2"/>
        <v>0</v>
      </c>
      <c r="I13" s="7">
        <f t="shared" si="3"/>
        <v>0</v>
      </c>
      <c r="J13" s="7">
        <f t="shared" si="4"/>
        <v>0</v>
      </c>
      <c r="K13" s="8">
        <f t="shared" si="5"/>
        <v>0</v>
      </c>
      <c r="L13" s="9">
        <f>H13*Inputs!$D$4+I13*Inputs!$D$6+J13*Inputs!$D$5</f>
        <v>0</v>
      </c>
    </row>
    <row r="14" spans="2:12" x14ac:dyDescent="0.25">
      <c r="B14" s="10" t="s">
        <v>187</v>
      </c>
      <c r="C14" s="5">
        <v>8</v>
      </c>
      <c r="D14" s="5">
        <v>12</v>
      </c>
      <c r="E14" s="6">
        <f t="shared" si="0"/>
        <v>96</v>
      </c>
      <c r="F14" s="6">
        <v>0</v>
      </c>
      <c r="G14" s="7">
        <f t="shared" si="1"/>
        <v>0</v>
      </c>
      <c r="H14" s="7">
        <f t="shared" si="2"/>
        <v>0</v>
      </c>
      <c r="I14" s="7">
        <f t="shared" si="3"/>
        <v>0</v>
      </c>
      <c r="J14" s="7">
        <f t="shared" si="4"/>
        <v>0</v>
      </c>
      <c r="K14" s="8">
        <f t="shared" si="5"/>
        <v>0</v>
      </c>
      <c r="L14" s="9">
        <f>H14*Inputs!$D$4+I14*Inputs!$D$6+J14*Inputs!$D$5</f>
        <v>0</v>
      </c>
    </row>
    <row r="15" spans="2:12" x14ac:dyDescent="0.25">
      <c r="B15" s="10" t="s">
        <v>188</v>
      </c>
      <c r="C15" s="5">
        <v>8</v>
      </c>
      <c r="D15" s="5">
        <v>2</v>
      </c>
      <c r="E15" s="6">
        <f t="shared" si="0"/>
        <v>16</v>
      </c>
      <c r="F15" s="6">
        <v>0</v>
      </c>
      <c r="G15" s="7">
        <f>D15*F15</f>
        <v>0</v>
      </c>
      <c r="H15" s="7">
        <f t="shared" si="2"/>
        <v>0</v>
      </c>
      <c r="I15" s="7">
        <f t="shared" si="3"/>
        <v>0</v>
      </c>
      <c r="J15" s="7">
        <f t="shared" si="4"/>
        <v>0</v>
      </c>
      <c r="K15" s="8">
        <f t="shared" si="5"/>
        <v>0</v>
      </c>
      <c r="L15" s="9">
        <f>H15*Inputs!$D$4+I15*Inputs!$D$6+J15*Inputs!$D$5</f>
        <v>0</v>
      </c>
    </row>
    <row r="16" spans="2:12" x14ac:dyDescent="0.25">
      <c r="B16" s="231" t="s">
        <v>87</v>
      </c>
      <c r="C16" s="232"/>
      <c r="D16" s="232"/>
      <c r="E16" s="232"/>
      <c r="F16" s="232"/>
      <c r="G16" s="233"/>
      <c r="H16" s="234">
        <f>SUM(H7:J15)</f>
        <v>197.79999999999998</v>
      </c>
      <c r="I16" s="235"/>
      <c r="J16" s="235"/>
      <c r="K16" s="236"/>
      <c r="L16" s="13">
        <f>SUM(L7:L15)</f>
        <v>17992.636200000001</v>
      </c>
    </row>
    <row r="17" spans="2:12" x14ac:dyDescent="0.25">
      <c r="B17" s="10" t="s">
        <v>189</v>
      </c>
      <c r="C17" s="14">
        <v>2</v>
      </c>
      <c r="D17" s="14">
        <v>52</v>
      </c>
      <c r="E17" s="7">
        <f t="shared" ref="E17:E20" si="11">C17*D17</f>
        <v>104</v>
      </c>
      <c r="F17" s="6">
        <v>0</v>
      </c>
      <c r="G17" s="7">
        <f t="shared" ref="G17:G20" si="12">D17*F17</f>
        <v>0</v>
      </c>
      <c r="H17" s="7">
        <f t="shared" ref="H17:H20" si="13">E17*F17</f>
        <v>0</v>
      </c>
      <c r="I17" s="7">
        <f t="shared" ref="I17:I20" si="14">H17*0.05</f>
        <v>0</v>
      </c>
      <c r="J17" s="7">
        <f t="shared" ref="J17:J20" si="15">H17*0.1</f>
        <v>0</v>
      </c>
      <c r="K17" s="8">
        <f t="shared" ref="K17:K20" si="16">SUM(H17:J17)</f>
        <v>0</v>
      </c>
      <c r="L17" s="9">
        <f>H17*Inputs!$D$4+I17*Inputs!$D$6+J17*Inputs!$D$5</f>
        <v>0</v>
      </c>
    </row>
    <row r="18" spans="2:12" x14ac:dyDescent="0.25">
      <c r="B18" s="11" t="s">
        <v>190</v>
      </c>
      <c r="C18" s="14">
        <v>8</v>
      </c>
      <c r="D18" s="14">
        <v>2</v>
      </c>
      <c r="E18" s="7">
        <f t="shared" si="11"/>
        <v>16</v>
      </c>
      <c r="F18" s="6">
        <v>43</v>
      </c>
      <c r="G18" s="7">
        <f>D18*F18</f>
        <v>86</v>
      </c>
      <c r="H18" s="7">
        <f t="shared" si="13"/>
        <v>688</v>
      </c>
      <c r="I18" s="7">
        <f t="shared" si="14"/>
        <v>34.4</v>
      </c>
      <c r="J18" s="7">
        <f t="shared" si="15"/>
        <v>68.8</v>
      </c>
      <c r="K18" s="8">
        <f t="shared" si="16"/>
        <v>791.19999999999993</v>
      </c>
      <c r="L18" s="9">
        <f>H18*Inputs!$D$4+I18*Inputs!$D$6+J18*Inputs!$D$5</f>
        <v>71970.544800000003</v>
      </c>
    </row>
    <row r="19" spans="2:12" x14ac:dyDescent="0.25">
      <c r="B19" s="15" t="s">
        <v>191</v>
      </c>
      <c r="C19" s="16">
        <v>0.25</v>
      </c>
      <c r="D19" s="16">
        <v>2</v>
      </c>
      <c r="E19" s="7">
        <f t="shared" si="11"/>
        <v>0.5</v>
      </c>
      <c r="F19" s="17">
        <v>0</v>
      </c>
      <c r="G19" s="7">
        <f t="shared" si="12"/>
        <v>0</v>
      </c>
      <c r="H19" s="18">
        <f t="shared" si="13"/>
        <v>0</v>
      </c>
      <c r="I19" s="18">
        <f t="shared" si="14"/>
        <v>0</v>
      </c>
      <c r="J19" s="18">
        <f t="shared" si="15"/>
        <v>0</v>
      </c>
      <c r="K19" s="19">
        <f t="shared" si="16"/>
        <v>0</v>
      </c>
      <c r="L19" s="9">
        <f>H19*Inputs!$D$4+I19*Inputs!$D$6+J19*Inputs!$D$5</f>
        <v>0</v>
      </c>
    </row>
    <row r="20" spans="2:12" x14ac:dyDescent="0.25">
      <c r="B20" s="15" t="s">
        <v>192</v>
      </c>
      <c r="C20" s="16">
        <v>0</v>
      </c>
      <c r="D20" s="16">
        <v>0</v>
      </c>
      <c r="E20" s="7">
        <f t="shared" si="11"/>
        <v>0</v>
      </c>
      <c r="F20" s="7">
        <v>0</v>
      </c>
      <c r="G20" s="7">
        <f t="shared" si="12"/>
        <v>0</v>
      </c>
      <c r="H20" s="18">
        <f t="shared" si="13"/>
        <v>0</v>
      </c>
      <c r="I20" s="18">
        <f t="shared" si="14"/>
        <v>0</v>
      </c>
      <c r="J20" s="18">
        <f t="shared" si="15"/>
        <v>0</v>
      </c>
      <c r="K20" s="19">
        <f t="shared" si="16"/>
        <v>0</v>
      </c>
      <c r="L20" s="9">
        <f>H20*Inputs!$D$4+I20*Inputs!$D$6+J20*Inputs!$D$5</f>
        <v>0</v>
      </c>
    </row>
    <row r="21" spans="2:12" x14ac:dyDescent="0.25">
      <c r="B21" s="237" t="s">
        <v>100</v>
      </c>
      <c r="C21" s="238"/>
      <c r="D21" s="238"/>
      <c r="E21" s="238"/>
      <c r="F21" s="238"/>
      <c r="G21" s="20"/>
      <c r="H21" s="239">
        <f>SUM(H17:J20)</f>
        <v>791.19999999999993</v>
      </c>
      <c r="I21" s="240"/>
      <c r="J21" s="240"/>
      <c r="K21" s="241"/>
      <c r="L21" s="21">
        <f>SUM(L17:L20)</f>
        <v>71970.544800000003</v>
      </c>
    </row>
    <row r="22" spans="2:12" x14ac:dyDescent="0.25">
      <c r="B22" s="243" t="s">
        <v>193</v>
      </c>
      <c r="C22" s="244"/>
      <c r="D22" s="244"/>
      <c r="E22" s="244"/>
      <c r="F22" s="244"/>
      <c r="G22" s="20"/>
      <c r="H22" s="22"/>
      <c r="I22" s="22"/>
      <c r="J22" s="22"/>
      <c r="K22" s="23"/>
      <c r="L22" s="24">
        <f>ROUND(SUM(L21,L16), -3)</f>
        <v>90000</v>
      </c>
    </row>
    <row r="23" spans="2:12" x14ac:dyDescent="0.25">
      <c r="B23" s="243" t="s">
        <v>194</v>
      </c>
      <c r="C23" s="244"/>
      <c r="D23" s="244"/>
      <c r="E23" s="244"/>
      <c r="F23" s="244"/>
      <c r="G23" s="20"/>
      <c r="H23" s="22"/>
      <c r="I23" s="22"/>
      <c r="J23" s="22"/>
      <c r="K23" s="23"/>
      <c r="L23" s="25">
        <v>0</v>
      </c>
    </row>
    <row r="24" spans="2:12" ht="15.75" thickBot="1" x14ac:dyDescent="0.3">
      <c r="B24" s="245" t="s">
        <v>195</v>
      </c>
      <c r="C24" s="246"/>
      <c r="D24" s="246"/>
      <c r="E24" s="246"/>
      <c r="F24" s="246"/>
      <c r="G24" s="26">
        <f>SUM(G17:G20,G7:G15)</f>
        <v>129</v>
      </c>
      <c r="H24" s="27"/>
      <c r="I24" s="27"/>
      <c r="J24" s="27"/>
      <c r="K24" s="28"/>
      <c r="L24" s="29">
        <f>L22+L23</f>
        <v>90000</v>
      </c>
    </row>
    <row r="25" spans="2:12" x14ac:dyDescent="0.25">
      <c r="K25" s="30"/>
    </row>
    <row r="26" spans="2:12" x14ac:dyDescent="0.25">
      <c r="B26" s="31" t="s">
        <v>104</v>
      </c>
      <c r="C26" s="32"/>
      <c r="D26" s="32"/>
      <c r="E26" s="32"/>
      <c r="F26" s="32"/>
      <c r="G26" s="32"/>
      <c r="H26" s="32"/>
      <c r="I26" s="32"/>
      <c r="J26" s="32"/>
      <c r="K26" s="32"/>
      <c r="L26" s="32"/>
    </row>
    <row r="27" spans="2:12" x14ac:dyDescent="0.25">
      <c r="B27" s="33" t="s">
        <v>196</v>
      </c>
      <c r="C27" s="33"/>
      <c r="D27" s="33"/>
      <c r="E27" s="33"/>
      <c r="F27" s="33"/>
      <c r="G27" s="33"/>
      <c r="H27" s="33"/>
      <c r="I27" s="33"/>
      <c r="J27" s="33"/>
      <c r="K27" s="33"/>
      <c r="L27" s="33"/>
    </row>
    <row r="28" spans="2:12" ht="44.25" customHeight="1" x14ac:dyDescent="0.25">
      <c r="B28" s="242" t="s">
        <v>197</v>
      </c>
      <c r="C28" s="242"/>
      <c r="D28" s="242"/>
      <c r="E28" s="242"/>
      <c r="F28" s="242"/>
      <c r="G28" s="242"/>
      <c r="H28" s="242"/>
      <c r="I28" s="242"/>
      <c r="J28" s="242"/>
      <c r="K28" s="242"/>
      <c r="L28" s="242"/>
    </row>
    <row r="29" spans="2:12" x14ac:dyDescent="0.25">
      <c r="B29" s="33" t="s">
        <v>198</v>
      </c>
      <c r="C29" s="34"/>
      <c r="D29" s="34"/>
      <c r="E29" s="34"/>
      <c r="F29" s="34"/>
      <c r="G29" s="34"/>
      <c r="H29" s="34"/>
      <c r="I29" s="34"/>
      <c r="J29" s="34"/>
      <c r="K29" s="35"/>
      <c r="L29" s="35"/>
    </row>
    <row r="30" spans="2:12" x14ac:dyDescent="0.25">
      <c r="B30" s="33" t="s">
        <v>199</v>
      </c>
      <c r="C30" s="34"/>
      <c r="D30" s="34"/>
      <c r="E30" s="34"/>
      <c r="F30" s="34"/>
      <c r="G30" s="34"/>
      <c r="H30" s="34"/>
      <c r="I30" s="34"/>
      <c r="J30" s="34"/>
      <c r="K30" s="196"/>
      <c r="L30" s="196"/>
    </row>
    <row r="31" spans="2:12" ht="31.5" customHeight="1" x14ac:dyDescent="0.25">
      <c r="B31" s="242" t="s">
        <v>200</v>
      </c>
      <c r="C31" s="242"/>
      <c r="D31" s="242"/>
      <c r="E31" s="242"/>
      <c r="F31" s="242"/>
      <c r="G31" s="242"/>
      <c r="H31" s="242"/>
      <c r="I31" s="242"/>
      <c r="J31" s="242"/>
      <c r="K31" s="242"/>
      <c r="L31" s="242"/>
    </row>
    <row r="32" spans="2:12" ht="43.5" customHeight="1" x14ac:dyDescent="0.25">
      <c r="B32" s="242" t="s">
        <v>201</v>
      </c>
      <c r="C32" s="242"/>
      <c r="D32" s="242"/>
      <c r="E32" s="242"/>
      <c r="F32" s="242"/>
      <c r="G32" s="242"/>
      <c r="H32" s="242"/>
      <c r="I32" s="242"/>
      <c r="J32" s="242"/>
      <c r="K32" s="242"/>
      <c r="L32" s="242"/>
    </row>
    <row r="33" spans="2:12" x14ac:dyDescent="0.25">
      <c r="B33" s="33" t="s">
        <v>202</v>
      </c>
      <c r="C33" s="34"/>
      <c r="D33" s="34"/>
      <c r="E33" s="34"/>
      <c r="F33" s="34"/>
      <c r="G33" s="34"/>
      <c r="H33" s="34"/>
      <c r="I33" s="34"/>
      <c r="J33" s="34"/>
      <c r="K33" s="196"/>
      <c r="L33" s="196"/>
    </row>
    <row r="34" spans="2:12" ht="28.5" customHeight="1" x14ac:dyDescent="0.25">
      <c r="B34" s="242" t="s">
        <v>203</v>
      </c>
      <c r="C34" s="242"/>
      <c r="D34" s="242"/>
      <c r="E34" s="242"/>
      <c r="F34" s="242"/>
      <c r="G34" s="242"/>
      <c r="H34" s="242"/>
      <c r="I34" s="242"/>
      <c r="J34" s="242"/>
      <c r="K34" s="242"/>
      <c r="L34" s="242"/>
    </row>
    <row r="35" spans="2:12" x14ac:dyDescent="0.25">
      <c r="B35" s="33" t="s">
        <v>204</v>
      </c>
      <c r="C35" s="34"/>
      <c r="D35" s="34"/>
      <c r="E35" s="34"/>
      <c r="F35" s="34"/>
      <c r="G35" s="34"/>
      <c r="H35" s="34"/>
      <c r="I35" s="34"/>
      <c r="J35" s="34"/>
      <c r="K35" s="196"/>
      <c r="L35" s="196"/>
    </row>
    <row r="36" spans="2:12" x14ac:dyDescent="0.25">
      <c r="B36" s="33" t="s">
        <v>205</v>
      </c>
      <c r="C36" s="34"/>
      <c r="D36" s="34"/>
      <c r="E36" s="34"/>
      <c r="F36" s="34"/>
      <c r="G36" s="34"/>
      <c r="H36" s="34"/>
      <c r="I36" s="34"/>
      <c r="J36" s="34"/>
      <c r="K36" s="36"/>
      <c r="L36" s="36"/>
    </row>
    <row r="37" spans="2:12" ht="28.5" customHeight="1" x14ac:dyDescent="0.25">
      <c r="B37" s="242" t="s">
        <v>206</v>
      </c>
      <c r="C37" s="242"/>
      <c r="D37" s="242"/>
      <c r="E37" s="242"/>
      <c r="F37" s="242"/>
      <c r="G37" s="242"/>
      <c r="H37" s="242"/>
      <c r="I37" s="242"/>
      <c r="J37" s="242"/>
      <c r="K37" s="242"/>
      <c r="L37" s="242"/>
    </row>
    <row r="38" spans="2:12" ht="33.75" customHeight="1" x14ac:dyDescent="0.25">
      <c r="B38" s="242" t="s">
        <v>207</v>
      </c>
      <c r="C38" s="242"/>
      <c r="D38" s="242"/>
      <c r="E38" s="242"/>
      <c r="F38" s="242"/>
      <c r="G38" s="242"/>
      <c r="H38" s="242"/>
      <c r="I38" s="242"/>
      <c r="J38" s="242"/>
      <c r="K38" s="242"/>
      <c r="L38" s="242"/>
    </row>
    <row r="39" spans="2:12" x14ac:dyDescent="0.25">
      <c r="B39" s="33" t="s">
        <v>208</v>
      </c>
      <c r="C39" s="34"/>
      <c r="D39" s="34"/>
      <c r="E39" s="34"/>
      <c r="F39" s="34"/>
      <c r="G39" s="34"/>
      <c r="H39" s="34"/>
      <c r="I39" s="34"/>
      <c r="J39" s="34"/>
      <c r="K39" s="36"/>
      <c r="L39" s="36"/>
    </row>
  </sheetData>
  <mergeCells count="25">
    <mergeCell ref="G4:G6"/>
    <mergeCell ref="H4:H6"/>
    <mergeCell ref="I4:I6"/>
    <mergeCell ref="J4:J6"/>
    <mergeCell ref="B1:L2"/>
    <mergeCell ref="K4:K6"/>
    <mergeCell ref="L4:L6"/>
    <mergeCell ref="B3:B6"/>
    <mergeCell ref="C4:C6"/>
    <mergeCell ref="D4:D6"/>
    <mergeCell ref="E4:E6"/>
    <mergeCell ref="F4:F6"/>
    <mergeCell ref="B16:G16"/>
    <mergeCell ref="H16:K16"/>
    <mergeCell ref="B21:F21"/>
    <mergeCell ref="H21:K21"/>
    <mergeCell ref="B38:L38"/>
    <mergeCell ref="B22:F22"/>
    <mergeCell ref="B23:F23"/>
    <mergeCell ref="B24:F24"/>
    <mergeCell ref="B28:L28"/>
    <mergeCell ref="B31:L31"/>
    <mergeCell ref="B32:L32"/>
    <mergeCell ref="B34:L34"/>
    <mergeCell ref="B37:L3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9"/>
  <sheetViews>
    <sheetView topLeftCell="H1" workbookViewId="0">
      <selection activeCell="B18" sqref="B18"/>
    </sheetView>
  </sheetViews>
  <sheetFormatPr defaultRowHeight="15" x14ac:dyDescent="0.25"/>
  <cols>
    <col min="1" max="1" width="2.7109375" customWidth="1"/>
    <col min="2" max="2" width="52.7109375" customWidth="1"/>
    <col min="3" max="3" width="11.42578125" customWidth="1"/>
    <col min="4" max="4" width="11.5703125" customWidth="1"/>
    <col min="5" max="5" width="11.7109375" customWidth="1"/>
    <col min="6" max="6" width="12.140625" customWidth="1"/>
    <col min="7" max="7" width="12.42578125" customWidth="1"/>
    <col min="8" max="8" width="13.5703125" customWidth="1"/>
    <col min="9" max="9" width="12.42578125" customWidth="1"/>
    <col min="10" max="10" width="12" customWidth="1"/>
    <col min="12" max="12" width="10.140625" customWidth="1"/>
  </cols>
  <sheetData>
    <row r="1" spans="2:12" x14ac:dyDescent="0.25">
      <c r="B1" s="252" t="s">
        <v>209</v>
      </c>
      <c r="C1" s="252"/>
      <c r="D1" s="252"/>
      <c r="E1" s="252"/>
      <c r="F1" s="252"/>
      <c r="G1" s="252"/>
      <c r="H1" s="252"/>
      <c r="I1" s="252"/>
      <c r="J1" s="252"/>
      <c r="K1" s="252"/>
      <c r="L1" s="252"/>
    </row>
    <row r="2" spans="2:12" ht="15.75" customHeight="1" thickBot="1" x14ac:dyDescent="0.3">
      <c r="B2" s="253"/>
      <c r="C2" s="253"/>
      <c r="D2" s="253"/>
      <c r="E2" s="253"/>
      <c r="F2" s="253"/>
      <c r="G2" s="253"/>
      <c r="H2" s="253"/>
      <c r="I2" s="253"/>
      <c r="J2" s="253"/>
      <c r="K2" s="253"/>
      <c r="L2" s="253"/>
    </row>
    <row r="3" spans="2:12" x14ac:dyDescent="0.25">
      <c r="B3" s="256" t="s">
        <v>33</v>
      </c>
      <c r="C3" s="1" t="s">
        <v>34</v>
      </c>
      <c r="D3" s="1" t="s">
        <v>35</v>
      </c>
      <c r="E3" s="1" t="s">
        <v>36</v>
      </c>
      <c r="F3" s="1" t="s">
        <v>37</v>
      </c>
      <c r="G3" s="1" t="s">
        <v>38</v>
      </c>
      <c r="H3" s="1" t="s">
        <v>39</v>
      </c>
      <c r="I3" s="1" t="s">
        <v>40</v>
      </c>
      <c r="J3" s="1" t="s">
        <v>41</v>
      </c>
      <c r="K3" s="2" t="s">
        <v>168</v>
      </c>
      <c r="L3" s="3" t="s">
        <v>169</v>
      </c>
    </row>
    <row r="4" spans="2:12" x14ac:dyDescent="0.25">
      <c r="B4" s="257"/>
      <c r="C4" s="250" t="s">
        <v>170</v>
      </c>
      <c r="D4" s="250" t="s">
        <v>171</v>
      </c>
      <c r="E4" s="250" t="s">
        <v>172</v>
      </c>
      <c r="F4" s="250" t="s">
        <v>173</v>
      </c>
      <c r="G4" s="247" t="s">
        <v>174</v>
      </c>
      <c r="H4" s="250" t="s">
        <v>175</v>
      </c>
      <c r="I4" s="250" t="s">
        <v>176</v>
      </c>
      <c r="J4" s="250" t="s">
        <v>177</v>
      </c>
      <c r="K4" s="247" t="s">
        <v>178</v>
      </c>
      <c r="L4" s="254" t="s">
        <v>179</v>
      </c>
    </row>
    <row r="5" spans="2:12" x14ac:dyDescent="0.25">
      <c r="B5" s="257"/>
      <c r="C5" s="251"/>
      <c r="D5" s="251"/>
      <c r="E5" s="251"/>
      <c r="F5" s="251"/>
      <c r="G5" s="248"/>
      <c r="H5" s="251"/>
      <c r="I5" s="251"/>
      <c r="J5" s="251"/>
      <c r="K5" s="248"/>
      <c r="L5" s="255"/>
    </row>
    <row r="6" spans="2:12" x14ac:dyDescent="0.25">
      <c r="B6" s="257"/>
      <c r="C6" s="251"/>
      <c r="D6" s="251"/>
      <c r="E6" s="251"/>
      <c r="F6" s="251"/>
      <c r="G6" s="249"/>
      <c r="H6" s="251"/>
      <c r="I6" s="251"/>
      <c r="J6" s="251"/>
      <c r="K6" s="249"/>
      <c r="L6" s="255"/>
    </row>
    <row r="7" spans="2:12" x14ac:dyDescent="0.25">
      <c r="B7" s="4" t="s">
        <v>180</v>
      </c>
      <c r="C7" s="5">
        <v>4</v>
      </c>
      <c r="D7" s="5">
        <v>1</v>
      </c>
      <c r="E7" s="6">
        <f t="shared" ref="E7:E15" si="0">C7*D7</f>
        <v>4</v>
      </c>
      <c r="F7" s="6">
        <v>0</v>
      </c>
      <c r="G7" s="7">
        <f>D7*F7</f>
        <v>0</v>
      </c>
      <c r="H7" s="7">
        <f>E7*F7</f>
        <v>0</v>
      </c>
      <c r="I7" s="7">
        <f>H7*0.05</f>
        <v>0</v>
      </c>
      <c r="J7" s="7">
        <f>H7*0.1</f>
        <v>0</v>
      </c>
      <c r="K7" s="8">
        <f>SUM(H7:J7)</f>
        <v>0</v>
      </c>
      <c r="L7" s="9">
        <f>H7*Inputs!$D$4+I7*Inputs!$D$6+J7*Inputs!$D$5</f>
        <v>0</v>
      </c>
    </row>
    <row r="8" spans="2:12" x14ac:dyDescent="0.25">
      <c r="B8" s="10" t="s">
        <v>181</v>
      </c>
      <c r="C8" s="5">
        <v>0</v>
      </c>
      <c r="D8" s="5">
        <v>0</v>
      </c>
      <c r="E8" s="6">
        <f t="shared" si="0"/>
        <v>0</v>
      </c>
      <c r="F8" s="6">
        <v>0</v>
      </c>
      <c r="G8" s="7">
        <f>D8*F8</f>
        <v>0</v>
      </c>
      <c r="H8" s="7">
        <f>E8*F8</f>
        <v>0</v>
      </c>
      <c r="I8" s="7">
        <f>H8*0.05</f>
        <v>0</v>
      </c>
      <c r="J8" s="7">
        <f>H8*0.1</f>
        <v>0</v>
      </c>
      <c r="K8" s="8">
        <f>SUM(H8:J8)</f>
        <v>0</v>
      </c>
      <c r="L8" s="9">
        <f>H8*Inputs!$D$4+I8*Inputs!$D$6+J8*Inputs!$D$5</f>
        <v>0</v>
      </c>
    </row>
    <row r="9" spans="2:12" x14ac:dyDescent="0.25">
      <c r="B9" s="10" t="s">
        <v>182</v>
      </c>
      <c r="C9" s="5">
        <v>8</v>
      </c>
      <c r="D9" s="5">
        <v>1</v>
      </c>
      <c r="E9" s="6">
        <f t="shared" si="0"/>
        <v>8</v>
      </c>
      <c r="F9" s="6">
        <v>0</v>
      </c>
      <c r="G9" s="7">
        <f>D9*F9</f>
        <v>0</v>
      </c>
      <c r="H9" s="7">
        <f>E9*F9</f>
        <v>0</v>
      </c>
      <c r="I9" s="7">
        <f>H9*0.05</f>
        <v>0</v>
      </c>
      <c r="J9" s="7">
        <f>H9*0.1</f>
        <v>0</v>
      </c>
      <c r="K9" s="8">
        <f>SUM(H9:J9)</f>
        <v>0</v>
      </c>
      <c r="L9" s="9">
        <f>H9*Inputs!$D$4+I9*Inputs!$D$6+J9*Inputs!$D$5</f>
        <v>0</v>
      </c>
    </row>
    <row r="10" spans="2:12" x14ac:dyDescent="0.25">
      <c r="B10" s="11" t="s">
        <v>183</v>
      </c>
      <c r="C10" s="12">
        <v>0</v>
      </c>
      <c r="D10" s="5">
        <v>0</v>
      </c>
      <c r="E10" s="6">
        <f t="shared" si="0"/>
        <v>0</v>
      </c>
      <c r="F10" s="6">
        <v>0</v>
      </c>
      <c r="G10" s="7">
        <f>D10*F10</f>
        <v>0</v>
      </c>
      <c r="H10" s="7">
        <f>E10*F10</f>
        <v>0</v>
      </c>
      <c r="I10" s="7">
        <f>H10*0.05</f>
        <v>0</v>
      </c>
      <c r="J10" s="7">
        <f>H10*0.1</f>
        <v>0</v>
      </c>
      <c r="K10" s="8">
        <f>SUM(H10:J10)</f>
        <v>0</v>
      </c>
      <c r="L10" s="9">
        <f>H10*Inputs!$D$4+I10*Inputs!$D$6+J10*Inputs!$D$5</f>
        <v>0</v>
      </c>
    </row>
    <row r="11" spans="2:12" x14ac:dyDescent="0.25">
      <c r="B11" s="10" t="s">
        <v>184</v>
      </c>
      <c r="C11" s="7">
        <v>30</v>
      </c>
      <c r="D11" s="7">
        <v>1</v>
      </c>
      <c r="E11" s="6">
        <f t="shared" si="0"/>
        <v>30</v>
      </c>
      <c r="F11" s="6">
        <v>0</v>
      </c>
      <c r="G11" s="7">
        <f t="shared" ref="G11:G14" si="1">D11*F11</f>
        <v>0</v>
      </c>
      <c r="H11" s="7">
        <f t="shared" ref="H11:H15" si="2">E11*F11</f>
        <v>0</v>
      </c>
      <c r="I11" s="7">
        <f t="shared" ref="I11:I15" si="3">H11*0.05</f>
        <v>0</v>
      </c>
      <c r="J11" s="7">
        <f t="shared" ref="J11:J15" si="4">H11*0.1</f>
        <v>0</v>
      </c>
      <c r="K11" s="8">
        <f t="shared" ref="K11:K15" si="5">SUM(H11:J11)</f>
        <v>0</v>
      </c>
      <c r="L11" s="9">
        <f>H11*Inputs!$D$4+I11*Inputs!$D$6+J11*Inputs!$D$5</f>
        <v>0</v>
      </c>
    </row>
    <row r="12" spans="2:12" x14ac:dyDescent="0.25">
      <c r="B12" s="11" t="s">
        <v>185</v>
      </c>
      <c r="C12" s="7">
        <v>30</v>
      </c>
      <c r="D12" s="7">
        <v>1</v>
      </c>
      <c r="E12" s="6">
        <f t="shared" si="0"/>
        <v>30</v>
      </c>
      <c r="F12" s="142">
        <f>ROUND(F11*0.2,0)</f>
        <v>0</v>
      </c>
      <c r="G12" s="7">
        <f t="shared" si="1"/>
        <v>0</v>
      </c>
      <c r="H12" s="7">
        <f t="shared" si="2"/>
        <v>0</v>
      </c>
      <c r="I12" s="7">
        <f t="shared" si="3"/>
        <v>0</v>
      </c>
      <c r="J12" s="7">
        <f t="shared" si="4"/>
        <v>0</v>
      </c>
      <c r="K12" s="8">
        <f t="shared" si="5"/>
        <v>0</v>
      </c>
      <c r="L12" s="9">
        <f>H12*Inputs!$D$4+I12*Inputs!$D$6+J12*Inputs!$D$5</f>
        <v>0</v>
      </c>
    </row>
    <row r="13" spans="2:12" x14ac:dyDescent="0.25">
      <c r="B13" s="10" t="s">
        <v>186</v>
      </c>
      <c r="C13" s="7">
        <v>12</v>
      </c>
      <c r="D13" s="7">
        <v>12</v>
      </c>
      <c r="E13" s="6">
        <f t="shared" si="0"/>
        <v>144</v>
      </c>
      <c r="F13" s="6">
        <v>0</v>
      </c>
      <c r="G13" s="7">
        <f t="shared" si="1"/>
        <v>0</v>
      </c>
      <c r="H13" s="7">
        <f t="shared" si="2"/>
        <v>0</v>
      </c>
      <c r="I13" s="7">
        <f t="shared" si="3"/>
        <v>0</v>
      </c>
      <c r="J13" s="7">
        <f t="shared" si="4"/>
        <v>0</v>
      </c>
      <c r="K13" s="8">
        <f t="shared" si="5"/>
        <v>0</v>
      </c>
      <c r="L13" s="9">
        <f>H13*Inputs!$D$4+I13*Inputs!$D$6+J13*Inputs!$D$5</f>
        <v>0</v>
      </c>
    </row>
    <row r="14" spans="2:12" x14ac:dyDescent="0.25">
      <c r="B14" s="10" t="s">
        <v>187</v>
      </c>
      <c r="C14" s="5">
        <v>8</v>
      </c>
      <c r="D14" s="5">
        <v>12</v>
      </c>
      <c r="E14" s="6">
        <f t="shared" si="0"/>
        <v>96</v>
      </c>
      <c r="F14" s="6">
        <v>0</v>
      </c>
      <c r="G14" s="7">
        <f t="shared" si="1"/>
        <v>0</v>
      </c>
      <c r="H14" s="7">
        <f t="shared" si="2"/>
        <v>0</v>
      </c>
      <c r="I14" s="7">
        <f t="shared" si="3"/>
        <v>0</v>
      </c>
      <c r="J14" s="7">
        <f t="shared" si="4"/>
        <v>0</v>
      </c>
      <c r="K14" s="8">
        <f t="shared" si="5"/>
        <v>0</v>
      </c>
      <c r="L14" s="9">
        <f>H14*Inputs!$D$4+I14*Inputs!$D$6+J14*Inputs!$D$5</f>
        <v>0</v>
      </c>
    </row>
    <row r="15" spans="2:12" x14ac:dyDescent="0.25">
      <c r="B15" s="10" t="s">
        <v>188</v>
      </c>
      <c r="C15" s="5">
        <v>8</v>
      </c>
      <c r="D15" s="5">
        <v>2</v>
      </c>
      <c r="E15" s="6">
        <f t="shared" si="0"/>
        <v>16</v>
      </c>
      <c r="F15" s="6">
        <v>0</v>
      </c>
      <c r="G15" s="7">
        <f>D15*F15</f>
        <v>0</v>
      </c>
      <c r="H15" s="7">
        <f t="shared" si="2"/>
        <v>0</v>
      </c>
      <c r="I15" s="7">
        <f t="shared" si="3"/>
        <v>0</v>
      </c>
      <c r="J15" s="7">
        <f t="shared" si="4"/>
        <v>0</v>
      </c>
      <c r="K15" s="8">
        <f t="shared" si="5"/>
        <v>0</v>
      </c>
      <c r="L15" s="9">
        <f>H15*Inputs!$D$4+I15*Inputs!$D$6+J15*Inputs!$D$5</f>
        <v>0</v>
      </c>
    </row>
    <row r="16" spans="2:12" x14ac:dyDescent="0.25">
      <c r="B16" s="231" t="s">
        <v>87</v>
      </c>
      <c r="C16" s="232"/>
      <c r="D16" s="232"/>
      <c r="E16" s="232"/>
      <c r="F16" s="232"/>
      <c r="G16" s="233"/>
      <c r="H16" s="234">
        <f>SUM(H7:J15)</f>
        <v>0</v>
      </c>
      <c r="I16" s="235"/>
      <c r="J16" s="235"/>
      <c r="K16" s="236"/>
      <c r="L16" s="13">
        <f>SUM(L7:L15)</f>
        <v>0</v>
      </c>
    </row>
    <row r="17" spans="2:12" x14ac:dyDescent="0.25">
      <c r="B17" s="10" t="s">
        <v>189</v>
      </c>
      <c r="C17" s="14">
        <v>2</v>
      </c>
      <c r="D17" s="14">
        <v>52</v>
      </c>
      <c r="E17" s="7">
        <f t="shared" ref="E17:E20" si="6">C17*D17</f>
        <v>104</v>
      </c>
      <c r="F17" s="6">
        <v>0</v>
      </c>
      <c r="G17" s="7">
        <f t="shared" ref="G17:G20" si="7">D17*F17</f>
        <v>0</v>
      </c>
      <c r="H17" s="7">
        <f t="shared" ref="H17:H20" si="8">E17*F17</f>
        <v>0</v>
      </c>
      <c r="I17" s="7">
        <f t="shared" ref="I17:I20" si="9">H17*0.05</f>
        <v>0</v>
      </c>
      <c r="J17" s="7">
        <f t="shared" ref="J17:J20" si="10">H17*0.1</f>
        <v>0</v>
      </c>
      <c r="K17" s="8">
        <f t="shared" ref="K17:K20" si="11">SUM(H17:J17)</f>
        <v>0</v>
      </c>
      <c r="L17" s="9">
        <f>H17*Inputs!$D$4+I17*Inputs!$D$6+J17*Inputs!$D$5</f>
        <v>0</v>
      </c>
    </row>
    <row r="18" spans="2:12" x14ac:dyDescent="0.25">
      <c r="B18" s="11" t="s">
        <v>190</v>
      </c>
      <c r="C18" s="14">
        <v>8</v>
      </c>
      <c r="D18" s="14">
        <v>2</v>
      </c>
      <c r="E18" s="7">
        <f t="shared" si="6"/>
        <v>16</v>
      </c>
      <c r="F18" s="6">
        <v>0</v>
      </c>
      <c r="G18" s="7">
        <f t="shared" si="7"/>
        <v>0</v>
      </c>
      <c r="H18" s="7">
        <f t="shared" si="8"/>
        <v>0</v>
      </c>
      <c r="I18" s="7">
        <f t="shared" si="9"/>
        <v>0</v>
      </c>
      <c r="J18" s="7">
        <f t="shared" si="10"/>
        <v>0</v>
      </c>
      <c r="K18" s="8">
        <f t="shared" si="11"/>
        <v>0</v>
      </c>
      <c r="L18" s="9">
        <f>H18*Inputs!$D$4+I18*Inputs!$D$6+J18*Inputs!$D$5</f>
        <v>0</v>
      </c>
    </row>
    <row r="19" spans="2:12" x14ac:dyDescent="0.25">
      <c r="B19" s="15" t="s">
        <v>191</v>
      </c>
      <c r="C19" s="16">
        <v>0.25</v>
      </c>
      <c r="D19" s="16">
        <v>2</v>
      </c>
      <c r="E19" s="7">
        <f t="shared" si="6"/>
        <v>0.5</v>
      </c>
      <c r="F19" s="17">
        <v>0</v>
      </c>
      <c r="G19" s="7">
        <f t="shared" si="7"/>
        <v>0</v>
      </c>
      <c r="H19" s="18">
        <f t="shared" si="8"/>
        <v>0</v>
      </c>
      <c r="I19" s="18">
        <f t="shared" si="9"/>
        <v>0</v>
      </c>
      <c r="J19" s="18">
        <f t="shared" si="10"/>
        <v>0</v>
      </c>
      <c r="K19" s="19">
        <f t="shared" si="11"/>
        <v>0</v>
      </c>
      <c r="L19" s="9">
        <f>H19*Inputs!$D$4+I19*Inputs!$D$6+J19*Inputs!$D$5</f>
        <v>0</v>
      </c>
    </row>
    <row r="20" spans="2:12" x14ac:dyDescent="0.25">
      <c r="B20" s="15" t="s">
        <v>192</v>
      </c>
      <c r="C20" s="16">
        <v>0</v>
      </c>
      <c r="D20" s="16">
        <v>0</v>
      </c>
      <c r="E20" s="7">
        <f t="shared" si="6"/>
        <v>0</v>
      </c>
      <c r="F20" s="7">
        <v>0</v>
      </c>
      <c r="G20" s="7">
        <f t="shared" si="7"/>
        <v>0</v>
      </c>
      <c r="H20" s="18">
        <f t="shared" si="8"/>
        <v>0</v>
      </c>
      <c r="I20" s="18">
        <f t="shared" si="9"/>
        <v>0</v>
      </c>
      <c r="J20" s="18">
        <f t="shared" si="10"/>
        <v>0</v>
      </c>
      <c r="K20" s="19">
        <f t="shared" si="11"/>
        <v>0</v>
      </c>
      <c r="L20" s="9">
        <f>H20*Inputs!$D$4+I20*Inputs!$D$6+J20*Inputs!$D$5</f>
        <v>0</v>
      </c>
    </row>
    <row r="21" spans="2:12" x14ac:dyDescent="0.25">
      <c r="B21" s="237" t="s">
        <v>100</v>
      </c>
      <c r="C21" s="238"/>
      <c r="D21" s="238"/>
      <c r="E21" s="238"/>
      <c r="F21" s="238"/>
      <c r="G21" s="20"/>
      <c r="H21" s="239">
        <f>SUM(H17:J20)</f>
        <v>0</v>
      </c>
      <c r="I21" s="240"/>
      <c r="J21" s="240"/>
      <c r="K21" s="241"/>
      <c r="L21" s="21">
        <f>SUM(L17:L20)</f>
        <v>0</v>
      </c>
    </row>
    <row r="22" spans="2:12" x14ac:dyDescent="0.25">
      <c r="B22" s="243" t="s">
        <v>193</v>
      </c>
      <c r="C22" s="244"/>
      <c r="D22" s="244"/>
      <c r="E22" s="244"/>
      <c r="F22" s="244"/>
      <c r="G22" s="20"/>
      <c r="H22" s="22"/>
      <c r="I22" s="22"/>
      <c r="J22" s="22"/>
      <c r="K22" s="23"/>
      <c r="L22" s="24">
        <f>ROUND(SUM(L21,L16), -2)</f>
        <v>0</v>
      </c>
    </row>
    <row r="23" spans="2:12" x14ac:dyDescent="0.25">
      <c r="B23" s="243" t="s">
        <v>194</v>
      </c>
      <c r="C23" s="244"/>
      <c r="D23" s="244"/>
      <c r="E23" s="244"/>
      <c r="F23" s="244"/>
      <c r="G23" s="20"/>
      <c r="H23" s="22"/>
      <c r="I23" s="22"/>
      <c r="J23" s="22"/>
      <c r="K23" s="23"/>
      <c r="L23" s="25">
        <v>0</v>
      </c>
    </row>
    <row r="24" spans="2:12" ht="15.75" thickBot="1" x14ac:dyDescent="0.3">
      <c r="B24" s="245" t="s">
        <v>195</v>
      </c>
      <c r="C24" s="246"/>
      <c r="D24" s="246"/>
      <c r="E24" s="246"/>
      <c r="F24" s="246"/>
      <c r="G24" s="26">
        <f>SUM(G17:G20,G7:G15)</f>
        <v>0</v>
      </c>
      <c r="H24" s="27"/>
      <c r="I24" s="27"/>
      <c r="J24" s="27"/>
      <c r="K24" s="28"/>
      <c r="L24" s="29">
        <f>L22+L23</f>
        <v>0</v>
      </c>
    </row>
    <row r="25" spans="2:12" x14ac:dyDescent="0.25">
      <c r="K25" s="30"/>
    </row>
    <row r="26" spans="2:12" x14ac:dyDescent="0.25">
      <c r="B26" s="31" t="s">
        <v>104</v>
      </c>
      <c r="C26" s="32"/>
      <c r="D26" s="32"/>
      <c r="E26" s="32"/>
      <c r="F26" s="32"/>
      <c r="G26" s="32"/>
      <c r="H26" s="32"/>
      <c r="I26" s="32"/>
      <c r="J26" s="32"/>
      <c r="K26" s="32"/>
      <c r="L26" s="32"/>
    </row>
    <row r="27" spans="2:12" x14ac:dyDescent="0.25">
      <c r="B27" s="33" t="s">
        <v>196</v>
      </c>
      <c r="C27" s="33"/>
      <c r="D27" s="33"/>
      <c r="E27" s="33"/>
      <c r="F27" s="33"/>
      <c r="G27" s="33"/>
      <c r="H27" s="33"/>
      <c r="I27" s="33"/>
      <c r="J27" s="33"/>
      <c r="K27" s="33"/>
      <c r="L27" s="33"/>
    </row>
    <row r="28" spans="2:12" ht="42.75" customHeight="1" x14ac:dyDescent="0.25">
      <c r="B28" s="242" t="s">
        <v>197</v>
      </c>
      <c r="C28" s="242"/>
      <c r="D28" s="242"/>
      <c r="E28" s="242"/>
      <c r="F28" s="242"/>
      <c r="G28" s="242"/>
      <c r="H28" s="242"/>
      <c r="I28" s="242"/>
      <c r="J28" s="242"/>
      <c r="K28" s="242"/>
      <c r="L28" s="242"/>
    </row>
    <row r="29" spans="2:12" x14ac:dyDescent="0.25">
      <c r="B29" s="33" t="s">
        <v>198</v>
      </c>
      <c r="C29" s="34"/>
      <c r="D29" s="34"/>
      <c r="E29" s="34"/>
      <c r="F29" s="34"/>
      <c r="G29" s="34"/>
      <c r="H29" s="34"/>
      <c r="I29" s="34"/>
      <c r="J29" s="34"/>
      <c r="K29" s="35"/>
      <c r="L29" s="35"/>
    </row>
    <row r="30" spans="2:12" x14ac:dyDescent="0.25">
      <c r="B30" s="33" t="s">
        <v>199</v>
      </c>
      <c r="C30" s="34"/>
      <c r="D30" s="34"/>
      <c r="E30" s="34"/>
      <c r="F30" s="34"/>
      <c r="G30" s="34"/>
      <c r="H30" s="34"/>
      <c r="I30" s="34"/>
      <c r="J30" s="34"/>
      <c r="K30" s="196"/>
      <c r="L30" s="196"/>
    </row>
    <row r="31" spans="2:12" ht="31.5" customHeight="1" x14ac:dyDescent="0.25">
      <c r="B31" s="242" t="s">
        <v>200</v>
      </c>
      <c r="C31" s="242"/>
      <c r="D31" s="242"/>
      <c r="E31" s="242"/>
      <c r="F31" s="242"/>
      <c r="G31" s="242"/>
      <c r="H31" s="242"/>
      <c r="I31" s="242"/>
      <c r="J31" s="242"/>
      <c r="K31" s="242"/>
      <c r="L31" s="242"/>
    </row>
    <row r="32" spans="2:12" ht="43.5" customHeight="1" x14ac:dyDescent="0.25">
      <c r="B32" s="242" t="s">
        <v>201</v>
      </c>
      <c r="C32" s="242"/>
      <c r="D32" s="242"/>
      <c r="E32" s="242"/>
      <c r="F32" s="242"/>
      <c r="G32" s="242"/>
      <c r="H32" s="242"/>
      <c r="I32" s="242"/>
      <c r="J32" s="242"/>
      <c r="K32" s="242"/>
      <c r="L32" s="242"/>
    </row>
    <row r="33" spans="2:12" x14ac:dyDescent="0.25">
      <c r="B33" s="33" t="s">
        <v>202</v>
      </c>
      <c r="C33" s="34"/>
      <c r="D33" s="34"/>
      <c r="E33" s="34"/>
      <c r="F33" s="34"/>
      <c r="G33" s="34"/>
      <c r="H33" s="34"/>
      <c r="I33" s="34"/>
      <c r="J33" s="34"/>
      <c r="K33" s="196"/>
      <c r="L33" s="196"/>
    </row>
    <row r="34" spans="2:12" ht="28.5" customHeight="1" x14ac:dyDescent="0.25">
      <c r="B34" s="242" t="s">
        <v>203</v>
      </c>
      <c r="C34" s="242"/>
      <c r="D34" s="242"/>
      <c r="E34" s="242"/>
      <c r="F34" s="242"/>
      <c r="G34" s="242"/>
      <c r="H34" s="242"/>
      <c r="I34" s="242"/>
      <c r="J34" s="242"/>
      <c r="K34" s="242"/>
      <c r="L34" s="242"/>
    </row>
    <row r="35" spans="2:12" x14ac:dyDescent="0.25">
      <c r="B35" s="33" t="s">
        <v>204</v>
      </c>
      <c r="C35" s="34"/>
      <c r="D35" s="34"/>
      <c r="E35" s="34"/>
      <c r="F35" s="34"/>
      <c r="G35" s="34"/>
      <c r="H35" s="34"/>
      <c r="I35" s="34"/>
      <c r="J35" s="34"/>
      <c r="K35" s="196"/>
      <c r="L35" s="196"/>
    </row>
    <row r="36" spans="2:12" x14ac:dyDescent="0.25">
      <c r="B36" s="33" t="s">
        <v>205</v>
      </c>
      <c r="C36" s="34"/>
      <c r="D36" s="34"/>
      <c r="E36" s="34"/>
      <c r="F36" s="34"/>
      <c r="G36" s="34"/>
      <c r="H36" s="34"/>
      <c r="I36" s="34"/>
      <c r="J36" s="34"/>
      <c r="K36" s="36"/>
      <c r="L36" s="36"/>
    </row>
    <row r="37" spans="2:12" ht="28.5" customHeight="1" x14ac:dyDescent="0.25">
      <c r="B37" s="242" t="s">
        <v>206</v>
      </c>
      <c r="C37" s="242"/>
      <c r="D37" s="242"/>
      <c r="E37" s="242"/>
      <c r="F37" s="242"/>
      <c r="G37" s="242"/>
      <c r="H37" s="242"/>
      <c r="I37" s="242"/>
      <c r="J37" s="242"/>
      <c r="K37" s="242"/>
      <c r="L37" s="242"/>
    </row>
    <row r="38" spans="2:12" ht="45.75" customHeight="1" x14ac:dyDescent="0.25">
      <c r="B38" s="242" t="s">
        <v>207</v>
      </c>
      <c r="C38" s="242"/>
      <c r="D38" s="242"/>
      <c r="E38" s="242"/>
      <c r="F38" s="242"/>
      <c r="G38" s="242"/>
      <c r="H38" s="242"/>
      <c r="I38" s="242"/>
      <c r="J38" s="242"/>
      <c r="K38" s="242"/>
      <c r="L38" s="242"/>
    </row>
    <row r="39" spans="2:12" x14ac:dyDescent="0.25">
      <c r="B39" s="33" t="s">
        <v>208</v>
      </c>
      <c r="C39" s="34"/>
      <c r="D39" s="34"/>
      <c r="E39" s="34"/>
      <c r="F39" s="34"/>
      <c r="G39" s="34"/>
      <c r="H39" s="34"/>
      <c r="I39" s="34"/>
      <c r="J39" s="34"/>
      <c r="K39" s="36"/>
      <c r="L39" s="36"/>
    </row>
  </sheetData>
  <mergeCells count="25">
    <mergeCell ref="B34:L34"/>
    <mergeCell ref="B37:L37"/>
    <mergeCell ref="B38:L38"/>
    <mergeCell ref="B1:L2"/>
    <mergeCell ref="B22:F22"/>
    <mergeCell ref="B23:F23"/>
    <mergeCell ref="B24:F24"/>
    <mergeCell ref="B28:L28"/>
    <mergeCell ref="B31:L31"/>
    <mergeCell ref="B32:L32"/>
    <mergeCell ref="K4:K6"/>
    <mergeCell ref="L4:L6"/>
    <mergeCell ref="B16:G16"/>
    <mergeCell ref="H16:K16"/>
    <mergeCell ref="B21:F21"/>
    <mergeCell ref="H21:K21"/>
    <mergeCell ref="G4:G6"/>
    <mergeCell ref="H4:H6"/>
    <mergeCell ref="I4:I6"/>
    <mergeCell ref="J4:J6"/>
    <mergeCell ref="B3:B6"/>
    <mergeCell ref="C4:C6"/>
    <mergeCell ref="D4:D6"/>
    <mergeCell ref="E4:E6"/>
    <mergeCell ref="F4:F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39"/>
  <sheetViews>
    <sheetView workbookViewId="0">
      <selection activeCell="L12" sqref="L12"/>
    </sheetView>
  </sheetViews>
  <sheetFormatPr defaultRowHeight="15" x14ac:dyDescent="0.25"/>
  <cols>
    <col min="1" max="1" width="2.7109375" customWidth="1"/>
    <col min="2" max="2" width="52.7109375" customWidth="1"/>
    <col min="3" max="3" width="11.42578125" customWidth="1"/>
    <col min="4" max="4" width="11.5703125" customWidth="1"/>
    <col min="5" max="5" width="11.7109375" customWidth="1"/>
    <col min="6" max="6" width="12.140625" customWidth="1"/>
    <col min="7" max="7" width="12.42578125" customWidth="1"/>
    <col min="8" max="8" width="13.5703125" customWidth="1"/>
    <col min="9" max="9" width="12.42578125" customWidth="1"/>
    <col min="10" max="10" width="12" customWidth="1"/>
    <col min="12" max="12" width="10.140625" customWidth="1"/>
  </cols>
  <sheetData>
    <row r="1" spans="2:12" ht="15" customHeight="1" x14ac:dyDescent="0.25">
      <c r="B1" s="252" t="s">
        <v>210</v>
      </c>
      <c r="C1" s="252"/>
      <c r="D1" s="252"/>
      <c r="E1" s="252"/>
      <c r="F1" s="252"/>
      <c r="G1" s="252"/>
      <c r="H1" s="252"/>
      <c r="I1" s="252"/>
      <c r="J1" s="252"/>
      <c r="K1" s="252"/>
      <c r="L1" s="252"/>
    </row>
    <row r="2" spans="2:12" ht="15.75" thickBot="1" x14ac:dyDescent="0.3">
      <c r="B2" s="253"/>
      <c r="C2" s="253"/>
      <c r="D2" s="253"/>
      <c r="E2" s="253"/>
      <c r="F2" s="253"/>
      <c r="G2" s="253"/>
      <c r="H2" s="253"/>
      <c r="I2" s="253"/>
      <c r="J2" s="253"/>
      <c r="K2" s="253"/>
      <c r="L2" s="253"/>
    </row>
    <row r="3" spans="2:12" x14ac:dyDescent="0.25">
      <c r="B3" s="256" t="s">
        <v>33</v>
      </c>
      <c r="C3" s="1" t="s">
        <v>34</v>
      </c>
      <c r="D3" s="1" t="s">
        <v>35</v>
      </c>
      <c r="E3" s="1" t="s">
        <v>36</v>
      </c>
      <c r="F3" s="1" t="s">
        <v>37</v>
      </c>
      <c r="G3" s="1" t="s">
        <v>38</v>
      </c>
      <c r="H3" s="1" t="s">
        <v>39</v>
      </c>
      <c r="I3" s="1" t="s">
        <v>40</v>
      </c>
      <c r="J3" s="1" t="s">
        <v>41</v>
      </c>
      <c r="K3" s="2" t="s">
        <v>168</v>
      </c>
      <c r="L3" s="3" t="s">
        <v>169</v>
      </c>
    </row>
    <row r="4" spans="2:12" x14ac:dyDescent="0.25">
      <c r="B4" s="257"/>
      <c r="C4" s="250" t="s">
        <v>170</v>
      </c>
      <c r="D4" s="250" t="s">
        <v>171</v>
      </c>
      <c r="E4" s="250" t="s">
        <v>172</v>
      </c>
      <c r="F4" s="250" t="s">
        <v>173</v>
      </c>
      <c r="G4" s="247" t="s">
        <v>174</v>
      </c>
      <c r="H4" s="250" t="s">
        <v>175</v>
      </c>
      <c r="I4" s="250" t="s">
        <v>176</v>
      </c>
      <c r="J4" s="250" t="s">
        <v>177</v>
      </c>
      <c r="K4" s="247" t="s">
        <v>178</v>
      </c>
      <c r="L4" s="254" t="s">
        <v>179</v>
      </c>
    </row>
    <row r="5" spans="2:12" x14ac:dyDescent="0.25">
      <c r="B5" s="257"/>
      <c r="C5" s="251"/>
      <c r="D5" s="251"/>
      <c r="E5" s="251"/>
      <c r="F5" s="251"/>
      <c r="G5" s="248"/>
      <c r="H5" s="251"/>
      <c r="I5" s="251"/>
      <c r="J5" s="251"/>
      <c r="K5" s="248"/>
      <c r="L5" s="255"/>
    </row>
    <row r="6" spans="2:12" x14ac:dyDescent="0.25">
      <c r="B6" s="257"/>
      <c r="C6" s="251"/>
      <c r="D6" s="251"/>
      <c r="E6" s="251"/>
      <c r="F6" s="251"/>
      <c r="G6" s="249"/>
      <c r="H6" s="251"/>
      <c r="I6" s="251"/>
      <c r="J6" s="251"/>
      <c r="K6" s="249"/>
      <c r="L6" s="255"/>
    </row>
    <row r="7" spans="2:12" x14ac:dyDescent="0.25">
      <c r="B7" s="4" t="s">
        <v>180</v>
      </c>
      <c r="C7" s="5">
        <v>4</v>
      </c>
      <c r="D7" s="5">
        <v>1</v>
      </c>
      <c r="E7" s="6">
        <f t="shared" ref="E7:E15" si="0">C7*D7</f>
        <v>4</v>
      </c>
      <c r="F7" s="6">
        <v>0</v>
      </c>
      <c r="G7" s="7">
        <f>D7*F7</f>
        <v>0</v>
      </c>
      <c r="H7" s="7">
        <f>E7*F7</f>
        <v>0</v>
      </c>
      <c r="I7" s="7">
        <f>H7*0.05</f>
        <v>0</v>
      </c>
      <c r="J7" s="7">
        <f>H7*0.1</f>
        <v>0</v>
      </c>
      <c r="K7" s="8">
        <f>SUM(H7:J7)</f>
        <v>0</v>
      </c>
      <c r="L7" s="9">
        <f>H7*Inputs!$D$4+I7*Inputs!$D$6+J7*Inputs!$D$5</f>
        <v>0</v>
      </c>
    </row>
    <row r="8" spans="2:12" x14ac:dyDescent="0.25">
      <c r="B8" s="10" t="s">
        <v>181</v>
      </c>
      <c r="C8" s="5">
        <v>0</v>
      </c>
      <c r="D8" s="5">
        <v>0</v>
      </c>
      <c r="E8" s="6">
        <f t="shared" si="0"/>
        <v>0</v>
      </c>
      <c r="F8" s="6">
        <v>0</v>
      </c>
      <c r="G8" s="7">
        <f>D8*F8</f>
        <v>0</v>
      </c>
      <c r="H8" s="7">
        <f>E8*F8</f>
        <v>0</v>
      </c>
      <c r="I8" s="7">
        <f>H8*0.05</f>
        <v>0</v>
      </c>
      <c r="J8" s="7">
        <f>H8*0.1</f>
        <v>0</v>
      </c>
      <c r="K8" s="8">
        <f>SUM(H8:J8)</f>
        <v>0</v>
      </c>
      <c r="L8" s="9">
        <f>H8*Inputs!$D$4+I8*Inputs!$D$6+J8*Inputs!$D$5</f>
        <v>0</v>
      </c>
    </row>
    <row r="9" spans="2:12" x14ac:dyDescent="0.25">
      <c r="B9" s="10" t="s">
        <v>182</v>
      </c>
      <c r="C9" s="5">
        <v>8</v>
      </c>
      <c r="D9" s="5">
        <v>1</v>
      </c>
      <c r="E9" s="6">
        <f t="shared" si="0"/>
        <v>8</v>
      </c>
      <c r="F9" s="6">
        <v>0</v>
      </c>
      <c r="G9" s="7">
        <f>D9*F9</f>
        <v>0</v>
      </c>
      <c r="H9" s="7">
        <f>E9*F9</f>
        <v>0</v>
      </c>
      <c r="I9" s="7">
        <f>H9*0.05</f>
        <v>0</v>
      </c>
      <c r="J9" s="7">
        <f>H9*0.1</f>
        <v>0</v>
      </c>
      <c r="K9" s="8">
        <f>SUM(H9:J9)</f>
        <v>0</v>
      </c>
      <c r="L9" s="9">
        <f>H9*Inputs!$D$4+I9*Inputs!$D$6+J9*Inputs!$D$5</f>
        <v>0</v>
      </c>
    </row>
    <row r="10" spans="2:12" x14ac:dyDescent="0.25">
      <c r="B10" s="11" t="s">
        <v>183</v>
      </c>
      <c r="C10" s="12">
        <v>0</v>
      </c>
      <c r="D10" s="5">
        <v>0</v>
      </c>
      <c r="E10" s="6">
        <f t="shared" si="0"/>
        <v>0</v>
      </c>
      <c r="F10" s="6">
        <v>0</v>
      </c>
      <c r="G10" s="7">
        <f>D10*F10</f>
        <v>0</v>
      </c>
      <c r="H10" s="7">
        <f>E10*F10</f>
        <v>0</v>
      </c>
      <c r="I10" s="7">
        <f>H10*0.05</f>
        <v>0</v>
      </c>
      <c r="J10" s="7">
        <f>H10*0.1</f>
        <v>0</v>
      </c>
      <c r="K10" s="8">
        <f>SUM(H10:J10)</f>
        <v>0</v>
      </c>
      <c r="L10" s="9">
        <f>H10*Inputs!$D$4+I10*Inputs!$D$6+J10*Inputs!$D$5</f>
        <v>0</v>
      </c>
    </row>
    <row r="11" spans="2:12" x14ac:dyDescent="0.25">
      <c r="B11" s="10" t="s">
        <v>184</v>
      </c>
      <c r="C11" s="7">
        <v>30</v>
      </c>
      <c r="D11" s="7">
        <v>1</v>
      </c>
      <c r="E11" s="6">
        <f t="shared" si="0"/>
        <v>30</v>
      </c>
      <c r="F11" s="6">
        <v>18</v>
      </c>
      <c r="G11" s="7">
        <f t="shared" ref="G11:G14" si="1">D11*F11</f>
        <v>18</v>
      </c>
      <c r="H11" s="7">
        <f>E11*F11</f>
        <v>540</v>
      </c>
      <c r="I11" s="7">
        <f t="shared" ref="I11:I15" si="2">H11*0.05</f>
        <v>27</v>
      </c>
      <c r="J11" s="7">
        <f t="shared" ref="J11:J15" si="3">H11*0.1</f>
        <v>54</v>
      </c>
      <c r="K11" s="8">
        <f t="shared" ref="K11:K15" si="4">SUM(H11:J11)</f>
        <v>621</v>
      </c>
      <c r="L11" s="9">
        <f>H11*Inputs!$D$4+I11*Inputs!$D$6+J11*Inputs!$D$5</f>
        <v>56488.509000000005</v>
      </c>
    </row>
    <row r="12" spans="2:12" x14ac:dyDescent="0.25">
      <c r="B12" s="11" t="s">
        <v>185</v>
      </c>
      <c r="C12" s="7">
        <v>30</v>
      </c>
      <c r="D12" s="7">
        <v>1</v>
      </c>
      <c r="E12" s="6">
        <f t="shared" si="0"/>
        <v>30</v>
      </c>
      <c r="F12" s="142">
        <f>ROUND(F11*0.05,0)</f>
        <v>1</v>
      </c>
      <c r="G12" s="7">
        <f t="shared" si="1"/>
        <v>1</v>
      </c>
      <c r="H12" s="7">
        <f t="shared" ref="H12:H15" si="5">E12*F12</f>
        <v>30</v>
      </c>
      <c r="I12" s="7">
        <f t="shared" si="2"/>
        <v>1.5</v>
      </c>
      <c r="J12" s="7">
        <f t="shared" si="3"/>
        <v>3</v>
      </c>
      <c r="K12" s="8">
        <f t="shared" si="4"/>
        <v>34.5</v>
      </c>
      <c r="L12" s="9">
        <f>H12*Inputs!$D$4+I12*Inputs!$D$6+J12*Inputs!$D$5</f>
        <v>3138.2505000000001</v>
      </c>
    </row>
    <row r="13" spans="2:12" x14ac:dyDescent="0.25">
      <c r="B13" s="10" t="s">
        <v>186</v>
      </c>
      <c r="C13" s="7">
        <v>12</v>
      </c>
      <c r="D13" s="7">
        <v>12</v>
      </c>
      <c r="E13" s="6">
        <f t="shared" si="0"/>
        <v>144</v>
      </c>
      <c r="F13" s="6">
        <v>0</v>
      </c>
      <c r="G13" s="7">
        <f t="shared" si="1"/>
        <v>0</v>
      </c>
      <c r="H13" s="7">
        <f t="shared" si="5"/>
        <v>0</v>
      </c>
      <c r="I13" s="7">
        <f t="shared" si="2"/>
        <v>0</v>
      </c>
      <c r="J13" s="7">
        <f t="shared" si="3"/>
        <v>0</v>
      </c>
      <c r="K13" s="8">
        <f t="shared" si="4"/>
        <v>0</v>
      </c>
      <c r="L13" s="9">
        <f>H13*Inputs!$D$4+I13*Inputs!$D$6+J13*Inputs!$D$5</f>
        <v>0</v>
      </c>
    </row>
    <row r="14" spans="2:12" x14ac:dyDescent="0.25">
      <c r="B14" s="10" t="s">
        <v>187</v>
      </c>
      <c r="C14" s="5">
        <v>8</v>
      </c>
      <c r="D14" s="5">
        <v>12</v>
      </c>
      <c r="E14" s="6">
        <f t="shared" si="0"/>
        <v>96</v>
      </c>
      <c r="F14" s="6">
        <v>0</v>
      </c>
      <c r="G14" s="7">
        <f t="shared" si="1"/>
        <v>0</v>
      </c>
      <c r="H14" s="7">
        <f t="shared" si="5"/>
        <v>0</v>
      </c>
      <c r="I14" s="7">
        <f t="shared" si="2"/>
        <v>0</v>
      </c>
      <c r="J14" s="7">
        <f t="shared" si="3"/>
        <v>0</v>
      </c>
      <c r="K14" s="8">
        <f t="shared" si="4"/>
        <v>0</v>
      </c>
      <c r="L14" s="9">
        <f>H14*Inputs!$D$4+I14*Inputs!$D$6+J14*Inputs!$D$5</f>
        <v>0</v>
      </c>
    </row>
    <row r="15" spans="2:12" x14ac:dyDescent="0.25">
      <c r="B15" s="10" t="s">
        <v>188</v>
      </c>
      <c r="C15" s="5">
        <v>8</v>
      </c>
      <c r="D15" s="5">
        <v>2</v>
      </c>
      <c r="E15" s="6">
        <f t="shared" si="0"/>
        <v>16</v>
      </c>
      <c r="F15" s="6">
        <v>0</v>
      </c>
      <c r="G15" s="7">
        <f>D15*F15</f>
        <v>0</v>
      </c>
      <c r="H15" s="7">
        <f t="shared" si="5"/>
        <v>0</v>
      </c>
      <c r="I15" s="7">
        <f t="shared" si="2"/>
        <v>0</v>
      </c>
      <c r="J15" s="7">
        <f t="shared" si="3"/>
        <v>0</v>
      </c>
      <c r="K15" s="8">
        <f t="shared" si="4"/>
        <v>0</v>
      </c>
      <c r="L15" s="9">
        <f>H15*Inputs!$D$4+I15*Inputs!$D$6+J15*Inputs!$D$5</f>
        <v>0</v>
      </c>
    </row>
    <row r="16" spans="2:12" x14ac:dyDescent="0.25">
      <c r="B16" s="231" t="s">
        <v>87</v>
      </c>
      <c r="C16" s="232"/>
      <c r="D16" s="232"/>
      <c r="E16" s="232"/>
      <c r="F16" s="232"/>
      <c r="G16" s="233"/>
      <c r="H16" s="234">
        <f>SUM(H7:J15)</f>
        <v>655.5</v>
      </c>
      <c r="I16" s="235"/>
      <c r="J16" s="235"/>
      <c r="K16" s="236"/>
      <c r="L16" s="13">
        <f>SUM(L7:L15)</f>
        <v>59626.759500000007</v>
      </c>
    </row>
    <row r="17" spans="2:12" x14ac:dyDescent="0.25">
      <c r="B17" s="10" t="s">
        <v>189</v>
      </c>
      <c r="C17" s="14">
        <v>2</v>
      </c>
      <c r="D17" s="14">
        <v>52</v>
      </c>
      <c r="E17" s="7">
        <f t="shared" ref="E17:E20" si="6">C17*D17</f>
        <v>104</v>
      </c>
      <c r="F17" s="6">
        <v>0</v>
      </c>
      <c r="G17" s="7">
        <f t="shared" ref="G17:G20" si="7">D17*F17</f>
        <v>0</v>
      </c>
      <c r="H17" s="7">
        <f t="shared" ref="H17:H20" si="8">E17*F17</f>
        <v>0</v>
      </c>
      <c r="I17" s="7">
        <f t="shared" ref="I17:I20" si="9">H17*0.05</f>
        <v>0</v>
      </c>
      <c r="J17" s="7">
        <f t="shared" ref="J17:J20" si="10">H17*0.1</f>
        <v>0</v>
      </c>
      <c r="K17" s="8">
        <f t="shared" ref="K17:K20" si="11">SUM(H17:J17)</f>
        <v>0</v>
      </c>
      <c r="L17" s="9">
        <f>H17*Inputs!$D$4+I17*Inputs!$D$6+J17*Inputs!$D$5</f>
        <v>0</v>
      </c>
    </row>
    <row r="18" spans="2:12" x14ac:dyDescent="0.25">
      <c r="B18" s="11" t="s">
        <v>190</v>
      </c>
      <c r="C18" s="14">
        <v>8</v>
      </c>
      <c r="D18" s="14">
        <v>2</v>
      </c>
      <c r="E18" s="7">
        <f t="shared" si="6"/>
        <v>16</v>
      </c>
      <c r="F18" s="6">
        <v>0</v>
      </c>
      <c r="G18" s="7">
        <f t="shared" si="7"/>
        <v>0</v>
      </c>
      <c r="H18" s="7">
        <f t="shared" si="8"/>
        <v>0</v>
      </c>
      <c r="I18" s="7">
        <f t="shared" si="9"/>
        <v>0</v>
      </c>
      <c r="J18" s="7">
        <f t="shared" si="10"/>
        <v>0</v>
      </c>
      <c r="K18" s="8">
        <f t="shared" si="11"/>
        <v>0</v>
      </c>
      <c r="L18" s="9">
        <f>H18*Inputs!$D$4+I18*Inputs!$D$6+J18*Inputs!$D$5</f>
        <v>0</v>
      </c>
    </row>
    <row r="19" spans="2:12" x14ac:dyDescent="0.25">
      <c r="B19" s="15" t="s">
        <v>191</v>
      </c>
      <c r="C19" s="16">
        <v>0.25</v>
      </c>
      <c r="D19" s="16">
        <v>2</v>
      </c>
      <c r="E19" s="7">
        <f t="shared" si="6"/>
        <v>0.5</v>
      </c>
      <c r="F19" s="17">
        <v>0</v>
      </c>
      <c r="G19" s="7">
        <f t="shared" si="7"/>
        <v>0</v>
      </c>
      <c r="H19" s="18">
        <f t="shared" si="8"/>
        <v>0</v>
      </c>
      <c r="I19" s="18">
        <f t="shared" si="9"/>
        <v>0</v>
      </c>
      <c r="J19" s="18">
        <f t="shared" si="10"/>
        <v>0</v>
      </c>
      <c r="K19" s="19">
        <f t="shared" si="11"/>
        <v>0</v>
      </c>
      <c r="L19" s="9">
        <f>H19*Inputs!$D$4+I19*Inputs!$D$6+J19*Inputs!$D$5</f>
        <v>0</v>
      </c>
    </row>
    <row r="20" spans="2:12" x14ac:dyDescent="0.25">
      <c r="B20" s="15" t="s">
        <v>192</v>
      </c>
      <c r="C20" s="16">
        <v>0</v>
      </c>
      <c r="D20" s="16">
        <v>0</v>
      </c>
      <c r="E20" s="7">
        <f t="shared" si="6"/>
        <v>0</v>
      </c>
      <c r="F20" s="7">
        <v>0</v>
      </c>
      <c r="G20" s="7">
        <f t="shared" si="7"/>
        <v>0</v>
      </c>
      <c r="H20" s="18">
        <f t="shared" si="8"/>
        <v>0</v>
      </c>
      <c r="I20" s="18">
        <f t="shared" si="9"/>
        <v>0</v>
      </c>
      <c r="J20" s="18">
        <f t="shared" si="10"/>
        <v>0</v>
      </c>
      <c r="K20" s="19">
        <f t="shared" si="11"/>
        <v>0</v>
      </c>
      <c r="L20" s="9">
        <f>H20*Inputs!$D$4+I20*Inputs!$D$6+J20*Inputs!$D$5</f>
        <v>0</v>
      </c>
    </row>
    <row r="21" spans="2:12" x14ac:dyDescent="0.25">
      <c r="B21" s="237" t="s">
        <v>100</v>
      </c>
      <c r="C21" s="238"/>
      <c r="D21" s="238"/>
      <c r="E21" s="238"/>
      <c r="F21" s="238"/>
      <c r="G21" s="20"/>
      <c r="H21" s="239">
        <f>SUM(H17:J20)</f>
        <v>0</v>
      </c>
      <c r="I21" s="240"/>
      <c r="J21" s="240"/>
      <c r="K21" s="241"/>
      <c r="L21" s="21">
        <f>SUM(L17:L20)</f>
        <v>0</v>
      </c>
    </row>
    <row r="22" spans="2:12" x14ac:dyDescent="0.25">
      <c r="B22" s="243" t="s">
        <v>193</v>
      </c>
      <c r="C22" s="244"/>
      <c r="D22" s="244"/>
      <c r="E22" s="244"/>
      <c r="F22" s="244"/>
      <c r="G22" s="20"/>
      <c r="H22" s="22"/>
      <c r="I22" s="22"/>
      <c r="J22" s="22"/>
      <c r="K22" s="23"/>
      <c r="L22" s="24">
        <f>ROUND(SUM(L21,L16), -3)</f>
        <v>60000</v>
      </c>
    </row>
    <row r="23" spans="2:12" x14ac:dyDescent="0.25">
      <c r="B23" s="243" t="s">
        <v>194</v>
      </c>
      <c r="C23" s="244"/>
      <c r="D23" s="244"/>
      <c r="E23" s="244"/>
      <c r="F23" s="244"/>
      <c r="G23" s="20"/>
      <c r="H23" s="22"/>
      <c r="I23" s="22"/>
      <c r="J23" s="22"/>
      <c r="K23" s="23"/>
      <c r="L23" s="25">
        <v>332000</v>
      </c>
    </row>
    <row r="24" spans="2:12" ht="15.75" thickBot="1" x14ac:dyDescent="0.3">
      <c r="B24" s="245" t="s">
        <v>195</v>
      </c>
      <c r="C24" s="246"/>
      <c r="D24" s="246"/>
      <c r="E24" s="246"/>
      <c r="F24" s="246"/>
      <c r="G24" s="26">
        <f>SUM(G17:G20,G7:G15)</f>
        <v>19</v>
      </c>
      <c r="H24" s="27"/>
      <c r="I24" s="27"/>
      <c r="J24" s="27"/>
      <c r="K24" s="28"/>
      <c r="L24" s="29">
        <f>ROUND(L22+L23,-3)</f>
        <v>392000</v>
      </c>
    </row>
    <row r="25" spans="2:12" x14ac:dyDescent="0.25">
      <c r="K25" s="30"/>
    </row>
    <row r="26" spans="2:12" x14ac:dyDescent="0.25">
      <c r="B26" s="31" t="s">
        <v>104</v>
      </c>
      <c r="C26" s="32"/>
      <c r="D26" s="32"/>
      <c r="E26" s="32"/>
      <c r="F26" s="32"/>
      <c r="G26" s="32"/>
      <c r="H26" s="32"/>
      <c r="I26" s="32"/>
      <c r="J26" s="32"/>
      <c r="K26" s="32"/>
      <c r="L26" s="32"/>
    </row>
    <row r="27" spans="2:12" x14ac:dyDescent="0.25">
      <c r="B27" s="33" t="s">
        <v>196</v>
      </c>
      <c r="C27" s="33"/>
      <c r="D27" s="33"/>
      <c r="E27" s="33"/>
      <c r="F27" s="33"/>
      <c r="G27" s="33"/>
      <c r="H27" s="33"/>
      <c r="I27" s="33"/>
      <c r="J27" s="33"/>
      <c r="K27" s="33"/>
      <c r="L27" s="33"/>
    </row>
    <row r="28" spans="2:12" ht="42.75" customHeight="1" x14ac:dyDescent="0.25">
      <c r="B28" s="242" t="s">
        <v>197</v>
      </c>
      <c r="C28" s="242"/>
      <c r="D28" s="242"/>
      <c r="E28" s="242"/>
      <c r="F28" s="242"/>
      <c r="G28" s="242"/>
      <c r="H28" s="242"/>
      <c r="I28" s="242"/>
      <c r="J28" s="242"/>
      <c r="K28" s="242"/>
      <c r="L28" s="242"/>
    </row>
    <row r="29" spans="2:12" x14ac:dyDescent="0.25">
      <c r="B29" s="33" t="s">
        <v>198</v>
      </c>
      <c r="C29" s="34"/>
      <c r="D29" s="34"/>
      <c r="E29" s="34"/>
      <c r="F29" s="34"/>
      <c r="G29" s="34"/>
      <c r="H29" s="34"/>
      <c r="I29" s="34"/>
      <c r="J29" s="34"/>
      <c r="K29" s="35"/>
      <c r="L29" s="35"/>
    </row>
    <row r="30" spans="2:12" x14ac:dyDescent="0.25">
      <c r="B30" s="33" t="s">
        <v>199</v>
      </c>
      <c r="C30" s="34"/>
      <c r="D30" s="34"/>
      <c r="E30" s="34"/>
      <c r="F30" s="34"/>
      <c r="G30" s="34"/>
      <c r="H30" s="34"/>
      <c r="I30" s="34"/>
      <c r="J30" s="34"/>
      <c r="K30" s="196"/>
      <c r="L30" s="196"/>
    </row>
    <row r="31" spans="2:12" ht="31.5" customHeight="1" x14ac:dyDescent="0.25">
      <c r="B31" s="242" t="s">
        <v>200</v>
      </c>
      <c r="C31" s="242"/>
      <c r="D31" s="242"/>
      <c r="E31" s="242"/>
      <c r="F31" s="242"/>
      <c r="G31" s="242"/>
      <c r="H31" s="242"/>
      <c r="I31" s="242"/>
      <c r="J31" s="242"/>
      <c r="K31" s="242"/>
      <c r="L31" s="242"/>
    </row>
    <row r="32" spans="2:12" ht="43.5" customHeight="1" x14ac:dyDescent="0.25">
      <c r="B32" s="242" t="s">
        <v>201</v>
      </c>
      <c r="C32" s="242"/>
      <c r="D32" s="242"/>
      <c r="E32" s="242"/>
      <c r="F32" s="242"/>
      <c r="G32" s="242"/>
      <c r="H32" s="242"/>
      <c r="I32" s="242"/>
      <c r="J32" s="242"/>
      <c r="K32" s="242"/>
      <c r="L32" s="242"/>
    </row>
    <row r="33" spans="2:12" x14ac:dyDescent="0.25">
      <c r="B33" s="33" t="s">
        <v>202</v>
      </c>
      <c r="C33" s="34"/>
      <c r="D33" s="34"/>
      <c r="E33" s="34"/>
      <c r="F33" s="34"/>
      <c r="G33" s="34"/>
      <c r="H33" s="34"/>
      <c r="I33" s="34"/>
      <c r="J33" s="34"/>
      <c r="K33" s="196"/>
      <c r="L33" s="196"/>
    </row>
    <row r="34" spans="2:12" ht="28.5" customHeight="1" x14ac:dyDescent="0.25">
      <c r="B34" s="242" t="s">
        <v>203</v>
      </c>
      <c r="C34" s="242"/>
      <c r="D34" s="242"/>
      <c r="E34" s="242"/>
      <c r="F34" s="242"/>
      <c r="G34" s="242"/>
      <c r="H34" s="242"/>
      <c r="I34" s="242"/>
      <c r="J34" s="242"/>
      <c r="K34" s="242"/>
      <c r="L34" s="242"/>
    </row>
    <row r="35" spans="2:12" x14ac:dyDescent="0.25">
      <c r="B35" s="33" t="s">
        <v>204</v>
      </c>
      <c r="C35" s="34"/>
      <c r="D35" s="34"/>
      <c r="E35" s="34"/>
      <c r="F35" s="34"/>
      <c r="G35" s="34"/>
      <c r="H35" s="34"/>
      <c r="I35" s="34"/>
      <c r="J35" s="34"/>
      <c r="K35" s="196"/>
      <c r="L35" s="196"/>
    </row>
    <row r="36" spans="2:12" x14ac:dyDescent="0.25">
      <c r="B36" s="33" t="s">
        <v>205</v>
      </c>
      <c r="C36" s="34"/>
      <c r="D36" s="34"/>
      <c r="E36" s="34"/>
      <c r="F36" s="34"/>
      <c r="G36" s="34"/>
      <c r="H36" s="34"/>
      <c r="I36" s="34"/>
      <c r="J36" s="34"/>
      <c r="K36" s="36"/>
      <c r="L36" s="36"/>
    </row>
    <row r="37" spans="2:12" ht="28.5" customHeight="1" x14ac:dyDescent="0.25">
      <c r="B37" s="242" t="s">
        <v>206</v>
      </c>
      <c r="C37" s="242"/>
      <c r="D37" s="242"/>
      <c r="E37" s="242"/>
      <c r="F37" s="242"/>
      <c r="G37" s="242"/>
      <c r="H37" s="242"/>
      <c r="I37" s="242"/>
      <c r="J37" s="242"/>
      <c r="K37" s="242"/>
      <c r="L37" s="242"/>
    </row>
    <row r="38" spans="2:12" ht="35.25" customHeight="1" x14ac:dyDescent="0.25">
      <c r="B38" s="242" t="s">
        <v>207</v>
      </c>
      <c r="C38" s="242"/>
      <c r="D38" s="242"/>
      <c r="E38" s="242"/>
      <c r="F38" s="242"/>
      <c r="G38" s="242"/>
      <c r="H38" s="242"/>
      <c r="I38" s="242"/>
      <c r="J38" s="242"/>
      <c r="K38" s="242"/>
      <c r="L38" s="242"/>
    </row>
    <row r="39" spans="2:12" x14ac:dyDescent="0.25">
      <c r="B39" s="33" t="s">
        <v>208</v>
      </c>
      <c r="C39" s="34"/>
      <c r="D39" s="34"/>
      <c r="E39" s="34"/>
      <c r="F39" s="34"/>
      <c r="G39" s="34"/>
      <c r="H39" s="34"/>
      <c r="I39" s="34"/>
      <c r="J39" s="34"/>
      <c r="K39" s="36"/>
      <c r="L39" s="36"/>
    </row>
  </sheetData>
  <mergeCells count="25">
    <mergeCell ref="B37:L37"/>
    <mergeCell ref="B38:L38"/>
    <mergeCell ref="B22:F22"/>
    <mergeCell ref="B23:F23"/>
    <mergeCell ref="B24:F24"/>
    <mergeCell ref="B28:L28"/>
    <mergeCell ref="B31:L31"/>
    <mergeCell ref="B32:L32"/>
    <mergeCell ref="B16:G16"/>
    <mergeCell ref="H16:K16"/>
    <mergeCell ref="B21:F21"/>
    <mergeCell ref="H21:K21"/>
    <mergeCell ref="B34:L34"/>
    <mergeCell ref="B1:L2"/>
    <mergeCell ref="B3:B6"/>
    <mergeCell ref="C4:C6"/>
    <mergeCell ref="D4:D6"/>
    <mergeCell ref="E4:E6"/>
    <mergeCell ref="F4:F6"/>
    <mergeCell ref="G4:G6"/>
    <mergeCell ref="H4:H6"/>
    <mergeCell ref="I4:I6"/>
    <mergeCell ref="J4:J6"/>
    <mergeCell ref="K4:K6"/>
    <mergeCell ref="L4:L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16"/>
  <sheetViews>
    <sheetView zoomScale="80" zoomScaleNormal="80" workbookViewId="0">
      <selection activeCell="I7" sqref="I7"/>
    </sheetView>
  </sheetViews>
  <sheetFormatPr defaultRowHeight="15" x14ac:dyDescent="0.25"/>
  <cols>
    <col min="1" max="1" width="2.7109375" customWidth="1"/>
    <col min="3" max="3" width="13" customWidth="1"/>
    <col min="4" max="4" width="12.85546875" customWidth="1"/>
    <col min="5" max="5" width="12" customWidth="1"/>
    <col min="6" max="6" width="14.140625" customWidth="1"/>
    <col min="7" max="7" width="14.5703125" customWidth="1"/>
    <col min="8" max="8" width="15.7109375" customWidth="1"/>
    <col min="9" max="9" width="12.140625" customWidth="1"/>
  </cols>
  <sheetData>
    <row r="1" spans="2:9" ht="16.5" customHeight="1" x14ac:dyDescent="0.25">
      <c r="B1" s="252" t="s">
        <v>211</v>
      </c>
      <c r="C1" s="252"/>
      <c r="D1" s="252"/>
      <c r="E1" s="252"/>
      <c r="F1" s="252"/>
      <c r="G1" s="252"/>
      <c r="H1" s="252"/>
      <c r="I1" s="252"/>
    </row>
    <row r="2" spans="2:9" ht="39" customHeight="1" thickBot="1" x14ac:dyDescent="0.3">
      <c r="B2" s="253"/>
      <c r="C2" s="253"/>
      <c r="D2" s="253"/>
      <c r="E2" s="253"/>
      <c r="F2" s="253"/>
      <c r="G2" s="253"/>
      <c r="H2" s="253"/>
      <c r="I2" s="253"/>
    </row>
    <row r="3" spans="2:9" ht="39" thickBot="1" x14ac:dyDescent="0.3">
      <c r="B3" s="143" t="s">
        <v>212</v>
      </c>
      <c r="C3" s="144" t="s">
        <v>213</v>
      </c>
      <c r="D3" s="144" t="s">
        <v>214</v>
      </c>
      <c r="E3" s="144" t="s">
        <v>215</v>
      </c>
      <c r="F3" s="144" t="s">
        <v>216</v>
      </c>
      <c r="G3" s="144" t="s">
        <v>217</v>
      </c>
      <c r="H3" s="166" t="s">
        <v>218</v>
      </c>
      <c r="I3" s="145" t="s">
        <v>219</v>
      </c>
    </row>
    <row r="4" spans="2:9" ht="15.75" thickTop="1" x14ac:dyDescent="0.25">
      <c r="B4" s="146">
        <v>1</v>
      </c>
      <c r="C4" s="147">
        <f>SUM('TBL1-YR1'!H7:H15,'TBL1-YR1'!H17:H20)</f>
        <v>860</v>
      </c>
      <c r="D4" s="147">
        <f>C4*0.1</f>
        <v>86</v>
      </c>
      <c r="E4" s="147">
        <f>C4*0.05</f>
        <v>43</v>
      </c>
      <c r="F4" s="148">
        <f>SUM(C4:E4)</f>
        <v>989</v>
      </c>
      <c r="G4" s="149">
        <f>'TBL1-YR1'!L22</f>
        <v>90000</v>
      </c>
      <c r="H4" s="150">
        <f>'TBL1-YR1'!L23</f>
        <v>0</v>
      </c>
      <c r="I4" s="151">
        <f>G4+H4</f>
        <v>90000</v>
      </c>
    </row>
    <row r="5" spans="2:9" x14ac:dyDescent="0.25">
      <c r="B5" s="152">
        <v>2</v>
      </c>
      <c r="C5" s="148">
        <f>SUM('TBL2-YR2'!H7:H15,'TBL2-YR2'!H17:H20)</f>
        <v>0</v>
      </c>
      <c r="D5" s="148">
        <f>C5*0.1</f>
        <v>0</v>
      </c>
      <c r="E5" s="148">
        <f>C5*0.05</f>
        <v>0</v>
      </c>
      <c r="F5" s="148">
        <f>SUM(C5:E5)</f>
        <v>0</v>
      </c>
      <c r="G5" s="150">
        <f>'TBL2-YR2'!L22</f>
        <v>0</v>
      </c>
      <c r="H5" s="150">
        <f>'TBL2-YR2'!L23</f>
        <v>0</v>
      </c>
      <c r="I5" s="153">
        <f>G5+H5</f>
        <v>0</v>
      </c>
    </row>
    <row r="6" spans="2:9" ht="15.75" thickBot="1" x14ac:dyDescent="0.3">
      <c r="B6" s="154">
        <v>3</v>
      </c>
      <c r="C6" s="155">
        <f>SUM('TBL3-YR3'!H7:H15,'TBL3-YR3'!H17:H20)</f>
        <v>570</v>
      </c>
      <c r="D6" s="155">
        <f>C6*0.1</f>
        <v>57</v>
      </c>
      <c r="E6" s="155">
        <f>C6*0.05</f>
        <v>28.5</v>
      </c>
      <c r="F6" s="155">
        <f>SUM(C6:E6)</f>
        <v>655.5</v>
      </c>
      <c r="G6" s="156">
        <f>'TBL3-YR3'!L22</f>
        <v>60000</v>
      </c>
      <c r="H6" s="156">
        <f>'TBL3-YR3'!L23</f>
        <v>332000</v>
      </c>
      <c r="I6" s="157">
        <f>G6+H6</f>
        <v>392000</v>
      </c>
    </row>
    <row r="7" spans="2:9" ht="15.75" thickTop="1" x14ac:dyDescent="0.25">
      <c r="B7" s="146" t="s">
        <v>59</v>
      </c>
      <c r="C7" s="147">
        <f t="shared" ref="C7:H7" si="0">SUM(C4:C6)</f>
        <v>1430</v>
      </c>
      <c r="D7" s="147">
        <f t="shared" si="0"/>
        <v>143</v>
      </c>
      <c r="E7" s="147">
        <f t="shared" si="0"/>
        <v>71.5</v>
      </c>
      <c r="F7" s="147">
        <f>SUM(F4:F6)</f>
        <v>1644.5</v>
      </c>
      <c r="G7" s="149">
        <f>SUM(G4:G6)</f>
        <v>150000</v>
      </c>
      <c r="H7" s="149">
        <f t="shared" si="0"/>
        <v>332000</v>
      </c>
      <c r="I7" s="151">
        <f>SUM(I4:I6)</f>
        <v>482000</v>
      </c>
    </row>
    <row r="8" spans="2:9" ht="15.75" thickBot="1" x14ac:dyDescent="0.3">
      <c r="B8" s="158" t="s">
        <v>220</v>
      </c>
      <c r="C8" s="159">
        <f t="shared" ref="C8:E8" si="1">AVERAGE(C4:C6)</f>
        <v>476.66666666666669</v>
      </c>
      <c r="D8" s="159">
        <f t="shared" si="1"/>
        <v>47.666666666666664</v>
      </c>
      <c r="E8" s="159">
        <f t="shared" si="1"/>
        <v>23.833333333333332</v>
      </c>
      <c r="F8" s="159">
        <f>AVERAGE(F4:F6)</f>
        <v>548.16666666666663</v>
      </c>
      <c r="G8" s="160">
        <f>ROUND(AVERAGE(G4:G6),-2)</f>
        <v>50000</v>
      </c>
      <c r="H8" s="161">
        <f>ROUND(AVERAGE(H4:H6),-4)</f>
        <v>110000</v>
      </c>
      <c r="I8" s="162">
        <f>ROUND(AVERAGE(I4:I6),-4)</f>
        <v>160000</v>
      </c>
    </row>
    <row r="9" spans="2:9" ht="15.75" thickBot="1" x14ac:dyDescent="0.3">
      <c r="B9" s="163"/>
      <c r="C9" s="164"/>
      <c r="D9" s="164"/>
      <c r="E9" s="164"/>
      <c r="F9" s="164"/>
      <c r="G9" s="164"/>
      <c r="H9" s="164"/>
      <c r="I9" s="165"/>
    </row>
    <row r="10" spans="2:9" ht="26.25" thickBot="1" x14ac:dyDescent="0.3">
      <c r="B10" s="143" t="s">
        <v>212</v>
      </c>
      <c r="C10" s="144" t="s">
        <v>221</v>
      </c>
      <c r="D10" s="144" t="s">
        <v>222</v>
      </c>
      <c r="E10" s="144" t="s">
        <v>223</v>
      </c>
      <c r="F10" s="144" t="s">
        <v>224</v>
      </c>
      <c r="G10" s="144" t="s">
        <v>225</v>
      </c>
      <c r="H10" s="166" t="s">
        <v>226</v>
      </c>
      <c r="I10" s="167" t="s">
        <v>227</v>
      </c>
    </row>
    <row r="11" spans="2:9" ht="15.75" thickTop="1" x14ac:dyDescent="0.25">
      <c r="B11" s="146">
        <v>1</v>
      </c>
      <c r="C11" s="147">
        <v>43</v>
      </c>
      <c r="D11" s="147">
        <f>SUM('TBL1-YR1'!G7:G15,'TBL1-YR1'!G17:G20)</f>
        <v>129</v>
      </c>
      <c r="E11" s="147">
        <f>SUM('TBL1-YR1'!H16:K16)</f>
        <v>197.79999999999998</v>
      </c>
      <c r="F11" s="168">
        <f>SUM('TBL1-YR1'!H21:K21)</f>
        <v>791.19999999999993</v>
      </c>
      <c r="G11" s="147">
        <f>F11+E11</f>
        <v>988.99999999999989</v>
      </c>
      <c r="H11" s="169">
        <f>G11/D11</f>
        <v>7.6666666666666661</v>
      </c>
      <c r="I11" s="170">
        <f>G11/C11</f>
        <v>22.999999999999996</v>
      </c>
    </row>
    <row r="12" spans="2:9" x14ac:dyDescent="0.25">
      <c r="B12" s="152">
        <v>2</v>
      </c>
      <c r="C12" s="171">
        <v>43</v>
      </c>
      <c r="D12" s="171">
        <f>SUM('TBL2-YR2'!G7:G15,'TBL2-YR2'!G17:G20)</f>
        <v>0</v>
      </c>
      <c r="E12" s="171">
        <f>SUM('TBL2-YR2'!H16:K16)</f>
        <v>0</v>
      </c>
      <c r="F12" s="172">
        <f>SUM('TBL2-YR2'!H21:K21)</f>
        <v>0</v>
      </c>
      <c r="G12" s="147">
        <f>F12+E12</f>
        <v>0</v>
      </c>
      <c r="H12" s="173">
        <v>0</v>
      </c>
      <c r="I12" s="174">
        <f t="shared" ref="I12:I13" si="2">G12/C12</f>
        <v>0</v>
      </c>
    </row>
    <row r="13" spans="2:9" ht="15.75" thickBot="1" x14ac:dyDescent="0.3">
      <c r="B13" s="154">
        <v>3</v>
      </c>
      <c r="C13" s="175">
        <v>43</v>
      </c>
      <c r="D13" s="175">
        <f>SUM('TBL3-YR3'!G7:G15,'TBL3-YR3'!G17:G20)</f>
        <v>19</v>
      </c>
      <c r="E13" s="175">
        <f>SUM('TBL3-YR3'!H16:K16)</f>
        <v>655.5</v>
      </c>
      <c r="F13" s="176">
        <f>SUM('TBL3-YR3'!H21:K21)</f>
        <v>0</v>
      </c>
      <c r="G13" s="155">
        <f>F13+E13</f>
        <v>655.5</v>
      </c>
      <c r="H13" s="179">
        <f t="shared" ref="H13" si="3">G13/D13</f>
        <v>34.5</v>
      </c>
      <c r="I13" s="180">
        <f t="shared" si="2"/>
        <v>15.244186046511627</v>
      </c>
    </row>
    <row r="14" spans="2:9" ht="15.75" thickTop="1" x14ac:dyDescent="0.25">
      <c r="B14" s="146" t="s">
        <v>59</v>
      </c>
      <c r="C14" s="168">
        <f>C13</f>
        <v>43</v>
      </c>
      <c r="D14" s="147">
        <f t="shared" ref="D14:I14" si="4">SUM(D11:D13)</f>
        <v>148</v>
      </c>
      <c r="E14" s="147">
        <f t="shared" si="4"/>
        <v>853.3</v>
      </c>
      <c r="F14" s="147">
        <f t="shared" si="4"/>
        <v>791.19999999999993</v>
      </c>
      <c r="G14" s="147">
        <f t="shared" si="4"/>
        <v>1644.5</v>
      </c>
      <c r="H14" s="193">
        <f t="shared" si="4"/>
        <v>42.166666666666664</v>
      </c>
      <c r="I14" s="170">
        <f t="shared" si="4"/>
        <v>38.244186046511622</v>
      </c>
    </row>
    <row r="15" spans="2:9" ht="15.75" thickBot="1" x14ac:dyDescent="0.3">
      <c r="B15" s="158" t="s">
        <v>220</v>
      </c>
      <c r="C15" s="177">
        <f t="shared" ref="C15:I15" si="5">AVERAGE(C11:C13)</f>
        <v>43</v>
      </c>
      <c r="D15" s="159">
        <f t="shared" si="5"/>
        <v>49.333333333333336</v>
      </c>
      <c r="E15" s="159">
        <f t="shared" si="5"/>
        <v>284.43333333333334</v>
      </c>
      <c r="F15" s="177">
        <f t="shared" si="5"/>
        <v>263.73333333333329</v>
      </c>
      <c r="G15" s="159">
        <f t="shared" si="5"/>
        <v>548.16666666666663</v>
      </c>
      <c r="H15" s="194">
        <f t="shared" si="5"/>
        <v>14.055555555555555</v>
      </c>
      <c r="I15" s="178">
        <f t="shared" si="5"/>
        <v>12.748062015503875</v>
      </c>
    </row>
    <row r="16" spans="2:9" x14ac:dyDescent="0.25">
      <c r="B16" t="str">
        <f>"(a) = Average annual per respondant  cost: $"&amp;ROUND(I8/C14,-2)</f>
        <v>(a) = Average annual per respondant  cost: $3700</v>
      </c>
    </row>
  </sheetData>
  <mergeCells count="1">
    <mergeCell ref="B1:I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26"/>
  <sheetViews>
    <sheetView topLeftCell="C1" workbookViewId="0">
      <selection activeCell="H14" sqref="H14"/>
    </sheetView>
  </sheetViews>
  <sheetFormatPr defaultRowHeight="15" x14ac:dyDescent="0.25"/>
  <cols>
    <col min="1" max="1" width="2.7109375" customWidth="1"/>
    <col min="2" max="2" width="52.7109375" customWidth="1"/>
    <col min="3" max="3" width="11.7109375" customWidth="1"/>
    <col min="4" max="4" width="14.140625" customWidth="1"/>
    <col min="5" max="5" width="12.28515625" customWidth="1"/>
    <col min="6" max="6" width="9.7109375" customWidth="1"/>
    <col min="7" max="7" width="12.5703125" customWidth="1"/>
    <col min="8" max="8" width="12.85546875" customWidth="1"/>
    <col min="9" max="9" width="12.140625" customWidth="1"/>
  </cols>
  <sheetData>
    <row r="1" spans="2:10" ht="15.75" customHeight="1" x14ac:dyDescent="0.25">
      <c r="B1" s="261" t="s">
        <v>228</v>
      </c>
      <c r="C1" s="261"/>
      <c r="D1" s="261"/>
      <c r="E1" s="261"/>
      <c r="F1" s="261"/>
      <c r="G1" s="261"/>
      <c r="H1" s="261"/>
      <c r="I1" s="261"/>
      <c r="J1" s="261"/>
    </row>
    <row r="2" spans="2:10" ht="15.75" thickBot="1" x14ac:dyDescent="0.3">
      <c r="B2" s="262"/>
      <c r="C2" s="262"/>
      <c r="D2" s="262"/>
      <c r="E2" s="262"/>
      <c r="F2" s="262"/>
      <c r="G2" s="262"/>
      <c r="H2" s="262"/>
      <c r="I2" s="262"/>
      <c r="J2" s="262"/>
    </row>
    <row r="3" spans="2:10" x14ac:dyDescent="0.25">
      <c r="B3" s="265" t="s">
        <v>127</v>
      </c>
      <c r="C3" s="37" t="s">
        <v>34</v>
      </c>
      <c r="D3" s="37" t="s">
        <v>35</v>
      </c>
      <c r="E3" s="37" t="s">
        <v>36</v>
      </c>
      <c r="F3" s="37" t="s">
        <v>37</v>
      </c>
      <c r="G3" s="37" t="s">
        <v>38</v>
      </c>
      <c r="H3" s="37" t="s">
        <v>39</v>
      </c>
      <c r="I3" s="37" t="s">
        <v>40</v>
      </c>
      <c r="J3" s="38" t="s">
        <v>41</v>
      </c>
    </row>
    <row r="4" spans="2:10" x14ac:dyDescent="0.25">
      <c r="B4" s="266"/>
      <c r="C4" s="268" t="s">
        <v>128</v>
      </c>
      <c r="D4" s="268" t="s">
        <v>129</v>
      </c>
      <c r="E4" s="268" t="s">
        <v>229</v>
      </c>
      <c r="F4" s="268" t="s">
        <v>230</v>
      </c>
      <c r="G4" s="268" t="s">
        <v>231</v>
      </c>
      <c r="H4" s="268" t="s">
        <v>232</v>
      </c>
      <c r="I4" s="268" t="s">
        <v>233</v>
      </c>
      <c r="J4" s="273" t="s">
        <v>234</v>
      </c>
    </row>
    <row r="5" spans="2:10" x14ac:dyDescent="0.25">
      <c r="B5" s="266"/>
      <c r="C5" s="269"/>
      <c r="D5" s="269"/>
      <c r="E5" s="269"/>
      <c r="F5" s="269"/>
      <c r="G5" s="269"/>
      <c r="H5" s="271"/>
      <c r="I5" s="269"/>
      <c r="J5" s="274"/>
    </row>
    <row r="6" spans="2:10" ht="15.75" thickBot="1" x14ac:dyDescent="0.3">
      <c r="B6" s="267"/>
      <c r="C6" s="270"/>
      <c r="D6" s="270"/>
      <c r="E6" s="270"/>
      <c r="F6" s="270"/>
      <c r="G6" s="270"/>
      <c r="H6" s="272"/>
      <c r="I6" s="270"/>
      <c r="J6" s="275"/>
    </row>
    <row r="7" spans="2:10" x14ac:dyDescent="0.25">
      <c r="B7" s="39" t="s">
        <v>235</v>
      </c>
      <c r="C7" s="40">
        <v>24</v>
      </c>
      <c r="D7" s="40">
        <v>0</v>
      </c>
      <c r="E7" s="41">
        <f>C7*D7</f>
        <v>0</v>
      </c>
      <c r="F7" s="41">
        <v>0</v>
      </c>
      <c r="G7" s="41">
        <f>E7*F7</f>
        <v>0</v>
      </c>
      <c r="H7" s="42">
        <f t="shared" ref="H7:H14" si="0">G7*0.05</f>
        <v>0</v>
      </c>
      <c r="I7" s="42">
        <f t="shared" ref="I7:I8" si="1">G7*0.1</f>
        <v>0</v>
      </c>
      <c r="J7" s="43">
        <f>G7*Inputs!$D$16+H7*Inputs!$D$17+I7*Inputs!$D$18</f>
        <v>0</v>
      </c>
    </row>
    <row r="8" spans="2:10" x14ac:dyDescent="0.25">
      <c r="B8" s="44" t="s">
        <v>236</v>
      </c>
      <c r="C8" s="14">
        <v>24</v>
      </c>
      <c r="D8" s="45">
        <v>0</v>
      </c>
      <c r="E8" s="46">
        <f>C8*D8</f>
        <v>0</v>
      </c>
      <c r="F8" s="46">
        <v>0</v>
      </c>
      <c r="G8" s="46">
        <f>E8*F8</f>
        <v>0</v>
      </c>
      <c r="H8" s="47">
        <f t="shared" si="0"/>
        <v>0</v>
      </c>
      <c r="I8" s="47">
        <f t="shared" si="1"/>
        <v>0</v>
      </c>
      <c r="J8" s="48">
        <f>G8*Inputs!$D$16+H8*Inputs!$D$17+I8*Inputs!$D$18</f>
        <v>0</v>
      </c>
    </row>
    <row r="9" spans="2:10" x14ac:dyDescent="0.25">
      <c r="B9" s="44" t="s">
        <v>237</v>
      </c>
      <c r="C9" s="14"/>
      <c r="D9" s="14"/>
      <c r="E9" s="46"/>
      <c r="F9" s="46"/>
      <c r="G9" s="46"/>
      <c r="H9" s="46"/>
      <c r="I9" s="46"/>
      <c r="J9" s="50">
        <f>G9*Inputs!$D$16+H9*Inputs!$D$17+I9*Inputs!$D$18</f>
        <v>0</v>
      </c>
    </row>
    <row r="10" spans="2:10" x14ac:dyDescent="0.25">
      <c r="B10" s="44" t="s">
        <v>238</v>
      </c>
      <c r="C10" s="14">
        <v>10</v>
      </c>
      <c r="D10" s="14">
        <v>1</v>
      </c>
      <c r="E10" s="46">
        <f t="shared" ref="E10:E14" si="2">C10*D10</f>
        <v>10</v>
      </c>
      <c r="F10" s="46">
        <v>0</v>
      </c>
      <c r="G10" s="46">
        <f t="shared" ref="G10:G14" si="3">E10*F10</f>
        <v>0</v>
      </c>
      <c r="H10" s="47">
        <f t="shared" si="0"/>
        <v>0</v>
      </c>
      <c r="I10" s="47">
        <f t="shared" ref="I10:I14" si="4">G10*0.1</f>
        <v>0</v>
      </c>
      <c r="J10" s="48">
        <f>G10*Inputs!$D$16+H10*Inputs!$D$17+I10*Inputs!$D$18</f>
        <v>0</v>
      </c>
    </row>
    <row r="11" spans="2:10" x14ac:dyDescent="0.25">
      <c r="B11" s="44" t="s">
        <v>239</v>
      </c>
      <c r="C11" s="14">
        <v>20</v>
      </c>
      <c r="D11" s="14">
        <v>1</v>
      </c>
      <c r="E11" s="46">
        <f t="shared" si="2"/>
        <v>20</v>
      </c>
      <c r="F11" s="46">
        <v>0</v>
      </c>
      <c r="G11" s="46">
        <f t="shared" si="3"/>
        <v>0</v>
      </c>
      <c r="H11" s="47">
        <f t="shared" si="0"/>
        <v>0</v>
      </c>
      <c r="I11" s="47">
        <f t="shared" si="4"/>
        <v>0</v>
      </c>
      <c r="J11" s="48">
        <f>G11*Inputs!$D$16+H11*Inputs!$D$17+I11*Inputs!$D$18</f>
        <v>0</v>
      </c>
    </row>
    <row r="12" spans="2:10" x14ac:dyDescent="0.25">
      <c r="B12" s="44" t="s">
        <v>240</v>
      </c>
      <c r="C12" s="14">
        <v>8</v>
      </c>
      <c r="D12" s="14">
        <v>1</v>
      </c>
      <c r="E12" s="46">
        <v>0</v>
      </c>
      <c r="F12" s="46">
        <v>0</v>
      </c>
      <c r="G12" s="46">
        <f t="shared" si="3"/>
        <v>0</v>
      </c>
      <c r="H12" s="47">
        <f t="shared" si="0"/>
        <v>0</v>
      </c>
      <c r="I12" s="47">
        <f t="shared" si="4"/>
        <v>0</v>
      </c>
      <c r="J12" s="48">
        <f>G12*Inputs!$D$16+H12*Inputs!$D$17+I12*Inputs!$D$18</f>
        <v>0</v>
      </c>
    </row>
    <row r="13" spans="2:10" x14ac:dyDescent="0.25">
      <c r="B13" s="44" t="s">
        <v>241</v>
      </c>
      <c r="C13" s="14">
        <v>12</v>
      </c>
      <c r="D13" s="14">
        <v>2</v>
      </c>
      <c r="E13" s="46">
        <v>0</v>
      </c>
      <c r="F13" s="46">
        <v>0</v>
      </c>
      <c r="G13" s="51">
        <f t="shared" si="3"/>
        <v>0</v>
      </c>
      <c r="H13" s="47">
        <f t="shared" si="0"/>
        <v>0</v>
      </c>
      <c r="I13" s="47">
        <f t="shared" si="4"/>
        <v>0</v>
      </c>
      <c r="J13" s="48">
        <f>G13*Inputs!$D$16+H13*Inputs!$D$17+I13*Inputs!$D$18</f>
        <v>0</v>
      </c>
    </row>
    <row r="14" spans="2:10" x14ac:dyDescent="0.25">
      <c r="B14" s="49" t="s">
        <v>242</v>
      </c>
      <c r="C14" s="52">
        <v>2</v>
      </c>
      <c r="D14" s="52">
        <v>1</v>
      </c>
      <c r="E14" s="53">
        <f t="shared" si="2"/>
        <v>2</v>
      </c>
      <c r="F14" s="46">
        <v>43</v>
      </c>
      <c r="G14" s="51">
        <f t="shared" si="3"/>
        <v>86</v>
      </c>
      <c r="H14" s="47">
        <f t="shared" si="0"/>
        <v>4.3</v>
      </c>
      <c r="I14" s="47">
        <f t="shared" si="4"/>
        <v>8.6</v>
      </c>
      <c r="J14" s="48">
        <f>G14*Inputs!$D$16+H14*Inputs!$D$17+I14*Inputs!$D$18</f>
        <v>4637.2576000000008</v>
      </c>
    </row>
    <row r="15" spans="2:10" ht="15.75" thickBot="1" x14ac:dyDescent="0.3">
      <c r="B15" s="276" t="s">
        <v>243</v>
      </c>
      <c r="C15" s="277"/>
      <c r="D15" s="277"/>
      <c r="E15" s="277"/>
      <c r="F15" s="278"/>
      <c r="G15" s="263">
        <f>ROUND(SUM(G7:I14),0)</f>
        <v>99</v>
      </c>
      <c r="H15" s="263"/>
      <c r="I15" s="264"/>
      <c r="J15" s="54">
        <f>ROUND(SUM(J7:J14),-1)</f>
        <v>4640</v>
      </c>
    </row>
    <row r="17" spans="2:10" x14ac:dyDescent="0.25">
      <c r="B17" s="55" t="s">
        <v>104</v>
      </c>
    </row>
    <row r="18" spans="2:10" x14ac:dyDescent="0.25">
      <c r="B18" s="242" t="s">
        <v>196</v>
      </c>
      <c r="C18" s="242"/>
      <c r="D18" s="242"/>
      <c r="E18" s="242"/>
      <c r="F18" s="242"/>
      <c r="G18" s="242"/>
      <c r="H18" s="242"/>
      <c r="I18" s="242"/>
      <c r="J18" s="242"/>
    </row>
    <row r="19" spans="2:10" ht="45" customHeight="1" x14ac:dyDescent="0.25">
      <c r="B19" s="258" t="s">
        <v>244</v>
      </c>
      <c r="C19" s="259"/>
      <c r="D19" s="259"/>
      <c r="E19" s="259"/>
      <c r="F19" s="259"/>
      <c r="G19" s="259"/>
      <c r="H19" s="259"/>
      <c r="I19" s="259"/>
      <c r="J19" s="259"/>
    </row>
    <row r="20" spans="2:10" x14ac:dyDescent="0.25">
      <c r="B20" s="33" t="s">
        <v>245</v>
      </c>
      <c r="C20" s="34"/>
      <c r="D20" s="34"/>
      <c r="E20" s="34"/>
      <c r="F20" s="34"/>
      <c r="G20" s="34"/>
      <c r="H20" s="34"/>
      <c r="I20" s="34"/>
      <c r="J20" s="34"/>
    </row>
    <row r="21" spans="2:10" ht="37.5" customHeight="1" x14ac:dyDescent="0.25">
      <c r="B21" s="242" t="s">
        <v>246</v>
      </c>
      <c r="C21" s="242"/>
      <c r="D21" s="242"/>
      <c r="E21" s="242"/>
      <c r="F21" s="242"/>
      <c r="G21" s="242"/>
      <c r="H21" s="242"/>
      <c r="I21" s="242"/>
      <c r="J21" s="242"/>
    </row>
    <row r="22" spans="2:10" x14ac:dyDescent="0.25">
      <c r="B22" s="33" t="s">
        <v>247</v>
      </c>
    </row>
    <row r="23" spans="2:10" x14ac:dyDescent="0.25">
      <c r="B23" s="33" t="s">
        <v>248</v>
      </c>
    </row>
    <row r="24" spans="2:10" x14ac:dyDescent="0.25">
      <c r="B24" s="33" t="s">
        <v>249</v>
      </c>
    </row>
    <row r="25" spans="2:10" x14ac:dyDescent="0.25">
      <c r="B25" s="33" t="s">
        <v>250</v>
      </c>
    </row>
    <row r="26" spans="2:10" ht="27" customHeight="1" x14ac:dyDescent="0.25">
      <c r="B26" s="260" t="s">
        <v>251</v>
      </c>
      <c r="C26" s="260"/>
      <c r="D26" s="260"/>
      <c r="E26" s="260"/>
      <c r="F26" s="260"/>
      <c r="G26" s="260"/>
      <c r="H26" s="260"/>
      <c r="I26" s="260"/>
      <c r="J26" s="260"/>
    </row>
  </sheetData>
  <mergeCells count="16">
    <mergeCell ref="B18:J18"/>
    <mergeCell ref="B19:J19"/>
    <mergeCell ref="B21:J21"/>
    <mergeCell ref="B26:J26"/>
    <mergeCell ref="B1:J2"/>
    <mergeCell ref="G15:I15"/>
    <mergeCell ref="B3:B6"/>
    <mergeCell ref="C4:C6"/>
    <mergeCell ref="D4:D6"/>
    <mergeCell ref="E4:E6"/>
    <mergeCell ref="F4:F6"/>
    <mergeCell ref="G4:G6"/>
    <mergeCell ref="H4:H6"/>
    <mergeCell ref="I4:I6"/>
    <mergeCell ref="J4:J6"/>
    <mergeCell ref="B15:F1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26"/>
  <sheetViews>
    <sheetView topLeftCell="C1" workbookViewId="0">
      <selection activeCell="E16" sqref="E16"/>
    </sheetView>
  </sheetViews>
  <sheetFormatPr defaultRowHeight="15" x14ac:dyDescent="0.25"/>
  <cols>
    <col min="1" max="1" width="2.7109375" customWidth="1"/>
    <col min="2" max="2" width="52.7109375" customWidth="1"/>
    <col min="3" max="3" width="11.7109375" customWidth="1"/>
    <col min="4" max="4" width="14.140625" customWidth="1"/>
    <col min="5" max="5" width="12.28515625" customWidth="1"/>
    <col min="6" max="6" width="9.7109375" customWidth="1"/>
    <col min="7" max="7" width="12.5703125" customWidth="1"/>
    <col min="8" max="8" width="12.85546875" customWidth="1"/>
    <col min="9" max="9" width="12.140625" customWidth="1"/>
  </cols>
  <sheetData>
    <row r="1" spans="2:10" ht="15.75" customHeight="1" x14ac:dyDescent="0.25">
      <c r="B1" s="261" t="s">
        <v>252</v>
      </c>
      <c r="C1" s="261"/>
      <c r="D1" s="261"/>
      <c r="E1" s="261"/>
      <c r="F1" s="261"/>
      <c r="G1" s="261"/>
      <c r="H1" s="261"/>
      <c r="I1" s="261"/>
      <c r="J1" s="261"/>
    </row>
    <row r="2" spans="2:10" ht="15.75" thickBot="1" x14ac:dyDescent="0.3">
      <c r="B2" s="262"/>
      <c r="C2" s="262"/>
      <c r="D2" s="262"/>
      <c r="E2" s="262"/>
      <c r="F2" s="262"/>
      <c r="G2" s="262"/>
      <c r="H2" s="262"/>
      <c r="I2" s="262"/>
      <c r="J2" s="262"/>
    </row>
    <row r="3" spans="2:10" x14ac:dyDescent="0.25">
      <c r="B3" s="265" t="s">
        <v>127</v>
      </c>
      <c r="C3" s="37" t="s">
        <v>34</v>
      </c>
      <c r="D3" s="37" t="s">
        <v>35</v>
      </c>
      <c r="E3" s="37" t="s">
        <v>36</v>
      </c>
      <c r="F3" s="37" t="s">
        <v>37</v>
      </c>
      <c r="G3" s="37" t="s">
        <v>38</v>
      </c>
      <c r="H3" s="37" t="s">
        <v>39</v>
      </c>
      <c r="I3" s="37" t="s">
        <v>40</v>
      </c>
      <c r="J3" s="38" t="s">
        <v>41</v>
      </c>
    </row>
    <row r="4" spans="2:10" x14ac:dyDescent="0.25">
      <c r="B4" s="266"/>
      <c r="C4" s="268" t="s">
        <v>128</v>
      </c>
      <c r="D4" s="268" t="s">
        <v>129</v>
      </c>
      <c r="E4" s="268" t="s">
        <v>229</v>
      </c>
      <c r="F4" s="268" t="s">
        <v>230</v>
      </c>
      <c r="G4" s="268" t="s">
        <v>231</v>
      </c>
      <c r="H4" s="268" t="s">
        <v>232</v>
      </c>
      <c r="I4" s="268" t="s">
        <v>233</v>
      </c>
      <c r="J4" s="273" t="s">
        <v>234</v>
      </c>
    </row>
    <row r="5" spans="2:10" x14ac:dyDescent="0.25">
      <c r="B5" s="266"/>
      <c r="C5" s="269"/>
      <c r="D5" s="269"/>
      <c r="E5" s="269"/>
      <c r="F5" s="269"/>
      <c r="G5" s="269"/>
      <c r="H5" s="271"/>
      <c r="I5" s="269"/>
      <c r="J5" s="274"/>
    </row>
    <row r="6" spans="2:10" ht="15.75" thickBot="1" x14ac:dyDescent="0.3">
      <c r="B6" s="267"/>
      <c r="C6" s="270"/>
      <c r="D6" s="270"/>
      <c r="E6" s="270"/>
      <c r="F6" s="270"/>
      <c r="G6" s="270"/>
      <c r="H6" s="272"/>
      <c r="I6" s="270"/>
      <c r="J6" s="275"/>
    </row>
    <row r="7" spans="2:10" x14ac:dyDescent="0.25">
      <c r="B7" s="39" t="s">
        <v>235</v>
      </c>
      <c r="C7" s="40">
        <v>24</v>
      </c>
      <c r="D7" s="40">
        <v>0</v>
      </c>
      <c r="E7" s="41">
        <f>C7*D7</f>
        <v>0</v>
      </c>
      <c r="F7" s="41">
        <v>0</v>
      </c>
      <c r="G7" s="41">
        <f>E7*F7</f>
        <v>0</v>
      </c>
      <c r="H7" s="42">
        <f t="shared" ref="H7:H14" si="0">G7*0.05</f>
        <v>0</v>
      </c>
      <c r="I7" s="42">
        <f t="shared" ref="I7:I8" si="1">G7*0.1</f>
        <v>0</v>
      </c>
      <c r="J7" s="43">
        <f>G7*Inputs!$D$16+H7*Inputs!$D$17+I7*Inputs!$D$18</f>
        <v>0</v>
      </c>
    </row>
    <row r="8" spans="2:10" x14ac:dyDescent="0.25">
      <c r="B8" s="44" t="s">
        <v>236</v>
      </c>
      <c r="C8" s="14">
        <v>24</v>
      </c>
      <c r="D8" s="45">
        <v>0</v>
      </c>
      <c r="E8" s="46">
        <f>C8*D8</f>
        <v>0</v>
      </c>
      <c r="F8" s="46">
        <v>0</v>
      </c>
      <c r="G8" s="46">
        <f>E8*F8</f>
        <v>0</v>
      </c>
      <c r="H8" s="47">
        <f t="shared" si="0"/>
        <v>0</v>
      </c>
      <c r="I8" s="47">
        <f t="shared" si="1"/>
        <v>0</v>
      </c>
      <c r="J8" s="48">
        <f>G8*Inputs!$D$16+H8*Inputs!$D$17+I8*Inputs!$D$18</f>
        <v>0</v>
      </c>
    </row>
    <row r="9" spans="2:10" x14ac:dyDescent="0.25">
      <c r="B9" s="44" t="s">
        <v>237</v>
      </c>
      <c r="C9" s="14"/>
      <c r="D9" s="14"/>
      <c r="E9" s="46"/>
      <c r="F9" s="46"/>
      <c r="G9" s="46"/>
      <c r="H9" s="46"/>
      <c r="I9" s="46"/>
      <c r="J9" s="50">
        <f>G9*Inputs!$D$16+H9*Inputs!$D$17+I9*Inputs!$D$18</f>
        <v>0</v>
      </c>
    </row>
    <row r="10" spans="2:10" x14ac:dyDescent="0.25">
      <c r="B10" s="44" t="s">
        <v>238</v>
      </c>
      <c r="C10" s="14">
        <v>10</v>
      </c>
      <c r="D10" s="14">
        <v>1</v>
      </c>
      <c r="E10" s="46">
        <f t="shared" ref="E10:E14" si="2">C10*D10</f>
        <v>10</v>
      </c>
      <c r="F10" s="46">
        <v>0</v>
      </c>
      <c r="G10" s="46">
        <f t="shared" ref="G10:G14" si="3">E10*F10</f>
        <v>0</v>
      </c>
      <c r="H10" s="47">
        <f t="shared" si="0"/>
        <v>0</v>
      </c>
      <c r="I10" s="47">
        <f t="shared" ref="I10:I14" si="4">G10*0.1</f>
        <v>0</v>
      </c>
      <c r="J10" s="48">
        <f>G10*Inputs!$D$16+H10*Inputs!$D$17+I10*Inputs!$D$18</f>
        <v>0</v>
      </c>
    </row>
    <row r="11" spans="2:10" x14ac:dyDescent="0.25">
      <c r="B11" s="44" t="s">
        <v>239</v>
      </c>
      <c r="C11" s="14">
        <v>20</v>
      </c>
      <c r="D11" s="14">
        <v>1</v>
      </c>
      <c r="E11" s="46">
        <f t="shared" si="2"/>
        <v>20</v>
      </c>
      <c r="F11" s="46">
        <v>0</v>
      </c>
      <c r="G11" s="46">
        <f t="shared" si="3"/>
        <v>0</v>
      </c>
      <c r="H11" s="47">
        <f t="shared" si="0"/>
        <v>0</v>
      </c>
      <c r="I11" s="47">
        <f t="shared" si="4"/>
        <v>0</v>
      </c>
      <c r="J11" s="48">
        <f>G11*Inputs!$D$16+H11*Inputs!$D$17+I11*Inputs!$D$18</f>
        <v>0</v>
      </c>
    </row>
    <row r="12" spans="2:10" x14ac:dyDescent="0.25">
      <c r="B12" s="44" t="s">
        <v>240</v>
      </c>
      <c r="C12" s="14">
        <v>8</v>
      </c>
      <c r="D12" s="14">
        <v>1</v>
      </c>
      <c r="E12" s="46">
        <v>0</v>
      </c>
      <c r="F12" s="46">
        <v>0</v>
      </c>
      <c r="G12" s="46">
        <f t="shared" si="3"/>
        <v>0</v>
      </c>
      <c r="H12" s="47">
        <f t="shared" si="0"/>
        <v>0</v>
      </c>
      <c r="I12" s="47">
        <f t="shared" si="4"/>
        <v>0</v>
      </c>
      <c r="J12" s="48">
        <f>G12*Inputs!$D$16+H12*Inputs!$D$17+I12*Inputs!$D$18</f>
        <v>0</v>
      </c>
    </row>
    <row r="13" spans="2:10" x14ac:dyDescent="0.25">
      <c r="B13" s="44" t="s">
        <v>241</v>
      </c>
      <c r="C13" s="14">
        <v>12</v>
      </c>
      <c r="D13" s="14">
        <v>2</v>
      </c>
      <c r="E13" s="46">
        <v>0</v>
      </c>
      <c r="F13" s="46">
        <v>0</v>
      </c>
      <c r="G13" s="51">
        <f t="shared" si="3"/>
        <v>0</v>
      </c>
      <c r="H13" s="47">
        <f t="shared" si="0"/>
        <v>0</v>
      </c>
      <c r="I13" s="47">
        <f t="shared" si="4"/>
        <v>0</v>
      </c>
      <c r="J13" s="48">
        <f>G13*Inputs!$D$16+H13*Inputs!$D$17+I13*Inputs!$D$18</f>
        <v>0</v>
      </c>
    </row>
    <row r="14" spans="2:10" x14ac:dyDescent="0.25">
      <c r="B14" s="49" t="s">
        <v>242</v>
      </c>
      <c r="C14" s="52">
        <v>2</v>
      </c>
      <c r="D14" s="52">
        <v>2</v>
      </c>
      <c r="E14" s="53">
        <f t="shared" si="2"/>
        <v>4</v>
      </c>
      <c r="F14" s="46">
        <v>0</v>
      </c>
      <c r="G14" s="51">
        <f t="shared" si="3"/>
        <v>0</v>
      </c>
      <c r="H14" s="47">
        <f t="shared" si="0"/>
        <v>0</v>
      </c>
      <c r="I14" s="47">
        <f t="shared" si="4"/>
        <v>0</v>
      </c>
      <c r="J14" s="48">
        <f>G14*Inputs!$D$16+H14*Inputs!$D$17+I14*Inputs!$D$18</f>
        <v>0</v>
      </c>
    </row>
    <row r="15" spans="2:10" ht="15.75" thickBot="1" x14ac:dyDescent="0.3">
      <c r="B15" s="276" t="s">
        <v>243</v>
      </c>
      <c r="C15" s="277"/>
      <c r="D15" s="277"/>
      <c r="E15" s="277"/>
      <c r="F15" s="278"/>
      <c r="G15" s="263">
        <f>ROUND(SUM(G7:I14),0)</f>
        <v>0</v>
      </c>
      <c r="H15" s="263"/>
      <c r="I15" s="264"/>
      <c r="J15" s="54">
        <f>ROUND(SUM(J7:J14),-2)</f>
        <v>0</v>
      </c>
    </row>
    <row r="17" spans="2:10" x14ac:dyDescent="0.25">
      <c r="B17" s="55" t="s">
        <v>104</v>
      </c>
    </row>
    <row r="18" spans="2:10" ht="15" customHeight="1" x14ac:dyDescent="0.25">
      <c r="B18" s="242" t="s">
        <v>196</v>
      </c>
      <c r="C18" s="242"/>
      <c r="D18" s="242"/>
      <c r="E18" s="242"/>
      <c r="F18" s="242"/>
      <c r="G18" s="242"/>
      <c r="H18" s="242"/>
      <c r="I18" s="242"/>
      <c r="J18" s="242"/>
    </row>
    <row r="19" spans="2:10" ht="45" customHeight="1" x14ac:dyDescent="0.25">
      <c r="B19" s="258" t="s">
        <v>244</v>
      </c>
      <c r="C19" s="259"/>
      <c r="D19" s="259"/>
      <c r="E19" s="259"/>
      <c r="F19" s="259"/>
      <c r="G19" s="259"/>
      <c r="H19" s="259"/>
      <c r="I19" s="259"/>
      <c r="J19" s="259"/>
    </row>
    <row r="20" spans="2:10" x14ac:dyDescent="0.25">
      <c r="B20" s="33" t="s">
        <v>245</v>
      </c>
      <c r="C20" s="34"/>
      <c r="D20" s="34"/>
      <c r="E20" s="34"/>
      <c r="F20" s="34"/>
      <c r="G20" s="34"/>
      <c r="H20" s="34"/>
      <c r="I20" s="34"/>
      <c r="J20" s="34"/>
    </row>
    <row r="21" spans="2:10" ht="37.5" customHeight="1" x14ac:dyDescent="0.25">
      <c r="B21" s="242" t="s">
        <v>246</v>
      </c>
      <c r="C21" s="242"/>
      <c r="D21" s="242"/>
      <c r="E21" s="242"/>
      <c r="F21" s="242"/>
      <c r="G21" s="242"/>
      <c r="H21" s="242"/>
      <c r="I21" s="242"/>
      <c r="J21" s="242"/>
    </row>
    <row r="22" spans="2:10" x14ac:dyDescent="0.25">
      <c r="B22" s="33" t="s">
        <v>247</v>
      </c>
    </row>
    <row r="23" spans="2:10" x14ac:dyDescent="0.25">
      <c r="B23" s="33" t="s">
        <v>248</v>
      </c>
    </row>
    <row r="24" spans="2:10" x14ac:dyDescent="0.25">
      <c r="B24" s="33" t="s">
        <v>249</v>
      </c>
    </row>
    <row r="25" spans="2:10" x14ac:dyDescent="0.25">
      <c r="B25" s="33" t="s">
        <v>250</v>
      </c>
    </row>
    <row r="26" spans="2:10" ht="27" customHeight="1" x14ac:dyDescent="0.25">
      <c r="B26" s="260" t="s">
        <v>251</v>
      </c>
      <c r="C26" s="260"/>
      <c r="D26" s="260"/>
      <c r="E26" s="260"/>
      <c r="F26" s="260"/>
      <c r="G26" s="260"/>
      <c r="H26" s="260"/>
      <c r="I26" s="260"/>
      <c r="J26" s="260"/>
    </row>
  </sheetData>
  <mergeCells count="16">
    <mergeCell ref="B15:F15"/>
    <mergeCell ref="B18:J18"/>
    <mergeCell ref="B19:J19"/>
    <mergeCell ref="B21:J21"/>
    <mergeCell ref="B26:J26"/>
    <mergeCell ref="G15:I15"/>
    <mergeCell ref="B1:J2"/>
    <mergeCell ref="B3:B6"/>
    <mergeCell ref="C4:C6"/>
    <mergeCell ref="D4:D6"/>
    <mergeCell ref="E4:E6"/>
    <mergeCell ref="F4:F6"/>
    <mergeCell ref="G4:G6"/>
    <mergeCell ref="H4:H6"/>
    <mergeCell ref="I4:I6"/>
    <mergeCell ref="J4:J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5739010E8B2938478CD9F2417E8B5591" ma:contentTypeVersion="9" ma:contentTypeDescription="Create a new document." ma:contentTypeScope="" ma:versionID="449aa64a40532431d174128691da96d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2d004a6-2f8d-4a75-9f1d-859e2ae55add" xmlns:ns6="908b9532-f745-4855-82d2-8016ebfcbea2" xmlns:ns7="http://schemas.microsoft.com/sharepoint/v4" targetNamespace="http://schemas.microsoft.com/office/2006/metadata/properties" ma:root="true" ma:fieldsID="9a584c966d70bcc19bce2ff48367a4c9" ns1:_="" ns2:_="" ns3:_="" ns4:_="" ns5:_="" ns6:_="" ns7:_="">
    <xsd:import namespace="http://schemas.microsoft.com/sharepoint/v3"/>
    <xsd:import namespace="4ffa91fb-a0ff-4ac5-b2db-65c790d184a4"/>
    <xsd:import namespace="http://schemas.microsoft.com/sharepoint.v3"/>
    <xsd:import namespace="http://schemas.microsoft.com/sharepoint/v3/fields"/>
    <xsd:import namespace="22d004a6-2f8d-4a75-9f1d-859e2ae55add"/>
    <xsd:import namespace="908b9532-f745-4855-82d2-8016ebfcbea2"/>
    <xsd:import namespace="http://schemas.microsoft.com/sharepoint/v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e3f09c3df709400db2417a7161762d62" minOccurs="0"/>
                <xsd:element ref="ns6:MediaServiceMetadata" minOccurs="0"/>
                <xsd:element ref="ns6:MediaServiceFastMetadata" minOccurs="0"/>
                <xsd:element ref="ns7:IconOverlay" minOccurs="0"/>
                <xsd:element ref="ns5:SharedWithUsers"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54f485cd-92c0-4abe-a378-745fe4335b12}" ma:internalName="TaxCatchAllLabel" ma:readOnly="true" ma:showField="CatchAllDataLabel" ma:web="22d004a6-2f8d-4a75-9f1d-859e2ae55add">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54f485cd-92c0-4abe-a378-745fe4335b12}" ma:internalName="TaxCatchAll" ma:showField="CatchAllData" ma:web="22d004a6-2f8d-4a75-9f1d-859e2ae55ad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d004a6-2f8d-4a75-9f1d-859e2ae55add" elementFormDefault="qualified">
    <xsd:import namespace="http://schemas.microsoft.com/office/2006/documentManagement/types"/>
    <xsd:import namespace="http://schemas.microsoft.com/office/infopath/2007/PartnerControls"/>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8b9532-f745-4855-82d2-8016ebfcbea2" elementFormDefault="qualified">
    <xsd:import namespace="http://schemas.microsoft.com/office/2006/documentManagement/types"/>
    <xsd:import namespace="http://schemas.microsoft.com/office/infopath/2007/PartnerControls"/>
    <xsd:element name="MediaServiceMetadata" ma:index="29" nillable="true" ma:displayName="MediaServiceMetadata" ma:description="" ma:hidden="true" ma:internalName="MediaServiceMetadata" ma:readOnly="true">
      <xsd:simpleType>
        <xsd:restriction base="dms:Note"/>
      </xsd:simpleType>
    </xsd:element>
    <xsd:element name="MediaServiceFastMetadata" ma:index="3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IconOverlay xmlns="http://schemas.microsoft.com/sharepoint/v4" xsi:nil="true"/>
    <TaxKeywordTaxHTField xmlns="4ffa91fb-a0ff-4ac5-b2db-65c790d184a4">
      <Terms xmlns="http://schemas.microsoft.com/office/infopath/2007/PartnerControls"/>
    </TaxKeywordTaxHTField>
    <Record xmlns="4ffa91fb-a0ff-4ac5-b2db-65c790d184a4">Shared</Record>
    <Rights xmlns="4ffa91fb-a0ff-4ac5-b2db-65c790d184a4" xsi:nil="true"/>
    <e3f09c3df709400db2417a7161762d62 xmlns="22d004a6-2f8d-4a75-9f1d-859e2ae55add">
      <Terms xmlns="http://schemas.microsoft.com/office/infopath/2007/PartnerControls"/>
    </e3f09c3df709400db2417a7161762d62>
    <Document_x0020_Creation_x0020_Date xmlns="4ffa91fb-a0ff-4ac5-b2db-65c790d184a4">2018-11-29T17:28:33+00:00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64B183-07C0-46EF-9E10-120DCD3D554D}">
  <ds:schemaRefs>
    <ds:schemaRef ds:uri="Microsoft.SharePoint.Taxonomy.ContentTypeSync"/>
  </ds:schemaRefs>
</ds:datastoreItem>
</file>

<file path=customXml/itemProps2.xml><?xml version="1.0" encoding="utf-8"?>
<ds:datastoreItem xmlns:ds="http://schemas.openxmlformats.org/officeDocument/2006/customXml" ds:itemID="{771F83E0-2883-4275-A516-949874E9C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2d004a6-2f8d-4a75-9f1d-859e2ae55add"/>
    <ds:schemaRef ds:uri="908b9532-f745-4855-82d2-8016ebfcbea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C7F2DF-8C3C-4028-B439-8942D04DFC5B}">
  <ds:schemaRefs>
    <ds:schemaRef ds:uri="http://schemas.microsoft.com/office/infopath/2007/PartnerControls"/>
    <ds:schemaRef ds:uri="http://schemas.openxmlformats.org/package/2006/metadata/core-properties"/>
    <ds:schemaRef ds:uri="http://schemas.microsoft.com/sharepoint/v4"/>
    <ds:schemaRef ds:uri="908b9532-f745-4855-82d2-8016ebfcbea2"/>
    <ds:schemaRef ds:uri="http://purl.org/dc/terms/"/>
    <ds:schemaRef ds:uri="http://schemas.microsoft.com/office/2006/metadata/properties"/>
    <ds:schemaRef ds:uri="22d004a6-2f8d-4a75-9f1d-859e2ae55add"/>
    <ds:schemaRef ds:uri="http://schemas.microsoft.com/office/2006/documentManagement/types"/>
    <ds:schemaRef ds:uri="http://schemas.microsoft.com/sharepoint/v3"/>
    <ds:schemaRef ds:uri="http://schemas.microsoft.com/sharepoint/v3/fields"/>
    <ds:schemaRef ds:uri="http://schemas.microsoft.com/sharepoint.v3"/>
    <ds:schemaRef ds:uri="http://purl.org/dc/elements/1.1/"/>
    <ds:schemaRef ds:uri="4ffa91fb-a0ff-4ac5-b2db-65c790d184a4"/>
    <ds:schemaRef ds:uri="http://www.w3.org/XML/1998/namespace"/>
    <ds:schemaRef ds:uri="http://purl.org/dc/dcmitype/"/>
  </ds:schemaRefs>
</ds:datastoreItem>
</file>

<file path=customXml/itemProps4.xml><?xml version="1.0" encoding="utf-8"?>
<ds:datastoreItem xmlns:ds="http://schemas.openxmlformats.org/officeDocument/2006/customXml" ds:itemID="{D84898D0-00B2-4FBE-8E79-FCE7AEE887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Cover</vt:lpstr>
      <vt:lpstr>Inputs</vt:lpstr>
      <vt:lpstr>Current ICR</vt:lpstr>
      <vt:lpstr>TBL1-YR1</vt:lpstr>
      <vt:lpstr>TBL2-YR2</vt:lpstr>
      <vt:lpstr>TBL3-YR3</vt:lpstr>
      <vt:lpstr>TBL4-SUMMARY</vt:lpstr>
      <vt:lpstr>TBL5-EPA-YR1</vt:lpstr>
      <vt:lpstr>TBL6-EPA-YR2</vt:lpstr>
      <vt:lpstr>TBL7-EPA-YR3</vt:lpstr>
      <vt:lpstr>TBL8-EPA SUMMARY</vt:lpstr>
      <vt:lpstr>'Current ICR'!_Hlk226374301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Bryan Lange</dc:creator>
  <cp:keywords/>
  <dc:description/>
  <cp:lastModifiedBy>Courtney Kerwin</cp:lastModifiedBy>
  <cp:revision/>
  <dcterms:created xsi:type="dcterms:W3CDTF">2018-01-23T21:19:08Z</dcterms:created>
  <dcterms:modified xsi:type="dcterms:W3CDTF">2019-03-16T00:24:46Z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0x0101005739010E8B2938478CD9F2417E8B5591</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