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28CEE581-FF7C-495B-B822-9FFD4721F182}" xr6:coauthVersionLast="36" xr6:coauthVersionMax="36" xr10:uidLastSave="{00000000-0000-0000-0000-000000000000}"/>
  <bookViews>
    <workbookView xWindow="-105" yWindow="-105" windowWidth="19425" windowHeight="10425" firstSheet="1" activeTab="1" xr2:uid="{00000000-000D-0000-FFFF-FFFF00000000}"/>
  </bookViews>
  <sheets>
    <sheet name="# Respondents" sheetId="6" r:id="rId1"/>
    <sheet name="#Responses" sheetId="7" r:id="rId2"/>
    <sheet name="Table 1 - Respondent Burden" sheetId="1" r:id="rId3"/>
    <sheet name="Table 2 - Agency Burden" sheetId="3" r:id="rId4"/>
    <sheet name="Capital-Start-up" sheetId="5"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5" l="1"/>
  <c r="C7" i="5"/>
  <c r="C8" i="5"/>
  <c r="D5" i="5"/>
  <c r="D6" i="5"/>
  <c r="D7" i="5"/>
  <c r="D8" i="5"/>
  <c r="D9" i="5"/>
  <c r="I13" i="3" l="1"/>
  <c r="I6" i="3"/>
  <c r="F13" i="3"/>
  <c r="E7" i="3"/>
  <c r="E12" i="3"/>
  <c r="C10" i="1"/>
  <c r="C21" i="1" s="1"/>
  <c r="C27" i="1"/>
  <c r="C10" i="5"/>
  <c r="C21" i="7"/>
  <c r="E21" i="1"/>
  <c r="C11" i="1" l="1"/>
  <c r="C12" i="7"/>
  <c r="E13" i="7"/>
  <c r="C13" i="7"/>
  <c r="E9" i="1"/>
  <c r="C8" i="7"/>
  <c r="C7" i="7"/>
  <c r="C16" i="1" l="1"/>
  <c r="G17" i="6"/>
  <c r="B13" i="7"/>
  <c r="E10" i="7"/>
  <c r="E11" i="7"/>
  <c r="B11" i="7"/>
  <c r="B9" i="7"/>
  <c r="C9" i="7" s="1"/>
  <c r="E9" i="7" s="1"/>
  <c r="B8" i="7"/>
  <c r="B7" i="7"/>
  <c r="E5" i="1" s="1"/>
  <c r="C8" i="6"/>
  <c r="C9" i="6"/>
  <c r="C7" i="6"/>
  <c r="E16" i="1"/>
  <c r="E8" i="3" s="1"/>
  <c r="E20" i="1"/>
  <c r="C20" i="1"/>
  <c r="C19" i="1"/>
  <c r="C12" i="3" s="1"/>
  <c r="E19" i="1"/>
  <c r="C15" i="1"/>
  <c r="C14" i="1"/>
  <c r="C7" i="3" s="1"/>
  <c r="E15" i="1"/>
  <c r="E14" i="1"/>
  <c r="E8" i="1"/>
  <c r="C8" i="1"/>
  <c r="E29" i="1" l="1"/>
  <c r="D11" i="5"/>
  <c r="C11" i="5"/>
  <c r="E4" i="3"/>
  <c r="D10" i="5"/>
  <c r="E25" i="1"/>
  <c r="E8" i="7"/>
  <c r="C6" i="1"/>
  <c r="E12" i="7"/>
  <c r="C5" i="1"/>
  <c r="E3" i="3"/>
  <c r="E5" i="3" s="1"/>
  <c r="E6" i="1"/>
  <c r="F9" i="6"/>
  <c r="F7" i="6"/>
  <c r="F8" i="6"/>
  <c r="F17" i="6"/>
  <c r="E17" i="6"/>
  <c r="D21" i="1" l="1"/>
  <c r="F21" i="1" s="1"/>
  <c r="C3" i="3"/>
  <c r="F10" i="6"/>
  <c r="E21" i="7"/>
  <c r="E27" i="1"/>
  <c r="H21" i="1" l="1"/>
  <c r="G21" i="1"/>
  <c r="I21" i="1" s="1"/>
  <c r="C9" i="5"/>
  <c r="C6" i="5"/>
  <c r="C5" i="3"/>
  <c r="D3" i="3"/>
  <c r="F3" i="3" s="1"/>
  <c r="C8" i="3" l="1"/>
  <c r="D8" i="3" s="1"/>
  <c r="D29" i="1"/>
  <c r="F29" i="1" s="1"/>
  <c r="E20" i="7"/>
  <c r="E19" i="7"/>
  <c r="C10" i="6"/>
  <c r="E10" i="6"/>
  <c r="B10" i="6"/>
  <c r="D16" i="1"/>
  <c r="D4" i="3"/>
  <c r="D7" i="3"/>
  <c r="D12" i="3"/>
  <c r="D19" i="1"/>
  <c r="F19" i="1" s="1"/>
  <c r="G19" i="1" s="1"/>
  <c r="D14" i="1"/>
  <c r="D20" i="1"/>
  <c r="F20" i="1" s="1"/>
  <c r="D15" i="1"/>
  <c r="F4" i="3" l="1"/>
  <c r="G4" i="3" s="1"/>
  <c r="H29" i="1"/>
  <c r="G29" i="1"/>
  <c r="F8" i="3"/>
  <c r="H8" i="3" s="1"/>
  <c r="F14" i="1"/>
  <c r="G14" i="1" s="1"/>
  <c r="E7" i="1"/>
  <c r="E17" i="7"/>
  <c r="F16" i="1"/>
  <c r="H16" i="1" s="1"/>
  <c r="G20" i="1"/>
  <c r="H20" i="1"/>
  <c r="F12" i="3"/>
  <c r="H12" i="3" s="1"/>
  <c r="H19" i="1"/>
  <c r="I19" i="1" s="1"/>
  <c r="H4" i="3" l="1"/>
  <c r="I4" i="3" s="1"/>
  <c r="I29" i="1"/>
  <c r="C9" i="1"/>
  <c r="C7" i="1"/>
  <c r="E11" i="1"/>
  <c r="I20" i="1"/>
  <c r="E6" i="3"/>
  <c r="G8" i="3"/>
  <c r="I8" i="3" s="1"/>
  <c r="C25" i="1"/>
  <c r="D25" i="1" s="1"/>
  <c r="E7" i="7"/>
  <c r="D5" i="1"/>
  <c r="F5" i="1" s="1"/>
  <c r="E15" i="7"/>
  <c r="G16" i="1"/>
  <c r="I16" i="1" s="1"/>
  <c r="E16" i="7"/>
  <c r="F15" i="1"/>
  <c r="H14" i="1"/>
  <c r="I14" i="1" s="1"/>
  <c r="G12" i="3"/>
  <c r="I12" i="3" s="1"/>
  <c r="E9" i="3" l="1"/>
  <c r="D12" i="5"/>
  <c r="I34" i="1" s="1"/>
  <c r="E10" i="3"/>
  <c r="D7" i="1"/>
  <c r="F7" i="1" s="1"/>
  <c r="C6" i="3"/>
  <c r="D6" i="3" s="1"/>
  <c r="F6" i="3" s="1"/>
  <c r="G6" i="3" s="1"/>
  <c r="H5" i="1"/>
  <c r="C9" i="3"/>
  <c r="D9" i="3" s="1"/>
  <c r="D9" i="1"/>
  <c r="F9" i="1" s="1"/>
  <c r="H9" i="1" s="1"/>
  <c r="H3" i="3"/>
  <c r="G5" i="1"/>
  <c r="D6" i="1"/>
  <c r="F6" i="1" s="1"/>
  <c r="F25" i="1"/>
  <c r="F7" i="3"/>
  <c r="G15" i="1"/>
  <c r="H15" i="1"/>
  <c r="I5" i="1" l="1"/>
  <c r="F9" i="3"/>
  <c r="H9" i="3" s="1"/>
  <c r="G3" i="3"/>
  <c r="G9" i="1"/>
  <c r="I9" i="1" s="1"/>
  <c r="I15" i="1"/>
  <c r="H6" i="3"/>
  <c r="D5" i="3"/>
  <c r="F5" i="3" s="1"/>
  <c r="G6" i="1"/>
  <c r="H6" i="1"/>
  <c r="H25" i="1"/>
  <c r="G25" i="1"/>
  <c r="H7" i="1"/>
  <c r="G7" i="1"/>
  <c r="D27" i="1"/>
  <c r="F27" i="1" s="1"/>
  <c r="H7" i="3"/>
  <c r="G7" i="3"/>
  <c r="I3" i="3" l="1"/>
  <c r="G9" i="3"/>
  <c r="I9" i="3" s="1"/>
  <c r="I6" i="1"/>
  <c r="I7" i="1"/>
  <c r="G27" i="1"/>
  <c r="H27" i="1"/>
  <c r="I25" i="1"/>
  <c r="H5" i="3"/>
  <c r="G5" i="3"/>
  <c r="I7" i="3"/>
  <c r="I27" i="1" l="1"/>
  <c r="I5" i="3"/>
  <c r="D26" i="1" l="1"/>
  <c r="F26" i="1" s="1"/>
  <c r="D31" i="1"/>
  <c r="F31" i="1" s="1"/>
  <c r="D10" i="1"/>
  <c r="F10" i="1" s="1"/>
  <c r="C10" i="3"/>
  <c r="D11" i="1"/>
  <c r="F11" i="1" s="1"/>
  <c r="H31" i="1" l="1"/>
  <c r="G31" i="1"/>
  <c r="H26" i="1"/>
  <c r="G26" i="1"/>
  <c r="G11" i="1"/>
  <c r="H11" i="1"/>
  <c r="D10" i="3"/>
  <c r="F10" i="3" s="1"/>
  <c r="H10" i="1"/>
  <c r="G10" i="1"/>
  <c r="E11" i="3"/>
  <c r="E22" i="7"/>
  <c r="C11" i="3"/>
  <c r="D11" i="3" s="1"/>
  <c r="D8" i="1"/>
  <c r="F8" i="1" s="1"/>
  <c r="I26" i="1" l="1"/>
  <c r="I31" i="1"/>
  <c r="F32" i="1"/>
  <c r="H8" i="1"/>
  <c r="I10" i="1"/>
  <c r="I11" i="1"/>
  <c r="G10" i="3"/>
  <c r="H10" i="3"/>
  <c r="F11" i="3"/>
  <c r="H11" i="3" s="1"/>
  <c r="G8" i="1"/>
  <c r="I10" i="3" l="1"/>
  <c r="I32" i="1"/>
  <c r="F22" i="1"/>
  <c r="G11" i="3"/>
  <c r="I8" i="1"/>
  <c r="I11" i="3"/>
  <c r="F33" i="1" l="1"/>
  <c r="E24" i="7" s="1"/>
  <c r="I22" i="1"/>
  <c r="I33" i="1" l="1"/>
  <c r="I35" i="1" s="1"/>
</calcChain>
</file>

<file path=xl/sharedStrings.xml><?xml version="1.0" encoding="utf-8"?>
<sst xmlns="http://schemas.openxmlformats.org/spreadsheetml/2006/main" count="314" uniqueCount="202">
  <si>
    <t>Reporting Requirements</t>
  </si>
  <si>
    <t>Manufacturers</t>
  </si>
  <si>
    <t>Test Laboratories</t>
  </si>
  <si>
    <t>a. Already has ISO accreditation</t>
  </si>
  <si>
    <t>b. Needs to obtain ISO accreditation</t>
  </si>
  <si>
    <t>Third-Party Certifier</t>
  </si>
  <si>
    <t>Subtotal for Reporting Requirements</t>
  </si>
  <si>
    <t>Recordkeeping Requirements</t>
  </si>
  <si>
    <t>Subtotal for Recordkeeping Requirements</t>
  </si>
  <si>
    <t>(A)
Person-hours per occurrence</t>
  </si>
  <si>
    <t>(A)
EPA person-hours per occurrence</t>
  </si>
  <si>
    <t>Burden Activity</t>
  </si>
  <si>
    <t>Technical</t>
  </si>
  <si>
    <t>Clerical</t>
  </si>
  <si>
    <t>(C)
Person-hours per respondent 
(C=AxB)</t>
  </si>
  <si>
    <t xml:space="preserve">(D)
Respondents per year
</t>
  </si>
  <si>
    <t xml:space="preserve">(B)
No. of occurrences per respondent per year </t>
  </si>
  <si>
    <t>(A)</t>
  </si>
  <si>
    <t>(B)</t>
  </si>
  <si>
    <t>(C)</t>
  </si>
  <si>
    <t>(D)</t>
  </si>
  <si>
    <t>Data Collection Device</t>
  </si>
  <si>
    <t>Capital/Start-Up for One Respondent/Unit</t>
  </si>
  <si>
    <r>
      <t xml:space="preserve">Certification Test </t>
    </r>
    <r>
      <rPr>
        <vertAlign val="superscript"/>
        <sz val="11"/>
        <color rgb="FF000000"/>
        <rFont val="Times New Roman"/>
        <family val="1"/>
      </rPr>
      <t>a</t>
    </r>
  </si>
  <si>
    <r>
      <t xml:space="preserve">Cost of Permanent Label </t>
    </r>
    <r>
      <rPr>
        <b/>
        <vertAlign val="superscript"/>
        <sz val="11"/>
        <color rgb="FF000000"/>
        <rFont val="Times New Roman"/>
        <family val="1"/>
      </rPr>
      <t>b</t>
    </r>
  </si>
  <si>
    <r>
      <t xml:space="preserve">QA Performance Test </t>
    </r>
    <r>
      <rPr>
        <b/>
        <vertAlign val="superscript"/>
        <sz val="11"/>
        <color rgb="FF000000"/>
        <rFont val="Times New Roman"/>
        <family val="1"/>
      </rPr>
      <t>c</t>
    </r>
  </si>
  <si>
    <r>
      <t>EPA Compliance Audit Test</t>
    </r>
    <r>
      <rPr>
        <vertAlign val="superscript"/>
        <sz val="11"/>
        <color rgb="FF000000"/>
        <rFont val="Times New Roman"/>
        <family val="1"/>
      </rPr>
      <t xml:space="preserve"> d</t>
    </r>
  </si>
  <si>
    <t>$75,000 per respondent</t>
  </si>
  <si>
    <t>(D)
Respondents
per year</t>
  </si>
  <si>
    <t>(B)
No. of occurrences per year</t>
  </si>
  <si>
    <t>(C)
EPA person-hours per year
(C=AxB)</t>
  </si>
  <si>
    <t>(E)
Technical person-hours 
per year
(E=CxD)</t>
  </si>
  <si>
    <t>(E) 
Technical hours per year
(E=CxD)</t>
  </si>
  <si>
    <t>Total Capital/Start-Up Cost
(B x C)</t>
  </si>
  <si>
    <r>
      <t xml:space="preserve">(G)
Clerical person-hours </t>
    </r>
    <r>
      <rPr>
        <b/>
        <vertAlign val="superscript"/>
        <sz val="10"/>
        <rFont val="Times New Roman"/>
        <family val="1"/>
      </rPr>
      <t>a</t>
    </r>
    <r>
      <rPr>
        <b/>
        <sz val="10"/>
        <rFont val="Times New Roman"/>
        <family val="1"/>
      </rPr>
      <t xml:space="preserve">
per year
(G=Ex0.1)</t>
    </r>
  </si>
  <si>
    <r>
      <t xml:space="preserve">(H)
Total Cost per year,$ </t>
    </r>
    <r>
      <rPr>
        <b/>
        <vertAlign val="superscript"/>
        <sz val="10"/>
        <rFont val="Times New Roman"/>
        <family val="1"/>
      </rPr>
      <t>b</t>
    </r>
    <r>
      <rPr>
        <b/>
        <sz val="10"/>
        <rFont val="Times New Roman"/>
        <family val="1"/>
      </rPr>
      <t xml:space="preserve">
</t>
    </r>
  </si>
  <si>
    <r>
      <rPr>
        <vertAlign val="superscript"/>
        <sz val="10"/>
        <rFont val="Times New Roman"/>
        <family val="1"/>
      </rPr>
      <t>a</t>
    </r>
    <r>
      <rPr>
        <sz val="10"/>
        <rFont val="Times New Roman"/>
        <family val="1"/>
      </rPr>
      <t xml:space="preserve"> Management person-hours and clerical person-hours are assumed to be 5 percent and 10 percent of technical person-hours, respectively.</t>
    </r>
  </si>
  <si>
    <r>
      <t>(F)
Management hours per year</t>
    </r>
    <r>
      <rPr>
        <vertAlign val="superscript"/>
        <sz val="10"/>
        <rFont val="Times New Roman"/>
        <family val="1"/>
      </rPr>
      <t>a</t>
    </r>
    <r>
      <rPr>
        <sz val="10"/>
        <rFont val="Times New Roman"/>
        <family val="1"/>
      </rPr>
      <t xml:space="preserve">
(F=Ex0.05)</t>
    </r>
  </si>
  <si>
    <r>
      <t>(G)
Clerical person-hours per year</t>
    </r>
    <r>
      <rPr>
        <vertAlign val="superscript"/>
        <sz val="10"/>
        <rFont val="Times New Roman"/>
        <family val="1"/>
      </rPr>
      <t>a</t>
    </r>
    <r>
      <rPr>
        <sz val="10"/>
        <rFont val="Times New Roman"/>
        <family val="1"/>
      </rPr>
      <t xml:space="preserve">
(G=Ex0.1)</t>
    </r>
  </si>
  <si>
    <r>
      <t xml:space="preserve">(H)
Total Cost per year,$ </t>
    </r>
    <r>
      <rPr>
        <vertAlign val="superscript"/>
        <sz val="10"/>
        <rFont val="Times New Roman"/>
        <family val="1"/>
      </rPr>
      <t xml:space="preserve">b
</t>
    </r>
  </si>
  <si>
    <r>
      <t xml:space="preserve">1. Certification test notification </t>
    </r>
    <r>
      <rPr>
        <vertAlign val="superscript"/>
        <sz val="10"/>
        <rFont val="Times New Roman"/>
        <family val="1"/>
      </rPr>
      <t>c</t>
    </r>
  </si>
  <si>
    <r>
      <t xml:space="preserve">(F)
Management person-hours </t>
    </r>
    <r>
      <rPr>
        <b/>
        <vertAlign val="superscript"/>
        <sz val="10"/>
        <rFont val="Times New Roman"/>
        <family val="1"/>
      </rPr>
      <t>a</t>
    </r>
    <r>
      <rPr>
        <b/>
        <sz val="10"/>
        <rFont val="Times New Roman"/>
        <family val="1"/>
      </rPr>
      <t xml:space="preserve"> 
per year (F=Ex0.05)</t>
    </r>
  </si>
  <si>
    <t>Labor Rates</t>
  </si>
  <si>
    <t>Notes:</t>
  </si>
  <si>
    <t>Management</t>
  </si>
  <si>
    <r>
      <rPr>
        <vertAlign val="superscript"/>
        <sz val="10"/>
        <rFont val="Times New Roman"/>
        <family val="1"/>
      </rP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</si>
  <si>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rPr>
        <vertAlign val="superscript"/>
        <sz val="10"/>
        <rFont val="Times New Roman"/>
        <family val="1"/>
      </rP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</si>
  <si>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t>Updated 12/3/18 to match the United States Department of Labor, Bureau of Labor Statistics, June 2018, “Table 2. Civilian Workers, by occupational and industry group</t>
  </si>
  <si>
    <t>Updated 12/3/18 to match the rates from the Office of Personnel Management (OPM), 2018 General Schedule.</t>
  </si>
  <si>
    <t>Footnotes:</t>
  </si>
  <si>
    <t>Respondents That Submit Reports</t>
  </si>
  <si>
    <t>Respondents That Do Not Submit Any Reports</t>
  </si>
  <si>
    <t>(E)</t>
  </si>
  <si>
    <t>Year</t>
  </si>
  <si>
    <t>Number of New Respondents</t>
  </si>
  <si>
    <t>Number of Existing Respondents</t>
  </si>
  <si>
    <t>Number of Existing  Respondents that keep records but do not submit reports</t>
  </si>
  <si>
    <t>Number of Existing Respondents That Are Also New Respondents</t>
  </si>
  <si>
    <t>Number of Respondents
(E=A+B+C-D)</t>
  </si>
  <si>
    <t>Average</t>
  </si>
  <si>
    <t>Information Collection Activity</t>
  </si>
  <si>
    <t>Number of Respondents</t>
  </si>
  <si>
    <t>Number of Responses</t>
  </si>
  <si>
    <t>Number of Existing Respondents That Keep Records But Do Not Submit Reports</t>
  </si>
  <si>
    <t>Total Annual Responses
E=(BxC)+D</t>
  </si>
  <si>
    <t>N/A</t>
  </si>
  <si>
    <t>Total</t>
  </si>
  <si>
    <t>hrs/response:</t>
  </si>
  <si>
    <t xml:space="preserve">NSPS for New  Residential Hydronic Heaters and Forced-Air Furnaces (40 CFR Part 60, Subpart QQQQ) (Renewal) </t>
  </si>
  <si>
    <t>Third-Party Certifiers</t>
  </si>
  <si>
    <t>Number of Respondents That are Manufacturers</t>
  </si>
  <si>
    <r>
      <t xml:space="preserve">1.  Review certification test notification </t>
    </r>
    <r>
      <rPr>
        <vertAlign val="superscript"/>
        <sz val="10"/>
        <rFont val="Times New Roman"/>
        <family val="1"/>
      </rPr>
      <t>c</t>
    </r>
  </si>
  <si>
    <r>
      <t xml:space="preserve">2.  Observe certification test </t>
    </r>
    <r>
      <rPr>
        <vertAlign val="superscript"/>
        <sz val="10"/>
        <rFont val="Times New Roman"/>
        <family val="1"/>
      </rPr>
      <t>d</t>
    </r>
  </si>
  <si>
    <t>$55,000 per respondent</t>
  </si>
  <si>
    <t>$1,250 per model</t>
  </si>
  <si>
    <t>$3,750 per model</t>
  </si>
  <si>
    <t>Assumptions</t>
  </si>
  <si>
    <t>EPA-approved Test Labs and Third-party Certifying Entities for 2015 Residential Wood Heaters NSPS</t>
  </si>
  <si>
    <t>Name</t>
  </si>
  <si>
    <t>Hydronic Heater</t>
  </si>
  <si>
    <t>Yes</t>
  </si>
  <si>
    <t>Intertek</t>
  </si>
  <si>
    <t>OMNI</t>
  </si>
  <si>
    <t>Polytests Inc.</t>
  </si>
  <si>
    <t>No</t>
  </si>
  <si>
    <t>PFS Corp.</t>
  </si>
  <si>
    <t>CSA Group</t>
  </si>
  <si>
    <t>UL, LLC</t>
  </si>
  <si>
    <t>Research Institutes of Sweden (RISE)</t>
  </si>
  <si>
    <t>ClearStak, LLC</t>
  </si>
  <si>
    <t>SZU</t>
  </si>
  <si>
    <t>Danish Technological Institute</t>
  </si>
  <si>
    <t xml:space="preserve">Wood Stove </t>
  </si>
  <si>
    <t>Forced Air Furnace</t>
  </si>
  <si>
    <t xml:space="preserve">PFS-TECO </t>
  </si>
  <si>
    <t>Source: U.S. Environmental Protection Agency. (April 10, 2018). EPA-approved Test Labs and Third-Party Certifiers for Residential Wood Heaters. Accessed December 7, 2018. Retrieved from https://www.epa.gov/burnwise/epa-approved-test-labs-and-third-party-certifiers-residential-wood-heaters. "epa_approved_labs_and_third_party_certifiers_11-15-17.pdf"</t>
  </si>
  <si>
    <r>
      <t xml:space="preserve">2. Application for certification </t>
    </r>
    <r>
      <rPr>
        <vertAlign val="superscript"/>
        <sz val="10"/>
        <rFont val="Times New Roman"/>
        <family val="1"/>
      </rPr>
      <t>c</t>
    </r>
  </si>
  <si>
    <r>
      <rPr>
        <vertAlign val="superscript"/>
        <sz val="10"/>
        <rFont val="Times New Roman"/>
        <family val="1"/>
      </rPr>
      <t>d</t>
    </r>
    <r>
      <rPr>
        <sz val="10"/>
        <rFont val="Times New Roman"/>
        <family val="1"/>
      </rPr>
      <t xml:space="preserve"> Manufacturers submit a report for every certified model 0.5 times per year, at 2 hours per report.</t>
    </r>
  </si>
  <si>
    <r>
      <t xml:space="preserve">3. Biennial reporting </t>
    </r>
    <r>
      <rPr>
        <vertAlign val="superscript"/>
        <sz val="10"/>
        <rFont val="Times New Roman"/>
        <family val="1"/>
      </rPr>
      <t>d</t>
    </r>
  </si>
  <si>
    <r>
      <t xml:space="preserve">4. EPA compliance audit testing </t>
    </r>
    <r>
      <rPr>
        <vertAlign val="superscript"/>
        <sz val="10"/>
        <rFont val="Times New Roman"/>
        <family val="1"/>
      </rPr>
      <t>e</t>
    </r>
  </si>
  <si>
    <r>
      <rPr>
        <vertAlign val="superscript"/>
        <sz val="10"/>
        <rFont val="Times New Roman"/>
        <family val="1"/>
      </rPr>
      <t>f</t>
    </r>
    <r>
      <rPr>
        <sz val="10"/>
        <rFont val="Times New Roman"/>
        <family val="1"/>
      </rPr>
      <t xml:space="preserve"> Assumes that there will be one QA audit performance test per manufacturer under the QA program during the 3-year period.</t>
    </r>
  </si>
  <si>
    <r>
      <t>5. QA performance test results</t>
    </r>
    <r>
      <rPr>
        <vertAlign val="superscript"/>
        <sz val="10"/>
        <rFont val="Times New Roman"/>
        <family val="1"/>
      </rPr>
      <t xml:space="preserve"> f</t>
    </r>
  </si>
  <si>
    <r>
      <t xml:space="preserve">7. Review annual QA audit report </t>
    </r>
    <r>
      <rPr>
        <vertAlign val="superscript"/>
        <sz val="10"/>
        <rFont val="Times New Roman"/>
        <family val="1"/>
      </rPr>
      <t>g</t>
    </r>
  </si>
  <si>
    <r>
      <t xml:space="preserve">1. Application for test lab approval </t>
    </r>
    <r>
      <rPr>
        <vertAlign val="superscript"/>
        <sz val="10"/>
        <rFont val="Times New Roman"/>
        <family val="1"/>
      </rPr>
      <t>h</t>
    </r>
  </si>
  <si>
    <r>
      <t>2. Biennial profiency testing and report development</t>
    </r>
    <r>
      <rPr>
        <vertAlign val="superscript"/>
        <sz val="10"/>
        <rFont val="Times New Roman"/>
        <family val="1"/>
      </rPr>
      <t xml:space="preserve"> i</t>
    </r>
  </si>
  <si>
    <r>
      <t>1. Application for approval as a third-party certifier</t>
    </r>
    <r>
      <rPr>
        <vertAlign val="superscript"/>
        <sz val="10"/>
        <rFont val="Times New Roman"/>
        <family val="1"/>
      </rPr>
      <t xml:space="preserve"> j</t>
    </r>
  </si>
  <si>
    <r>
      <t>2. Certification test, QA program report, credentials</t>
    </r>
    <r>
      <rPr>
        <vertAlign val="superscript"/>
        <sz val="10"/>
        <rFont val="Times New Roman"/>
        <family val="1"/>
      </rPr>
      <t xml:space="preserve"> k</t>
    </r>
  </si>
  <si>
    <r>
      <t xml:space="preserve">1. Test and re-certification documentation </t>
    </r>
    <r>
      <rPr>
        <vertAlign val="superscript"/>
        <sz val="10"/>
        <rFont val="Times New Roman"/>
        <family val="1"/>
      </rPr>
      <t>l</t>
    </r>
  </si>
  <si>
    <r>
      <t xml:space="preserve">3. Retained (sealed) stoves </t>
    </r>
    <r>
      <rPr>
        <vertAlign val="superscript"/>
        <sz val="10"/>
        <rFont val="Times New Roman"/>
        <family val="1"/>
      </rPr>
      <t>n</t>
    </r>
  </si>
  <si>
    <r>
      <t xml:space="preserve">1. Certification test, proficiency test, and audit test results </t>
    </r>
    <r>
      <rPr>
        <vertAlign val="superscript"/>
        <sz val="10"/>
        <rFont val="Times New Roman"/>
        <family val="1"/>
      </rPr>
      <t>o</t>
    </r>
  </si>
  <si>
    <r>
      <t xml:space="preserve">1. Certification test, QA program inspection and audit tests </t>
    </r>
    <r>
      <rPr>
        <vertAlign val="superscript"/>
        <sz val="10"/>
        <rFont val="Times New Roman"/>
        <family val="1"/>
      </rPr>
      <t>p</t>
    </r>
  </si>
  <si>
    <r>
      <t xml:space="preserve">TOTAL Labor Burden and Costs (rounded) </t>
    </r>
    <r>
      <rPr>
        <b/>
        <vertAlign val="superscript"/>
        <sz val="10"/>
        <rFont val="Times New Roman"/>
        <family val="1"/>
      </rPr>
      <t>q</t>
    </r>
  </si>
  <si>
    <r>
      <t xml:space="preserve">TOTAL Capital and O&amp;M Cost (rounded) </t>
    </r>
    <r>
      <rPr>
        <b/>
        <vertAlign val="superscript"/>
        <sz val="10"/>
        <rFont val="Times New Roman"/>
        <family val="1"/>
      </rPr>
      <t>q</t>
    </r>
  </si>
  <si>
    <r>
      <t xml:space="preserve">GRAND TOTAL (rounded) </t>
    </r>
    <r>
      <rPr>
        <b/>
        <vertAlign val="superscript"/>
        <sz val="10"/>
        <rFont val="Times New Roman"/>
        <family val="1"/>
      </rPr>
      <t>q</t>
    </r>
  </si>
  <si>
    <r>
      <rPr>
        <vertAlign val="superscript"/>
        <sz val="10"/>
        <rFont val="Times New Roman"/>
        <family val="1"/>
      </rPr>
      <t>l</t>
    </r>
    <r>
      <rPr>
        <sz val="10"/>
        <rFont val="Times New Roman"/>
        <family val="1"/>
      </rPr>
      <t xml:space="preserve"> Assumes that manufacturers will spend one hour per certification test and recertification to keep the required records.</t>
    </r>
  </si>
  <si>
    <r>
      <rPr>
        <vertAlign val="superscript"/>
        <sz val="10"/>
        <color rgb="FF000000"/>
        <rFont val="Times New Roman"/>
        <family val="1"/>
      </rPr>
      <t xml:space="preserve">q </t>
    </r>
    <r>
      <rPr>
        <sz val="10"/>
        <color rgb="FF000000"/>
        <rFont val="Times New Roman"/>
        <family val="1"/>
      </rPr>
      <t>Totals have been rounded to three significant values. Figures may not add exactly due to rounding.</t>
    </r>
  </si>
  <si>
    <r>
      <rPr>
        <vertAlign val="superscript"/>
        <sz val="10"/>
        <rFont val="Times New Roman"/>
        <family val="1"/>
      </rPr>
      <t xml:space="preserve">o </t>
    </r>
    <r>
      <rPr>
        <sz val="10"/>
        <rFont val="Times New Roman"/>
        <family val="1"/>
      </rPr>
      <t>Proficiency testing is required every two years for each lab. Assume that test laboratories will spend 2 hours per month to maintain the required records.</t>
    </r>
  </si>
  <si>
    <r>
      <rPr>
        <vertAlign val="superscript"/>
        <sz val="10"/>
        <rFont val="Times New Roman"/>
        <family val="1"/>
      </rPr>
      <t>p</t>
    </r>
    <r>
      <rPr>
        <sz val="10"/>
        <rFont val="Times New Roman"/>
        <family val="1"/>
      </rPr>
      <t xml:space="preserve"> Quality assurance program inspections are performed annually for each certified model.   Assume that third-party certifiers will spend 2 hours per month to maintain the required records.</t>
    </r>
  </si>
  <si>
    <r>
      <rPr>
        <vertAlign val="superscript"/>
        <sz val="10"/>
        <rFont val="Times New Roman"/>
        <family val="1"/>
      </rPr>
      <t>d</t>
    </r>
    <r>
      <rPr>
        <sz val="10"/>
        <rFont val="Times New Roman"/>
        <family val="1"/>
      </rPr>
      <t xml:space="preserve"> Assumes that EPA will observe 20 percent of certification tests (5.3/year x 0.2) conducted during the ICR reporting period, which is rounded to 1 test per year.</t>
    </r>
  </si>
  <si>
    <r>
      <t xml:space="preserve">3.  Review application for certification of model line </t>
    </r>
    <r>
      <rPr>
        <vertAlign val="superscript"/>
        <sz val="10"/>
        <rFont val="Times New Roman"/>
        <family val="1"/>
      </rPr>
      <t>c</t>
    </r>
  </si>
  <si>
    <r>
      <rPr>
        <vertAlign val="superscript"/>
        <sz val="10"/>
        <rFont val="Times New Roman"/>
        <family val="1"/>
      </rPr>
      <t xml:space="preserve">e </t>
    </r>
    <r>
      <rPr>
        <sz val="10"/>
        <rFont val="Times New Roman"/>
        <family val="1"/>
      </rPr>
      <t xml:space="preserve"> Assumes that the EPA will receive one biennial report for each of the certified model lines over the 3-year ICR period.</t>
    </r>
  </si>
  <si>
    <r>
      <t>4.  Biennial reporting for certified models</t>
    </r>
    <r>
      <rPr>
        <vertAlign val="superscript"/>
        <sz val="10"/>
        <rFont val="Times New Roman"/>
        <family val="1"/>
      </rPr>
      <t xml:space="preserve"> e</t>
    </r>
  </si>
  <si>
    <t>EPA-approved Test Lab</t>
  </si>
  <si>
    <t>EPA-approved Third-Party Certifier</t>
  </si>
  <si>
    <r>
      <t xml:space="preserve">5.  Review and approval of test lab credentials </t>
    </r>
    <r>
      <rPr>
        <vertAlign val="superscript"/>
        <sz val="10"/>
        <rFont val="Times New Roman"/>
        <family val="1"/>
      </rPr>
      <t>f</t>
    </r>
  </si>
  <si>
    <r>
      <rPr>
        <vertAlign val="superscript"/>
        <sz val="10"/>
        <rFont val="Times New Roman"/>
        <family val="1"/>
      </rPr>
      <t>g</t>
    </r>
    <r>
      <rPr>
        <sz val="10"/>
        <rFont val="Times New Roman"/>
        <family val="1"/>
      </rPr>
      <t xml:space="preserve"> Assumes that each testing lab conducts a laboratory proficiency test every two years.</t>
    </r>
  </si>
  <si>
    <r>
      <t xml:space="preserve">6.  Review test lab biennial proficiency test reports </t>
    </r>
    <r>
      <rPr>
        <vertAlign val="superscript"/>
        <sz val="10"/>
        <rFont val="Times New Roman"/>
        <family val="1"/>
      </rPr>
      <t>g</t>
    </r>
  </si>
  <si>
    <r>
      <t xml:space="preserve">7.  Review QA performance test results </t>
    </r>
    <r>
      <rPr>
        <vertAlign val="superscript"/>
        <sz val="10"/>
        <rFont val="Times New Roman"/>
        <family val="1"/>
      </rPr>
      <t>h</t>
    </r>
  </si>
  <si>
    <r>
      <rPr>
        <vertAlign val="superscript"/>
        <sz val="10"/>
        <rFont val="Times New Roman"/>
        <family val="1"/>
      </rPr>
      <t xml:space="preserve">h </t>
    </r>
    <r>
      <rPr>
        <sz val="10"/>
        <rFont val="Times New Roman"/>
        <family val="1"/>
      </rPr>
      <t>Assumes that there will be one QA audit performance test per manufacturer under the QA program during the 3-year period.</t>
    </r>
  </si>
  <si>
    <r>
      <t xml:space="preserve">8.  Review QA audit report </t>
    </r>
    <r>
      <rPr>
        <vertAlign val="superscript"/>
        <sz val="10"/>
        <rFont val="Times New Roman"/>
        <family val="1"/>
      </rPr>
      <t>i</t>
    </r>
  </si>
  <si>
    <r>
      <rPr>
        <vertAlign val="superscript"/>
        <sz val="10"/>
        <rFont val="Times New Roman"/>
        <family val="1"/>
      </rPr>
      <t>i</t>
    </r>
    <r>
      <rPr>
        <sz val="10"/>
        <rFont val="Times New Roman"/>
        <family val="1"/>
      </rPr>
      <t xml:space="preserve"> Assumes that EPA will review the QA audits performed by the third-party certifiers on each certified model line over the three-year ICR period.</t>
    </r>
  </si>
  <si>
    <r>
      <t>9.  EPA Compliance Audit</t>
    </r>
    <r>
      <rPr>
        <vertAlign val="superscript"/>
        <sz val="10"/>
        <rFont val="Times New Roman"/>
        <family val="1"/>
      </rPr>
      <t xml:space="preserve"> j</t>
    </r>
  </si>
  <si>
    <r>
      <rPr>
        <vertAlign val="superscript"/>
        <sz val="10"/>
        <rFont val="Times New Roman"/>
        <family val="1"/>
      </rPr>
      <t>j</t>
    </r>
    <r>
      <rPr>
        <sz val="10"/>
        <rFont val="Times New Roman"/>
        <family val="1"/>
      </rPr>
      <t xml:space="preserve"> Assumes that one model line for one of the manufacturers will be audited by the EPA during the ICR three-year period.</t>
    </r>
  </si>
  <si>
    <r>
      <t xml:space="preserve">10.  Review and approval of third-party certifier credentials </t>
    </r>
    <r>
      <rPr>
        <vertAlign val="superscript"/>
        <sz val="10"/>
        <rFont val="Times New Roman"/>
        <family val="1"/>
      </rPr>
      <t>k</t>
    </r>
  </si>
  <si>
    <r>
      <rPr>
        <vertAlign val="superscript"/>
        <sz val="10"/>
        <rFont val="Times New Roman"/>
        <family val="1"/>
      </rPr>
      <t>l</t>
    </r>
    <r>
      <rPr>
        <sz val="10"/>
        <rFont val="Times New Roman"/>
        <family val="1"/>
      </rPr>
      <t xml:space="preserve"> Totals have been rounded to three significant values. Figures may not add exactly due to rounding.
</t>
    </r>
  </si>
  <si>
    <r>
      <t xml:space="preserve">TOTAL (rounded) </t>
    </r>
    <r>
      <rPr>
        <b/>
        <vertAlign val="superscript"/>
        <sz val="10"/>
        <rFont val="Times New Roman"/>
        <family val="1"/>
      </rPr>
      <t>l</t>
    </r>
  </si>
  <si>
    <r>
      <t>b</t>
    </r>
    <r>
      <rPr>
        <sz val="10"/>
        <color rgb="FF000000"/>
        <rFont val="Times New Roman"/>
        <family val="1"/>
      </rPr>
      <t xml:space="preserve"> Total costs of permanent labels are estimated to be $1,250 per model. </t>
    </r>
  </si>
  <si>
    <r>
      <t xml:space="preserve">e </t>
    </r>
    <r>
      <rPr>
        <sz val="10"/>
        <color rgb="FF000000"/>
        <rFont val="Times New Roman"/>
        <family val="1"/>
      </rPr>
      <t>Assumes an average fixed cost of $3,750 for owner's manual (revised or new, possibly bilingual) per model certified.</t>
    </r>
  </si>
  <si>
    <r>
      <t xml:space="preserve">Owners Manual </t>
    </r>
    <r>
      <rPr>
        <vertAlign val="superscript"/>
        <sz val="11"/>
        <color rgb="FF000000"/>
        <rFont val="Times New Roman"/>
        <family val="1"/>
      </rPr>
      <t>e</t>
    </r>
  </si>
  <si>
    <r>
      <t xml:space="preserve">ISO Accreditation-Test Laboratories </t>
    </r>
    <r>
      <rPr>
        <vertAlign val="superscript"/>
        <sz val="11"/>
        <color rgb="FF000000"/>
        <rFont val="Times New Roman"/>
        <family val="1"/>
      </rPr>
      <t>f</t>
    </r>
  </si>
  <si>
    <r>
      <t xml:space="preserve">ISO Accreditation-Third-Party Certifiers </t>
    </r>
    <r>
      <rPr>
        <vertAlign val="superscript"/>
        <sz val="11"/>
        <color rgb="FF000000"/>
        <rFont val="Times New Roman"/>
        <family val="1"/>
      </rPr>
      <t>g</t>
    </r>
  </si>
  <si>
    <t>Assumptions:</t>
  </si>
  <si>
    <t>Expiration Date of EPA Aproval</t>
  </si>
  <si>
    <r>
      <rPr>
        <vertAlign val="superscript"/>
        <sz val="10"/>
        <rFont val="Times New Roman"/>
        <family val="1"/>
      </rPr>
      <t>e</t>
    </r>
    <r>
      <rPr>
        <sz val="10"/>
        <rFont val="Times New Roman"/>
        <family val="1"/>
      </rPr>
      <t xml:space="preserve"> Assumes that one of the manufacturers will be required to undergo an EPA compliance audit test for one of their models during the three-year ICR period.</t>
    </r>
  </si>
  <si>
    <r>
      <t>h</t>
    </r>
    <r>
      <rPr>
        <sz val="10"/>
        <color rgb="FF000000"/>
        <rFont val="Times New Roman"/>
        <family val="1"/>
      </rPr>
      <t xml:space="preserve"> Totals have been rounded to 3 significant figures. Figures may not add exactly due to rounding.</t>
    </r>
  </si>
  <si>
    <r>
      <t xml:space="preserve">Annual Totals </t>
    </r>
    <r>
      <rPr>
        <b/>
        <vertAlign val="superscript"/>
        <sz val="11"/>
        <color rgb="FF000000"/>
        <rFont val="Times New Roman"/>
        <family val="1"/>
      </rPr>
      <t>h</t>
    </r>
  </si>
  <si>
    <t>Total Annual Responses</t>
  </si>
  <si>
    <t>Table 2: Average Annual EPA Burden and Cost - NSPS for New Residential Hydronic Heaters and Forced-Air Furnaces (40 CFR Part 60, Subpart QQQQ) (Renewal)</t>
  </si>
  <si>
    <t xml:space="preserve">Table 1: Annual Respondent Burden and Cost - NSPS for New Residential Hydronic Heaters and Forced-Air Furnaces (40 CFR Part 60, Subpart QQQQ) (Renewal) </t>
  </si>
  <si>
    <t xml:space="preserve">Burden Item  </t>
  </si>
  <si>
    <t xml:space="preserve">Assumes there are 32 hydronic heater manufacturers with 127 model lines, 7 forced-air furnace manufacturers with 19 model lines, and 11 laboratories acting as testing labs and/or third-party certifiers. </t>
  </si>
  <si>
    <t xml:space="preserve">a Assume there are 32 hydronic heater manufacturers with 127 model lines, 7 forced-air furnace manufacturers with 19 model lines, and 11 laboratories acting as testing labs and/or third-party certifiers. </t>
  </si>
  <si>
    <r>
      <t xml:space="preserve">Certification test notification </t>
    </r>
    <r>
      <rPr>
        <vertAlign val="superscript"/>
        <sz val="10"/>
        <color theme="1"/>
        <rFont val="Times New Roman"/>
        <family val="1"/>
      </rPr>
      <t>a,b</t>
    </r>
  </si>
  <si>
    <r>
      <t xml:space="preserve">Application for certification/re-certification </t>
    </r>
    <r>
      <rPr>
        <vertAlign val="superscript"/>
        <sz val="10"/>
        <rFont val="Times New Roman"/>
        <family val="1"/>
      </rPr>
      <t>b</t>
    </r>
  </si>
  <si>
    <r>
      <t xml:space="preserve">Biennial reporting </t>
    </r>
    <r>
      <rPr>
        <vertAlign val="superscript"/>
        <sz val="10"/>
        <color theme="1"/>
        <rFont val="Times New Roman"/>
        <family val="1"/>
      </rPr>
      <t>c</t>
    </r>
  </si>
  <si>
    <t>c Report every certified model 0.5 times per year</t>
  </si>
  <si>
    <t>d One model gets audited in the three-year period</t>
  </si>
  <si>
    <t>e 1 QA audit performance test per mfr. in the 3-year period.</t>
  </si>
  <si>
    <r>
      <t xml:space="preserve">EPA compliance audit testing </t>
    </r>
    <r>
      <rPr>
        <vertAlign val="superscript"/>
        <sz val="10"/>
        <color theme="1"/>
        <rFont val="Times New Roman"/>
        <family val="1"/>
      </rPr>
      <t>d</t>
    </r>
  </si>
  <si>
    <r>
      <t xml:space="preserve">QA performance test results </t>
    </r>
    <r>
      <rPr>
        <vertAlign val="superscript"/>
        <sz val="10"/>
        <color theme="1"/>
        <rFont val="Times New Roman"/>
        <family val="1"/>
      </rPr>
      <t>e</t>
    </r>
  </si>
  <si>
    <r>
      <t xml:space="preserve">QA annual audit reports </t>
    </r>
    <r>
      <rPr>
        <vertAlign val="superscript"/>
        <sz val="10"/>
        <color theme="1"/>
        <rFont val="Times New Roman"/>
        <family val="1"/>
      </rPr>
      <t>f</t>
    </r>
  </si>
  <si>
    <t>g Review the report of annual QA audit for each model line.</t>
  </si>
  <si>
    <r>
      <t xml:space="preserve">Review annual QA audit report </t>
    </r>
    <r>
      <rPr>
        <vertAlign val="superscript"/>
        <sz val="10"/>
        <color theme="1"/>
        <rFont val="Times New Roman"/>
        <family val="1"/>
      </rPr>
      <t>g</t>
    </r>
  </si>
  <si>
    <r>
      <t xml:space="preserve">Application for test lab approval - already has ISO accreditation </t>
    </r>
    <r>
      <rPr>
        <vertAlign val="superscript"/>
        <sz val="10"/>
        <color theme="1"/>
        <rFont val="Times New Roman"/>
        <family val="1"/>
      </rPr>
      <t>h</t>
    </r>
  </si>
  <si>
    <r>
      <t xml:space="preserve">Application for test lab approval - needs to obtain ISO accreditation </t>
    </r>
    <r>
      <rPr>
        <vertAlign val="superscript"/>
        <sz val="10"/>
        <color theme="1"/>
        <rFont val="Times New Roman"/>
        <family val="1"/>
      </rPr>
      <t>h</t>
    </r>
  </si>
  <si>
    <r>
      <t xml:space="preserve">Biennial proficiency testing and report development </t>
    </r>
    <r>
      <rPr>
        <vertAlign val="superscript"/>
        <sz val="10"/>
        <color theme="1"/>
        <rFont val="Times New Roman"/>
        <family val="1"/>
      </rPr>
      <t>i</t>
    </r>
  </si>
  <si>
    <r>
      <t xml:space="preserve">Application for approval as a third-party certifier - already has ISO accreditation </t>
    </r>
    <r>
      <rPr>
        <vertAlign val="superscript"/>
        <sz val="10"/>
        <color theme="1"/>
        <rFont val="Times New Roman"/>
        <family val="1"/>
      </rPr>
      <t>j</t>
    </r>
  </si>
  <si>
    <t>Application for approval as a third-party certifier - already has ISO accreditation j</t>
  </si>
  <si>
    <r>
      <t>Certification test, QA program report, credentials</t>
    </r>
    <r>
      <rPr>
        <vertAlign val="superscript"/>
        <sz val="10"/>
        <color theme="1"/>
        <rFont val="Times New Roman"/>
        <family val="1"/>
      </rPr>
      <t xml:space="preserve"> k</t>
    </r>
  </si>
  <si>
    <t>i 8 labs participate in proficiency testing every 2 years</t>
  </si>
  <si>
    <t>k All 8 third-party certifiers will file certification tests, QA program reports, and their credentials with EPA.</t>
  </si>
  <si>
    <t xml:space="preserve">b Over the next three years, assume a like number of existing models certified to 2015 standards are replaced with models certified to 2020 standards and certification testing is performed. </t>
  </si>
  <si>
    <r>
      <t>c</t>
    </r>
    <r>
      <rPr>
        <sz val="10"/>
        <color rgb="FF000000"/>
        <rFont val="Times New Roman"/>
        <family val="1"/>
      </rPr>
      <t xml:space="preserve"> Assumes each of the manufacturers will be required to test one of their models under their QA program during the period covered by this ICR (2019-2021) at $55,000 per test ( includes EPA testing ($30,000), confirmation safety testing or full safety testing ($22,500), and shipping of prototype(s)($2,500) costs) (39 manufacturers * 1 model / 3 years = 13 manufacturers/model/year).</t>
    </r>
  </si>
  <si>
    <r>
      <t>d</t>
    </r>
    <r>
      <rPr>
        <sz val="10"/>
        <color rgb="FF000000"/>
        <rFont val="Times New Roman"/>
        <family val="1"/>
      </rPr>
      <t xml:space="preserve"> Assumes one model line will be audited by EPA during the three-year ICR period (2019 – 2021). Costs assume the cost of one appliance (based on the average cost of three appliances: 1 outdoor ($11,571) and 1 indoor ($11,543) hydronic heater and 1 forced-air furnace ($2,579)) plus the cost of testing at $55,000 (assumes EPA testing costs of $30,000, full safety cost of $22,500 and $2,500 in shipping costs).</t>
    </r>
  </si>
  <si>
    <r>
      <rPr>
        <vertAlign val="superscript"/>
        <sz val="10"/>
        <rFont val="Times New Roman"/>
        <family val="1"/>
      </rPr>
      <t>c</t>
    </r>
    <r>
      <rPr>
        <sz val="10"/>
        <rFont val="Times New Roman"/>
        <family val="1"/>
      </rPr>
      <t xml:space="preserve"> Assume there are 32 hydronic heater manufacturers with 127 model lines and 7 forced-air furnace manufacturers with 19 model lines. Over the next three years, assume a like number of existing models certified to 2015 standards are replaced with models certified to 2020 standards and certification testing is performed. </t>
    </r>
  </si>
  <si>
    <t>f Assumes there will be three QA audits by third-party certifiers for each of the 39 manufacturers over the three-year ICR period and that each of these audit reports will be reviewed by the manufacturer (in all cases) and may require preparing a response to the audit (in cases where deficiencies are identified).</t>
  </si>
  <si>
    <r>
      <rPr>
        <vertAlign val="superscript"/>
        <sz val="10"/>
        <rFont val="Times New Roman"/>
        <family val="1"/>
      </rPr>
      <t>g</t>
    </r>
    <r>
      <rPr>
        <sz val="10"/>
        <rFont val="Times New Roman"/>
        <family val="1"/>
      </rPr>
      <t xml:space="preserve"> 40 CFR 60.5475(m) requires an annual audit of the QA plan for each model line. Assumes there will be three QA audits by third-party certifiers for each of the 39 manufacturers over the three-year ICR period and each of these audit reports will be reviewed by the manufacturer (in all cases) and may require preparing a response to the audit (in cases where deficiencies are identified).</t>
    </r>
  </si>
  <si>
    <r>
      <t xml:space="preserve">6. QA annual audit reports </t>
    </r>
    <r>
      <rPr>
        <vertAlign val="superscript"/>
        <sz val="10"/>
        <rFont val="Times New Roman"/>
        <family val="1"/>
      </rPr>
      <t>g, h</t>
    </r>
  </si>
  <si>
    <t>&lt;will need to obtain reapproval as test lab and certifier</t>
  </si>
  <si>
    <t>&lt;will need to obtain reapproval as test lab</t>
  </si>
  <si>
    <t>&lt;will need to obtain reapproval as certifier</t>
  </si>
  <si>
    <t>h All 8 testing labs are ISO accredited and certified by EPA. Three tests labs will require ISO re-accreditation in the three year period.</t>
  </si>
  <si>
    <t>j All 8 third-party certifiers are ISO accredited and certified by EPA. Five certifiers will require ISO re-accreditation in the three year period.</t>
  </si>
  <si>
    <r>
      <t>f</t>
    </r>
    <r>
      <rPr>
        <sz val="10"/>
        <color rgb="FF000000"/>
        <rFont val="Times New Roman"/>
        <family val="1"/>
      </rPr>
      <t xml:space="preserve"> 8 testing labs are ISO-accredited. 8 labs are currently certified by EPA, and 3 labs would require recertification following 2020. We assume an average cost to obtain ISO accreditation is $75,000 based on cost estimates provided by manufacturers. </t>
    </r>
  </si>
  <si>
    <r>
      <t>g</t>
    </r>
    <r>
      <rPr>
        <sz val="10"/>
        <color rgb="FF000000"/>
        <rFont val="Times New Roman"/>
        <family val="1"/>
      </rPr>
      <t xml:space="preserve"> 8 third-party certifiers are ISO accredited. 8 are currently certified by EPA and 5 would require recertification following 2020. We assume an average cost to obtain ISO accreditation is $75,000 based on cost estimates provided by manufacturers.</t>
    </r>
  </si>
  <si>
    <r>
      <rPr>
        <vertAlign val="superscript"/>
        <sz val="10"/>
        <rFont val="Times New Roman"/>
        <family val="1"/>
      </rPr>
      <t>k</t>
    </r>
    <r>
      <rPr>
        <sz val="10"/>
        <rFont val="Times New Roman"/>
        <family val="1"/>
      </rPr>
      <t xml:space="preserve"> 40 CFR 63.5479(b) requires that each third-party certifier must submit each certification test, quality assurance program inspection report and ISO-IEC accreditation credentials to the Administrator.</t>
    </r>
  </si>
  <si>
    <r>
      <rPr>
        <vertAlign val="superscript"/>
        <sz val="10"/>
        <rFont val="Times New Roman"/>
        <family val="1"/>
      </rPr>
      <t>n</t>
    </r>
    <r>
      <rPr>
        <sz val="10"/>
        <rFont val="Times New Roman"/>
        <family val="1"/>
      </rPr>
      <t xml:space="preserve"> Assumes that one stove is sealed and retained for each certification test. Assumes all stoves certified to 2015 standard and all stoves certified to 2020 standard are stored for the 3-year period.</t>
    </r>
  </si>
  <si>
    <t>&lt;-- new line item, includes submittal of certification,QA audit reports, and credentials.</t>
  </si>
  <si>
    <r>
      <t xml:space="preserve">2. QA parameter inspections </t>
    </r>
    <r>
      <rPr>
        <vertAlign val="superscript"/>
        <sz val="10"/>
        <rFont val="Times New Roman"/>
        <family val="1"/>
      </rPr>
      <t>m</t>
    </r>
  </si>
  <si>
    <r>
      <rPr>
        <vertAlign val="superscript"/>
        <sz val="10"/>
        <rFont val="Times New Roman"/>
        <family val="1"/>
      </rPr>
      <t>m</t>
    </r>
    <r>
      <rPr>
        <sz val="10"/>
        <rFont val="Times New Roman"/>
        <family val="1"/>
      </rPr>
      <t xml:space="preserve"> Quality parameter inspections are part of the existing safety inspections program. Assume that all manufacturers (39) will spend 2 hours per quarter to document results for each certified model.</t>
    </r>
  </si>
  <si>
    <r>
      <rPr>
        <vertAlign val="superscript"/>
        <sz val="10"/>
        <rFont val="Times New Roman"/>
        <family val="1"/>
      </rPr>
      <t>i</t>
    </r>
    <r>
      <rPr>
        <sz val="10"/>
        <rFont val="Times New Roman"/>
        <family val="1"/>
      </rPr>
      <t xml:space="preserve"> Assume 8 testing labs participate in proficiency testing every 2 years. 40 CFR 5479(b) requires that each approved test laboratory submit accreditation credentials and all proficiency test results to the Administrator.</t>
    </r>
  </si>
  <si>
    <r>
      <rPr>
        <vertAlign val="superscript"/>
        <sz val="10"/>
        <rFont val="Times New Roman"/>
        <family val="1"/>
      </rPr>
      <t>h</t>
    </r>
    <r>
      <rPr>
        <sz val="10"/>
        <rFont val="Times New Roman"/>
        <family val="1"/>
      </rPr>
      <t xml:space="preserve"> Assume that there are 11 laboratories acting as testing labs and/or third-party certifiers, including 8 testing labs. The 8 testing labs are currently certified by EPA; 3 testing labs are certified through the end of 2020 and would be anticipated to reapply for re-accreditation in the three-year period. </t>
    </r>
  </si>
  <si>
    <r>
      <rPr>
        <vertAlign val="superscript"/>
        <sz val="10"/>
        <rFont val="Times New Roman"/>
        <family val="1"/>
      </rPr>
      <t>j</t>
    </r>
    <r>
      <rPr>
        <sz val="10"/>
        <rFont val="Times New Roman"/>
        <family val="1"/>
      </rPr>
      <t xml:space="preserve"> Assume 8 third-party certifiers are ISO accredited and currently certified by EPA; 5 third-party certifiers are certified through the end of 2020 and would be anticipated to reapply for re-accreditation in the three-year period. </t>
    </r>
  </si>
  <si>
    <r>
      <rPr>
        <vertAlign val="superscript"/>
        <sz val="10"/>
        <rFont val="Times New Roman"/>
        <family val="1"/>
      </rPr>
      <t>f</t>
    </r>
    <r>
      <rPr>
        <sz val="10"/>
        <rFont val="Times New Roman"/>
        <family val="1"/>
      </rPr>
      <t xml:space="preserve"> Assumes 8 testing labs are currently approved by EPA; 3 testing labs are certified through the end of 2020 and would be anticipated to reapply for re-accreditation in the three-year period. </t>
    </r>
  </si>
  <si>
    <r>
      <rPr>
        <vertAlign val="superscript"/>
        <sz val="10"/>
        <rFont val="Times New Roman"/>
        <family val="1"/>
      </rPr>
      <t xml:space="preserve">k </t>
    </r>
    <r>
      <rPr>
        <sz val="10"/>
        <rFont val="Times New Roman"/>
        <family val="1"/>
      </rPr>
      <t xml:space="preserve">Assumes 8 third-party certifiers are currently certified by EPA; 5 third-party certifiers are certified through the end of 2020 and would be anticipated to reapply for re-accreditation in the three-year period. </t>
    </r>
  </si>
  <si>
    <r>
      <rPr>
        <vertAlign val="superscript"/>
        <sz val="10"/>
        <rFont val="Times New Roman"/>
        <family val="1"/>
      </rPr>
      <t>c</t>
    </r>
    <r>
      <rPr>
        <sz val="10"/>
        <rFont val="Times New Roman"/>
        <family val="1"/>
      </rPr>
      <t xml:space="preserve"> Assume there are 32 hydronic heater manufacturers with 127 model lines, 7 forced-air furnace manufacturers with 19 model lines. Over the next three years, assume a like number of existing models certified to 2015 standards are replaced with models certified to 2020 standards and certification testing is performed. </t>
    </r>
  </si>
  <si>
    <r>
      <t>a</t>
    </r>
    <r>
      <rPr>
        <sz val="10"/>
        <color rgb="FF000000"/>
        <rFont val="Times New Roman"/>
        <family val="1"/>
      </rPr>
      <t xml:space="preserve"> We assume that manufacturers will test approximately 49 new models per year (127 hydronic heater models + 19 forced-air furnace models / 3 years = 48.667 models or 49 models) at a cost of $55,000 per test (includes EPA testing ($30,000), confirmation safety testing or full safety testing ($22,500), and shipping of prototype(s)($2,500) costs)) and apply to meet Step 2 emission standards during the three year ICR period. </t>
    </r>
  </si>
  <si>
    <t>&lt;-- adjusted formula to round # of models tested per year</t>
  </si>
  <si>
    <t>&lt;-- adjusted formula to round # of respondents per year</t>
  </si>
  <si>
    <t>$55,000 per model</t>
  </si>
  <si>
    <t>$63,564 per model</t>
  </si>
  <si>
    <t>Number of New Respondents/Models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</si>
</sst>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164" formatCode="###0.00;###0.00"/>
    <numFmt numFmtId="165" formatCode="###0.0;###0.0"/>
    <numFmt numFmtId="166" formatCode="###0;###0"/>
    <numFmt numFmtId="167" formatCode="_(&quot;$&quot;* #,##0_);_(&quot;$&quot;* \(#,##0\);_(&quot;$&quot;* &quot;-&quot;??_);_(@_)"/>
    <numFmt numFmtId="168" formatCode="#,##0;#,##0"/>
    <numFmt numFmtId="169" formatCode="0.0"/>
    <numFmt numFmtId="170" formatCode="&quot;$&quot;#,##0.00"/>
    <numFmt numFmtId="171" formatCode="&quot;$&quot;#,##0"/>
  </numFmts>
  <fonts count="25" x14ac:knownFonts="1">
    <font>
      <sz val="10"/>
      <color rgb="FF000000"/>
      <name val="Times New Roman"/>
      <charset val="204"/>
    </font>
    <font>
      <sz val="10"/>
      <color rgb="FF000000"/>
      <name val="Times New Roman"/>
      <family val="1"/>
    </font>
    <font>
      <b/>
      <sz val="10"/>
      <color rgb="FF000000"/>
      <name val="Times New Roman"/>
      <family val="1"/>
    </font>
    <font>
      <i/>
      <sz val="10"/>
      <color rgb="FF000000"/>
      <name val="Times New Roman"/>
      <family val="1"/>
    </font>
    <font>
      <b/>
      <sz val="11"/>
      <color rgb="FF000000"/>
      <name val="Times New Roman"/>
      <family val="1"/>
    </font>
    <font>
      <sz val="11"/>
      <color rgb="FF000000"/>
      <name val="Times New Roman"/>
      <family val="1"/>
    </font>
    <font>
      <vertAlign val="superscript"/>
      <sz val="11"/>
      <color rgb="FF000000"/>
      <name val="Times New Roman"/>
      <family val="1"/>
    </font>
    <font>
      <b/>
      <vertAlign val="superscript"/>
      <sz val="11"/>
      <color rgb="FF000000"/>
      <name val="Times New Roman"/>
      <family val="1"/>
    </font>
    <font>
      <vertAlign val="superscript"/>
      <sz val="10"/>
      <color rgb="FF000000"/>
      <name val="Times New Roman"/>
      <family val="1"/>
    </font>
    <font>
      <sz val="10"/>
      <color rgb="FFFF0000"/>
      <name val="Times New Roman"/>
      <family val="1"/>
    </font>
    <font>
      <sz val="10"/>
      <name val="Times New Roman"/>
      <family val="1"/>
    </font>
    <font>
      <b/>
      <sz val="10"/>
      <name val="Times New Roman"/>
      <family val="1"/>
    </font>
    <font>
      <i/>
      <sz val="10"/>
      <name val="Times New Roman"/>
      <family val="1"/>
    </font>
    <font>
      <vertAlign val="superscript"/>
      <sz val="10"/>
      <name val="Times New Roman"/>
      <family val="1"/>
    </font>
    <font>
      <b/>
      <vertAlign val="superscript"/>
      <sz val="10"/>
      <name val="Times New Roman"/>
      <family val="1"/>
    </font>
    <font>
      <b/>
      <i/>
      <sz val="10"/>
      <name val="Times New Roman"/>
      <family val="1"/>
    </font>
    <font>
      <sz val="11"/>
      <color theme="1"/>
      <name val="Times New Roman"/>
      <family val="1"/>
    </font>
    <font>
      <sz val="11"/>
      <color rgb="FFFF0000"/>
      <name val="Times New Roman"/>
      <family val="1"/>
    </font>
    <font>
      <b/>
      <sz val="10"/>
      <color theme="1"/>
      <name val="Times New Roman"/>
      <family val="1"/>
    </font>
    <font>
      <sz val="10"/>
      <color theme="1"/>
      <name val="Times New Roman"/>
      <family val="1"/>
    </font>
    <font>
      <sz val="10"/>
      <color theme="1"/>
      <name val="Arial"/>
      <family val="2"/>
    </font>
    <font>
      <b/>
      <sz val="12"/>
      <color rgb="FF000000"/>
      <name val="Times New Roman"/>
      <family val="1"/>
    </font>
    <font>
      <sz val="11"/>
      <name val="Times New Roman"/>
      <family val="1"/>
    </font>
    <font>
      <b/>
      <sz val="16"/>
      <name val="Arial Narrow"/>
      <family val="2"/>
    </font>
    <font>
      <vertAlign val="superscript"/>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thin">
        <color rgb="FFD5D5D5"/>
      </left>
      <right/>
      <top style="thin">
        <color rgb="FFD5D5D5"/>
      </top>
      <bottom style="thin">
        <color rgb="FF000000"/>
      </bottom>
      <diagonal/>
    </border>
    <border>
      <left/>
      <right/>
      <top style="thin">
        <color rgb="FFD5D5D5"/>
      </top>
      <bottom style="thin">
        <color rgb="FF000000"/>
      </bottom>
      <diagonal/>
    </border>
    <border>
      <left/>
      <right style="thin">
        <color rgb="FFD5D5D5"/>
      </right>
      <top style="thin">
        <color rgb="FFD5D5D5"/>
      </top>
      <bottom style="thin">
        <color rgb="FF000000"/>
      </bottom>
      <diagonal/>
    </border>
    <border>
      <left style="thin">
        <color rgb="FF000000"/>
      </left>
      <right style="thin">
        <color rgb="FF000000"/>
      </right>
      <top style="thin">
        <color rgb="FFD5D5D5"/>
      </top>
      <bottom style="thin">
        <color rgb="FFD5D5D5"/>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D5D5D5"/>
      </left>
      <right/>
      <top style="thin">
        <color rgb="FFD5D5D5"/>
      </top>
      <bottom style="thin">
        <color rgb="FFD5D5D5"/>
      </bottom>
      <diagonal/>
    </border>
    <border>
      <left/>
      <right/>
      <top style="thin">
        <color rgb="FFD5D5D5"/>
      </top>
      <bottom style="thin">
        <color rgb="FFD5D5D5"/>
      </bottom>
      <diagonal/>
    </border>
    <border>
      <left/>
      <right/>
      <top style="thin">
        <color rgb="FFD5D5D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D5D5D5"/>
      </left>
      <right/>
      <top/>
      <bottom style="thin">
        <color rgb="FFD5D5D5"/>
      </bottom>
      <diagonal/>
    </border>
    <border>
      <left/>
      <right/>
      <top/>
      <bottom style="thin">
        <color rgb="FFD5D5D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style="medium">
        <color indexed="64"/>
      </right>
      <top style="double">
        <color indexed="64"/>
      </top>
      <bottom/>
      <diagonal/>
    </border>
    <border>
      <left/>
      <right style="medium">
        <color indexed="64"/>
      </right>
      <top style="double">
        <color indexed="64"/>
      </top>
      <bottom/>
      <diagonal/>
    </border>
    <border>
      <left/>
      <right style="double">
        <color indexed="64"/>
      </right>
      <top style="double">
        <color indexed="64"/>
      </top>
      <bottom/>
      <diagonal/>
    </border>
    <border>
      <left style="double">
        <color indexed="64"/>
      </left>
      <right style="medium">
        <color indexed="64"/>
      </right>
      <top/>
      <bottom/>
      <diagonal/>
    </border>
    <border>
      <left/>
      <right style="medium">
        <color indexed="64"/>
      </right>
      <top/>
      <bottom/>
      <diagonal/>
    </border>
    <border>
      <left/>
      <right style="double">
        <color indexed="64"/>
      </right>
      <top/>
      <bottom/>
      <diagonal/>
    </border>
    <border>
      <left style="double">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right/>
      <top style="double">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rgb="FF000000"/>
      </left>
      <right style="thin">
        <color rgb="FFD5D5D5"/>
      </right>
      <top/>
      <bottom/>
      <diagonal/>
    </border>
    <border>
      <left style="thin">
        <color rgb="FFD5D5D5"/>
      </left>
      <right style="thin">
        <color rgb="FFD5D5D5"/>
      </right>
      <top/>
      <bottom/>
      <diagonal/>
    </border>
    <border>
      <left style="thin">
        <color rgb="FFD5D5D5"/>
      </left>
      <right style="thin">
        <color rgb="FF000000"/>
      </right>
      <top/>
      <bottom/>
      <diagonal/>
    </border>
  </borders>
  <cellStyleXfs count="3">
    <xf numFmtId="0" fontId="0" fillId="0" borderId="0"/>
    <xf numFmtId="44" fontId="1" fillId="0" borderId="0" applyFont="0" applyFill="0" applyBorder="0" applyAlignment="0" applyProtection="0"/>
    <xf numFmtId="0" fontId="20" fillId="0" borderId="0"/>
  </cellStyleXfs>
  <cellXfs count="178">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 fillId="0" borderId="13" xfId="0" applyFont="1" applyFill="1" applyBorder="1" applyAlignment="1">
      <alignment horizontal="left" vertical="top"/>
    </xf>
    <xf numFmtId="0" fontId="1" fillId="0" borderId="13" xfId="0" applyFont="1" applyFill="1" applyBorder="1" applyAlignment="1">
      <alignment horizontal="left" vertical="top"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6" fontId="5" fillId="0" borderId="34" xfId="0" applyNumberFormat="1" applyFont="1" applyFill="1" applyBorder="1" applyAlignment="1">
      <alignment horizontal="center"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center" vertical="center" wrapText="1"/>
    </xf>
    <xf numFmtId="6" fontId="5" fillId="0" borderId="37" xfId="0" applyNumberFormat="1" applyFont="1" applyFill="1" applyBorder="1" applyAlignment="1">
      <alignment horizontal="center" vertical="center" wrapText="1"/>
    </xf>
    <xf numFmtId="0" fontId="4" fillId="0" borderId="35" xfId="0" applyFont="1" applyFill="1" applyBorder="1" applyAlignment="1">
      <alignment horizontal="left" vertical="center" wrapText="1"/>
    </xf>
    <xf numFmtId="0" fontId="9" fillId="0" borderId="0" xfId="0" applyFont="1" applyFill="1" applyBorder="1" applyAlignment="1">
      <alignment horizontal="left" vertical="top"/>
    </xf>
    <xf numFmtId="0" fontId="2"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170" fontId="10" fillId="0" borderId="5" xfId="1" applyNumberFormat="1" applyFont="1" applyFill="1" applyBorder="1" applyAlignment="1">
      <alignment horizontal="right" vertical="top" wrapText="1"/>
    </xf>
    <xf numFmtId="171" fontId="10" fillId="0" borderId="5" xfId="1" applyNumberFormat="1" applyFont="1" applyFill="1" applyBorder="1" applyAlignment="1">
      <alignment horizontal="right" vertical="top" wrapText="1"/>
    </xf>
    <xf numFmtId="0" fontId="11" fillId="0" borderId="5"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4" xfId="0" applyFont="1" applyFill="1" applyBorder="1" applyAlignment="1">
      <alignment horizontal="center" vertical="center" wrapText="1"/>
    </xf>
    <xf numFmtId="0" fontId="10" fillId="0" borderId="4" xfId="0" applyFont="1" applyFill="1" applyBorder="1" applyAlignment="1">
      <alignment horizontal="center" vertical="top" wrapText="1"/>
    </xf>
    <xf numFmtId="0" fontId="12" fillId="0" borderId="5" xfId="0" applyFont="1" applyFill="1" applyBorder="1" applyAlignment="1">
      <alignment horizontal="left" vertical="top" wrapText="1"/>
    </xf>
    <xf numFmtId="164" fontId="1" fillId="0" borderId="5" xfId="0" applyNumberFormat="1" applyFont="1" applyFill="1" applyBorder="1" applyAlignment="1">
      <alignment horizontal="center" vertical="top" wrapText="1"/>
    </xf>
    <xf numFmtId="165" fontId="1" fillId="0" borderId="5" xfId="0" applyNumberFormat="1" applyFont="1" applyFill="1" applyBorder="1" applyAlignment="1">
      <alignment horizontal="center" vertical="top" wrapText="1"/>
    </xf>
    <xf numFmtId="166" fontId="1" fillId="0" borderId="5" xfId="0" applyNumberFormat="1" applyFont="1" applyFill="1" applyBorder="1" applyAlignment="1">
      <alignment horizontal="center" vertical="top" wrapText="1"/>
    </xf>
    <xf numFmtId="0" fontId="12" fillId="0" borderId="6" xfId="0" applyFont="1" applyFill="1" applyBorder="1" applyAlignment="1">
      <alignment horizontal="left" vertical="top" wrapText="1"/>
    </xf>
    <xf numFmtId="167" fontId="1" fillId="0" borderId="5" xfId="1" applyNumberFormat="1" applyFont="1" applyFill="1" applyBorder="1" applyAlignment="1">
      <alignment horizontal="left" vertical="top" wrapText="1"/>
    </xf>
    <xf numFmtId="44" fontId="1" fillId="0" borderId="5" xfId="0" applyNumberFormat="1" applyFont="1" applyFill="1" applyBorder="1" applyAlignment="1">
      <alignment horizontal="left" vertical="top" wrapText="1"/>
    </xf>
    <xf numFmtId="0" fontId="15" fillId="0" borderId="20" xfId="0" applyFont="1" applyFill="1" applyBorder="1" applyAlignment="1">
      <alignment horizontal="left" vertical="top" wrapText="1"/>
    </xf>
    <xf numFmtId="166" fontId="1" fillId="2" borderId="5" xfId="0" applyNumberFormat="1" applyFont="1" applyFill="1" applyBorder="1" applyAlignment="1">
      <alignment horizontal="center" vertical="top" wrapText="1"/>
    </xf>
    <xf numFmtId="170" fontId="10" fillId="2" borderId="5" xfId="1" applyNumberFormat="1" applyFont="1" applyFill="1" applyBorder="1" applyAlignment="1">
      <alignment horizontal="right" vertical="top" wrapText="1"/>
    </xf>
    <xf numFmtId="0" fontId="1" fillId="2" borderId="0" xfId="0" applyFont="1" applyFill="1" applyBorder="1" applyAlignment="1">
      <alignment horizontal="left" vertical="top"/>
    </xf>
    <xf numFmtId="166" fontId="1" fillId="0" borderId="13" xfId="0" applyNumberFormat="1" applyFont="1" applyFill="1" applyBorder="1" applyAlignment="1">
      <alignment horizontal="center" vertical="top" wrapText="1"/>
    </xf>
    <xf numFmtId="170" fontId="10" fillId="0" borderId="13" xfId="1" applyNumberFormat="1" applyFont="1" applyFill="1" applyBorder="1" applyAlignment="1">
      <alignment horizontal="right" vertical="top" wrapText="1"/>
    </xf>
    <xf numFmtId="0" fontId="15" fillId="0" borderId="6" xfId="0" applyFont="1" applyFill="1" applyBorder="1" applyAlignment="1">
      <alignment horizontal="left" vertical="top" wrapText="1"/>
    </xf>
    <xf numFmtId="0" fontId="3" fillId="0" borderId="13" xfId="0" applyFont="1" applyFill="1" applyBorder="1" applyAlignment="1">
      <alignment horizontal="center" vertical="top" wrapText="1"/>
    </xf>
    <xf numFmtId="0" fontId="11" fillId="0" borderId="8" xfId="0" applyFont="1" applyFill="1" applyBorder="1" applyAlignment="1">
      <alignment horizontal="left" vertical="top" wrapText="1"/>
    </xf>
    <xf numFmtId="0" fontId="1" fillId="0" borderId="14" xfId="0" applyFont="1" applyFill="1" applyBorder="1" applyAlignment="1">
      <alignment horizontal="center" vertical="top" wrapText="1"/>
    </xf>
    <xf numFmtId="171" fontId="11" fillId="0" borderId="14" xfId="1" applyNumberFormat="1" applyFont="1" applyFill="1" applyBorder="1" applyAlignment="1">
      <alignment horizontal="right" vertical="top" wrapText="1"/>
    </xf>
    <xf numFmtId="0" fontId="11" fillId="0" borderId="13" xfId="0" applyFont="1" applyFill="1" applyBorder="1" applyAlignment="1">
      <alignment horizontal="left" vertical="top" wrapText="1"/>
    </xf>
    <xf numFmtId="0" fontId="10" fillId="0" borderId="13" xfId="0" applyFont="1" applyFill="1" applyBorder="1" applyAlignment="1">
      <alignment horizontal="left" vertical="top" wrapText="1"/>
    </xf>
    <xf numFmtId="171" fontId="2" fillId="0" borderId="13" xfId="0" applyNumberFormat="1" applyFont="1" applyFill="1" applyBorder="1" applyAlignment="1">
      <alignment horizontal="right" vertical="top" wrapText="1"/>
    </xf>
    <xf numFmtId="1" fontId="1" fillId="0" borderId="0" xfId="0" applyNumberFormat="1" applyFont="1" applyFill="1" applyBorder="1" applyAlignment="1">
      <alignment horizontal="left" vertical="top"/>
    </xf>
    <xf numFmtId="0" fontId="16" fillId="0" borderId="0" xfId="0" applyFont="1"/>
    <xf numFmtId="0" fontId="16" fillId="0" borderId="24" xfId="0" applyFont="1" applyFill="1" applyBorder="1"/>
    <xf numFmtId="0" fontId="9" fillId="0" borderId="0" xfId="0" applyFont="1" applyFill="1"/>
    <xf numFmtId="0" fontId="16" fillId="0" borderId="42" xfId="0" applyFont="1" applyFill="1" applyBorder="1"/>
    <xf numFmtId="170" fontId="5" fillId="0" borderId="25" xfId="0" applyNumberFormat="1" applyFont="1" applyFill="1" applyBorder="1" applyAlignment="1">
      <alignment horizontal="right" vertical="center"/>
    </xf>
    <xf numFmtId="170" fontId="5" fillId="0" borderId="43" xfId="0" applyNumberFormat="1" applyFont="1" applyFill="1" applyBorder="1" applyAlignment="1">
      <alignment horizontal="right" vertical="center"/>
    </xf>
    <xf numFmtId="0" fontId="17" fillId="0" borderId="0" xfId="0" applyFont="1" applyFill="1"/>
    <xf numFmtId="44" fontId="5" fillId="0" borderId="25" xfId="1" applyFont="1" applyFill="1" applyBorder="1" applyAlignment="1">
      <alignment horizontal="left" vertical="top"/>
    </xf>
    <xf numFmtId="44" fontId="5" fillId="0" borderId="43" xfId="1" applyFont="1" applyFill="1" applyBorder="1" applyAlignment="1">
      <alignment horizontal="left" vertical="top"/>
    </xf>
    <xf numFmtId="0" fontId="12" fillId="0" borderId="22" xfId="0" applyFont="1" applyFill="1" applyBorder="1" applyAlignment="1">
      <alignment horizontal="left" vertical="top" wrapText="1"/>
    </xf>
    <xf numFmtId="0" fontId="10" fillId="0" borderId="5" xfId="0" applyFont="1" applyFill="1" applyBorder="1" applyAlignment="1">
      <alignment horizontal="left" vertical="top" wrapText="1" indent="1"/>
    </xf>
    <xf numFmtId="0" fontId="10" fillId="2" borderId="5" xfId="0" applyFont="1" applyFill="1" applyBorder="1" applyAlignment="1">
      <alignment horizontal="left" vertical="top" wrapText="1" indent="1"/>
    </xf>
    <xf numFmtId="0" fontId="10" fillId="0" borderId="6" xfId="0" applyFont="1" applyFill="1" applyBorder="1" applyAlignment="1">
      <alignment horizontal="left" vertical="top" wrapText="1" indent="1"/>
    </xf>
    <xf numFmtId="0" fontId="10" fillId="0" borderId="5" xfId="0" applyFont="1" applyFill="1" applyBorder="1" applyAlignment="1">
      <alignment horizontal="left" vertical="top" wrapText="1" indent="2"/>
    </xf>
    <xf numFmtId="170" fontId="12" fillId="0" borderId="20" xfId="1" applyNumberFormat="1" applyFont="1" applyFill="1" applyBorder="1" applyAlignment="1">
      <alignment horizontal="right" vertical="top" wrapText="1"/>
    </xf>
    <xf numFmtId="170" fontId="12" fillId="0" borderId="13" xfId="1" applyNumberFormat="1" applyFont="1" applyFill="1" applyBorder="1" applyAlignment="1">
      <alignment horizontal="right" vertical="top" wrapText="1"/>
    </xf>
    <xf numFmtId="0" fontId="11" fillId="0" borderId="20" xfId="0" applyFont="1" applyFill="1" applyBorder="1" applyAlignment="1">
      <alignment horizontal="left" vertical="top" wrapText="1"/>
    </xf>
    <xf numFmtId="0" fontId="1" fillId="0" borderId="20" xfId="0" applyFont="1" applyFill="1" applyBorder="1" applyAlignment="1">
      <alignment horizontal="left" vertical="top" wrapText="1"/>
    </xf>
    <xf numFmtId="171" fontId="10" fillId="0" borderId="20" xfId="1" applyNumberFormat="1" applyFont="1" applyFill="1" applyBorder="1" applyAlignment="1">
      <alignment horizontal="right" vertical="top" wrapText="1"/>
    </xf>
    <xf numFmtId="0" fontId="18" fillId="0" borderId="0" xfId="0" applyFont="1"/>
    <xf numFmtId="0" fontId="19" fillId="0" borderId="0" xfId="0" applyFont="1"/>
    <xf numFmtId="0" fontId="2" fillId="0" borderId="24" xfId="2" applyFont="1" applyBorder="1" applyAlignment="1">
      <alignment vertical="top" wrapText="1"/>
    </xf>
    <xf numFmtId="0" fontId="1" fillId="0" borderId="13" xfId="2" applyFont="1" applyBorder="1" applyAlignment="1">
      <alignment vertical="top" wrapText="1"/>
    </xf>
    <xf numFmtId="0" fontId="1" fillId="0" borderId="14" xfId="2" applyFont="1" applyBorder="1" applyAlignment="1">
      <alignment horizontal="center" vertical="top" wrapText="1"/>
    </xf>
    <xf numFmtId="0" fontId="1" fillId="0" borderId="45" xfId="2" applyFont="1" applyBorder="1" applyAlignment="1">
      <alignment horizontal="center" vertical="top" wrapText="1"/>
    </xf>
    <xf numFmtId="0" fontId="1" fillId="0" borderId="45" xfId="2" applyFont="1" applyFill="1" applyBorder="1" applyAlignment="1">
      <alignment horizontal="center" vertical="top" wrapText="1"/>
    </xf>
    <xf numFmtId="0" fontId="10" fillId="0" borderId="13" xfId="2" applyFont="1" applyBorder="1" applyAlignment="1">
      <alignment horizontal="center" vertical="top" wrapText="1"/>
    </xf>
    <xf numFmtId="1" fontId="10" fillId="0" borderId="13" xfId="2" applyNumberFormat="1" applyFont="1" applyFill="1" applyBorder="1" applyAlignment="1">
      <alignment horizontal="center" vertical="top" wrapText="1"/>
    </xf>
    <xf numFmtId="3" fontId="10" fillId="0" borderId="13" xfId="2" applyNumberFormat="1" applyFont="1" applyFill="1" applyBorder="1" applyAlignment="1">
      <alignment horizontal="center" vertical="top" wrapText="1"/>
    </xf>
    <xf numFmtId="0" fontId="19" fillId="0" borderId="0" xfId="2" applyFont="1"/>
    <xf numFmtId="0" fontId="19" fillId="0" borderId="1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3" xfId="0" applyFont="1" applyBorder="1" applyAlignment="1">
      <alignment horizontal="left" vertical="center" wrapText="1"/>
    </xf>
    <xf numFmtId="0" fontId="19" fillId="0" borderId="13" xfId="0" applyFont="1" applyBorder="1" applyAlignment="1">
      <alignment horizontal="center" vertical="center" wrapText="1"/>
    </xf>
    <xf numFmtId="0" fontId="18" fillId="0" borderId="13" xfId="0" applyFont="1" applyBorder="1" applyAlignment="1">
      <alignment horizontal="center" vertical="center" wrapText="1"/>
    </xf>
    <xf numFmtId="3" fontId="18" fillId="0" borderId="13" xfId="0" applyNumberFormat="1" applyFont="1" applyBorder="1" applyAlignment="1">
      <alignment horizontal="center" vertical="center" wrapText="1"/>
    </xf>
    <xf numFmtId="0" fontId="19" fillId="0" borderId="0" xfId="2" applyFont="1" applyAlignment="1">
      <alignment horizontal="right"/>
    </xf>
    <xf numFmtId="0" fontId="19" fillId="0" borderId="13" xfId="0" applyFont="1" applyBorder="1" applyAlignment="1">
      <alignment horizontal="center" vertical="center" wrapText="1"/>
    </xf>
    <xf numFmtId="0" fontId="19" fillId="0" borderId="23" xfId="0" applyFont="1" applyBorder="1" applyAlignment="1">
      <alignment horizontal="left" vertical="center" wrapText="1"/>
    </xf>
    <xf numFmtId="0" fontId="19" fillId="0" borderId="13" xfId="0" applyFont="1" applyBorder="1" applyAlignment="1">
      <alignment horizontal="left" vertical="center" wrapText="1" indent="1"/>
    </xf>
    <xf numFmtId="0" fontId="10" fillId="0" borderId="13" xfId="0" applyFont="1" applyFill="1" applyBorder="1" applyAlignment="1">
      <alignment horizontal="left" vertical="top" wrapText="1" indent="1"/>
    </xf>
    <xf numFmtId="0" fontId="10" fillId="0" borderId="6" xfId="0" applyFont="1" applyFill="1" applyBorder="1" applyAlignment="1">
      <alignment horizontal="left" vertical="top" wrapText="1"/>
    </xf>
    <xf numFmtId="169" fontId="19" fillId="0" borderId="13" xfId="0" applyNumberFormat="1" applyFont="1" applyBorder="1" applyAlignment="1">
      <alignment horizontal="center" vertical="center" wrapText="1"/>
    </xf>
    <xf numFmtId="169" fontId="10" fillId="0" borderId="13" xfId="2" applyNumberFormat="1" applyFont="1" applyFill="1" applyBorder="1" applyAlignment="1">
      <alignment horizontal="center" vertical="top" wrapText="1"/>
    </xf>
    <xf numFmtId="0" fontId="10" fillId="0" borderId="0" xfId="0" applyFont="1" applyFill="1" applyBorder="1" applyAlignment="1">
      <alignment horizontal="left" vertical="top"/>
    </xf>
    <xf numFmtId="0" fontId="19" fillId="0" borderId="13" xfId="0" applyFont="1" applyBorder="1" applyAlignment="1">
      <alignment horizontal="center" vertical="center" wrapText="1"/>
    </xf>
    <xf numFmtId="0" fontId="1" fillId="0" borderId="0" xfId="0" applyFont="1" applyFill="1" applyBorder="1" applyAlignment="1">
      <alignment horizontal="left" vertical="top" wrapText="1"/>
    </xf>
    <xf numFmtId="0" fontId="1" fillId="0" borderId="13" xfId="0" applyFont="1" applyFill="1" applyBorder="1" applyAlignment="1">
      <alignment horizontal="center" vertical="top" wrapText="1"/>
    </xf>
    <xf numFmtId="0" fontId="1" fillId="0" borderId="13" xfId="0" applyFont="1" applyFill="1" applyBorder="1" applyAlignment="1">
      <alignment horizontal="center" vertical="center"/>
    </xf>
    <xf numFmtId="14" fontId="1" fillId="0" borderId="13" xfId="0" applyNumberFormat="1" applyFont="1" applyFill="1" applyBorder="1" applyAlignment="1">
      <alignment horizontal="center" vertical="top"/>
    </xf>
    <xf numFmtId="1" fontId="19" fillId="0" borderId="13" xfId="0" applyNumberFormat="1" applyFont="1" applyBorder="1" applyAlignment="1">
      <alignment horizontal="center" vertical="center" wrapText="1"/>
    </xf>
    <xf numFmtId="1" fontId="10" fillId="0" borderId="13" xfId="2" applyNumberFormat="1" applyFont="1" applyFill="1" applyBorder="1" applyAlignment="1">
      <alignment horizontal="center" vertical="center" wrapText="1"/>
    </xf>
    <xf numFmtId="2" fontId="19" fillId="0" borderId="13" xfId="0" applyNumberFormat="1" applyFont="1" applyBorder="1" applyAlignment="1">
      <alignment horizontal="center" vertical="center" wrapText="1"/>
    </xf>
    <xf numFmtId="0" fontId="2" fillId="0" borderId="0" xfId="0" applyFont="1" applyFill="1" applyBorder="1" applyAlignment="1">
      <alignment horizontal="left" vertical="top"/>
    </xf>
    <xf numFmtId="166" fontId="1" fillId="0" borderId="20" xfId="0" applyNumberFormat="1" applyFont="1" applyFill="1" applyBorder="1" applyAlignment="1">
      <alignment horizontal="center" vertical="top" wrapText="1"/>
    </xf>
    <xf numFmtId="0" fontId="3" fillId="0" borderId="46" xfId="0" applyFont="1" applyFill="1" applyBorder="1" applyAlignment="1">
      <alignment horizontal="center" vertical="top" wrapText="1"/>
    </xf>
    <xf numFmtId="0" fontId="3" fillId="0" borderId="47" xfId="0" applyFont="1" applyFill="1" applyBorder="1" applyAlignment="1">
      <alignment horizontal="center" vertical="top" wrapText="1"/>
    </xf>
    <xf numFmtId="0" fontId="3" fillId="0" borderId="48" xfId="0" applyFont="1" applyFill="1" applyBorder="1" applyAlignment="1">
      <alignment horizontal="center" vertical="top" wrapText="1"/>
    </xf>
    <xf numFmtId="0" fontId="0" fillId="0" borderId="0" xfId="0" applyFill="1" applyBorder="1" applyAlignment="1">
      <alignment horizontal="center" vertical="top" wrapText="1"/>
    </xf>
    <xf numFmtId="0" fontId="1" fillId="0" borderId="13" xfId="0" applyFont="1" applyFill="1" applyBorder="1" applyAlignment="1">
      <alignment horizontal="center" vertical="center" wrapText="1"/>
    </xf>
    <xf numFmtId="3" fontId="22" fillId="0" borderId="36" xfId="0" applyNumberFormat="1" applyFont="1" applyFill="1" applyBorder="1" applyAlignment="1">
      <alignment horizontal="center" vertical="center" wrapText="1"/>
    </xf>
    <xf numFmtId="2" fontId="22" fillId="0" borderId="36" xfId="0" applyNumberFormat="1" applyFont="1" applyFill="1" applyBorder="1" applyAlignment="1">
      <alignment horizontal="center" vertical="center" wrapText="1"/>
    </xf>
    <xf numFmtId="0" fontId="22" fillId="0" borderId="36" xfId="0" applyFont="1" applyFill="1" applyBorder="1" applyAlignment="1">
      <alignment horizontal="center" vertical="center" wrapText="1"/>
    </xf>
    <xf numFmtId="0" fontId="1" fillId="0" borderId="23" xfId="0" applyFont="1" applyFill="1" applyBorder="1" applyAlignment="1">
      <alignment horizontal="center" vertical="top" wrapText="1"/>
    </xf>
    <xf numFmtId="1" fontId="22" fillId="0" borderId="33" xfId="0" applyNumberFormat="1" applyFont="1" applyFill="1" applyBorder="1" applyAlignment="1">
      <alignment horizontal="center" vertical="center" wrapText="1"/>
    </xf>
    <xf numFmtId="1" fontId="19" fillId="0" borderId="0" xfId="2" applyNumberFormat="1" applyFont="1" applyAlignment="1">
      <alignment horizontal="center"/>
    </xf>
    <xf numFmtId="0" fontId="2" fillId="0" borderId="17" xfId="2" applyFont="1" applyBorder="1" applyAlignment="1">
      <alignment horizontal="center" vertical="top" wrapText="1"/>
    </xf>
    <xf numFmtId="0" fontId="2" fillId="0" borderId="18" xfId="2" applyFont="1" applyBorder="1" applyAlignment="1">
      <alignment horizontal="center" vertical="top" wrapText="1"/>
    </xf>
    <xf numFmtId="0" fontId="2" fillId="0" borderId="19" xfId="2" applyFont="1" applyBorder="1" applyAlignment="1">
      <alignment horizontal="center" vertical="top" wrapText="1"/>
    </xf>
    <xf numFmtId="0" fontId="1" fillId="0" borderId="17" xfId="2" applyFont="1" applyBorder="1" applyAlignment="1">
      <alignment horizontal="center" vertical="top" wrapText="1"/>
    </xf>
    <xf numFmtId="0" fontId="1" fillId="0" borderId="19" xfId="2" applyFont="1" applyBorder="1" applyAlignment="1">
      <alignment horizontal="center" vertical="top"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3" fillId="0" borderId="0" xfId="0" applyFont="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4" xfId="0" applyFont="1" applyFill="1" applyBorder="1" applyAlignment="1">
      <alignment horizontal="center" vertical="top" wrapText="1"/>
    </xf>
    <xf numFmtId="0" fontId="1" fillId="0" borderId="23" xfId="0" applyFont="1" applyFill="1" applyBorder="1" applyAlignment="1">
      <alignment horizontal="center" vertical="top" wrapText="1"/>
    </xf>
    <xf numFmtId="0" fontId="2" fillId="0" borderId="13" xfId="0" applyFont="1" applyFill="1" applyBorder="1" applyAlignment="1">
      <alignment horizontal="center" vertical="top"/>
    </xf>
    <xf numFmtId="0" fontId="1" fillId="0" borderId="44" xfId="0" applyFont="1" applyFill="1" applyBorder="1" applyAlignment="1">
      <alignment horizontal="left" vertical="top" wrapText="1"/>
    </xf>
    <xf numFmtId="0" fontId="0" fillId="0" borderId="0" xfId="0" applyFill="1" applyBorder="1" applyAlignment="1">
      <alignment horizontal="left" vertical="top" wrapText="1"/>
    </xf>
    <xf numFmtId="0" fontId="2" fillId="0" borderId="13" xfId="2" applyFont="1" applyBorder="1" applyAlignment="1">
      <alignment horizontal="center" vertical="top" wrapText="1"/>
    </xf>
    <xf numFmtId="0" fontId="19" fillId="0" borderId="13" xfId="0" applyFont="1" applyBorder="1" applyAlignment="1">
      <alignment horizontal="center" vertical="center" wrapText="1"/>
    </xf>
    <xf numFmtId="0" fontId="1" fillId="0" borderId="0" xfId="0" applyFont="1" applyFill="1" applyBorder="1" applyAlignment="1">
      <alignment horizontal="left" vertical="top"/>
    </xf>
    <xf numFmtId="0" fontId="0" fillId="0" borderId="0" xfId="0" applyFill="1" applyBorder="1" applyAlignment="1">
      <alignment horizontal="left" vertical="top"/>
    </xf>
    <xf numFmtId="0" fontId="1" fillId="0" borderId="0" xfId="0" applyFont="1" applyFill="1" applyBorder="1" applyAlignment="1">
      <alignment horizontal="left" vertical="top" wrapText="1"/>
    </xf>
    <xf numFmtId="0" fontId="10"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3" fontId="3" fillId="0" borderId="17" xfId="0" applyNumberFormat="1" applyFont="1" applyFill="1" applyBorder="1" applyAlignment="1">
      <alignment horizontal="center" vertical="top" wrapText="1"/>
    </xf>
    <xf numFmtId="3" fontId="3" fillId="0" borderId="18" xfId="0" applyNumberFormat="1" applyFont="1" applyFill="1" applyBorder="1" applyAlignment="1">
      <alignment horizontal="center" vertical="top" wrapText="1"/>
    </xf>
    <xf numFmtId="3" fontId="3" fillId="0" borderId="19" xfId="0" applyNumberFormat="1" applyFont="1" applyFill="1" applyBorder="1" applyAlignment="1">
      <alignment horizontal="center" vertical="top" wrapText="1"/>
    </xf>
    <xf numFmtId="3" fontId="2" fillId="0" borderId="17" xfId="0" applyNumberFormat="1" applyFont="1" applyFill="1" applyBorder="1" applyAlignment="1">
      <alignment horizontal="center" vertical="top" wrapText="1"/>
    </xf>
    <xf numFmtId="3" fontId="2" fillId="0" borderId="18" xfId="0" applyNumberFormat="1" applyFont="1" applyFill="1" applyBorder="1" applyAlignment="1">
      <alignment horizontal="center" vertical="top" wrapText="1"/>
    </xf>
    <xf numFmtId="3" fontId="2" fillId="0" borderId="19" xfId="0" applyNumberFormat="1" applyFont="1" applyFill="1" applyBorder="1" applyAlignment="1">
      <alignment horizontal="center" vertical="top" wrapText="1"/>
    </xf>
    <xf numFmtId="0" fontId="11" fillId="0" borderId="44" xfId="0" applyFont="1" applyFill="1" applyBorder="1" applyAlignment="1">
      <alignment horizontal="left" vertical="top" wrapText="1"/>
    </xf>
    <xf numFmtId="0" fontId="1" fillId="3" borderId="39" xfId="0" applyFont="1" applyFill="1" applyBorder="1" applyAlignment="1">
      <alignment horizontal="center" vertical="top" wrapText="1"/>
    </xf>
    <xf numFmtId="0" fontId="1" fillId="3" borderId="40" xfId="0" applyFont="1" applyFill="1" applyBorder="1" applyAlignment="1">
      <alignment horizontal="center" vertical="top" wrapText="1"/>
    </xf>
    <xf numFmtId="0" fontId="1" fillId="3" borderId="41" xfId="0" applyFont="1" applyFill="1" applyBorder="1" applyAlignment="1">
      <alignment horizontal="center" vertical="top" wrapText="1"/>
    </xf>
    <xf numFmtId="0" fontId="16" fillId="0" borderId="17" xfId="0" applyFont="1" applyFill="1" applyBorder="1" applyAlignment="1">
      <alignment horizontal="center"/>
    </xf>
    <xf numFmtId="0" fontId="16" fillId="0" borderId="19" xfId="0" applyFont="1" applyFill="1" applyBorder="1" applyAlignment="1">
      <alignment horizontal="center"/>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0"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0" fillId="3" borderId="7"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3" fontId="3" fillId="0" borderId="8" xfId="0" applyNumberFormat="1" applyFont="1" applyFill="1" applyBorder="1" applyAlignment="1">
      <alignment horizontal="center" vertical="top" wrapText="1"/>
    </xf>
    <xf numFmtId="3" fontId="3" fillId="0" borderId="9" xfId="0" applyNumberFormat="1" applyFont="1" applyFill="1" applyBorder="1" applyAlignment="1">
      <alignment horizontal="center" vertical="top" wrapText="1"/>
    </xf>
    <xf numFmtId="3" fontId="3" fillId="0" borderId="21" xfId="0" applyNumberFormat="1" applyFont="1" applyFill="1" applyBorder="1" applyAlignment="1">
      <alignment horizontal="center" vertical="top" wrapText="1"/>
    </xf>
    <xf numFmtId="0" fontId="1" fillId="0" borderId="12"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2" borderId="11" xfId="0" applyFont="1" applyFill="1" applyBorder="1" applyAlignment="1">
      <alignment horizontal="left" vertical="top" wrapText="1"/>
    </xf>
    <xf numFmtId="168" fontId="1" fillId="0" borderId="8" xfId="0" applyNumberFormat="1" applyFont="1" applyFill="1" applyBorder="1" applyAlignment="1">
      <alignment horizontal="center" vertical="top" wrapText="1"/>
    </xf>
    <xf numFmtId="168" fontId="1" fillId="0" borderId="9" xfId="0" applyNumberFormat="1" applyFont="1" applyFill="1" applyBorder="1" applyAlignment="1">
      <alignment horizontal="center" vertical="top" wrapText="1"/>
    </xf>
    <xf numFmtId="168" fontId="1" fillId="0" borderId="21" xfId="0" applyNumberFormat="1" applyFont="1" applyFill="1" applyBorder="1" applyAlignment="1">
      <alignment horizontal="center" vertical="top" wrapText="1"/>
    </xf>
    <xf numFmtId="0" fontId="21" fillId="0" borderId="0" xfId="0" applyFont="1" applyFill="1" applyBorder="1" applyAlignment="1">
      <alignment horizontal="left" vertical="top" wrapText="1"/>
    </xf>
    <xf numFmtId="0" fontId="8" fillId="0" borderId="0" xfId="0" applyFont="1" applyFill="1" applyBorder="1" applyAlignment="1">
      <alignment vertical="center" wrapText="1"/>
    </xf>
    <xf numFmtId="0" fontId="8" fillId="0" borderId="38" xfId="0" applyFont="1" applyFill="1" applyBorder="1" applyAlignment="1">
      <alignment horizontal="left" vertical="center" wrapText="1"/>
    </xf>
    <xf numFmtId="0" fontId="8" fillId="0" borderId="0" xfId="0" applyFont="1" applyFill="1" applyBorder="1" applyAlignment="1">
      <alignment horizontal="left" vertical="center" wrapText="1"/>
    </xf>
  </cellXfs>
  <cellStyles count="3">
    <cellStyle name="Currency" xfId="1" builtinId="4"/>
    <cellStyle name="Normal" xfId="0" builtinId="0"/>
    <cellStyle name="Normal 2" xfId="2" xr:uid="{B3911D53-BE48-4841-8381-7EA81A2D29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5F171-129A-4D60-812A-E6B7F9D4F4DE}">
  <dimension ref="A1:R30"/>
  <sheetViews>
    <sheetView topLeftCell="A4" workbookViewId="0">
      <selection activeCell="I19" sqref="I19:I24"/>
    </sheetView>
  </sheetViews>
  <sheetFormatPr defaultColWidth="9.33203125" defaultRowHeight="12.75" x14ac:dyDescent="0.2"/>
  <cols>
    <col min="1" max="1" width="14.1640625" style="1" customWidth="1"/>
    <col min="2" max="2" width="13.83203125" style="1" customWidth="1"/>
    <col min="3" max="3" width="15.5" style="1" customWidth="1"/>
    <col min="4" max="4" width="23" style="1" customWidth="1"/>
    <col min="5" max="6" width="18.6640625" style="1" customWidth="1"/>
    <col min="7" max="7" width="16.6640625" style="1" customWidth="1"/>
    <col min="8" max="8" width="17.33203125" style="1" customWidth="1"/>
    <col min="9" max="9" width="20" style="1" customWidth="1"/>
    <col min="10" max="16384" width="9.33203125" style="1"/>
  </cols>
  <sheetData>
    <row r="1" spans="1:18" x14ac:dyDescent="0.2">
      <c r="A1" s="67" t="s">
        <v>68</v>
      </c>
      <c r="B1" s="68"/>
      <c r="C1" s="68"/>
      <c r="D1" s="68"/>
      <c r="E1" s="68"/>
      <c r="F1" s="68"/>
    </row>
    <row r="2" spans="1:18" x14ac:dyDescent="0.2">
      <c r="A2" s="68"/>
      <c r="B2" s="68"/>
      <c r="C2" s="68"/>
      <c r="D2" s="68"/>
      <c r="E2" s="68"/>
      <c r="F2" s="68"/>
    </row>
    <row r="3" spans="1:18" x14ac:dyDescent="0.2">
      <c r="A3" s="115" t="s">
        <v>70</v>
      </c>
      <c r="B3" s="116"/>
      <c r="C3" s="116"/>
      <c r="D3" s="116"/>
      <c r="E3" s="116"/>
      <c r="F3" s="117"/>
    </row>
    <row r="4" spans="1:18" ht="24" customHeight="1" x14ac:dyDescent="0.2">
      <c r="A4" s="69"/>
      <c r="B4" s="118" t="s">
        <v>50</v>
      </c>
      <c r="C4" s="119"/>
      <c r="D4" s="70" t="s">
        <v>51</v>
      </c>
      <c r="E4" s="118"/>
      <c r="F4" s="119"/>
    </row>
    <row r="5" spans="1:18" x14ac:dyDescent="0.2">
      <c r="A5" s="71"/>
      <c r="B5" s="72" t="s">
        <v>17</v>
      </c>
      <c r="C5" s="72" t="s">
        <v>18</v>
      </c>
      <c r="D5" s="72" t="s">
        <v>19</v>
      </c>
      <c r="E5" s="72" t="s">
        <v>20</v>
      </c>
      <c r="F5" s="72" t="s">
        <v>52</v>
      </c>
    </row>
    <row r="6" spans="1:18" ht="53.25" customHeight="1" x14ac:dyDescent="0.2">
      <c r="A6" s="72" t="s">
        <v>53</v>
      </c>
      <c r="B6" s="72" t="s">
        <v>54</v>
      </c>
      <c r="C6" s="72" t="s">
        <v>55</v>
      </c>
      <c r="D6" s="73" t="s">
        <v>56</v>
      </c>
      <c r="E6" s="72" t="s">
        <v>57</v>
      </c>
      <c r="F6" s="72" t="s">
        <v>58</v>
      </c>
      <c r="J6" s="122"/>
      <c r="K6" s="122"/>
      <c r="L6" s="122"/>
      <c r="M6" s="122"/>
      <c r="N6" s="122"/>
      <c r="O6" s="122"/>
      <c r="P6" s="122"/>
      <c r="Q6" s="122"/>
      <c r="R6" s="122"/>
    </row>
    <row r="7" spans="1:18" x14ac:dyDescent="0.2">
      <c r="A7" s="74">
        <v>1</v>
      </c>
      <c r="B7" s="75">
        <v>0</v>
      </c>
      <c r="C7" s="75">
        <f>7+32+11</f>
        <v>50</v>
      </c>
      <c r="D7" s="75">
        <v>0</v>
      </c>
      <c r="E7" s="75">
        <v>0</v>
      </c>
      <c r="F7" s="75">
        <f>B7+C7+D7-E7</f>
        <v>50</v>
      </c>
    </row>
    <row r="8" spans="1:18" x14ac:dyDescent="0.2">
      <c r="A8" s="74">
        <v>2</v>
      </c>
      <c r="B8" s="75">
        <v>0</v>
      </c>
      <c r="C8" s="75">
        <f t="shared" ref="C8:C9" si="0">7+32+11</f>
        <v>50</v>
      </c>
      <c r="D8" s="75">
        <v>0</v>
      </c>
      <c r="E8" s="75">
        <v>0</v>
      </c>
      <c r="F8" s="75">
        <f>B8+C8+D8-E8</f>
        <v>50</v>
      </c>
    </row>
    <row r="9" spans="1:18" x14ac:dyDescent="0.2">
      <c r="A9" s="74">
        <v>3</v>
      </c>
      <c r="B9" s="75">
        <v>0</v>
      </c>
      <c r="C9" s="75">
        <f t="shared" si="0"/>
        <v>50</v>
      </c>
      <c r="D9" s="75">
        <v>0</v>
      </c>
      <c r="E9" s="75">
        <v>0</v>
      </c>
      <c r="F9" s="75">
        <f>B9+C9+D9-E9</f>
        <v>50</v>
      </c>
    </row>
    <row r="10" spans="1:18" x14ac:dyDescent="0.2">
      <c r="A10" s="74" t="s">
        <v>59</v>
      </c>
      <c r="B10" s="75">
        <f>AVERAGE(B7:B9)</f>
        <v>0</v>
      </c>
      <c r="C10" s="75">
        <f>AVERAGE(C7:C9)</f>
        <v>50</v>
      </c>
      <c r="D10" s="75">
        <v>0</v>
      </c>
      <c r="E10" s="76">
        <f t="shared" ref="E10" si="1">AVERAGE(E7:E9)</f>
        <v>0</v>
      </c>
      <c r="F10" s="76">
        <f>AVERAGE(F7:F9)</f>
        <v>50</v>
      </c>
    </row>
    <row r="11" spans="1:18" x14ac:dyDescent="0.2">
      <c r="A11" s="67"/>
      <c r="B11" s="68"/>
      <c r="C11" s="68"/>
      <c r="D11" s="68"/>
      <c r="E11" s="68"/>
      <c r="F11" s="68"/>
    </row>
    <row r="12" spans="1:18" ht="15" customHeight="1" x14ac:dyDescent="0.2">
      <c r="A12" s="67" t="s">
        <v>76</v>
      </c>
      <c r="B12" s="68"/>
      <c r="C12" s="68"/>
      <c r="D12" s="68"/>
      <c r="E12" s="68"/>
      <c r="F12" s="68"/>
    </row>
    <row r="13" spans="1:18" ht="43.5" customHeight="1" x14ac:dyDescent="0.2">
      <c r="A13" s="121" t="s">
        <v>150</v>
      </c>
      <c r="B13" s="121"/>
      <c r="C13" s="121"/>
      <c r="D13" s="121"/>
      <c r="E13" s="121"/>
      <c r="F13" s="121"/>
      <c r="G13" s="17"/>
    </row>
    <row r="14" spans="1:18" ht="14.25" customHeight="1" x14ac:dyDescent="0.2"/>
    <row r="15" spans="1:18" ht="14.25" customHeight="1" x14ac:dyDescent="0.2">
      <c r="A15" s="127" t="s">
        <v>77</v>
      </c>
      <c r="B15" s="127"/>
      <c r="C15" s="127"/>
      <c r="D15" s="127"/>
      <c r="E15" s="127"/>
      <c r="F15" s="127"/>
      <c r="G15" s="127"/>
      <c r="H15" s="127"/>
    </row>
    <row r="16" spans="1:18" ht="14.25" customHeight="1" x14ac:dyDescent="0.2">
      <c r="A16" s="108" t="s">
        <v>78</v>
      </c>
      <c r="B16" s="120" t="s">
        <v>122</v>
      </c>
      <c r="C16" s="120"/>
      <c r="D16" s="120"/>
      <c r="E16" s="123" t="s">
        <v>123</v>
      </c>
      <c r="F16" s="124"/>
      <c r="G16" s="124"/>
      <c r="H16" s="125" t="s">
        <v>142</v>
      </c>
    </row>
    <row r="17" spans="1:9" ht="29.25" customHeight="1" x14ac:dyDescent="0.2">
      <c r="A17" s="3"/>
      <c r="B17" s="96" t="s">
        <v>92</v>
      </c>
      <c r="C17" s="96" t="s">
        <v>93</v>
      </c>
      <c r="D17" s="96" t="s">
        <v>79</v>
      </c>
      <c r="E17" s="112" t="str">
        <f>B17</f>
        <v xml:space="preserve">Wood Stove </v>
      </c>
      <c r="F17" s="112" t="str">
        <f t="shared" ref="F17" si="2">C17</f>
        <v>Forced Air Furnace</v>
      </c>
      <c r="G17" s="95" t="str">
        <f>D17</f>
        <v>Hydronic Heater</v>
      </c>
      <c r="H17" s="126"/>
    </row>
    <row r="18" spans="1:9" ht="14.25" customHeight="1" x14ac:dyDescent="0.2">
      <c r="A18" s="3" t="s">
        <v>94</v>
      </c>
      <c r="B18" s="97" t="s">
        <v>80</v>
      </c>
      <c r="C18" s="97" t="s">
        <v>80</v>
      </c>
      <c r="D18" s="97" t="s">
        <v>80</v>
      </c>
      <c r="E18" s="97" t="s">
        <v>80</v>
      </c>
      <c r="F18" s="97" t="s">
        <v>80</v>
      </c>
      <c r="G18" s="97" t="s">
        <v>80</v>
      </c>
      <c r="H18" s="98">
        <v>44962</v>
      </c>
    </row>
    <row r="19" spans="1:9" x14ac:dyDescent="0.2">
      <c r="A19" s="2" t="s">
        <v>81</v>
      </c>
      <c r="B19" s="97" t="s">
        <v>80</v>
      </c>
      <c r="C19" s="97" t="s">
        <v>80</v>
      </c>
      <c r="D19" s="97" t="s">
        <v>80</v>
      </c>
      <c r="E19" s="97" t="s">
        <v>80</v>
      </c>
      <c r="F19" s="97" t="s">
        <v>80</v>
      </c>
      <c r="G19" s="97" t="s">
        <v>80</v>
      </c>
      <c r="H19" s="98">
        <v>44134</v>
      </c>
      <c r="I19" s="17" t="s">
        <v>178</v>
      </c>
    </row>
    <row r="20" spans="1:9" x14ac:dyDescent="0.2">
      <c r="A20" s="2" t="s">
        <v>82</v>
      </c>
      <c r="B20" s="97" t="s">
        <v>80</v>
      </c>
      <c r="C20" s="97" t="s">
        <v>80</v>
      </c>
      <c r="D20" s="97" t="s">
        <v>80</v>
      </c>
      <c r="E20" s="97" t="s">
        <v>80</v>
      </c>
      <c r="F20" s="97" t="s">
        <v>80</v>
      </c>
      <c r="G20" s="97" t="s">
        <v>80</v>
      </c>
      <c r="H20" s="98">
        <v>44112</v>
      </c>
      <c r="I20" s="17" t="s">
        <v>178</v>
      </c>
    </row>
    <row r="21" spans="1:9" x14ac:dyDescent="0.2">
      <c r="A21" s="2" t="s">
        <v>83</v>
      </c>
      <c r="B21" s="97" t="s">
        <v>80</v>
      </c>
      <c r="C21" s="97" t="s">
        <v>80</v>
      </c>
      <c r="D21" s="97" t="s">
        <v>80</v>
      </c>
      <c r="E21" s="97" t="s">
        <v>84</v>
      </c>
      <c r="F21" s="97" t="s">
        <v>84</v>
      </c>
      <c r="G21" s="97" t="s">
        <v>84</v>
      </c>
      <c r="H21" s="98">
        <v>44134</v>
      </c>
      <c r="I21" s="17" t="s">
        <v>179</v>
      </c>
    </row>
    <row r="22" spans="1:9" x14ac:dyDescent="0.2">
      <c r="A22" s="2" t="s">
        <v>85</v>
      </c>
      <c r="B22" s="97" t="s">
        <v>84</v>
      </c>
      <c r="C22" s="97" t="s">
        <v>84</v>
      </c>
      <c r="D22" s="97" t="s">
        <v>84</v>
      </c>
      <c r="E22" s="97" t="s">
        <v>80</v>
      </c>
      <c r="F22" s="97" t="s">
        <v>80</v>
      </c>
      <c r="G22" s="97" t="s">
        <v>80</v>
      </c>
      <c r="H22" s="98">
        <v>44139</v>
      </c>
      <c r="I22" s="17" t="s">
        <v>180</v>
      </c>
    </row>
    <row r="23" spans="1:9" x14ac:dyDescent="0.2">
      <c r="A23" s="2" t="s">
        <v>86</v>
      </c>
      <c r="B23" s="97" t="s">
        <v>84</v>
      </c>
      <c r="C23" s="97" t="s">
        <v>84</v>
      </c>
      <c r="D23" s="97" t="s">
        <v>84</v>
      </c>
      <c r="E23" s="97" t="s">
        <v>80</v>
      </c>
      <c r="F23" s="97" t="s">
        <v>80</v>
      </c>
      <c r="G23" s="97" t="s">
        <v>80</v>
      </c>
      <c r="H23" s="98">
        <v>44138</v>
      </c>
      <c r="I23" s="17" t="s">
        <v>180</v>
      </c>
    </row>
    <row r="24" spans="1:9" x14ac:dyDescent="0.2">
      <c r="A24" s="2" t="s">
        <v>87</v>
      </c>
      <c r="B24" s="97" t="s">
        <v>84</v>
      </c>
      <c r="C24" s="97" t="s">
        <v>84</v>
      </c>
      <c r="D24" s="97" t="s">
        <v>84</v>
      </c>
      <c r="E24" s="97" t="s">
        <v>80</v>
      </c>
      <c r="F24" s="97" t="s">
        <v>80</v>
      </c>
      <c r="G24" s="97" t="s">
        <v>80</v>
      </c>
      <c r="H24" s="98">
        <v>44147</v>
      </c>
      <c r="I24" s="17" t="s">
        <v>180</v>
      </c>
    </row>
    <row r="25" spans="1:9" ht="51" x14ac:dyDescent="0.2">
      <c r="A25" s="3" t="s">
        <v>88</v>
      </c>
      <c r="B25" s="97" t="s">
        <v>80</v>
      </c>
      <c r="C25" s="97" t="s">
        <v>80</v>
      </c>
      <c r="D25" s="97" t="s">
        <v>80</v>
      </c>
      <c r="E25" s="97" t="s">
        <v>80</v>
      </c>
      <c r="F25" s="97" t="s">
        <v>80</v>
      </c>
      <c r="G25" s="97" t="s">
        <v>80</v>
      </c>
      <c r="H25" s="98">
        <v>44879</v>
      </c>
    </row>
    <row r="26" spans="1:9" x14ac:dyDescent="0.2">
      <c r="A26" s="2" t="s">
        <v>89</v>
      </c>
      <c r="B26" s="97" t="s">
        <v>80</v>
      </c>
      <c r="C26" s="97" t="s">
        <v>80</v>
      </c>
      <c r="D26" s="97" t="s">
        <v>80</v>
      </c>
      <c r="E26" s="97" t="s">
        <v>84</v>
      </c>
      <c r="F26" s="97" t="s">
        <v>84</v>
      </c>
      <c r="G26" s="97" t="s">
        <v>84</v>
      </c>
      <c r="H26" s="98">
        <v>44507</v>
      </c>
    </row>
    <row r="27" spans="1:9" x14ac:dyDescent="0.2">
      <c r="A27" s="2" t="s">
        <v>90</v>
      </c>
      <c r="B27" s="97" t="s">
        <v>80</v>
      </c>
      <c r="C27" s="97" t="s">
        <v>80</v>
      </c>
      <c r="D27" s="97" t="s">
        <v>80</v>
      </c>
      <c r="E27" s="97" t="s">
        <v>80</v>
      </c>
      <c r="F27" s="97" t="s">
        <v>80</v>
      </c>
      <c r="G27" s="97" t="s">
        <v>80</v>
      </c>
      <c r="H27" s="98">
        <v>44668</v>
      </c>
    </row>
    <row r="28" spans="1:9" ht="38.25" x14ac:dyDescent="0.2">
      <c r="A28" s="3" t="s">
        <v>91</v>
      </c>
      <c r="B28" s="97" t="s">
        <v>80</v>
      </c>
      <c r="C28" s="97" t="s">
        <v>80</v>
      </c>
      <c r="D28" s="97" t="s">
        <v>80</v>
      </c>
      <c r="E28" s="97" t="s">
        <v>84</v>
      </c>
      <c r="F28" s="97" t="s">
        <v>84</v>
      </c>
      <c r="G28" s="97" t="s">
        <v>84</v>
      </c>
      <c r="H28" s="98">
        <v>44887</v>
      </c>
    </row>
    <row r="29" spans="1:9" ht="41.25" customHeight="1" x14ac:dyDescent="0.2">
      <c r="A29" s="128" t="s">
        <v>95</v>
      </c>
      <c r="B29" s="128"/>
      <c r="C29" s="128"/>
      <c r="D29" s="128"/>
      <c r="E29" s="128"/>
      <c r="F29" s="128"/>
      <c r="G29" s="128"/>
      <c r="H29" s="128"/>
    </row>
    <row r="30" spans="1:9" ht="39.75" customHeight="1" x14ac:dyDescent="0.2"/>
  </sheetData>
  <mergeCells count="10">
    <mergeCell ref="J6:R6"/>
    <mergeCell ref="E16:G16"/>
    <mergeCell ref="H16:H17"/>
    <mergeCell ref="A15:H15"/>
    <mergeCell ref="A29:H29"/>
    <mergeCell ref="A3:F3"/>
    <mergeCell ref="B4:C4"/>
    <mergeCell ref="E4:F4"/>
    <mergeCell ref="B16:D16"/>
    <mergeCell ref="A13:F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9AE2B-8E4B-490A-A2B3-7F20C03AFA82}">
  <dimension ref="A1:K50"/>
  <sheetViews>
    <sheetView tabSelected="1" topLeftCell="A9" zoomScale="112" zoomScaleNormal="112" workbookViewId="0">
      <selection activeCell="B20" sqref="B20"/>
    </sheetView>
  </sheetViews>
  <sheetFormatPr defaultRowHeight="12.75" x14ac:dyDescent="0.2"/>
  <cols>
    <col min="1" max="1" width="46.5" customWidth="1"/>
    <col min="2" max="2" width="14.1640625" customWidth="1"/>
    <col min="3" max="3" width="13.1640625" customWidth="1"/>
    <col min="4" max="4" width="30.1640625" customWidth="1"/>
    <col min="5" max="5" width="15" customWidth="1"/>
    <col min="10" max="10" width="18.1640625" customWidth="1"/>
    <col min="11" max="11" width="3.83203125" customWidth="1"/>
  </cols>
  <sheetData>
    <row r="1" spans="1:5" x14ac:dyDescent="0.2">
      <c r="A1" s="67" t="s">
        <v>68</v>
      </c>
      <c r="B1" s="68"/>
      <c r="C1" s="68"/>
      <c r="D1" s="68"/>
      <c r="E1" s="68"/>
    </row>
    <row r="2" spans="1:5" x14ac:dyDescent="0.2">
      <c r="A2" s="77"/>
      <c r="B2" s="77"/>
      <c r="C2" s="77"/>
      <c r="D2" s="77"/>
      <c r="E2" s="77"/>
    </row>
    <row r="3" spans="1:5" x14ac:dyDescent="0.2">
      <c r="A3" s="130" t="s">
        <v>146</v>
      </c>
      <c r="B3" s="130"/>
      <c r="C3" s="130"/>
      <c r="D3" s="130"/>
      <c r="E3" s="130"/>
    </row>
    <row r="4" spans="1:5" x14ac:dyDescent="0.2">
      <c r="A4" s="86" t="s">
        <v>17</v>
      </c>
      <c r="B4" s="79" t="s">
        <v>18</v>
      </c>
      <c r="C4" s="78" t="s">
        <v>19</v>
      </c>
      <c r="D4" s="79" t="s">
        <v>20</v>
      </c>
      <c r="E4" s="86" t="s">
        <v>52</v>
      </c>
    </row>
    <row r="5" spans="1:5" ht="47.25" customHeight="1" x14ac:dyDescent="0.2">
      <c r="A5" s="80" t="s">
        <v>60</v>
      </c>
      <c r="B5" s="86" t="s">
        <v>61</v>
      </c>
      <c r="C5" s="86" t="s">
        <v>62</v>
      </c>
      <c r="D5" s="86" t="s">
        <v>63</v>
      </c>
      <c r="E5" s="80" t="s">
        <v>64</v>
      </c>
    </row>
    <row r="6" spans="1:5" ht="15.75" customHeight="1" x14ac:dyDescent="0.2">
      <c r="A6" s="87" t="s">
        <v>1</v>
      </c>
      <c r="B6" s="79"/>
      <c r="C6" s="80"/>
      <c r="D6" s="79"/>
      <c r="E6" s="80"/>
    </row>
    <row r="7" spans="1:5" ht="15" customHeight="1" x14ac:dyDescent="0.2">
      <c r="A7" s="88" t="s">
        <v>152</v>
      </c>
      <c r="B7" s="99">
        <f>7+32</f>
        <v>39</v>
      </c>
      <c r="C7" s="101">
        <f>(((127+19)/3)/B7)</f>
        <v>1.2478632478632479</v>
      </c>
      <c r="D7" s="86" t="s">
        <v>65</v>
      </c>
      <c r="E7" s="92">
        <f>B7*C7</f>
        <v>48.666666666666664</v>
      </c>
    </row>
    <row r="8" spans="1:5" ht="14.25" customHeight="1" x14ac:dyDescent="0.2">
      <c r="A8" s="89" t="s">
        <v>153</v>
      </c>
      <c r="B8" s="99">
        <f>7+32</f>
        <v>39</v>
      </c>
      <c r="C8" s="101">
        <f>((127+19)/3)/B8</f>
        <v>1.2478632478632479</v>
      </c>
      <c r="D8" s="86" t="s">
        <v>65</v>
      </c>
      <c r="E8" s="92">
        <f>B8*C8</f>
        <v>48.666666666666664</v>
      </c>
    </row>
    <row r="9" spans="1:5" ht="14.25" customHeight="1" x14ac:dyDescent="0.2">
      <c r="A9" s="88" t="s">
        <v>154</v>
      </c>
      <c r="B9" s="99">
        <f>7+32</f>
        <v>39</v>
      </c>
      <c r="C9" s="91">
        <f>(127+19)*(0.5)/B9</f>
        <v>1.8717948717948718</v>
      </c>
      <c r="D9" s="82" t="s">
        <v>65</v>
      </c>
      <c r="E9" s="75">
        <f>B9*C9</f>
        <v>73</v>
      </c>
    </row>
    <row r="10" spans="1:5" ht="14.25" customHeight="1" x14ac:dyDescent="0.2">
      <c r="A10" s="88" t="s">
        <v>158</v>
      </c>
      <c r="B10" s="86">
        <v>1</v>
      </c>
      <c r="C10" s="101">
        <v>0.33300000000000002</v>
      </c>
      <c r="D10" s="82" t="s">
        <v>65</v>
      </c>
      <c r="E10" s="75">
        <f t="shared" ref="E10:E13" si="0">B10*C10</f>
        <v>0.33300000000000002</v>
      </c>
    </row>
    <row r="11" spans="1:5" ht="14.25" customHeight="1" x14ac:dyDescent="0.2">
      <c r="A11" s="88" t="s">
        <v>159</v>
      </c>
      <c r="B11" s="99">
        <f t="shared" ref="B11:B13" si="1">7+32</f>
        <v>39</v>
      </c>
      <c r="C11" s="101">
        <v>0.33300000000000002</v>
      </c>
      <c r="D11" s="82" t="s">
        <v>65</v>
      </c>
      <c r="E11" s="75">
        <f t="shared" si="0"/>
        <v>12.987</v>
      </c>
    </row>
    <row r="12" spans="1:5" ht="14.25" customHeight="1" x14ac:dyDescent="0.2">
      <c r="A12" s="88" t="s">
        <v>160</v>
      </c>
      <c r="B12" s="99">
        <v>8</v>
      </c>
      <c r="C12" s="101">
        <f>(39)*(3/8)/3</f>
        <v>4.875</v>
      </c>
      <c r="D12" s="82" t="s">
        <v>65</v>
      </c>
      <c r="E12" s="75">
        <f t="shared" si="0"/>
        <v>39</v>
      </c>
    </row>
    <row r="13" spans="1:5" ht="14.25" customHeight="1" x14ac:dyDescent="0.2">
      <c r="A13" s="88" t="s">
        <v>162</v>
      </c>
      <c r="B13" s="99">
        <f t="shared" si="1"/>
        <v>39</v>
      </c>
      <c r="C13" s="101">
        <f>1/3</f>
        <v>0.33333333333333331</v>
      </c>
      <c r="D13" s="82" t="s">
        <v>65</v>
      </c>
      <c r="E13" s="75">
        <f t="shared" si="0"/>
        <v>13</v>
      </c>
    </row>
    <row r="14" spans="1:5" ht="27" customHeight="1" x14ac:dyDescent="0.2">
      <c r="A14" s="90" t="s">
        <v>2</v>
      </c>
      <c r="B14" s="86"/>
      <c r="C14" s="86"/>
      <c r="D14" s="86"/>
      <c r="E14" s="75"/>
    </row>
    <row r="15" spans="1:5" ht="24.75" customHeight="1" x14ac:dyDescent="0.2">
      <c r="A15" s="88" t="s">
        <v>163</v>
      </c>
      <c r="B15" s="99">
        <v>5</v>
      </c>
      <c r="C15" s="99">
        <v>0</v>
      </c>
      <c r="D15" s="82" t="s">
        <v>65</v>
      </c>
      <c r="E15" s="100">
        <f t="shared" ref="E15:E20" si="2">B15*C15</f>
        <v>0</v>
      </c>
    </row>
    <row r="16" spans="1:5" ht="24.75" customHeight="1" x14ac:dyDescent="0.2">
      <c r="A16" s="88" t="s">
        <v>164</v>
      </c>
      <c r="B16" s="99">
        <v>3</v>
      </c>
      <c r="C16" s="99">
        <v>1</v>
      </c>
      <c r="D16" s="82" t="s">
        <v>65</v>
      </c>
      <c r="E16" s="100">
        <f t="shared" si="2"/>
        <v>3</v>
      </c>
    </row>
    <row r="17" spans="1:11" ht="24.75" customHeight="1" x14ac:dyDescent="0.2">
      <c r="A17" s="88" t="s">
        <v>165</v>
      </c>
      <c r="B17" s="99">
        <v>8</v>
      </c>
      <c r="C17" s="91">
        <v>0.5</v>
      </c>
      <c r="D17" s="86" t="s">
        <v>65</v>
      </c>
      <c r="E17" s="100">
        <f t="shared" si="2"/>
        <v>4</v>
      </c>
    </row>
    <row r="18" spans="1:11" ht="14.25" customHeight="1" x14ac:dyDescent="0.2">
      <c r="A18" s="81" t="s">
        <v>69</v>
      </c>
      <c r="B18" s="99"/>
      <c r="C18" s="86"/>
      <c r="D18" s="86"/>
      <c r="E18" s="100"/>
    </row>
    <row r="19" spans="1:11" ht="30" customHeight="1" x14ac:dyDescent="0.2">
      <c r="A19" s="88" t="s">
        <v>166</v>
      </c>
      <c r="B19" s="99">
        <v>3</v>
      </c>
      <c r="C19" s="99">
        <v>0</v>
      </c>
      <c r="D19" s="86" t="s">
        <v>65</v>
      </c>
      <c r="E19" s="100">
        <f t="shared" si="2"/>
        <v>0</v>
      </c>
    </row>
    <row r="20" spans="1:11" ht="30" customHeight="1" x14ac:dyDescent="0.2">
      <c r="A20" s="88" t="s">
        <v>167</v>
      </c>
      <c r="B20" s="99">
        <v>5</v>
      </c>
      <c r="C20" s="99">
        <v>1</v>
      </c>
      <c r="D20" s="86" t="s">
        <v>65</v>
      </c>
      <c r="E20" s="100">
        <f t="shared" si="2"/>
        <v>5</v>
      </c>
    </row>
    <row r="21" spans="1:11" ht="30" customHeight="1" x14ac:dyDescent="0.2">
      <c r="A21" s="88" t="s">
        <v>168</v>
      </c>
      <c r="B21" s="99">
        <v>8</v>
      </c>
      <c r="C21" s="99">
        <f>(B7*C7+B12*C12+B20*C20)/B21</f>
        <v>11.583333333333332</v>
      </c>
      <c r="D21" s="94" t="s">
        <v>65</v>
      </c>
      <c r="E21" s="100">
        <f>E12</f>
        <v>39</v>
      </c>
      <c r="F21" s="107"/>
      <c r="G21" s="107"/>
      <c r="H21" s="107"/>
      <c r="I21" s="107"/>
      <c r="J21" s="107"/>
    </row>
    <row r="22" spans="1:11" x14ac:dyDescent="0.2">
      <c r="A22" s="131"/>
      <c r="B22" s="131"/>
      <c r="C22" s="131"/>
      <c r="D22" s="83" t="s">
        <v>66</v>
      </c>
      <c r="E22" s="84">
        <f>SUM(E7:E21)</f>
        <v>286.65333333333331</v>
      </c>
    </row>
    <row r="23" spans="1:11" x14ac:dyDescent="0.2">
      <c r="A23" s="68"/>
      <c r="B23" s="68"/>
      <c r="C23" s="68"/>
      <c r="D23" s="68"/>
      <c r="E23" s="68"/>
    </row>
    <row r="24" spans="1:11" x14ac:dyDescent="0.2">
      <c r="A24" s="68"/>
      <c r="B24" s="68"/>
      <c r="C24" s="68"/>
      <c r="D24" s="85" t="s">
        <v>67</v>
      </c>
      <c r="E24" s="114">
        <f>'Table 1 - Respondent Burden'!F33/E22</f>
        <v>14.896041676357042</v>
      </c>
    </row>
    <row r="25" spans="1:11" x14ac:dyDescent="0.2">
      <c r="A25" t="s">
        <v>141</v>
      </c>
    </row>
    <row r="26" spans="1:11" ht="28.5" customHeight="1" x14ac:dyDescent="0.2">
      <c r="A26" s="134" t="s">
        <v>151</v>
      </c>
      <c r="B26" s="129"/>
      <c r="C26" s="129"/>
      <c r="D26" s="129"/>
      <c r="E26" s="129"/>
    </row>
    <row r="27" spans="1:11" ht="26.25" customHeight="1" x14ac:dyDescent="0.2">
      <c r="A27" s="134" t="s">
        <v>171</v>
      </c>
      <c r="B27" s="129"/>
      <c r="C27" s="129"/>
      <c r="D27" s="129"/>
      <c r="E27" s="129"/>
      <c r="K27" s="1"/>
    </row>
    <row r="28" spans="1:11" x14ac:dyDescent="0.2">
      <c r="A28" s="132" t="s">
        <v>155</v>
      </c>
      <c r="B28" s="133"/>
      <c r="C28" s="133"/>
      <c r="D28" s="133"/>
      <c r="E28" s="133"/>
    </row>
    <row r="29" spans="1:11" x14ac:dyDescent="0.2">
      <c r="A29" s="132" t="s">
        <v>156</v>
      </c>
      <c r="B29" s="133"/>
      <c r="C29" s="133"/>
      <c r="D29" s="133"/>
      <c r="E29" s="133"/>
    </row>
    <row r="30" spans="1:11" x14ac:dyDescent="0.2">
      <c r="A30" s="132" t="s">
        <v>157</v>
      </c>
      <c r="B30" s="133"/>
      <c r="C30" s="133"/>
      <c r="D30" s="133"/>
      <c r="E30" s="133"/>
    </row>
    <row r="31" spans="1:11" ht="38.25" customHeight="1" x14ac:dyDescent="0.2">
      <c r="A31" s="134" t="s">
        <v>175</v>
      </c>
      <c r="B31" s="129"/>
      <c r="C31" s="129"/>
      <c r="D31" s="129"/>
      <c r="E31" s="129"/>
    </row>
    <row r="32" spans="1:11" x14ac:dyDescent="0.2">
      <c r="A32" s="132" t="s">
        <v>161</v>
      </c>
      <c r="B32" s="133"/>
      <c r="C32" s="133"/>
      <c r="D32" s="133"/>
      <c r="E32" s="133"/>
    </row>
    <row r="33" spans="1:5" x14ac:dyDescent="0.2">
      <c r="A33" s="134" t="s">
        <v>181</v>
      </c>
      <c r="B33" s="129"/>
      <c r="C33" s="129"/>
      <c r="D33" s="129"/>
      <c r="E33" s="129"/>
    </row>
    <row r="34" spans="1:5" x14ac:dyDescent="0.2">
      <c r="A34" s="132" t="s">
        <v>169</v>
      </c>
      <c r="B34" s="133"/>
      <c r="C34" s="133"/>
      <c r="D34" s="133"/>
      <c r="E34" s="133"/>
    </row>
    <row r="35" spans="1:5" x14ac:dyDescent="0.2">
      <c r="A35" s="134" t="s">
        <v>182</v>
      </c>
      <c r="B35" s="129"/>
      <c r="C35" s="129"/>
      <c r="D35" s="129"/>
      <c r="E35" s="129"/>
    </row>
    <row r="36" spans="1:5" x14ac:dyDescent="0.2">
      <c r="A36" s="134" t="s">
        <v>170</v>
      </c>
      <c r="B36" s="129"/>
      <c r="C36" s="129"/>
      <c r="D36" s="129"/>
      <c r="E36" s="129"/>
    </row>
    <row r="37" spans="1:5" x14ac:dyDescent="0.2">
      <c r="A37" s="129"/>
      <c r="B37" s="129"/>
      <c r="C37" s="129"/>
      <c r="D37" s="129"/>
      <c r="E37" s="129"/>
    </row>
    <row r="38" spans="1:5" x14ac:dyDescent="0.2">
      <c r="A38" s="102"/>
    </row>
    <row r="47" spans="1:5" x14ac:dyDescent="0.2">
      <c r="A47" s="1"/>
    </row>
    <row r="48" spans="1:5" x14ac:dyDescent="0.2">
      <c r="A48" s="1"/>
    </row>
    <row r="49" spans="1:1" x14ac:dyDescent="0.2">
      <c r="A49" s="1"/>
    </row>
    <row r="50" spans="1:1" x14ac:dyDescent="0.2">
      <c r="A50" s="1"/>
    </row>
  </sheetData>
  <mergeCells count="14">
    <mergeCell ref="A37:E37"/>
    <mergeCell ref="A3:E3"/>
    <mergeCell ref="A22:C22"/>
    <mergeCell ref="A29:E29"/>
    <mergeCell ref="A30:E30"/>
    <mergeCell ref="A31:E31"/>
    <mergeCell ref="A32:E32"/>
    <mergeCell ref="A33:E33"/>
    <mergeCell ref="A34:E34"/>
    <mergeCell ref="A27:E27"/>
    <mergeCell ref="A28:E28"/>
    <mergeCell ref="A26:E26"/>
    <mergeCell ref="A35:E35"/>
    <mergeCell ref="A36:E3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6"/>
  <sheetViews>
    <sheetView topLeftCell="B13" zoomScale="96" zoomScaleNormal="96" workbookViewId="0">
      <selection activeCell="E15" sqref="E15"/>
    </sheetView>
  </sheetViews>
  <sheetFormatPr defaultColWidth="9.33203125" defaultRowHeight="12.75" x14ac:dyDescent="0.2"/>
  <cols>
    <col min="1" max="1" width="58.83203125" style="1" customWidth="1"/>
    <col min="2" max="2" width="13.6640625" style="1" customWidth="1"/>
    <col min="3" max="3" width="21.5" style="1" customWidth="1"/>
    <col min="4" max="4" width="16.5" style="1" customWidth="1"/>
    <col min="5" max="5" width="14.5" style="1" customWidth="1"/>
    <col min="6" max="6" width="16.1640625" style="1" customWidth="1"/>
    <col min="7" max="7" width="15.6640625" style="1" customWidth="1"/>
    <col min="8" max="8" width="16" style="1" customWidth="1"/>
    <col min="9" max="9" width="20.33203125" style="1" customWidth="1"/>
    <col min="10" max="10" width="8.6640625" style="1" customWidth="1"/>
    <col min="11" max="11" width="13.6640625" style="1" customWidth="1"/>
    <col min="12" max="12" width="11.6640625" style="1" customWidth="1"/>
    <col min="13" max="16384" width="9.33203125" style="1"/>
  </cols>
  <sheetData>
    <row r="1" spans="1:13" x14ac:dyDescent="0.2">
      <c r="A1" s="155" t="s">
        <v>148</v>
      </c>
      <c r="B1" s="156"/>
      <c r="C1" s="156"/>
      <c r="D1" s="156"/>
      <c r="E1" s="156"/>
      <c r="F1" s="156"/>
      <c r="G1" s="156"/>
      <c r="H1" s="156"/>
      <c r="I1" s="157"/>
    </row>
    <row r="2" spans="1:13" ht="54" customHeight="1" x14ac:dyDescent="0.2">
      <c r="A2" s="24" t="s">
        <v>149</v>
      </c>
      <c r="B2" s="25" t="s">
        <v>9</v>
      </c>
      <c r="C2" s="25" t="s">
        <v>16</v>
      </c>
      <c r="D2" s="25" t="s">
        <v>14</v>
      </c>
      <c r="E2" s="25" t="s">
        <v>15</v>
      </c>
      <c r="F2" s="25" t="s">
        <v>32</v>
      </c>
      <c r="G2" s="25" t="s">
        <v>37</v>
      </c>
      <c r="H2" s="25" t="s">
        <v>38</v>
      </c>
      <c r="I2" s="25" t="s">
        <v>39</v>
      </c>
    </row>
    <row r="3" spans="1:13" x14ac:dyDescent="0.2">
      <c r="A3" s="22" t="s">
        <v>0</v>
      </c>
      <c r="B3" s="23"/>
      <c r="C3" s="23"/>
      <c r="D3" s="23"/>
      <c r="E3" s="23"/>
      <c r="F3" s="23"/>
      <c r="G3" s="23"/>
      <c r="H3" s="23"/>
      <c r="I3" s="23"/>
    </row>
    <row r="4" spans="1:13" x14ac:dyDescent="0.2">
      <c r="A4" s="26" t="s">
        <v>1</v>
      </c>
      <c r="B4" s="149"/>
      <c r="C4" s="150"/>
      <c r="D4" s="150"/>
      <c r="E4" s="150"/>
      <c r="F4" s="150"/>
      <c r="G4" s="150"/>
      <c r="H4" s="150"/>
      <c r="I4" s="150"/>
    </row>
    <row r="5" spans="1:13" ht="15.75" x14ac:dyDescent="0.2">
      <c r="A5" s="58" t="s">
        <v>40</v>
      </c>
      <c r="B5" s="29">
        <v>2</v>
      </c>
      <c r="C5" s="27">
        <f>'#Responses'!C7</f>
        <v>1.2478632478632479</v>
      </c>
      <c r="D5" s="29">
        <f>B5*C5</f>
        <v>2.4957264957264957</v>
      </c>
      <c r="E5" s="29">
        <f>'#Responses'!B7</f>
        <v>39</v>
      </c>
      <c r="F5" s="28">
        <f>D5*E5</f>
        <v>97.333333333333329</v>
      </c>
      <c r="G5" s="28">
        <f>F5*0.05</f>
        <v>4.8666666666666671</v>
      </c>
      <c r="H5" s="28">
        <f>F5*0.1</f>
        <v>9.7333333333333343</v>
      </c>
      <c r="I5" s="20">
        <f>+(F5*$L$8)+(G5*$L$7)+(H5*$L$9)</f>
        <v>12750.082666666667</v>
      </c>
    </row>
    <row r="6" spans="1:13" ht="15.75" x14ac:dyDescent="0.25">
      <c r="A6" s="58" t="s">
        <v>96</v>
      </c>
      <c r="B6" s="29">
        <v>8</v>
      </c>
      <c r="C6" s="27">
        <f>'#Responses'!C8</f>
        <v>1.2478632478632479</v>
      </c>
      <c r="D6" s="29">
        <f t="shared" ref="D6:D10" si="0">B6*C6</f>
        <v>9.982905982905983</v>
      </c>
      <c r="E6" s="29">
        <f>'#Responses'!B8</f>
        <v>39</v>
      </c>
      <c r="F6" s="28">
        <f t="shared" ref="F6:F10" si="1">D6*E6</f>
        <v>389.33333333333331</v>
      </c>
      <c r="G6" s="28">
        <f t="shared" ref="G6:G11" si="2">F6*0.05</f>
        <v>19.466666666666669</v>
      </c>
      <c r="H6" s="28">
        <f t="shared" ref="H6:H11" si="3">F6*0.1</f>
        <v>38.933333333333337</v>
      </c>
      <c r="I6" s="20">
        <f t="shared" ref="I6:I11" si="4">+(F6*$L$8)+(G6*$L$7)+(H6*$L$9)</f>
        <v>51000.330666666669</v>
      </c>
      <c r="K6" s="147" t="s">
        <v>42</v>
      </c>
      <c r="L6" s="148"/>
      <c r="M6" s="48" t="s">
        <v>43</v>
      </c>
    </row>
    <row r="7" spans="1:13" ht="15.75" x14ac:dyDescent="0.25">
      <c r="A7" s="58" t="s">
        <v>98</v>
      </c>
      <c r="B7" s="29">
        <v>2</v>
      </c>
      <c r="C7" s="28">
        <f>'#Responses'!C9</f>
        <v>1.8717948717948718</v>
      </c>
      <c r="D7" s="29">
        <f>B7*C7</f>
        <v>3.7435897435897436</v>
      </c>
      <c r="E7" s="29">
        <f>'#Responses'!B9</f>
        <v>39</v>
      </c>
      <c r="F7" s="28">
        <f>D7*E7</f>
        <v>146</v>
      </c>
      <c r="G7" s="28">
        <f t="shared" si="2"/>
        <v>7.3000000000000007</v>
      </c>
      <c r="H7" s="28">
        <f t="shared" si="3"/>
        <v>14.600000000000001</v>
      </c>
      <c r="I7" s="20">
        <f t="shared" si="4"/>
        <v>19125.124</v>
      </c>
      <c r="K7" s="49" t="s">
        <v>44</v>
      </c>
      <c r="L7" s="52">
        <v>147.4</v>
      </c>
      <c r="M7" s="50" t="s">
        <v>47</v>
      </c>
    </row>
    <row r="8" spans="1:13" ht="15.75" x14ac:dyDescent="0.25">
      <c r="A8" s="58" t="s">
        <v>99</v>
      </c>
      <c r="B8" s="29">
        <v>8</v>
      </c>
      <c r="C8" s="27">
        <f>'#Responses'!C10</f>
        <v>0.33300000000000002</v>
      </c>
      <c r="D8" s="28">
        <f>B8*C8</f>
        <v>2.6640000000000001</v>
      </c>
      <c r="E8" s="29">
        <f>'#Responses'!B10</f>
        <v>1</v>
      </c>
      <c r="F8" s="28">
        <f t="shared" si="1"/>
        <v>2.6640000000000001</v>
      </c>
      <c r="G8" s="28">
        <f t="shared" si="2"/>
        <v>0.13320000000000001</v>
      </c>
      <c r="H8" s="28">
        <f t="shared" si="3"/>
        <v>0.26640000000000003</v>
      </c>
      <c r="I8" s="20">
        <f t="shared" si="4"/>
        <v>348.96801600000003</v>
      </c>
      <c r="K8" s="49" t="s">
        <v>12</v>
      </c>
      <c r="L8" s="52">
        <v>117.92</v>
      </c>
      <c r="M8" s="50" t="s">
        <v>47</v>
      </c>
    </row>
    <row r="9" spans="1:13" ht="15.75" x14ac:dyDescent="0.25">
      <c r="A9" s="58" t="s">
        <v>101</v>
      </c>
      <c r="B9" s="29">
        <v>2</v>
      </c>
      <c r="C9" s="27">
        <f>'#Responses'!C11</f>
        <v>0.33300000000000002</v>
      </c>
      <c r="D9" s="29">
        <f t="shared" si="0"/>
        <v>0.66600000000000004</v>
      </c>
      <c r="E9" s="29">
        <f>'#Responses'!B11</f>
        <v>39</v>
      </c>
      <c r="F9" s="28">
        <f t="shared" si="1"/>
        <v>25.974</v>
      </c>
      <c r="G9" s="28">
        <f t="shared" si="2"/>
        <v>1.2987000000000002</v>
      </c>
      <c r="H9" s="28">
        <f t="shared" si="3"/>
        <v>2.5974000000000004</v>
      </c>
      <c r="I9" s="20">
        <f t="shared" si="4"/>
        <v>3402.4381559999997</v>
      </c>
      <c r="K9" s="51" t="s">
        <v>13</v>
      </c>
      <c r="L9" s="53">
        <v>57.04</v>
      </c>
      <c r="M9" s="50" t="s">
        <v>47</v>
      </c>
    </row>
    <row r="10" spans="1:13" ht="15.75" x14ac:dyDescent="0.2">
      <c r="A10" s="58" t="s">
        <v>177</v>
      </c>
      <c r="B10" s="29">
        <v>20</v>
      </c>
      <c r="C10" s="27">
        <f>(39)*(3/8)/3</f>
        <v>4.875</v>
      </c>
      <c r="D10" s="28">
        <f t="shared" si="0"/>
        <v>97.5</v>
      </c>
      <c r="E10" s="29">
        <v>8</v>
      </c>
      <c r="F10" s="28">
        <f t="shared" si="1"/>
        <v>780</v>
      </c>
      <c r="G10" s="28">
        <f t="shared" si="2"/>
        <v>39</v>
      </c>
      <c r="H10" s="28">
        <f t="shared" si="3"/>
        <v>78</v>
      </c>
      <c r="I10" s="20">
        <f t="shared" si="4"/>
        <v>102175.32</v>
      </c>
    </row>
    <row r="11" spans="1:13" ht="15.75" x14ac:dyDescent="0.2">
      <c r="A11" s="58" t="s">
        <v>102</v>
      </c>
      <c r="B11" s="29">
        <v>4</v>
      </c>
      <c r="C11" s="27">
        <f>'#Responses'!C13</f>
        <v>0.33333333333333331</v>
      </c>
      <c r="D11" s="28">
        <f>B11*C11</f>
        <v>1.3333333333333333</v>
      </c>
      <c r="E11" s="29">
        <f>'#Responses'!B13</f>
        <v>39</v>
      </c>
      <c r="F11" s="28">
        <f>D11*E11</f>
        <v>52</v>
      </c>
      <c r="G11" s="28">
        <f t="shared" si="2"/>
        <v>2.6</v>
      </c>
      <c r="H11" s="28">
        <f t="shared" si="3"/>
        <v>5.2</v>
      </c>
      <c r="I11" s="20">
        <f t="shared" si="4"/>
        <v>6811.6880000000001</v>
      </c>
    </row>
    <row r="12" spans="1:13" x14ac:dyDescent="0.2">
      <c r="A12" s="30" t="s">
        <v>2</v>
      </c>
      <c r="B12" s="158"/>
      <c r="C12" s="158"/>
      <c r="D12" s="158"/>
      <c r="E12" s="158"/>
      <c r="F12" s="158"/>
      <c r="G12" s="158"/>
      <c r="H12" s="158"/>
      <c r="I12" s="158"/>
    </row>
    <row r="13" spans="1:13" ht="15.75" x14ac:dyDescent="0.2">
      <c r="A13" s="58" t="s">
        <v>103</v>
      </c>
      <c r="B13" s="23"/>
      <c r="C13" s="23"/>
      <c r="D13" s="23"/>
      <c r="E13" s="23"/>
      <c r="F13" s="23"/>
      <c r="G13" s="23"/>
      <c r="H13" s="23"/>
      <c r="I13" s="31"/>
    </row>
    <row r="14" spans="1:13" x14ac:dyDescent="0.2">
      <c r="A14" s="61" t="s">
        <v>3</v>
      </c>
      <c r="B14" s="29">
        <v>20</v>
      </c>
      <c r="C14" s="29">
        <f>'#Responses'!C15</f>
        <v>0</v>
      </c>
      <c r="D14" s="29">
        <f>B14*C14</f>
        <v>0</v>
      </c>
      <c r="E14" s="29">
        <f>'#Responses'!B15</f>
        <v>5</v>
      </c>
      <c r="F14" s="28">
        <f>D14*E14</f>
        <v>0</v>
      </c>
      <c r="G14" s="28">
        <f>F14*0.05</f>
        <v>0</v>
      </c>
      <c r="H14" s="28">
        <f>F14*0.1</f>
        <v>0</v>
      </c>
      <c r="I14" s="21">
        <f>+(F14*$L$8)+(G14*$L$7)+(H14*$L$9)</f>
        <v>0</v>
      </c>
      <c r="K14" s="17"/>
    </row>
    <row r="15" spans="1:13" x14ac:dyDescent="0.2">
      <c r="A15" s="61" t="s">
        <v>4</v>
      </c>
      <c r="B15" s="29">
        <v>80</v>
      </c>
      <c r="C15" s="29">
        <f>'#Responses'!C16</f>
        <v>1</v>
      </c>
      <c r="D15" s="29">
        <f>B15*C15</f>
        <v>80</v>
      </c>
      <c r="E15" s="29">
        <f>'#Responses'!B16</f>
        <v>3</v>
      </c>
      <c r="F15" s="28">
        <f t="shared" ref="F15" si="5">D15*E15</f>
        <v>240</v>
      </c>
      <c r="G15" s="28">
        <f t="shared" ref="G15:G16" si="6">F15*0.05</f>
        <v>12</v>
      </c>
      <c r="H15" s="28">
        <f t="shared" ref="H15:H16" si="7">F15*0.1</f>
        <v>24</v>
      </c>
      <c r="I15" s="21">
        <f>+(F15*$L$8)+(G15*$L$7)+(H15*$L$9)</f>
        <v>31438.559999999998</v>
      </c>
    </row>
    <row r="16" spans="1:13" ht="15.75" customHeight="1" x14ac:dyDescent="0.2">
      <c r="A16" s="58" t="s">
        <v>104</v>
      </c>
      <c r="B16" s="29">
        <v>150</v>
      </c>
      <c r="C16" s="28">
        <f>'#Responses'!C17</f>
        <v>0.5</v>
      </c>
      <c r="D16" s="29">
        <f>B16*C16</f>
        <v>75</v>
      </c>
      <c r="E16" s="29">
        <f>'#Responses'!B17</f>
        <v>8</v>
      </c>
      <c r="F16" s="28">
        <f>D16*E16</f>
        <v>600</v>
      </c>
      <c r="G16" s="28">
        <f t="shared" si="6"/>
        <v>30</v>
      </c>
      <c r="H16" s="28">
        <f t="shared" si="7"/>
        <v>60</v>
      </c>
      <c r="I16" s="20">
        <f>+(F16*$L$8)+(G16*$L$7)+(H16*$L$9)</f>
        <v>78596.399999999994</v>
      </c>
    </row>
    <row r="17" spans="1:11" x14ac:dyDescent="0.2">
      <c r="A17" s="26" t="s">
        <v>5</v>
      </c>
      <c r="B17" s="149"/>
      <c r="C17" s="150"/>
      <c r="D17" s="150"/>
      <c r="E17" s="150"/>
      <c r="F17" s="150"/>
      <c r="G17" s="150"/>
      <c r="H17" s="150"/>
      <c r="I17" s="150"/>
      <c r="K17" s="17"/>
    </row>
    <row r="18" spans="1:11" ht="18" customHeight="1" x14ac:dyDescent="0.2">
      <c r="A18" s="58" t="s">
        <v>105</v>
      </c>
      <c r="B18" s="23"/>
      <c r="C18" s="23"/>
      <c r="D18" s="23"/>
      <c r="E18" s="23"/>
      <c r="F18" s="23"/>
      <c r="G18" s="23"/>
      <c r="H18" s="23"/>
      <c r="I18" s="32"/>
    </row>
    <row r="19" spans="1:11" x14ac:dyDescent="0.2">
      <c r="A19" s="61" t="s">
        <v>3</v>
      </c>
      <c r="B19" s="29">
        <v>20</v>
      </c>
      <c r="C19" s="29">
        <f>'#Responses'!C19</f>
        <v>0</v>
      </c>
      <c r="D19" s="29">
        <f>B19*C19</f>
        <v>0</v>
      </c>
      <c r="E19" s="29">
        <f>'#Responses'!B19</f>
        <v>3</v>
      </c>
      <c r="F19" s="28">
        <f>D19*E19</f>
        <v>0</v>
      </c>
      <c r="G19" s="28">
        <f>F19*0.05</f>
        <v>0</v>
      </c>
      <c r="H19" s="28">
        <f>F19*0.1</f>
        <v>0</v>
      </c>
      <c r="I19" s="21">
        <f>+(F19*$L$8)+(G19*$L$7)+(H19*$L$9)</f>
        <v>0</v>
      </c>
      <c r="K19" s="93"/>
    </row>
    <row r="20" spans="1:11" x14ac:dyDescent="0.2">
      <c r="A20" s="61" t="s">
        <v>4</v>
      </c>
      <c r="B20" s="103">
        <v>80</v>
      </c>
      <c r="C20" s="103">
        <f>'#Responses'!C20</f>
        <v>1</v>
      </c>
      <c r="D20" s="103">
        <f>B20*C20</f>
        <v>80</v>
      </c>
      <c r="E20" s="103">
        <f>'#Responses'!B20</f>
        <v>5</v>
      </c>
      <c r="F20" s="28">
        <f>D20*E20</f>
        <v>400</v>
      </c>
      <c r="G20" s="28">
        <f>F20*0.05</f>
        <v>20</v>
      </c>
      <c r="H20" s="28">
        <f>F20*0.1</f>
        <v>40</v>
      </c>
      <c r="I20" s="21">
        <f>+(F20*$L$8)+(G20*$L$7)+(H20*$L$9)</f>
        <v>52397.599999999999</v>
      </c>
      <c r="K20" s="93"/>
    </row>
    <row r="21" spans="1:11" ht="15.75" x14ac:dyDescent="0.2">
      <c r="A21" s="60" t="s">
        <v>106</v>
      </c>
      <c r="B21" s="37">
        <v>2</v>
      </c>
      <c r="C21" s="37">
        <f>(C5*E5+C10*E10+C20*E20)/8</f>
        <v>11.583333333333332</v>
      </c>
      <c r="D21" s="37">
        <f>B21*C21</f>
        <v>23.166666666666664</v>
      </c>
      <c r="E21" s="37">
        <f>'#Responses'!B21</f>
        <v>8</v>
      </c>
      <c r="F21" s="28">
        <f>D21*E21</f>
        <v>185.33333333333331</v>
      </c>
      <c r="G21" s="28">
        <f>F21*0.05</f>
        <v>9.2666666666666657</v>
      </c>
      <c r="H21" s="28">
        <f>F21*0.1</f>
        <v>18.533333333333331</v>
      </c>
      <c r="I21" s="21">
        <f>+(F21*$L$8)+(G21*$L$7)+(H21*$L$9)</f>
        <v>24277.554666666663</v>
      </c>
      <c r="J21" s="17" t="s">
        <v>187</v>
      </c>
      <c r="K21" s="93"/>
    </row>
    <row r="22" spans="1:11" ht="13.5" x14ac:dyDescent="0.2">
      <c r="A22" s="33" t="s">
        <v>6</v>
      </c>
      <c r="B22" s="104"/>
      <c r="C22" s="105"/>
      <c r="D22" s="105"/>
      <c r="E22" s="106"/>
      <c r="F22" s="162">
        <f>SUM(F5:H21)</f>
        <v>3356.4337</v>
      </c>
      <c r="G22" s="163"/>
      <c r="H22" s="164"/>
      <c r="I22" s="62">
        <f>SUM(I5:I11,I14:I16,I19:I21)</f>
        <v>382324.06617199996</v>
      </c>
    </row>
    <row r="23" spans="1:11" x14ac:dyDescent="0.2">
      <c r="A23" s="44" t="s">
        <v>7</v>
      </c>
      <c r="B23" s="159"/>
      <c r="C23" s="160"/>
      <c r="D23" s="160"/>
      <c r="E23" s="160"/>
      <c r="F23" s="160"/>
      <c r="G23" s="160"/>
      <c r="H23" s="160"/>
      <c r="I23" s="161"/>
    </row>
    <row r="24" spans="1:11" x14ac:dyDescent="0.2">
      <c r="A24" s="57" t="s">
        <v>1</v>
      </c>
      <c r="B24" s="144"/>
      <c r="C24" s="145"/>
      <c r="D24" s="145"/>
      <c r="E24" s="145"/>
      <c r="F24" s="145"/>
      <c r="G24" s="145"/>
      <c r="H24" s="145"/>
      <c r="I24" s="146"/>
    </row>
    <row r="25" spans="1:11" ht="15.75" x14ac:dyDescent="0.2">
      <c r="A25" s="58" t="s">
        <v>107</v>
      </c>
      <c r="B25" s="29">
        <v>1</v>
      </c>
      <c r="C25" s="27">
        <f>C5</f>
        <v>1.2478632478632479</v>
      </c>
      <c r="D25" s="29">
        <f>B25*C25</f>
        <v>1.2478632478632479</v>
      </c>
      <c r="E25" s="29">
        <f>E5</f>
        <v>39</v>
      </c>
      <c r="F25" s="28">
        <f>D25*E25</f>
        <v>48.666666666666664</v>
      </c>
      <c r="G25" s="28">
        <f>F25*0.05</f>
        <v>2.4333333333333336</v>
      </c>
      <c r="H25" s="28">
        <f>F25*0.1</f>
        <v>4.8666666666666671</v>
      </c>
      <c r="I25" s="20">
        <f>+(F25*$L$8)+(G25*$L$7)+(H25*$L$9)</f>
        <v>6375.0413333333336</v>
      </c>
    </row>
    <row r="26" spans="1:11" ht="15.75" x14ac:dyDescent="0.2">
      <c r="A26" s="58" t="s">
        <v>188</v>
      </c>
      <c r="B26" s="29">
        <v>2</v>
      </c>
      <c r="C26" s="29">
        <v>4</v>
      </c>
      <c r="D26" s="29">
        <f t="shared" ref="D26" si="8">B26*C26</f>
        <v>8</v>
      </c>
      <c r="E26" s="29">
        <v>39</v>
      </c>
      <c r="F26" s="28">
        <f>D26*E26</f>
        <v>312</v>
      </c>
      <c r="G26" s="28">
        <f t="shared" ref="G26" si="9">F26*0.05</f>
        <v>15.600000000000001</v>
      </c>
      <c r="H26" s="28">
        <f t="shared" ref="H26" si="10">F26*0.1</f>
        <v>31.200000000000003</v>
      </c>
      <c r="I26" s="20">
        <f>+(F26*$L$8)+(G26*$L$7)+(H26*$L$9)</f>
        <v>40870.128000000004</v>
      </c>
    </row>
    <row r="27" spans="1:11" ht="15.75" x14ac:dyDescent="0.2">
      <c r="A27" s="58" t="s">
        <v>108</v>
      </c>
      <c r="B27" s="29">
        <v>1</v>
      </c>
      <c r="C27" s="27">
        <f>C6</f>
        <v>1.2478632478632479</v>
      </c>
      <c r="D27" s="29">
        <f>B27*C27</f>
        <v>1.2478632478632479</v>
      </c>
      <c r="E27" s="29">
        <f>E6</f>
        <v>39</v>
      </c>
      <c r="F27" s="28">
        <f>D27*E27</f>
        <v>48.666666666666664</v>
      </c>
      <c r="G27" s="28">
        <f>F27*0.05</f>
        <v>2.4333333333333336</v>
      </c>
      <c r="H27" s="28">
        <f>F27*0.1</f>
        <v>4.8666666666666671</v>
      </c>
      <c r="I27" s="20">
        <f>+(F27*$L$8)+(G27*$L$7)+(H27*$L$9)</f>
        <v>6375.0413333333336</v>
      </c>
    </row>
    <row r="28" spans="1:11" x14ac:dyDescent="0.2">
      <c r="A28" s="26" t="s">
        <v>2</v>
      </c>
      <c r="B28" s="149"/>
      <c r="C28" s="150"/>
      <c r="D28" s="150"/>
      <c r="E28" s="150"/>
      <c r="F28" s="150"/>
      <c r="G28" s="150"/>
      <c r="H28" s="150"/>
      <c r="I28" s="150"/>
    </row>
    <row r="29" spans="1:11" s="36" customFormat="1" ht="16.5" customHeight="1" x14ac:dyDescent="0.2">
      <c r="A29" s="59" t="s">
        <v>109</v>
      </c>
      <c r="B29" s="34">
        <v>2</v>
      </c>
      <c r="C29" s="34">
        <v>12</v>
      </c>
      <c r="D29" s="34">
        <f>B29*C29</f>
        <v>24</v>
      </c>
      <c r="E29" s="34">
        <f>E16</f>
        <v>8</v>
      </c>
      <c r="F29" s="28">
        <f>D29*E29</f>
        <v>192</v>
      </c>
      <c r="G29" s="28">
        <f>F29*0.05</f>
        <v>9.6000000000000014</v>
      </c>
      <c r="H29" s="28">
        <f>F29*0.1</f>
        <v>19.200000000000003</v>
      </c>
      <c r="I29" s="35">
        <f>+(F29*$L$8)+(G29*$L$7)+(H29*$L$9)</f>
        <v>25150.848000000002</v>
      </c>
    </row>
    <row r="30" spans="1:11" x14ac:dyDescent="0.2">
      <c r="A30" s="26" t="s">
        <v>5</v>
      </c>
      <c r="B30" s="151"/>
      <c r="C30" s="152"/>
      <c r="D30" s="152"/>
      <c r="E30" s="152"/>
      <c r="F30" s="152"/>
      <c r="G30" s="152"/>
      <c r="H30" s="152"/>
      <c r="I30" s="152"/>
    </row>
    <row r="31" spans="1:11" ht="18" customHeight="1" x14ac:dyDescent="0.2">
      <c r="A31" s="60" t="s">
        <v>110</v>
      </c>
      <c r="B31" s="37">
        <v>2</v>
      </c>
      <c r="C31" s="37">
        <v>12</v>
      </c>
      <c r="D31" s="34">
        <f>B31*C31</f>
        <v>24</v>
      </c>
      <c r="E31" s="37">
        <v>8</v>
      </c>
      <c r="F31" s="28">
        <f>D31*E31</f>
        <v>192</v>
      </c>
      <c r="G31" s="28">
        <f>F31*0.05</f>
        <v>9.6000000000000014</v>
      </c>
      <c r="H31" s="28">
        <f>F31*0.1</f>
        <v>19.200000000000003</v>
      </c>
      <c r="I31" s="38">
        <f>+(F31*$L$8)+(G31*$L$7)+(H31*$L$9)</f>
        <v>25150.848000000002</v>
      </c>
    </row>
    <row r="32" spans="1:11" ht="17.25" customHeight="1" x14ac:dyDescent="0.2">
      <c r="A32" s="39" t="s">
        <v>8</v>
      </c>
      <c r="B32" s="40"/>
      <c r="C32" s="40"/>
      <c r="D32" s="40"/>
      <c r="E32" s="40"/>
      <c r="F32" s="137">
        <f>ROUND(SUM(F25:H31),0)</f>
        <v>912</v>
      </c>
      <c r="G32" s="138"/>
      <c r="H32" s="139"/>
      <c r="I32" s="63">
        <f>ROUND(SUM(I25:I27,I29,I31),0)</f>
        <v>103922</v>
      </c>
    </row>
    <row r="33" spans="1:18" ht="19.5" customHeight="1" x14ac:dyDescent="0.2">
      <c r="A33" s="41" t="s">
        <v>111</v>
      </c>
      <c r="B33" s="42"/>
      <c r="C33" s="42"/>
      <c r="D33" s="42"/>
      <c r="E33" s="42"/>
      <c r="F33" s="140">
        <f>ROUND(SUM(F22,F32),-1)</f>
        <v>4270</v>
      </c>
      <c r="G33" s="141"/>
      <c r="H33" s="142"/>
      <c r="I33" s="43">
        <f>ROUND(+I22+I32,-3)</f>
        <v>486000</v>
      </c>
    </row>
    <row r="34" spans="1:18" ht="19.5" customHeight="1" x14ac:dyDescent="0.2">
      <c r="A34" s="44" t="s">
        <v>112</v>
      </c>
      <c r="B34" s="3"/>
      <c r="C34" s="3"/>
      <c r="D34" s="3"/>
      <c r="E34" s="3"/>
      <c r="F34" s="3"/>
      <c r="G34" s="3"/>
      <c r="H34" s="45"/>
      <c r="I34" s="46">
        <f>'Capital-Start-up'!D12</f>
        <v>4280000</v>
      </c>
    </row>
    <row r="35" spans="1:18" ht="15.75" x14ac:dyDescent="0.2">
      <c r="A35" s="44" t="s">
        <v>113</v>
      </c>
      <c r="B35" s="3"/>
      <c r="C35" s="3"/>
      <c r="D35" s="3"/>
      <c r="E35" s="3"/>
      <c r="F35" s="3"/>
      <c r="G35" s="3"/>
      <c r="H35" s="45"/>
      <c r="I35" s="46">
        <f>ROUND(SUM(I33:I34),-4)</f>
        <v>4770000</v>
      </c>
      <c r="L35" s="47"/>
    </row>
    <row r="36" spans="1:18" x14ac:dyDescent="0.2">
      <c r="A36" s="143" t="s">
        <v>49</v>
      </c>
      <c r="B36" s="143"/>
      <c r="C36" s="143"/>
      <c r="D36" s="143"/>
      <c r="E36" s="143"/>
      <c r="F36" s="143"/>
      <c r="G36" s="143"/>
      <c r="H36" s="143"/>
      <c r="I36" s="143"/>
    </row>
    <row r="37" spans="1:18" ht="16.5" customHeight="1" x14ac:dyDescent="0.2">
      <c r="A37" s="153" t="s">
        <v>36</v>
      </c>
      <c r="B37" s="154"/>
      <c r="C37" s="154"/>
      <c r="D37" s="154"/>
      <c r="E37" s="154"/>
      <c r="F37" s="154"/>
      <c r="G37" s="154"/>
      <c r="H37" s="154"/>
      <c r="I37" s="154"/>
    </row>
    <row r="38" spans="1:18" ht="46.5" customHeight="1" x14ac:dyDescent="0.2">
      <c r="A38" s="135" t="s">
        <v>46</v>
      </c>
      <c r="B38" s="136"/>
      <c r="C38" s="136"/>
      <c r="D38" s="136"/>
      <c r="E38" s="136"/>
      <c r="F38" s="136"/>
      <c r="G38" s="136"/>
      <c r="H38" s="136"/>
      <c r="I38" s="136"/>
    </row>
    <row r="39" spans="1:18" ht="33.75" customHeight="1" x14ac:dyDescent="0.2">
      <c r="A39" s="135" t="s">
        <v>174</v>
      </c>
      <c r="B39" s="136"/>
      <c r="C39" s="136"/>
      <c r="D39" s="136"/>
      <c r="E39" s="136"/>
      <c r="F39" s="136"/>
      <c r="G39" s="136"/>
      <c r="H39" s="136"/>
      <c r="I39" s="136"/>
    </row>
    <row r="40" spans="1:18" ht="18" customHeight="1" x14ac:dyDescent="0.2">
      <c r="A40" s="167" t="s">
        <v>97</v>
      </c>
      <c r="B40" s="168"/>
      <c r="C40" s="168"/>
      <c r="D40" s="168"/>
      <c r="E40" s="168"/>
      <c r="F40" s="168"/>
      <c r="G40" s="168"/>
      <c r="H40" s="168"/>
      <c r="I40" s="168"/>
    </row>
    <row r="41" spans="1:18" ht="18.75" customHeight="1" x14ac:dyDescent="0.2">
      <c r="A41" s="167" t="s">
        <v>143</v>
      </c>
      <c r="B41" s="168"/>
      <c r="C41" s="168"/>
      <c r="D41" s="168"/>
      <c r="E41" s="168"/>
      <c r="F41" s="168"/>
      <c r="G41" s="168"/>
      <c r="H41" s="168"/>
      <c r="I41" s="168"/>
    </row>
    <row r="42" spans="1:18" ht="19.5" customHeight="1" x14ac:dyDescent="0.2">
      <c r="A42" s="167" t="s">
        <v>100</v>
      </c>
      <c r="B42" s="170"/>
      <c r="C42" s="170"/>
      <c r="D42" s="170"/>
      <c r="E42" s="170"/>
      <c r="F42" s="170"/>
      <c r="G42" s="170"/>
      <c r="H42" s="170"/>
      <c r="I42" s="170"/>
    </row>
    <row r="43" spans="1:18" ht="29.25" customHeight="1" x14ac:dyDescent="0.2">
      <c r="A43" s="167" t="s">
        <v>176</v>
      </c>
      <c r="B43" s="170"/>
      <c r="C43" s="170"/>
      <c r="D43" s="170"/>
      <c r="E43" s="170"/>
      <c r="F43" s="170"/>
      <c r="G43" s="170"/>
      <c r="H43" s="170"/>
      <c r="I43" s="170"/>
    </row>
    <row r="44" spans="1:18" ht="32.1" customHeight="1" x14ac:dyDescent="0.2">
      <c r="A44" s="135" t="s">
        <v>191</v>
      </c>
      <c r="B44" s="136"/>
      <c r="C44" s="136"/>
      <c r="D44" s="136"/>
      <c r="E44" s="136"/>
      <c r="F44" s="136"/>
      <c r="G44" s="136"/>
      <c r="H44" s="136"/>
      <c r="I44" s="136"/>
    </row>
    <row r="45" spans="1:18" ht="21.75" customHeight="1" x14ac:dyDescent="0.2">
      <c r="A45" s="169" t="s">
        <v>190</v>
      </c>
      <c r="B45" s="169"/>
      <c r="C45" s="169"/>
      <c r="D45" s="169"/>
      <c r="E45" s="169"/>
      <c r="F45" s="169"/>
      <c r="G45" s="169"/>
      <c r="H45" s="169"/>
      <c r="I45" s="169"/>
    </row>
    <row r="46" spans="1:18" ht="19.5" customHeight="1" x14ac:dyDescent="0.2">
      <c r="A46" s="166" t="s">
        <v>192</v>
      </c>
      <c r="B46" s="166"/>
      <c r="C46" s="166"/>
      <c r="D46" s="166"/>
      <c r="E46" s="166"/>
      <c r="F46" s="166"/>
      <c r="G46" s="166"/>
      <c r="H46" s="166"/>
      <c r="I46" s="166"/>
      <c r="J46" s="166"/>
      <c r="K46" s="166"/>
      <c r="L46" s="166"/>
      <c r="M46" s="166"/>
      <c r="N46" s="166"/>
      <c r="O46" s="166"/>
      <c r="P46" s="166"/>
      <c r="Q46" s="166"/>
      <c r="R46" s="166"/>
    </row>
    <row r="47" spans="1:18" ht="20.25" customHeight="1" x14ac:dyDescent="0.2">
      <c r="A47" s="166" t="s">
        <v>185</v>
      </c>
      <c r="B47" s="166"/>
      <c r="C47" s="166"/>
      <c r="D47" s="166"/>
      <c r="E47" s="166"/>
      <c r="F47" s="166"/>
      <c r="G47" s="166"/>
      <c r="H47" s="166"/>
      <c r="I47" s="166"/>
      <c r="J47" s="166"/>
      <c r="K47" s="166"/>
      <c r="L47" s="166"/>
      <c r="M47" s="166"/>
      <c r="N47" s="166"/>
      <c r="O47" s="166"/>
      <c r="P47" s="166"/>
      <c r="Q47" s="166"/>
      <c r="R47" s="166"/>
    </row>
    <row r="48" spans="1:18" ht="18.75" customHeight="1" x14ac:dyDescent="0.2">
      <c r="A48" s="166" t="s">
        <v>114</v>
      </c>
      <c r="B48" s="166"/>
      <c r="C48" s="166"/>
      <c r="D48" s="166"/>
      <c r="E48" s="166"/>
      <c r="F48" s="166"/>
      <c r="G48" s="166"/>
      <c r="H48" s="166"/>
      <c r="I48" s="166"/>
    </row>
    <row r="49" spans="1:9" ht="18.75" customHeight="1" x14ac:dyDescent="0.2">
      <c r="A49" s="166" t="s">
        <v>189</v>
      </c>
      <c r="B49" s="166"/>
      <c r="C49" s="166"/>
      <c r="D49" s="166"/>
      <c r="E49" s="166"/>
      <c r="F49" s="166"/>
      <c r="G49" s="166"/>
      <c r="H49" s="166"/>
      <c r="I49" s="166"/>
    </row>
    <row r="50" spans="1:9" ht="18.75" customHeight="1" x14ac:dyDescent="0.2">
      <c r="A50" s="166" t="s">
        <v>186</v>
      </c>
      <c r="B50" s="166"/>
      <c r="C50" s="166"/>
      <c r="D50" s="166"/>
      <c r="E50" s="166"/>
      <c r="F50" s="166"/>
      <c r="G50" s="166"/>
      <c r="H50" s="166"/>
      <c r="I50" s="166"/>
    </row>
    <row r="51" spans="1:9" ht="18.75" customHeight="1" x14ac:dyDescent="0.2">
      <c r="A51" s="166" t="s">
        <v>116</v>
      </c>
      <c r="B51" s="166"/>
      <c r="C51" s="166"/>
      <c r="D51" s="166"/>
      <c r="E51" s="166"/>
      <c r="F51" s="166"/>
      <c r="G51" s="166"/>
      <c r="H51" s="166"/>
      <c r="I51" s="166"/>
    </row>
    <row r="52" spans="1:9" ht="21.75" customHeight="1" x14ac:dyDescent="0.2">
      <c r="A52" s="166" t="s">
        <v>117</v>
      </c>
      <c r="B52" s="166"/>
      <c r="C52" s="166"/>
      <c r="D52" s="166"/>
      <c r="E52" s="166"/>
      <c r="F52" s="166"/>
      <c r="G52" s="166"/>
      <c r="H52" s="166"/>
      <c r="I52" s="166"/>
    </row>
    <row r="53" spans="1:9" ht="18" customHeight="1" x14ac:dyDescent="0.2">
      <c r="A53" s="165" t="s">
        <v>115</v>
      </c>
      <c r="B53" s="166"/>
      <c r="C53" s="166"/>
      <c r="D53" s="166"/>
      <c r="E53" s="166"/>
      <c r="F53" s="166"/>
      <c r="G53" s="166"/>
      <c r="H53" s="166"/>
      <c r="I53" s="166"/>
    </row>
    <row r="54" spans="1:9" ht="19.5" customHeight="1" x14ac:dyDescent="0.2"/>
    <row r="55" spans="1:9" ht="18.75" customHeight="1" x14ac:dyDescent="0.2"/>
    <row r="56" spans="1:9" ht="17.100000000000001" customHeight="1" x14ac:dyDescent="0.2"/>
  </sheetData>
  <mergeCells count="32">
    <mergeCell ref="J46:R46"/>
    <mergeCell ref="J47:R47"/>
    <mergeCell ref="A40:I40"/>
    <mergeCell ref="A39:I39"/>
    <mergeCell ref="A45:I45"/>
    <mergeCell ref="A41:I41"/>
    <mergeCell ref="A42:I42"/>
    <mergeCell ref="A43:I43"/>
    <mergeCell ref="A44:I44"/>
    <mergeCell ref="A53:I53"/>
    <mergeCell ref="A46:I46"/>
    <mergeCell ref="A47:I47"/>
    <mergeCell ref="A48:I48"/>
    <mergeCell ref="A49:I49"/>
    <mergeCell ref="A50:I50"/>
    <mergeCell ref="A51:I51"/>
    <mergeCell ref="A52:I52"/>
    <mergeCell ref="K6:L6"/>
    <mergeCell ref="B28:I28"/>
    <mergeCell ref="B30:I30"/>
    <mergeCell ref="A37:I37"/>
    <mergeCell ref="A1:I1"/>
    <mergeCell ref="B4:I4"/>
    <mergeCell ref="B12:I12"/>
    <mergeCell ref="B17:I17"/>
    <mergeCell ref="B23:I23"/>
    <mergeCell ref="F22:H22"/>
    <mergeCell ref="A38:I38"/>
    <mergeCell ref="F32:H32"/>
    <mergeCell ref="F33:H33"/>
    <mergeCell ref="A36:I36"/>
    <mergeCell ref="B24:I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40F7-0BD5-40BB-A7AB-DD5E82CA25C5}">
  <dimension ref="A1:M26"/>
  <sheetViews>
    <sheetView topLeftCell="B21" zoomScale="96" zoomScaleNormal="96" workbookViewId="0">
      <selection activeCell="L10" sqref="L10"/>
    </sheetView>
  </sheetViews>
  <sheetFormatPr defaultColWidth="9.33203125" defaultRowHeight="12.75" x14ac:dyDescent="0.2"/>
  <cols>
    <col min="1" max="1" width="46.1640625" style="1" customWidth="1"/>
    <col min="2" max="2" width="13.83203125" style="1" customWidth="1"/>
    <col min="3" max="3" width="13.1640625" style="1" customWidth="1"/>
    <col min="4" max="4" width="16" style="1" customWidth="1"/>
    <col min="5" max="5" width="16.1640625" style="1" customWidth="1"/>
    <col min="6" max="6" width="15.83203125" style="1" customWidth="1"/>
    <col min="7" max="7" width="18.1640625" style="1" customWidth="1"/>
    <col min="8" max="8" width="17.1640625" style="1" customWidth="1"/>
    <col min="9" max="9" width="12.6640625" style="1" customWidth="1"/>
    <col min="10" max="10" width="6.33203125" style="1" customWidth="1"/>
    <col min="11" max="11" width="18.6640625" style="1" customWidth="1"/>
    <col min="12" max="16384" width="9.33203125" style="1"/>
  </cols>
  <sheetData>
    <row r="1" spans="1:13" x14ac:dyDescent="0.2">
      <c r="A1" s="155" t="s">
        <v>147</v>
      </c>
      <c r="B1" s="156"/>
      <c r="C1" s="156"/>
      <c r="D1" s="156"/>
      <c r="E1" s="156"/>
      <c r="F1" s="156"/>
      <c r="G1" s="156"/>
      <c r="H1" s="156"/>
      <c r="I1" s="157"/>
    </row>
    <row r="2" spans="1:13" ht="66.75" x14ac:dyDescent="0.2">
      <c r="A2" s="18" t="s">
        <v>11</v>
      </c>
      <c r="B2" s="19" t="s">
        <v>10</v>
      </c>
      <c r="C2" s="19" t="s">
        <v>29</v>
      </c>
      <c r="D2" s="19" t="s">
        <v>30</v>
      </c>
      <c r="E2" s="19" t="s">
        <v>28</v>
      </c>
      <c r="F2" s="19" t="s">
        <v>31</v>
      </c>
      <c r="G2" s="19" t="s">
        <v>41</v>
      </c>
      <c r="H2" s="19" t="s">
        <v>34</v>
      </c>
      <c r="I2" s="19" t="s">
        <v>35</v>
      </c>
    </row>
    <row r="3" spans="1:13" ht="15.75" x14ac:dyDescent="0.25">
      <c r="A3" s="58" t="s">
        <v>71</v>
      </c>
      <c r="B3" s="28">
        <v>0.5</v>
      </c>
      <c r="C3" s="27">
        <f>'Table 1 - Respondent Burden'!C5</f>
        <v>1.2478632478632479</v>
      </c>
      <c r="D3" s="28">
        <f>B3*C3</f>
        <v>0.62393162393162394</v>
      </c>
      <c r="E3" s="29">
        <f>'Table 1 - Respondent Burden'!E5</f>
        <v>39</v>
      </c>
      <c r="F3" s="28">
        <f>D3*E3</f>
        <v>24.333333333333332</v>
      </c>
      <c r="G3" s="28">
        <f>F3*0.05</f>
        <v>1.2166666666666668</v>
      </c>
      <c r="H3" s="28">
        <f>F3*0.1</f>
        <v>2.4333333333333336</v>
      </c>
      <c r="I3" s="20">
        <f t="shared" ref="I3:I12" si="0">+(F3*$L$5)+(G3*$L$4)+(H3*$L$6)</f>
        <v>1330.3885</v>
      </c>
      <c r="K3" s="147" t="s">
        <v>42</v>
      </c>
      <c r="L3" s="148"/>
      <c r="M3" s="48" t="s">
        <v>43</v>
      </c>
    </row>
    <row r="4" spans="1:13" ht="15.75" x14ac:dyDescent="0.25">
      <c r="A4" s="58" t="s">
        <v>72</v>
      </c>
      <c r="B4" s="28">
        <v>20</v>
      </c>
      <c r="C4" s="29">
        <v>1</v>
      </c>
      <c r="D4" s="28">
        <f>B4*C4</f>
        <v>20</v>
      </c>
      <c r="E4" s="29">
        <f>ROUND('Table 1 - Respondent Burden'!E5*0.2,0)</f>
        <v>8</v>
      </c>
      <c r="F4" s="28">
        <f>D4*E4</f>
        <v>160</v>
      </c>
      <c r="G4" s="28">
        <f t="shared" ref="G4:G12" si="1">F4*0.05</f>
        <v>8</v>
      </c>
      <c r="H4" s="28">
        <f t="shared" ref="H4:H12" si="2">F4*0.1</f>
        <v>16</v>
      </c>
      <c r="I4" s="20">
        <f t="shared" si="0"/>
        <v>8747.76</v>
      </c>
      <c r="K4" s="49" t="s">
        <v>44</v>
      </c>
      <c r="L4" s="55">
        <v>65.709999999999994</v>
      </c>
      <c r="M4" s="54" t="s">
        <v>48</v>
      </c>
    </row>
    <row r="5" spans="1:13" ht="28.5" x14ac:dyDescent="0.25">
      <c r="A5" s="58" t="s">
        <v>119</v>
      </c>
      <c r="B5" s="28">
        <v>8</v>
      </c>
      <c r="C5" s="27">
        <f>C3</f>
        <v>1.2478632478632479</v>
      </c>
      <c r="D5" s="28">
        <f t="shared" ref="D5:D12" si="3">B5*C5</f>
        <v>9.982905982905983</v>
      </c>
      <c r="E5" s="29">
        <f>E3</f>
        <v>39</v>
      </c>
      <c r="F5" s="28">
        <f t="shared" ref="F5:F12" si="4">D5*E5</f>
        <v>389.33333333333331</v>
      </c>
      <c r="G5" s="28">
        <f t="shared" si="1"/>
        <v>19.466666666666669</v>
      </c>
      <c r="H5" s="28">
        <f t="shared" si="2"/>
        <v>38.933333333333337</v>
      </c>
      <c r="I5" s="20">
        <f t="shared" si="0"/>
        <v>21286.216</v>
      </c>
      <c r="K5" s="49" t="s">
        <v>12</v>
      </c>
      <c r="L5" s="55">
        <v>48.75</v>
      </c>
      <c r="M5" s="54" t="s">
        <v>48</v>
      </c>
    </row>
    <row r="6" spans="1:13" ht="15.75" x14ac:dyDescent="0.25">
      <c r="A6" s="58" t="s">
        <v>121</v>
      </c>
      <c r="B6" s="28">
        <v>1</v>
      </c>
      <c r="C6" s="28">
        <f>'Table 1 - Respondent Burden'!C7</f>
        <v>1.8717948717948718</v>
      </c>
      <c r="D6" s="28">
        <f t="shared" si="3"/>
        <v>1.8717948717948718</v>
      </c>
      <c r="E6" s="29">
        <f>'Table 1 - Respondent Burden'!E7</f>
        <v>39</v>
      </c>
      <c r="F6" s="28">
        <f t="shared" si="4"/>
        <v>73</v>
      </c>
      <c r="G6" s="28">
        <f t="shared" si="1"/>
        <v>3.6500000000000004</v>
      </c>
      <c r="H6" s="28">
        <f t="shared" si="2"/>
        <v>7.3000000000000007</v>
      </c>
      <c r="I6" s="20">
        <f>+(F6*$L$5)+(G6*$L$4)+(H6*$L$6)</f>
        <v>3991.1655000000001</v>
      </c>
      <c r="K6" s="51" t="s">
        <v>13</v>
      </c>
      <c r="L6" s="56">
        <v>26.38</v>
      </c>
      <c r="M6" s="54" t="s">
        <v>48</v>
      </c>
    </row>
    <row r="7" spans="1:13" ht="15.75" x14ac:dyDescent="0.2">
      <c r="A7" s="58" t="s">
        <v>124</v>
      </c>
      <c r="B7" s="28">
        <v>4</v>
      </c>
      <c r="C7" s="29">
        <f>'Table 1 - Respondent Burden'!C14</f>
        <v>0</v>
      </c>
      <c r="D7" s="29">
        <f t="shared" si="3"/>
        <v>0</v>
      </c>
      <c r="E7" s="29">
        <f>'Table 1 - Respondent Burden'!E15</f>
        <v>3</v>
      </c>
      <c r="F7" s="28">
        <f t="shared" si="4"/>
        <v>0</v>
      </c>
      <c r="G7" s="28">
        <f t="shared" si="1"/>
        <v>0</v>
      </c>
      <c r="H7" s="28">
        <f t="shared" si="2"/>
        <v>0</v>
      </c>
      <c r="I7" s="20">
        <f t="shared" si="0"/>
        <v>0</v>
      </c>
    </row>
    <row r="8" spans="1:13" ht="28.5" x14ac:dyDescent="0.2">
      <c r="A8" s="58" t="s">
        <v>126</v>
      </c>
      <c r="B8" s="28">
        <v>10</v>
      </c>
      <c r="C8" s="28">
        <f>'Table 1 - Respondent Burden'!C16</f>
        <v>0.5</v>
      </c>
      <c r="D8" s="28">
        <f t="shared" si="3"/>
        <v>5</v>
      </c>
      <c r="E8" s="29">
        <f>'Table 1 - Respondent Burden'!E16</f>
        <v>8</v>
      </c>
      <c r="F8" s="28">
        <f t="shared" si="4"/>
        <v>40</v>
      </c>
      <c r="G8" s="28">
        <f t="shared" si="1"/>
        <v>2</v>
      </c>
      <c r="H8" s="28">
        <f t="shared" si="2"/>
        <v>4</v>
      </c>
      <c r="I8" s="20">
        <f t="shared" si="0"/>
        <v>2186.94</v>
      </c>
    </row>
    <row r="9" spans="1:13" ht="15.75" x14ac:dyDescent="0.2">
      <c r="A9" s="58" t="s">
        <v>127</v>
      </c>
      <c r="B9" s="28">
        <v>2</v>
      </c>
      <c r="C9" s="27">
        <f>'Table 1 - Respondent Burden'!C9</f>
        <v>0.33300000000000002</v>
      </c>
      <c r="D9" s="28">
        <f t="shared" si="3"/>
        <v>0.66600000000000004</v>
      </c>
      <c r="E9" s="29">
        <f>'Table 1 - Respondent Burden'!E9</f>
        <v>39</v>
      </c>
      <c r="F9" s="28">
        <f t="shared" si="4"/>
        <v>25.974</v>
      </c>
      <c r="G9" s="28">
        <f t="shared" si="1"/>
        <v>1.2987000000000002</v>
      </c>
      <c r="H9" s="28">
        <f t="shared" si="2"/>
        <v>2.5974000000000004</v>
      </c>
      <c r="I9" s="20">
        <f t="shared" si="0"/>
        <v>1420.0894890000002</v>
      </c>
    </row>
    <row r="10" spans="1:13" ht="15.75" x14ac:dyDescent="0.2">
      <c r="A10" s="58" t="s">
        <v>129</v>
      </c>
      <c r="B10" s="28">
        <v>2</v>
      </c>
      <c r="C10" s="29">
        <f>'Table 1 - Respondent Burden'!C10</f>
        <v>4.875</v>
      </c>
      <c r="D10" s="28">
        <f t="shared" si="3"/>
        <v>9.75</v>
      </c>
      <c r="E10" s="29">
        <f>'Table 1 - Respondent Burden'!E10</f>
        <v>8</v>
      </c>
      <c r="F10" s="28">
        <f t="shared" si="4"/>
        <v>78</v>
      </c>
      <c r="G10" s="28">
        <f t="shared" si="1"/>
        <v>3.9000000000000004</v>
      </c>
      <c r="H10" s="28">
        <f t="shared" si="2"/>
        <v>7.8000000000000007</v>
      </c>
      <c r="I10" s="20">
        <f>+(F10*$L$5)+(G10*$L$4)+(H10*$L$6)</f>
        <v>4264.5330000000004</v>
      </c>
    </row>
    <row r="11" spans="1:13" ht="15.75" x14ac:dyDescent="0.2">
      <c r="A11" s="58" t="s">
        <v>131</v>
      </c>
      <c r="B11" s="28">
        <v>40</v>
      </c>
      <c r="C11" s="27">
        <f>'Table 1 - Respondent Burden'!C8</f>
        <v>0.33300000000000002</v>
      </c>
      <c r="D11" s="28">
        <f t="shared" si="3"/>
        <v>13.32</v>
      </c>
      <c r="E11" s="29">
        <f>'Table 1 - Respondent Burden'!E8</f>
        <v>1</v>
      </c>
      <c r="F11" s="28">
        <f t="shared" si="4"/>
        <v>13.32</v>
      </c>
      <c r="G11" s="28">
        <f t="shared" si="1"/>
        <v>0.66600000000000004</v>
      </c>
      <c r="H11" s="28">
        <f t="shared" si="2"/>
        <v>1.3320000000000001</v>
      </c>
      <c r="I11" s="20">
        <f t="shared" si="0"/>
        <v>728.25102000000004</v>
      </c>
    </row>
    <row r="12" spans="1:13" ht="28.5" x14ac:dyDescent="0.2">
      <c r="A12" s="58" t="s">
        <v>133</v>
      </c>
      <c r="B12" s="28">
        <v>8</v>
      </c>
      <c r="C12" s="29">
        <f>'Table 1 - Respondent Burden'!C19</f>
        <v>0</v>
      </c>
      <c r="D12" s="29">
        <f t="shared" si="3"/>
        <v>0</v>
      </c>
      <c r="E12" s="29">
        <f>'Table 1 - Respondent Burden'!E20</f>
        <v>5</v>
      </c>
      <c r="F12" s="28">
        <f t="shared" si="4"/>
        <v>0</v>
      </c>
      <c r="G12" s="28">
        <f t="shared" si="1"/>
        <v>0</v>
      </c>
      <c r="H12" s="28">
        <f t="shared" si="2"/>
        <v>0</v>
      </c>
      <c r="I12" s="21">
        <f t="shared" si="0"/>
        <v>0</v>
      </c>
    </row>
    <row r="13" spans="1:13" ht="15.75" x14ac:dyDescent="0.2">
      <c r="A13" s="64" t="s">
        <v>135</v>
      </c>
      <c r="B13" s="65"/>
      <c r="C13" s="65"/>
      <c r="D13" s="65"/>
      <c r="E13" s="65"/>
      <c r="F13" s="171">
        <f>SUM(F3:H12)</f>
        <v>924.55476666666675</v>
      </c>
      <c r="G13" s="172"/>
      <c r="H13" s="173"/>
      <c r="I13" s="66">
        <f>ROUND(SUM(I3:I12),-2)</f>
        <v>44000</v>
      </c>
    </row>
    <row r="14" spans="1:13" x14ac:dyDescent="0.2">
      <c r="A14" s="143" t="s">
        <v>49</v>
      </c>
      <c r="B14" s="143"/>
      <c r="C14" s="143"/>
      <c r="D14" s="143"/>
      <c r="E14" s="143"/>
      <c r="F14" s="143"/>
      <c r="G14" s="143"/>
      <c r="H14" s="143"/>
      <c r="I14" s="143"/>
    </row>
    <row r="15" spans="1:13" ht="16.5" customHeight="1" x14ac:dyDescent="0.2">
      <c r="A15" s="153" t="s">
        <v>36</v>
      </c>
      <c r="B15" s="154"/>
      <c r="C15" s="154"/>
      <c r="D15" s="154"/>
      <c r="E15" s="154"/>
      <c r="F15" s="154"/>
      <c r="G15" s="154"/>
      <c r="H15" s="154"/>
      <c r="I15" s="154"/>
    </row>
    <row r="16" spans="1:13" ht="43.5" customHeight="1" x14ac:dyDescent="0.2">
      <c r="A16" s="135" t="s">
        <v>45</v>
      </c>
      <c r="B16" s="136"/>
      <c r="C16" s="136"/>
      <c r="D16" s="136"/>
      <c r="E16" s="136"/>
      <c r="F16" s="136"/>
      <c r="G16" s="136"/>
      <c r="H16" s="136"/>
      <c r="I16" s="136"/>
    </row>
    <row r="17" spans="1:9" ht="42.75" customHeight="1" x14ac:dyDescent="0.2">
      <c r="A17" s="135" t="s">
        <v>195</v>
      </c>
      <c r="B17" s="136"/>
      <c r="C17" s="136"/>
      <c r="D17" s="136"/>
      <c r="E17" s="136"/>
      <c r="F17" s="136"/>
      <c r="G17" s="136"/>
      <c r="H17" s="136"/>
      <c r="I17" s="136"/>
    </row>
    <row r="18" spans="1:9" ht="18" customHeight="1" x14ac:dyDescent="0.2">
      <c r="A18" s="135" t="s">
        <v>118</v>
      </c>
      <c r="B18" s="136"/>
      <c r="C18" s="136"/>
      <c r="D18" s="136"/>
      <c r="E18" s="136"/>
      <c r="F18" s="136"/>
      <c r="G18" s="136"/>
      <c r="H18" s="136"/>
      <c r="I18" s="136"/>
    </row>
    <row r="19" spans="1:9" ht="19.5" customHeight="1" x14ac:dyDescent="0.2">
      <c r="A19" s="135" t="s">
        <v>120</v>
      </c>
      <c r="B19" s="169"/>
      <c r="C19" s="169"/>
      <c r="D19" s="169"/>
      <c r="E19" s="169"/>
      <c r="F19" s="169"/>
      <c r="G19" s="169"/>
      <c r="H19" s="169"/>
      <c r="I19" s="169"/>
    </row>
    <row r="20" spans="1:9" ht="18.75" customHeight="1" x14ac:dyDescent="0.2">
      <c r="A20" s="135" t="s">
        <v>193</v>
      </c>
      <c r="B20" s="169"/>
      <c r="C20" s="169"/>
      <c r="D20" s="169"/>
      <c r="E20" s="169"/>
      <c r="F20" s="169"/>
      <c r="G20" s="169"/>
      <c r="H20" s="169"/>
      <c r="I20" s="169"/>
    </row>
    <row r="21" spans="1:9" ht="18.95" customHeight="1" x14ac:dyDescent="0.2">
      <c r="A21" s="135" t="s">
        <v>125</v>
      </c>
      <c r="B21" s="169"/>
      <c r="C21" s="169"/>
      <c r="D21" s="169"/>
      <c r="E21" s="169"/>
      <c r="F21" s="169"/>
      <c r="G21" s="169"/>
      <c r="H21" s="169"/>
      <c r="I21" s="169"/>
    </row>
    <row r="22" spans="1:9" ht="20.25" customHeight="1" x14ac:dyDescent="0.2">
      <c r="A22" s="135" t="s">
        <v>128</v>
      </c>
      <c r="B22" s="136"/>
      <c r="C22" s="136"/>
      <c r="D22" s="136"/>
      <c r="E22" s="136"/>
      <c r="F22" s="136"/>
      <c r="G22" s="136"/>
      <c r="H22" s="136"/>
      <c r="I22" s="136"/>
    </row>
    <row r="23" spans="1:9" ht="20.25" customHeight="1" x14ac:dyDescent="0.2">
      <c r="A23" s="135" t="s">
        <v>130</v>
      </c>
      <c r="B23" s="136"/>
      <c r="C23" s="136"/>
      <c r="D23" s="136"/>
      <c r="E23" s="136"/>
      <c r="F23" s="136"/>
      <c r="G23" s="136"/>
      <c r="H23" s="136"/>
      <c r="I23" s="136"/>
    </row>
    <row r="24" spans="1:9" ht="18.75" customHeight="1" x14ac:dyDescent="0.2">
      <c r="A24" s="135" t="s">
        <v>132</v>
      </c>
      <c r="B24" s="169"/>
      <c r="C24" s="169"/>
      <c r="D24" s="169"/>
      <c r="E24" s="169"/>
      <c r="F24" s="169"/>
      <c r="G24" s="169"/>
      <c r="H24" s="169"/>
      <c r="I24" s="169"/>
    </row>
    <row r="25" spans="1:9" ht="17.45" customHeight="1" x14ac:dyDescent="0.2">
      <c r="A25" s="135" t="s">
        <v>194</v>
      </c>
      <c r="B25" s="136"/>
      <c r="C25" s="136"/>
      <c r="D25" s="136"/>
      <c r="E25" s="136"/>
      <c r="F25" s="136"/>
      <c r="G25" s="136"/>
      <c r="H25" s="136"/>
      <c r="I25" s="136"/>
    </row>
    <row r="26" spans="1:9" ht="17.100000000000001" customHeight="1" x14ac:dyDescent="0.2">
      <c r="A26" s="166" t="s">
        <v>134</v>
      </c>
      <c r="B26" s="166"/>
      <c r="C26" s="166"/>
      <c r="D26" s="166"/>
      <c r="E26" s="166"/>
      <c r="F26" s="166"/>
      <c r="G26" s="166"/>
      <c r="H26" s="166"/>
      <c r="I26" s="166"/>
    </row>
  </sheetData>
  <mergeCells count="16">
    <mergeCell ref="A1:I1"/>
    <mergeCell ref="A26:I26"/>
    <mergeCell ref="A15:I15"/>
    <mergeCell ref="A16:I16"/>
    <mergeCell ref="A19:I19"/>
    <mergeCell ref="A20:I20"/>
    <mergeCell ref="A21:I21"/>
    <mergeCell ref="A24:I24"/>
    <mergeCell ref="A22:I22"/>
    <mergeCell ref="A23:I23"/>
    <mergeCell ref="K3:L3"/>
    <mergeCell ref="A17:I17"/>
    <mergeCell ref="A18:I18"/>
    <mergeCell ref="A25:I25"/>
    <mergeCell ref="F13:H13"/>
    <mergeCell ref="A14:I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DD682-FCDD-4E69-BFA3-D2419ABA0435}">
  <dimension ref="A1:H20"/>
  <sheetViews>
    <sheetView zoomScale="85" zoomScaleNormal="85" workbookViewId="0">
      <selection activeCell="H12" sqref="H12"/>
    </sheetView>
  </sheetViews>
  <sheetFormatPr defaultRowHeight="12.75" x14ac:dyDescent="0.2"/>
  <cols>
    <col min="1" max="1" width="44.6640625" customWidth="1"/>
    <col min="2" max="2" width="29.83203125" customWidth="1"/>
    <col min="3" max="3" width="24.1640625" customWidth="1"/>
    <col min="4" max="4" width="31" customWidth="1"/>
  </cols>
  <sheetData>
    <row r="1" spans="1:8" ht="30.75" customHeight="1" x14ac:dyDescent="0.2">
      <c r="A1" s="174" t="s">
        <v>68</v>
      </c>
      <c r="B1" s="174"/>
      <c r="C1" s="174"/>
      <c r="D1" s="174"/>
    </row>
    <row r="2" spans="1:8" ht="13.5" thickBot="1" x14ac:dyDescent="0.25"/>
    <row r="3" spans="1:8" ht="15" thickTop="1" x14ac:dyDescent="0.2">
      <c r="A3" s="4" t="s">
        <v>17</v>
      </c>
      <c r="B3" s="5" t="s">
        <v>18</v>
      </c>
      <c r="C3" s="5" t="s">
        <v>19</v>
      </c>
      <c r="D3" s="6" t="s">
        <v>20</v>
      </c>
    </row>
    <row r="4" spans="1:8" ht="43.5" thickBot="1" x14ac:dyDescent="0.25">
      <c r="A4" s="7" t="s">
        <v>21</v>
      </c>
      <c r="B4" s="8" t="s">
        <v>22</v>
      </c>
      <c r="C4" s="8" t="s">
        <v>201</v>
      </c>
      <c r="D4" s="9" t="s">
        <v>33</v>
      </c>
    </row>
    <row r="5" spans="1:8" ht="20.25" customHeight="1" thickBot="1" x14ac:dyDescent="0.25">
      <c r="A5" s="10" t="s">
        <v>23</v>
      </c>
      <c r="B5" s="11" t="s">
        <v>199</v>
      </c>
      <c r="C5" s="113" t="str">
        <f>CONCATENATE(ROUND('Table 1 - Respondent Burden'!E5*'Table 1 - Respondent Burden'!C5,0), " models")</f>
        <v>49 models</v>
      </c>
      <c r="D5" s="12">
        <f>55000*(ROUND('Table 1 - Respondent Burden'!E5*'Table 1 - Respondent Burden'!C5,0))</f>
        <v>2695000</v>
      </c>
      <c r="E5" s="17" t="s">
        <v>197</v>
      </c>
      <c r="H5" s="17"/>
    </row>
    <row r="6" spans="1:8" ht="20.25" customHeight="1" thickBot="1" x14ac:dyDescent="0.25">
      <c r="A6" s="13" t="s">
        <v>24</v>
      </c>
      <c r="B6" s="14" t="s">
        <v>74</v>
      </c>
      <c r="C6" s="113" t="str">
        <f>C5</f>
        <v>49 models</v>
      </c>
      <c r="D6" s="15">
        <f>1250*(ROUND('Table 1 - Respondent Burden'!E5*'Table 1 - Respondent Burden'!C5,0))</f>
        <v>61250</v>
      </c>
      <c r="E6" s="17" t="s">
        <v>197</v>
      </c>
    </row>
    <row r="7" spans="1:8" ht="20.25" customHeight="1" thickBot="1" x14ac:dyDescent="0.25">
      <c r="A7" s="13" t="s">
        <v>25</v>
      </c>
      <c r="B7" s="11" t="s">
        <v>73</v>
      </c>
      <c r="C7" s="109" t="str">
        <f>CONCATENATE(ROUND('Table 1 - Respondent Burden'!E9*'Table 1 - Respondent Burden'!C9,0), " respondents")</f>
        <v>13 respondents</v>
      </c>
      <c r="D7" s="15">
        <f>55000*(ROUND('Table 1 - Respondent Burden'!E9*'Table 1 - Respondent Burden'!C9,0))</f>
        <v>715000</v>
      </c>
      <c r="E7" s="17" t="s">
        <v>198</v>
      </c>
    </row>
    <row r="8" spans="1:8" ht="20.25" customHeight="1" thickBot="1" x14ac:dyDescent="0.25">
      <c r="A8" s="13" t="s">
        <v>26</v>
      </c>
      <c r="B8" s="14" t="s">
        <v>200</v>
      </c>
      <c r="C8" s="110" t="str">
        <f>CONCATENATE(ROUND('Table 1 - Respondent Burden'!E8*'Table 1 - Respondent Burden'!C8,2), " model")</f>
        <v>0.33 model</v>
      </c>
      <c r="D8" s="15">
        <f>63564*ROUND('Table 1 - Respondent Burden'!E8*'Table 1 - Respondent Burden'!C8,2)</f>
        <v>20976.120000000003</v>
      </c>
      <c r="E8" s="17" t="s">
        <v>198</v>
      </c>
    </row>
    <row r="9" spans="1:8" ht="20.25" customHeight="1" thickBot="1" x14ac:dyDescent="0.25">
      <c r="A9" s="13" t="s">
        <v>138</v>
      </c>
      <c r="B9" s="14" t="s">
        <v>75</v>
      </c>
      <c r="C9" s="113" t="str">
        <f>C5</f>
        <v>49 models</v>
      </c>
      <c r="D9" s="15">
        <f>3750*(ROUND('Table 1 - Respondent Burden'!E5*'Table 1 - Respondent Burden'!C5,0))</f>
        <v>183750</v>
      </c>
      <c r="E9" s="17" t="s">
        <v>197</v>
      </c>
    </row>
    <row r="10" spans="1:8" ht="20.25" customHeight="1" thickBot="1" x14ac:dyDescent="0.25">
      <c r="A10" s="13" t="s">
        <v>139</v>
      </c>
      <c r="B10" s="14" t="s">
        <v>27</v>
      </c>
      <c r="C10" s="111" t="str">
        <f>CONCATENATE((ROUND('Table 1 - Respondent Burden'!E15,0)), " respondents")</f>
        <v>3 respondents</v>
      </c>
      <c r="D10" s="15">
        <f>75000*'Table 1 - Respondent Burden'!E15</f>
        <v>225000</v>
      </c>
    </row>
    <row r="11" spans="1:8" ht="20.25" customHeight="1" thickBot="1" x14ac:dyDescent="0.25">
      <c r="A11" s="13" t="s">
        <v>140</v>
      </c>
      <c r="B11" s="14" t="s">
        <v>27</v>
      </c>
      <c r="C11" s="111" t="str">
        <f>CONCATENATE((ROUND('Table 1 - Respondent Burden'!E20,0)), " respondents")</f>
        <v>5 respondents</v>
      </c>
      <c r="D11" s="15">
        <f>75000*'Table 1 - Respondent Burden'!E20</f>
        <v>375000</v>
      </c>
    </row>
    <row r="12" spans="1:8" ht="20.25" customHeight="1" thickBot="1" x14ac:dyDescent="0.25">
      <c r="A12" s="16" t="s">
        <v>145</v>
      </c>
      <c r="B12" s="14"/>
      <c r="C12" s="14"/>
      <c r="D12" s="15">
        <f>ROUND(SUM(D5:D11),-4)</f>
        <v>4280000</v>
      </c>
    </row>
    <row r="13" spans="1:8" ht="48.75" customHeight="1" thickTop="1" x14ac:dyDescent="0.2">
      <c r="A13" s="176" t="s">
        <v>196</v>
      </c>
      <c r="B13" s="176"/>
      <c r="C13" s="176"/>
      <c r="D13" s="176"/>
    </row>
    <row r="14" spans="1:8" ht="16.5" customHeight="1" x14ac:dyDescent="0.2">
      <c r="A14" s="177" t="s">
        <v>136</v>
      </c>
      <c r="B14" s="177"/>
      <c r="C14" s="177"/>
      <c r="D14" s="177"/>
    </row>
    <row r="15" spans="1:8" ht="43.5" customHeight="1" x14ac:dyDescent="0.2">
      <c r="A15" s="177" t="s">
        <v>172</v>
      </c>
      <c r="B15" s="177"/>
      <c r="C15" s="177"/>
      <c r="D15" s="177"/>
    </row>
    <row r="16" spans="1:8" ht="55.5" customHeight="1" x14ac:dyDescent="0.2">
      <c r="A16" s="177" t="s">
        <v>173</v>
      </c>
      <c r="B16" s="177"/>
      <c r="C16" s="177"/>
      <c r="D16" s="177"/>
    </row>
    <row r="17" spans="1:4" ht="18" customHeight="1" x14ac:dyDescent="0.2">
      <c r="A17" s="175" t="s">
        <v>137</v>
      </c>
      <c r="B17" s="175"/>
      <c r="C17" s="175"/>
      <c r="D17" s="175"/>
    </row>
    <row r="18" spans="1:4" ht="34.5" customHeight="1" x14ac:dyDescent="0.2">
      <c r="A18" s="175" t="s">
        <v>183</v>
      </c>
      <c r="B18" s="175"/>
      <c r="C18" s="175"/>
      <c r="D18" s="175"/>
    </row>
    <row r="19" spans="1:4" ht="32.25" customHeight="1" x14ac:dyDescent="0.2">
      <c r="A19" s="175" t="s">
        <v>184</v>
      </c>
      <c r="B19" s="175"/>
      <c r="C19" s="175"/>
      <c r="D19" s="175"/>
    </row>
    <row r="20" spans="1:4" ht="15.75" x14ac:dyDescent="0.2">
      <c r="A20" s="175" t="s">
        <v>144</v>
      </c>
      <c r="B20" s="175"/>
      <c r="C20" s="175"/>
      <c r="D20" s="175"/>
    </row>
  </sheetData>
  <mergeCells count="9">
    <mergeCell ref="A1:D1"/>
    <mergeCell ref="A20:D20"/>
    <mergeCell ref="A19:D19"/>
    <mergeCell ref="A13:D13"/>
    <mergeCell ref="A14:D14"/>
    <mergeCell ref="A15:D15"/>
    <mergeCell ref="A16:D16"/>
    <mergeCell ref="A17:D17"/>
    <mergeCell ref="A18:D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Respondents</vt:lpstr>
      <vt:lpstr>#Responses</vt:lpstr>
      <vt:lpstr>Table 1 - Respondent Burden</vt:lpstr>
      <vt:lpstr>Table 2 - Agency Burden</vt:lpstr>
      <vt:lpstr>Capital-Start-up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SUPPORTING STATEMENT</dc:title>
  <dc:creator>Marvin Branscome</dc:creator>
  <cp:lastModifiedBy>wwrigley</cp:lastModifiedBy>
  <dcterms:created xsi:type="dcterms:W3CDTF">2018-05-18T14:40:24Z</dcterms:created>
  <dcterms:modified xsi:type="dcterms:W3CDTF">2019-03-12T18:00:39Z</dcterms:modified>
</cp:coreProperties>
</file>