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hidePivotFieldList="1"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37C22AE3-05E6-42C6-9FB1-2E9F1636DE46}" xr6:coauthVersionLast="36" xr6:coauthVersionMax="36" xr10:uidLastSave="{00000000-0000-0000-0000-000000000000}"/>
  <bookViews>
    <workbookView xWindow="0" yWindow="0" windowWidth="19200" windowHeight="8100" tabRatio="925" xr2:uid="{00000000-000D-0000-FFFF-FFFF00000000}"/>
  </bookViews>
  <sheets>
    <sheet name="Industry" sheetId="97" r:id="rId1"/>
    <sheet name="Record&amp;Reporting Burden Only" sheetId="100" state="hidden" r:id="rId2"/>
    <sheet name="Agency" sheetId="99" r:id="rId3"/>
    <sheet name="Process Vent - T&amp;M Costs" sheetId="81" state="hidden" r:id="rId4"/>
    <sheet name="Resin T&amp;M Costs" sheetId="82" state="hidden" r:id="rId5"/>
    <sheet name="Wastewater T&amp;M Costs" sheetId="83" state="hidden" r:id="rId6"/>
    <sheet name="EquipmentLeaks - T&amp;M Costs" sheetId="93" state="hidden" r:id="rId7"/>
    <sheet name="CAP&amp;O&amp;M" sheetId="101" r:id="rId8"/>
  </sheets>
  <definedNames>
    <definedName name="_Regression_Int" localSheetId="0" hidden="1">1</definedName>
    <definedName name="_xlnm.Print_Area" localSheetId="2">Agency!$A$1:$I$24</definedName>
    <definedName name="_xlnm.Print_Area" localSheetId="0">Industry!$A$1:$J$81</definedName>
    <definedName name="_xlnm.Print_Area" localSheetId="1">'Record&amp;Reporting Burden Only'!$A$1:$J$31</definedName>
    <definedName name="_xlnm.Print_Titles" localSheetId="0">Industry!$2:$8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9" i="97" l="1"/>
  <c r="L75" i="97"/>
  <c r="I67" i="97"/>
  <c r="F11" i="101"/>
  <c r="H14" i="101"/>
  <c r="E34" i="97"/>
  <c r="D14" i="97" l="1"/>
  <c r="F14" i="97" s="1"/>
  <c r="D41" i="97"/>
  <c r="F41" i="97" s="1"/>
  <c r="D40" i="97"/>
  <c r="F40" i="97" s="1"/>
  <c r="D39" i="97"/>
  <c r="F39" i="97" s="1"/>
  <c r="H39" i="97" s="1"/>
  <c r="D38" i="97"/>
  <c r="F38" i="97" s="1"/>
  <c r="D37" i="97"/>
  <c r="F37" i="97" s="1"/>
  <c r="D36" i="97"/>
  <c r="F36" i="97" s="1"/>
  <c r="H11" i="101"/>
  <c r="H31" i="101" s="1"/>
  <c r="G14" i="97" l="1"/>
  <c r="H14" i="97"/>
  <c r="H40" i="97"/>
  <c r="G40" i="97"/>
  <c r="G39" i="97"/>
  <c r="I39" i="97" s="1"/>
  <c r="G41" i="97"/>
  <c r="H41" i="97"/>
  <c r="G38" i="97"/>
  <c r="H38" i="97"/>
  <c r="G37" i="97"/>
  <c r="H37" i="97"/>
  <c r="G36" i="97"/>
  <c r="H36" i="97"/>
  <c r="F20" i="101"/>
  <c r="H20" i="101" s="1"/>
  <c r="F16" i="101"/>
  <c r="H16" i="101" s="1"/>
  <c r="C26" i="101"/>
  <c r="E26" i="101" s="1"/>
  <c r="F18" i="101"/>
  <c r="H18" i="101" s="1"/>
  <c r="C18" i="101"/>
  <c r="E18" i="101" s="1"/>
  <c r="C10" i="101"/>
  <c r="E10" i="101" s="1"/>
  <c r="H26" i="101"/>
  <c r="H22" i="101"/>
  <c r="E22" i="101"/>
  <c r="H28" i="101"/>
  <c r="H24" i="101"/>
  <c r="H10" i="101"/>
  <c r="E28" i="101"/>
  <c r="E24" i="101"/>
  <c r="E20" i="101"/>
  <c r="E16" i="101"/>
  <c r="E14" i="101"/>
  <c r="B29" i="97"/>
  <c r="B28" i="97"/>
  <c r="B27" i="97"/>
  <c r="B26" i="97"/>
  <c r="B20" i="97"/>
  <c r="D20" i="97" s="1"/>
  <c r="F20" i="97" s="1"/>
  <c r="B25" i="97"/>
  <c r="B33" i="97"/>
  <c r="B21" i="97"/>
  <c r="B19" i="97"/>
  <c r="B18" i="97"/>
  <c r="I68" i="97" l="1"/>
  <c r="I69" i="97" s="1"/>
  <c r="I14" i="97"/>
  <c r="I36" i="97"/>
  <c r="I40" i="97"/>
  <c r="I41" i="97"/>
  <c r="I38" i="97"/>
  <c r="I37" i="97"/>
  <c r="G20" i="97"/>
  <c r="H20" i="97"/>
  <c r="B13" i="97"/>
  <c r="D18" i="99"/>
  <c r="F18" i="99" s="1"/>
  <c r="D17" i="99"/>
  <c r="F17" i="99" s="1"/>
  <c r="D16" i="99"/>
  <c r="F16" i="99" s="1"/>
  <c r="D15" i="99"/>
  <c r="F15" i="99" s="1"/>
  <c r="D14" i="99"/>
  <c r="F14" i="99" s="1"/>
  <c r="D13" i="99"/>
  <c r="F13" i="99" s="1"/>
  <c r="D12" i="99"/>
  <c r="F12" i="99" s="1"/>
  <c r="D8" i="99"/>
  <c r="F8" i="99" s="1"/>
  <c r="D7" i="99"/>
  <c r="F7" i="99" s="1"/>
  <c r="D5" i="99"/>
  <c r="F5" i="99" s="1"/>
  <c r="I20" i="97" l="1"/>
  <c r="D4" i="83"/>
  <c r="E12" i="82" l="1"/>
  <c r="D4" i="82" l="1"/>
  <c r="E8" i="82" l="1"/>
  <c r="E10" i="82" s="1"/>
  <c r="C26" i="82" l="1"/>
  <c r="E14" i="82"/>
  <c r="D18" i="81"/>
  <c r="H15" i="81" s="1"/>
  <c r="F15" i="81"/>
  <c r="D14" i="81"/>
  <c r="F14" i="81" l="1"/>
  <c r="H14" i="81" s="1"/>
  <c r="D13" i="81"/>
  <c r="G12" i="81"/>
  <c r="G11" i="81"/>
  <c r="F11" i="81"/>
  <c r="H11" i="81" l="1"/>
  <c r="H12" i="81"/>
  <c r="D23" i="81"/>
  <c r="F13" i="81"/>
  <c r="H13" i="81" s="1"/>
  <c r="G8" i="99"/>
  <c r="G5" i="99"/>
  <c r="H22" i="81" l="1"/>
  <c r="H21" i="81" s="1"/>
  <c r="H23" i="81" s="1"/>
  <c r="H5" i="99"/>
  <c r="I5" i="99" s="1"/>
  <c r="G7" i="99"/>
  <c r="G18" i="99"/>
  <c r="F21" i="100" l="1"/>
  <c r="E21" i="100"/>
  <c r="C21" i="100"/>
  <c r="F20" i="100"/>
  <c r="E20" i="100"/>
  <c r="C20" i="100"/>
  <c r="F19" i="100"/>
  <c r="E19" i="100"/>
  <c r="C19" i="100"/>
  <c r="F18" i="100"/>
  <c r="E18" i="100"/>
  <c r="C18" i="100"/>
  <c r="F17" i="100"/>
  <c r="E17" i="100"/>
  <c r="C17" i="100" l="1"/>
  <c r="F16" i="100" l="1"/>
  <c r="E16" i="100"/>
  <c r="C16" i="100"/>
  <c r="F15" i="100"/>
  <c r="F22" i="100" s="1"/>
  <c r="E15" i="100"/>
  <c r="E22" i="100" s="1"/>
  <c r="C15" i="100"/>
  <c r="D63" i="97"/>
  <c r="D62" i="97"/>
  <c r="D61" i="97"/>
  <c r="D60" i="97"/>
  <c r="D59" i="97"/>
  <c r="D58" i="97"/>
  <c r="D57" i="97"/>
  <c r="C22" i="100" l="1"/>
  <c r="D50" i="97"/>
  <c r="D49" i="97"/>
  <c r="E48" i="97" l="1"/>
  <c r="D48" i="97"/>
  <c r="E47" i="97"/>
  <c r="D47" i="97"/>
  <c r="E46" i="97"/>
  <c r="D46" i="97"/>
  <c r="E45" i="97"/>
  <c r="D45" i="97"/>
  <c r="F44" i="97"/>
  <c r="G44" i="97" s="1"/>
  <c r="D33" i="97"/>
  <c r="D31" i="97"/>
  <c r="D29" i="97"/>
  <c r="D28" i="97"/>
  <c r="F28" i="97" s="1"/>
  <c r="F48" i="97" l="1"/>
  <c r="G48" i="97" s="1"/>
  <c r="F46" i="97"/>
  <c r="G46" i="97" s="1"/>
  <c r="F47" i="97"/>
  <c r="F45" i="97"/>
  <c r="G45" i="97" s="1"/>
  <c r="H44" i="97"/>
  <c r="G28" i="97"/>
  <c r="D27" i="97"/>
  <c r="D26" i="97"/>
  <c r="D25" i="97"/>
  <c r="D24" i="97"/>
  <c r="H48" i="97" l="1"/>
  <c r="I48" i="97" s="1"/>
  <c r="H46" i="97"/>
  <c r="I46" i="97" s="1"/>
  <c r="G47" i="97"/>
  <c r="H47" i="97"/>
  <c r="H45" i="97"/>
  <c r="I45" i="97" s="1"/>
  <c r="D22" i="97"/>
  <c r="I47" i="97" l="1"/>
  <c r="D21" i="97"/>
  <c r="D19" i="97"/>
  <c r="D18" i="97"/>
  <c r="D17" i="97"/>
  <c r="F16" i="97"/>
  <c r="G16" i="97" s="1"/>
  <c r="F15" i="97"/>
  <c r="G15" i="97" s="1"/>
  <c r="D13" i="97"/>
  <c r="F13" i="97" s="1"/>
  <c r="D11" i="97"/>
  <c r="H10" i="97"/>
  <c r="D10" i="97"/>
  <c r="I9" i="97"/>
  <c r="D9" i="97"/>
  <c r="D34" i="97"/>
  <c r="F34" i="97" s="1"/>
  <c r="H12" i="99"/>
  <c r="H18" i="99"/>
  <c r="I18" i="99" s="1"/>
  <c r="H16" i="99"/>
  <c r="G15" i="99"/>
  <c r="I10" i="97" l="1"/>
  <c r="H16" i="97"/>
  <c r="H15" i="97"/>
  <c r="G34" i="97"/>
  <c r="H34" i="97"/>
  <c r="G13" i="97"/>
  <c r="H13" i="97"/>
  <c r="G12" i="99"/>
  <c r="G13" i="99"/>
  <c r="G14" i="99"/>
  <c r="G16" i="99"/>
  <c r="I16" i="99" s="1"/>
  <c r="H14" i="99"/>
  <c r="G17" i="99"/>
  <c r="H13" i="99"/>
  <c r="H17" i="99"/>
  <c r="H15" i="99"/>
  <c r="I15" i="99" s="1"/>
  <c r="H7" i="99"/>
  <c r="H8" i="99"/>
  <c r="I8" i="99" s="1"/>
  <c r="F19" i="99" l="1"/>
  <c r="I7" i="99"/>
  <c r="I17" i="99"/>
  <c r="I13" i="97"/>
  <c r="I34" i="97"/>
  <c r="I12" i="99"/>
  <c r="I13" i="99"/>
  <c r="I14" i="99"/>
  <c r="F17" i="97"/>
  <c r="G17" i="97" s="1"/>
  <c r="F24" i="97"/>
  <c r="G24" i="97" s="1"/>
  <c r="I19" i="99" l="1"/>
  <c r="H17" i="97"/>
  <c r="I17" i="97" s="1"/>
  <c r="H24" i="97"/>
  <c r="I24" i="97" s="1"/>
  <c r="F25" i="97" l="1"/>
  <c r="G25" i="97" s="1"/>
  <c r="F18" i="97"/>
  <c r="H18" i="97" s="1"/>
  <c r="G18" i="97" l="1"/>
  <c r="I18" i="97" s="1"/>
  <c r="H25" i="97"/>
  <c r="I25" i="97" s="1"/>
  <c r="F19" i="97" l="1"/>
  <c r="F21" i="97"/>
  <c r="G21" i="97" s="1"/>
  <c r="H21" i="97" l="1"/>
  <c r="I21" i="97" s="1"/>
  <c r="G19" i="97"/>
  <c r="H19" i="97"/>
  <c r="F22" i="97"/>
  <c r="I19" i="97" l="1"/>
  <c r="G22" i="97"/>
  <c r="H22" i="97"/>
  <c r="F33" i="97"/>
  <c r="G33" i="97" s="1"/>
  <c r="H33" i="97" l="1"/>
  <c r="I33" i="97" s="1"/>
  <c r="I22" i="97"/>
  <c r="F31" i="97"/>
  <c r="F26" i="97"/>
  <c r="F27" i="97"/>
  <c r="H27" i="97" s="1"/>
  <c r="G31" i="97" l="1"/>
  <c r="H31" i="97"/>
  <c r="G27" i="97"/>
  <c r="G26" i="97"/>
  <c r="H26" i="97"/>
  <c r="I31" i="97" l="1"/>
  <c r="I26" i="97"/>
  <c r="I27" i="97"/>
  <c r="H28" i="97" l="1"/>
  <c r="I28" i="97" l="1"/>
  <c r="F29" i="97" l="1"/>
  <c r="G29" i="97" l="1"/>
  <c r="H29" i="97"/>
  <c r="F49" i="97"/>
  <c r="G49" i="97" s="1"/>
  <c r="I29" i="97" l="1"/>
  <c r="H49" i="97"/>
  <c r="I49" i="97" s="1"/>
  <c r="F50" i="97"/>
  <c r="H50" i="97" s="1"/>
  <c r="F57" i="97"/>
  <c r="F58" i="97"/>
  <c r="H58" i="97" s="1"/>
  <c r="F59" i="97"/>
  <c r="F60" i="97"/>
  <c r="H60" i="97" s="1"/>
  <c r="F61" i="97"/>
  <c r="G61" i="97" s="1"/>
  <c r="F62" i="97"/>
  <c r="G62" i="97" s="1"/>
  <c r="F63" i="97"/>
  <c r="H57" i="97" l="1"/>
  <c r="G58" i="97"/>
  <c r="I58" i="97" s="1"/>
  <c r="H62" i="97"/>
  <c r="I62" i="97" s="1"/>
  <c r="H61" i="97"/>
  <c r="I61" i="97" s="1"/>
  <c r="G63" i="97"/>
  <c r="G59" i="97"/>
  <c r="H63" i="97"/>
  <c r="G60" i="97"/>
  <c r="I60" i="97" s="1"/>
  <c r="H59" i="97"/>
  <c r="G50" i="97"/>
  <c r="I50" i="97" s="1"/>
  <c r="G57" i="97"/>
  <c r="I57" i="97" s="1"/>
  <c r="F66" i="97" l="1"/>
  <c r="G16" i="100"/>
  <c r="I63" i="97"/>
  <c r="G21" i="100" s="1"/>
  <c r="I59" i="97"/>
  <c r="G17" i="100" s="1"/>
  <c r="G15" i="100"/>
  <c r="G19" i="100"/>
  <c r="G20" i="100"/>
  <c r="G18" i="100"/>
  <c r="F11" i="97"/>
  <c r="G11" i="97" l="1"/>
  <c r="F51" i="97"/>
  <c r="F67" i="97" s="1"/>
  <c r="I66" i="97"/>
  <c r="H11" i="97"/>
  <c r="I11" i="97" s="1"/>
  <c r="I51" i="97" s="1"/>
  <c r="G22" i="100"/>
  <c r="E19" i="82" l="1"/>
  <c r="E26" i="82" s="1"/>
  <c r="F26" i="82" s="1"/>
  <c r="E25" i="82"/>
  <c r="F25" i="82" s="1"/>
  <c r="C25" i="82"/>
</calcChain>
</file>

<file path=xl/sharedStrings.xml><?xml version="1.0" encoding="utf-8"?>
<sst xmlns="http://schemas.openxmlformats.org/spreadsheetml/2006/main" count="385" uniqueCount="318">
  <si>
    <t>(B)</t>
  </si>
  <si>
    <t>(C)</t>
  </si>
  <si>
    <t>(D)</t>
  </si>
  <si>
    <t>(E)</t>
  </si>
  <si>
    <t>(F)</t>
  </si>
  <si>
    <t>Management</t>
  </si>
  <si>
    <t>Clerical</t>
  </si>
  <si>
    <t>Occurrences</t>
  </si>
  <si>
    <t>Hours</t>
  </si>
  <si>
    <t>Per</t>
  </si>
  <si>
    <t>Per Year</t>
  </si>
  <si>
    <t>Occurrence</t>
  </si>
  <si>
    <t>Burden Item</t>
  </si>
  <si>
    <t>not applicable</t>
  </si>
  <si>
    <t>c</t>
  </si>
  <si>
    <t xml:space="preserve"> </t>
  </si>
  <si>
    <t>f</t>
  </si>
  <si>
    <t>(A)</t>
  </si>
  <si>
    <t>(G)</t>
  </si>
  <si>
    <t>Number of</t>
  </si>
  <si>
    <t>Technical</t>
  </si>
  <si>
    <t>Total</t>
  </si>
  <si>
    <t>Respondents</t>
  </si>
  <si>
    <t>Labor Costs</t>
  </si>
  <si>
    <t>Respondent</t>
  </si>
  <si>
    <t>e</t>
  </si>
  <si>
    <t>d</t>
  </si>
  <si>
    <t>a</t>
  </si>
  <si>
    <t>b</t>
  </si>
  <si>
    <t>Hours per</t>
  </si>
  <si>
    <t>4.  Recordkeeping Requirements</t>
  </si>
  <si>
    <t>Parameters/Costs</t>
  </si>
  <si>
    <t>Equation</t>
  </si>
  <si>
    <t>A. Parameters</t>
  </si>
  <si>
    <t>Sources:</t>
  </si>
  <si>
    <t>Values</t>
  </si>
  <si>
    <t>B. Testing Costs, $</t>
  </si>
  <si>
    <t>Note:</t>
  </si>
  <si>
    <t>Recordkeeping Subtotal</t>
  </si>
  <si>
    <t>Average</t>
  </si>
  <si>
    <t>a,d</t>
  </si>
  <si>
    <t>N/A</t>
  </si>
  <si>
    <t>B.  Implement Activities</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</si>
  <si>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</si>
  <si>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</si>
  <si>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</si>
  <si>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</si>
  <si>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</si>
  <si>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</si>
  <si>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</si>
  <si>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</si>
  <si>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</si>
  <si>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</si>
  <si>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</si>
  <si>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</si>
  <si>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</si>
  <si>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</si>
  <si>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</si>
  <si>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</si>
  <si>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</si>
  <si>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 xml:space="preserve">Initial Compliance </t>
  </si>
  <si>
    <t>Total Compliance Cost</t>
  </si>
  <si>
    <t>Annual Cost of Initial Compliance</t>
  </si>
  <si>
    <t>Monitoring</t>
  </si>
  <si>
    <t>Company</t>
  </si>
  <si>
    <t>TAC of Resin Testing</t>
  </si>
  <si>
    <t>*National Environmental Methods Index Website https://www.nemi.gov/apex/f?p=237:38:951365369293524::::P38_METHOD_ID:7041</t>
  </si>
  <si>
    <t>Wastewater Sampling and Monitoring</t>
  </si>
  <si>
    <t>4) Continuous parameter monitoring</t>
  </si>
  <si>
    <t>C.  Develop Record System</t>
  </si>
  <si>
    <t>D.  Record Information</t>
  </si>
  <si>
    <t>E. Personnel Training</t>
  </si>
  <si>
    <t>F. Time for Audits</t>
  </si>
  <si>
    <t>3) Establish operating parameters and monitoring plan</t>
  </si>
  <si>
    <t>1) Initial performance test, sampling, and report</t>
  </si>
  <si>
    <t>2) Periodic performance test, sampling, and report</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</si>
  <si>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</si>
  <si>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</si>
  <si>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</si>
  <si>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</si>
  <si>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</si>
  <si>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</si>
  <si>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</si>
  <si>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</si>
  <si>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</si>
  <si>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</si>
  <si>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</si>
  <si>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</si>
  <si>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</si>
  <si>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</si>
  <si>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</si>
  <si>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</si>
  <si>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g</t>
  </si>
  <si>
    <t>40CFR61 V</t>
  </si>
  <si>
    <t>5. Method 18 (assumed cost is equal to Method SW 846 0031)</t>
  </si>
  <si>
    <t>Removed method 301</t>
  </si>
  <si>
    <t>Estimated Emission Reductions (Tons/yr)</t>
  </si>
  <si>
    <t>Low</t>
  </si>
  <si>
    <t>High</t>
  </si>
  <si>
    <t>Cost of US EPA Method 8260B [1]</t>
  </si>
  <si>
    <t>`= (3 inlet tests*Avg Cost*2 Strippers)*CRF</t>
  </si>
  <si>
    <t>Initial Compliance Costs</t>
  </si>
  <si>
    <t>Annualized Initial Compliance Costs</t>
  </si>
  <si>
    <t>1. National Environmental Methods Index Website https://www.nemi.gov/apex/f?p=237:38:951365369293524::::P38_METHOD_ID:7041</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</si>
  <si>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</si>
  <si>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</si>
  <si>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</si>
  <si>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</si>
  <si>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</si>
  <si>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</si>
  <si>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</si>
  <si>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</si>
  <si>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7) Records of other emission sources requirements</t>
  </si>
  <si>
    <t>h</t>
  </si>
  <si>
    <t>(H)</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</si>
  <si>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</si>
  <si>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</si>
  <si>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</si>
  <si>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</si>
  <si>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</si>
  <si>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</si>
  <si>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</si>
  <si>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</si>
  <si>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</si>
  <si>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</si>
  <si>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</si>
  <si>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</si>
  <si>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</si>
  <si>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</si>
  <si>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</si>
  <si>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</si>
  <si>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</si>
  <si>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</si>
  <si>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</si>
  <si>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</si>
  <si>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</si>
  <si>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</si>
  <si>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</si>
  <si>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</si>
  <si>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</si>
  <si>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</si>
  <si>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</si>
  <si>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</si>
  <si>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</si>
  <si>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</si>
  <si>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</si>
  <si>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</si>
  <si>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</si>
  <si>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1. Initial testing costs not annualized since initial = annual</t>
  </si>
  <si>
    <t>CertainTeed - Lake Charles</t>
  </si>
  <si>
    <t>Bulk</t>
  </si>
  <si>
    <t>Resin Type</t>
  </si>
  <si>
    <t>LDAR Cost increase for V to UU</t>
  </si>
  <si>
    <t>WastewaterTesting and Sampling Cost Estimate</t>
  </si>
  <si>
    <t>Resin Sampling and Monitoring</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</si>
  <si>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</si>
  <si>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</si>
  <si>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</si>
  <si>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</si>
  <si>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</si>
  <si>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</si>
  <si>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</si>
  <si>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</si>
  <si>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</si>
  <si>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r>
      <t>Baseline Emission</t>
    </r>
    <r>
      <rPr>
        <b/>
        <vertAlign val="superscript"/>
        <sz val="10"/>
        <rFont val="Times New Roman"/>
        <family val="1"/>
      </rPr>
      <t>[2]</t>
    </r>
    <r>
      <rPr>
        <b/>
        <sz val="10"/>
        <rFont val="Times New Roman"/>
        <family val="1"/>
      </rPr>
      <t xml:space="preserve"> (Tons/yr) </t>
    </r>
  </si>
  <si>
    <t>OxyVinyls - Deer Park</t>
  </si>
  <si>
    <t>Suspension</t>
  </si>
  <si>
    <t>(C=A x B)</t>
  </si>
  <si>
    <t>Increase:Updated labor rates</t>
  </si>
  <si>
    <t>Increase: Update labor rates</t>
  </si>
  <si>
    <t>(F) Management person-hours per year (Ex0.05)</t>
  </si>
  <si>
    <t xml:space="preserve">Annual Designated Administrator Burden and Cost of Recordkeeping and Reporting Requirements for Existing Area Sources: Polyvinyl Chloride and Copolymer Manufacturing Units       </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</si>
  <si>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</si>
  <si>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</si>
  <si>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</si>
  <si>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</si>
  <si>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</si>
  <si>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</si>
  <si>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</si>
  <si>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</si>
  <si>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</si>
  <si>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Continuous Parameter Monitoring</t>
  </si>
  <si>
    <t>Periodic Testing</t>
  </si>
  <si>
    <t>Process Vent Testing</t>
  </si>
  <si>
    <t>Uncontrolled Wastewater testing</t>
  </si>
  <si>
    <t>Equipment Leak Testing</t>
  </si>
  <si>
    <r>
      <t>1</t>
    </r>
    <r>
      <rPr>
        <sz val="12"/>
        <color rgb="FF000000"/>
        <rFont val="Times New Roman"/>
        <family val="1"/>
      </rPr>
      <t xml:space="preserve"> </t>
    </r>
    <r>
      <rPr>
        <sz val="9"/>
        <color rgb="FF000000"/>
        <rFont val="Times New Roman"/>
        <family val="1"/>
      </rPr>
      <t xml:space="preserve">Monthly testing ($601 x 12 months = $7,212 per year) </t>
    </r>
  </si>
  <si>
    <t>Wastewater Testing: Non-VC TOHAP testing</t>
  </si>
  <si>
    <r>
      <t>PRD Electronic Monitor</t>
    </r>
    <r>
      <rPr>
        <vertAlign val="superscript"/>
        <sz val="10"/>
        <color rgb="FF000000"/>
        <rFont val="Times New Roman"/>
        <family val="1"/>
      </rPr>
      <t>3</t>
    </r>
  </si>
  <si>
    <r>
      <t>Resin: Non-VC TOHAP testing</t>
    </r>
    <r>
      <rPr>
        <vertAlign val="superscript"/>
        <sz val="10"/>
        <color rgb="FF000000"/>
        <rFont val="Times New Roman"/>
        <family val="1"/>
      </rPr>
      <t>4</t>
    </r>
  </si>
  <si>
    <r>
      <rPr>
        <vertAlign val="superscript"/>
        <sz val="12"/>
        <color rgb="FF000000"/>
        <rFont val="Times New Roman"/>
        <family val="1"/>
      </rPr>
      <t>2</t>
    </r>
    <r>
      <rPr>
        <vertAlign val="superscript"/>
        <sz val="9"/>
        <color rgb="FF000000"/>
        <rFont val="Times New Roman"/>
        <family val="1"/>
      </rPr>
      <t xml:space="preserve"> </t>
    </r>
    <r>
      <rPr>
        <sz val="9"/>
        <color rgb="FF000000"/>
        <rFont val="Times New Roman"/>
        <family val="1"/>
      </rPr>
      <t>Monthly testing ($491 x 12 months = $5,892 per year)</t>
    </r>
  </si>
  <si>
    <r>
      <t>Resin Sampling and Monitoring</t>
    </r>
    <r>
      <rPr>
        <vertAlign val="superscript"/>
        <sz val="10"/>
        <color rgb="FF000000"/>
        <rFont val="Times New Roman"/>
        <family val="1"/>
      </rPr>
      <t>1</t>
    </r>
  </si>
  <si>
    <r>
      <t>Wastewater Testing</t>
    </r>
    <r>
      <rPr>
        <vertAlign val="superscript"/>
        <sz val="10"/>
        <color rgb="FF000000"/>
        <rFont val="Times New Roman"/>
        <family val="1"/>
      </rPr>
      <t>2</t>
    </r>
  </si>
  <si>
    <r>
      <t xml:space="preserve">Uncontrolled Wastewater testing: Non-VC TOHAP testing </t>
    </r>
    <r>
      <rPr>
        <vertAlign val="superscript"/>
        <sz val="10"/>
        <color rgb="FF000000"/>
        <rFont val="Times New Roman"/>
        <family val="1"/>
      </rPr>
      <t>5</t>
    </r>
  </si>
  <si>
    <t xml:space="preserve">Per VI, 40 hr per employee and 8 employees total required to read and understand the rule, which totals 320 hr per facility. </t>
  </si>
  <si>
    <t xml:space="preserve">Estimate updated per VI. </t>
  </si>
  <si>
    <t>Estimate updated per VI.  One-time requirement only</t>
  </si>
  <si>
    <t xml:space="preserve">Per VI, daily monitoring of parameters will take 5 min per record with 112 records per day across 33 devices for the industry (3 area sources and 15 major sources). On average, each facility will take 17.1 hr per day over 350 day/yr. </t>
  </si>
  <si>
    <t>Per VI, 4 hr per sample for 9 samples per facility</t>
  </si>
  <si>
    <t xml:space="preserve">Per VI, 4 hr per sample for 9 samples per day per facility, over 350 day/yr. </t>
  </si>
  <si>
    <t xml:space="preserve">Per VI, 4 hr per sample for 2 samples per facility. 1 wastewater stream per area source. </t>
  </si>
  <si>
    <t xml:space="preserve">Per VI, sampling is conducted monthly. 4 hrs per sample for 2 samples per facility per month.  1 wastewater stream per area source. </t>
  </si>
  <si>
    <t xml:space="preserve">New item added. 4 hr per sample for 2 samples per facility.  5 uncontrolled wastewater stream per area source. </t>
  </si>
  <si>
    <t xml:space="preserve">4 hr per sample for 2 samples per facility.  5 uncontrolled wastewater stream per area source. </t>
  </si>
  <si>
    <t xml:space="preserve">Estimates per VI. 1 HE system per area source. </t>
  </si>
  <si>
    <t xml:space="preserve">Estimate updated per VI.  Monthly compliance testing required. </t>
  </si>
  <si>
    <t xml:space="preserve">VI estimates approx 10,0000 components per facility that have to be inspected and 5 min. per component, plus additional time for calibration of analytical device for a total of 850 hr per facility. </t>
  </si>
  <si>
    <t xml:space="preserve">ERG assumes periodic compliance with this requirement will take 5% of time as the initial compliance. </t>
  </si>
  <si>
    <t>Estimate updated per VI</t>
  </si>
  <si>
    <r>
      <t xml:space="preserve">VC Ambient monitoring </t>
    </r>
    <r>
      <rPr>
        <vertAlign val="superscript"/>
        <sz val="10"/>
        <color rgb="FF000000"/>
        <rFont val="Times New Roman"/>
        <family val="1"/>
      </rPr>
      <t>6</t>
    </r>
  </si>
  <si>
    <t xml:space="preserve">One-time only cost. Per VI, 1.5 hr to obtain measurement. </t>
  </si>
  <si>
    <t xml:space="preserve">Per VI, 1.5 hr to obtain measurement.  Daily occurrence. </t>
  </si>
  <si>
    <t>Per VI, it will require 24 hr to evaluate compliance options, order materials, monitor installation, and developing O&amp;M procedures. Note: there are only 15 gas holders in the industry among major &amp; area sources.</t>
  </si>
  <si>
    <t>Gas holders</t>
  </si>
  <si>
    <t>5) Other requirements</t>
  </si>
  <si>
    <t xml:space="preserve">One-time only cost. Per VI, 40 hr per facility to develop initial and ongoing compliance, inspection,and maintenance plans and procedures. </t>
  </si>
  <si>
    <t xml:space="preserve">One-time only cost. Per VI, 40 hr per facility for traning, development, and implementation. </t>
  </si>
  <si>
    <t xml:space="preserve">Per VI, it will take 1 hr per month to inspect car seals per facility. </t>
  </si>
  <si>
    <t>1. Applications</t>
  </si>
  <si>
    <t>2. Surveys and Studies</t>
  </si>
  <si>
    <t>3. Reporting Requirements</t>
  </si>
  <si>
    <t>B. Required Activities</t>
  </si>
  <si>
    <t>C. Create Information</t>
  </si>
  <si>
    <t>D. Gather Information</t>
  </si>
  <si>
    <t>E. Report Preparation</t>
  </si>
  <si>
    <t>Reporting Subtotal</t>
  </si>
  <si>
    <t>3. Required Activities</t>
  </si>
  <si>
    <r>
      <t>B. Excess emissions -- Enforcement Activities</t>
    </r>
    <r>
      <rPr>
        <vertAlign val="superscript"/>
        <sz val="9"/>
        <rFont val="Arial"/>
        <family val="2"/>
      </rPr>
      <t>d</t>
    </r>
  </si>
  <si>
    <t>E. Report Reviews</t>
  </si>
  <si>
    <t>1) Review initial notification</t>
  </si>
  <si>
    <t>2) Review batch precompliance report</t>
  </si>
  <si>
    <t>3) Review notification of performance test</t>
  </si>
  <si>
    <t>4) Review notification of compliance status</t>
  </si>
  <si>
    <t>5) Review compliance report</t>
  </si>
  <si>
    <t>6) Review notice of inspection</t>
  </si>
  <si>
    <t>(A)
EPA person-hours per occurrence</t>
  </si>
  <si>
    <t>(B)
No. of occurrences per plant per year</t>
  </si>
  <si>
    <t>(C) 
EPA person-hours per plant per year (C=AxB)</t>
  </si>
  <si>
    <t>(E) 
Technical person-hours per year (E=CxD)</t>
  </si>
  <si>
    <t>(G) 
Clerical person-hours per year (Ex0.10)</t>
  </si>
  <si>
    <t>For existing sources, we assume 1 hr per employee and 8 employees to re-familiarize themselves with the rule.</t>
  </si>
  <si>
    <t>2. Familiarize with Rule Requirements</t>
  </si>
  <si>
    <t>A. Familiarization with Regulatory Requirements</t>
  </si>
  <si>
    <t>A.  Familiarization with Regulatory Requirements</t>
  </si>
  <si>
    <t>See 3.A</t>
  </si>
  <si>
    <t>See 3.E</t>
  </si>
  <si>
    <t>See 3.B</t>
  </si>
  <si>
    <r>
      <t xml:space="preserve">Per Year </t>
    </r>
    <r>
      <rPr>
        <vertAlign val="superscript"/>
        <sz val="8"/>
        <rFont val="Arial"/>
        <family val="2"/>
      </rPr>
      <t>b</t>
    </r>
  </si>
  <si>
    <r>
      <t xml:space="preserve">Per Year </t>
    </r>
    <r>
      <rPr>
        <vertAlign val="superscript"/>
        <sz val="8"/>
        <rFont val="Arial"/>
        <family val="2"/>
      </rPr>
      <t>a</t>
    </r>
  </si>
  <si>
    <r>
      <t>a) Process Vents</t>
    </r>
    <r>
      <rPr>
        <vertAlign val="superscript"/>
        <sz val="8"/>
        <rFont val="Arial"/>
        <family val="2"/>
      </rPr>
      <t>c,f</t>
    </r>
  </si>
  <si>
    <r>
      <t>b) Resins</t>
    </r>
    <r>
      <rPr>
        <vertAlign val="superscript"/>
        <sz val="8"/>
        <rFont val="Arial"/>
        <family val="2"/>
      </rPr>
      <t>c,g</t>
    </r>
  </si>
  <si>
    <r>
      <t>c) wastewater</t>
    </r>
    <r>
      <rPr>
        <vertAlign val="superscript"/>
        <sz val="8"/>
        <rFont val="Arial"/>
        <family val="2"/>
      </rPr>
      <t>c,h</t>
    </r>
  </si>
  <si>
    <r>
      <t>d) uncontrolled wastewater</t>
    </r>
    <r>
      <rPr>
        <vertAlign val="superscript"/>
        <sz val="8"/>
        <rFont val="Arial"/>
        <family val="2"/>
      </rPr>
      <t>h</t>
    </r>
  </si>
  <si>
    <r>
      <t>e) heat exchangers</t>
    </r>
    <r>
      <rPr>
        <vertAlign val="superscript"/>
        <sz val="8"/>
        <rFont val="Arial"/>
        <family val="2"/>
      </rPr>
      <t>i</t>
    </r>
  </si>
  <si>
    <r>
      <t>f) equipment leaks</t>
    </r>
    <r>
      <rPr>
        <vertAlign val="superscript"/>
        <sz val="8"/>
        <rFont val="Arial"/>
        <family val="2"/>
      </rPr>
      <t>j</t>
    </r>
  </si>
  <si>
    <r>
      <t>a) Process Vents</t>
    </r>
    <r>
      <rPr>
        <vertAlign val="superscript"/>
        <sz val="8"/>
        <rFont val="Arial"/>
        <family val="2"/>
      </rPr>
      <t>f</t>
    </r>
  </si>
  <si>
    <r>
      <t>b) Resins</t>
    </r>
    <r>
      <rPr>
        <vertAlign val="superscript"/>
        <sz val="8"/>
        <rFont val="Arial"/>
        <family val="2"/>
      </rPr>
      <t>g</t>
    </r>
  </si>
  <si>
    <r>
      <t>c) wastewater</t>
    </r>
    <r>
      <rPr>
        <vertAlign val="superscript"/>
        <sz val="8"/>
        <rFont val="Arial"/>
        <family val="2"/>
      </rPr>
      <t>h</t>
    </r>
  </si>
  <si>
    <r>
      <t>a) Process Vents</t>
    </r>
    <r>
      <rPr>
        <vertAlign val="superscript"/>
        <sz val="8"/>
        <rFont val="Arial"/>
        <family val="2"/>
      </rPr>
      <t>c,d,f</t>
    </r>
  </si>
  <si>
    <r>
      <t>a) Initial capital costs (PRD Electronic Monitor)</t>
    </r>
    <r>
      <rPr>
        <vertAlign val="superscript"/>
        <sz val="8"/>
        <rFont val="Arial"/>
        <family val="2"/>
      </rPr>
      <t>c,k</t>
    </r>
  </si>
  <si>
    <r>
      <t>b) Annualized capital and O&amp;M costs (PRD Electronic Monitor)</t>
    </r>
    <r>
      <rPr>
        <vertAlign val="superscript"/>
        <sz val="8"/>
        <rFont val="Arial"/>
        <family val="2"/>
      </rPr>
      <t>k</t>
    </r>
  </si>
  <si>
    <r>
      <t xml:space="preserve">a) equipment openings, initial measurement </t>
    </r>
    <r>
      <rPr>
        <vertAlign val="superscript"/>
        <sz val="8"/>
        <rFont val="Arial"/>
        <family val="2"/>
      </rPr>
      <t>m</t>
    </r>
  </si>
  <si>
    <r>
      <t xml:space="preserve">b) equipment openings, daily measurement </t>
    </r>
    <r>
      <rPr>
        <vertAlign val="superscript"/>
        <sz val="8"/>
        <rFont val="Arial"/>
        <family val="2"/>
      </rPr>
      <t>m</t>
    </r>
  </si>
  <si>
    <r>
      <t xml:space="preserve">c) gasholders </t>
    </r>
    <r>
      <rPr>
        <vertAlign val="superscript"/>
        <sz val="8"/>
        <rFont val="Arial"/>
        <family val="2"/>
      </rPr>
      <t>m</t>
    </r>
  </si>
  <si>
    <r>
      <t xml:space="preserve">d) storage vessels </t>
    </r>
    <r>
      <rPr>
        <vertAlign val="superscript"/>
        <sz val="8"/>
        <rFont val="Arial"/>
        <family val="2"/>
      </rPr>
      <t>m</t>
    </r>
  </si>
  <si>
    <r>
      <t xml:space="preserve">e) bypasses, initial requirement </t>
    </r>
    <r>
      <rPr>
        <vertAlign val="superscript"/>
        <sz val="8"/>
        <rFont val="Arial"/>
        <family val="2"/>
      </rPr>
      <t>m</t>
    </r>
  </si>
  <si>
    <r>
      <t xml:space="preserve">f) bypasses, ongoing inspection </t>
    </r>
    <r>
      <rPr>
        <vertAlign val="superscript"/>
        <sz val="8"/>
        <rFont val="Arial"/>
        <family val="2"/>
      </rPr>
      <t>m</t>
    </r>
  </si>
  <si>
    <r>
      <t>1) Initial Notification</t>
    </r>
    <r>
      <rPr>
        <vertAlign val="superscript"/>
        <sz val="8"/>
        <rFont val="Arial"/>
        <family val="2"/>
      </rPr>
      <t>c,d</t>
    </r>
  </si>
  <si>
    <r>
      <t>2) Batch precompliance report</t>
    </r>
    <r>
      <rPr>
        <vertAlign val="superscript"/>
        <sz val="8"/>
        <rFont val="Arial"/>
        <family val="2"/>
      </rPr>
      <t>c,d</t>
    </r>
  </si>
  <si>
    <r>
      <t>3) Notification of performance test with test plan</t>
    </r>
    <r>
      <rPr>
        <vertAlign val="superscript"/>
        <sz val="8"/>
        <rFont val="Arial"/>
        <family val="2"/>
      </rPr>
      <t>c,d</t>
    </r>
  </si>
  <si>
    <r>
      <t>4) Notification of compliance status</t>
    </r>
    <r>
      <rPr>
        <vertAlign val="superscript"/>
        <sz val="8"/>
        <rFont val="Arial"/>
        <family val="2"/>
      </rPr>
      <t>c,d</t>
    </r>
  </si>
  <si>
    <r>
      <t>5) Compliance report</t>
    </r>
    <r>
      <rPr>
        <vertAlign val="superscript"/>
        <sz val="8"/>
        <rFont val="Arial"/>
        <family val="2"/>
      </rPr>
      <t>d</t>
    </r>
  </si>
  <si>
    <r>
      <t>6) Notice of inspection</t>
    </r>
    <r>
      <rPr>
        <vertAlign val="superscript"/>
        <sz val="8"/>
        <rFont val="Arial"/>
        <family val="2"/>
      </rPr>
      <t>d</t>
    </r>
  </si>
  <si>
    <r>
      <t>1) Records of process vent requirements</t>
    </r>
    <r>
      <rPr>
        <vertAlign val="superscript"/>
        <sz val="8"/>
        <rFont val="Arial"/>
        <family val="2"/>
      </rPr>
      <t>d</t>
    </r>
  </si>
  <si>
    <r>
      <t>2) Records of resin stripper requirements</t>
    </r>
    <r>
      <rPr>
        <vertAlign val="superscript"/>
        <sz val="8"/>
        <rFont val="Arial"/>
        <family val="2"/>
      </rPr>
      <t>d</t>
    </r>
  </si>
  <si>
    <r>
      <t>3) Records of wastewater requirements</t>
    </r>
    <r>
      <rPr>
        <vertAlign val="superscript"/>
        <sz val="8"/>
        <rFont val="Arial"/>
        <family val="2"/>
      </rPr>
      <t>d</t>
    </r>
  </si>
  <si>
    <r>
      <t>4) Records of storage vessel requirements</t>
    </r>
    <r>
      <rPr>
        <vertAlign val="superscript"/>
        <sz val="8"/>
        <rFont val="Arial"/>
        <family val="2"/>
      </rPr>
      <t>d</t>
    </r>
  </si>
  <si>
    <r>
      <t>5) Records of equipment leak requirements</t>
    </r>
    <r>
      <rPr>
        <vertAlign val="superscript"/>
        <sz val="8"/>
        <rFont val="Arial"/>
        <family val="2"/>
      </rPr>
      <t>d</t>
    </r>
  </si>
  <si>
    <r>
      <t>6) Records of heat exchanger requirements</t>
    </r>
    <r>
      <rPr>
        <vertAlign val="superscript"/>
        <sz val="8"/>
        <rFont val="Arial"/>
        <family val="2"/>
      </rPr>
      <t>d</t>
    </r>
  </si>
  <si>
    <r>
      <t xml:space="preserve">GRAND TOTAL (rounded): </t>
    </r>
    <r>
      <rPr>
        <b/>
        <vertAlign val="superscript"/>
        <sz val="8"/>
        <rFont val="Times New Roman"/>
        <family val="1"/>
      </rPr>
      <t>n</t>
    </r>
  </si>
  <si>
    <r>
      <t>TOTAL LABOR BURDEN AND COSTS (rounded):</t>
    </r>
    <r>
      <rPr>
        <b/>
        <vertAlign val="superscript"/>
        <sz val="8"/>
        <rFont val="Times New Roman"/>
        <family val="1"/>
      </rPr>
      <t>n</t>
    </r>
  </si>
  <si>
    <r>
      <t xml:space="preserve">TOTAL CAPITAL AND O&amp;M COSTS (rounded): </t>
    </r>
    <r>
      <rPr>
        <b/>
        <vertAlign val="superscript"/>
        <sz val="8"/>
        <rFont val="Times New Roman"/>
        <family val="1"/>
      </rPr>
      <t>n</t>
    </r>
  </si>
  <si>
    <r>
      <t xml:space="preserve">New sources </t>
    </r>
    <r>
      <rPr>
        <vertAlign val="superscript"/>
        <sz val="8"/>
        <rFont val="Arial"/>
        <family val="2"/>
      </rPr>
      <t>c,d,l</t>
    </r>
  </si>
  <si>
    <r>
      <t xml:space="preserve">Existing sources </t>
    </r>
    <r>
      <rPr>
        <vertAlign val="superscript"/>
        <sz val="8"/>
        <rFont val="Arial"/>
        <family val="2"/>
      </rPr>
      <t>e</t>
    </r>
  </si>
  <si>
    <r>
      <t xml:space="preserve">(D)
Plants Per Year </t>
    </r>
    <r>
      <rPr>
        <b/>
        <vertAlign val="superscript"/>
        <sz val="9"/>
        <color rgb="FF000000"/>
        <rFont val="Arial"/>
        <family val="2"/>
      </rPr>
      <t>a</t>
    </r>
  </si>
  <si>
    <r>
      <t xml:space="preserve">(H) 
EPA Cost Per Year </t>
    </r>
    <r>
      <rPr>
        <b/>
        <vertAlign val="superscript"/>
        <sz val="9"/>
        <rFont val="Arial"/>
        <family val="2"/>
      </rPr>
      <t>b</t>
    </r>
  </si>
  <si>
    <r>
      <t>A. Observe initial performance tests</t>
    </r>
    <r>
      <rPr>
        <vertAlign val="superscript"/>
        <sz val="9"/>
        <rFont val="Arial"/>
        <family val="2"/>
      </rPr>
      <t>c</t>
    </r>
  </si>
  <si>
    <r>
      <rPr>
        <vertAlign val="superscript"/>
        <sz val="8"/>
        <rFont val="Arial"/>
        <family val="2"/>
      </rPr>
      <t>c</t>
    </r>
    <r>
      <rPr>
        <sz val="8"/>
        <rFont val="Arial"/>
        <family val="2"/>
      </rPr>
      <t xml:space="preserve"> Assumes EPA personnel attend 20 percent of the initial process vent stack tests.</t>
    </r>
  </si>
  <si>
    <r>
      <t>F. Prepare annual summary report</t>
    </r>
    <r>
      <rPr>
        <vertAlign val="superscript"/>
        <sz val="9"/>
        <rFont val="Arial"/>
        <family val="2"/>
      </rPr>
      <t>e</t>
    </r>
  </si>
  <si>
    <r>
      <t xml:space="preserve">TOTAL (rounded) </t>
    </r>
    <r>
      <rPr>
        <b/>
        <vertAlign val="superscript"/>
        <sz val="9"/>
        <rFont val="Arial"/>
        <family val="2"/>
      </rPr>
      <t>f</t>
    </r>
  </si>
  <si>
    <r>
      <rPr>
        <vertAlign val="superscript"/>
        <sz val="8"/>
        <rFont val="Arial"/>
        <family val="2"/>
      </rPr>
      <t>d</t>
    </r>
    <r>
      <rPr>
        <sz val="8"/>
        <rFont val="Arial"/>
        <family val="2"/>
      </rPr>
      <t xml:space="preserve"> Assumes no emissions exceedances.</t>
    </r>
  </si>
  <si>
    <r>
      <rPr>
        <vertAlign val="superscript"/>
        <sz val="8"/>
        <rFont val="Arial"/>
        <family val="2"/>
      </rPr>
      <t>e</t>
    </r>
    <r>
      <rPr>
        <sz val="8"/>
        <rFont val="Arial"/>
        <family val="2"/>
      </rPr>
      <t xml:space="preserve"> Assumes four hours per state to write annual summary report.</t>
    </r>
  </si>
  <si>
    <r>
      <rPr>
        <vertAlign val="superscript"/>
        <sz val="8"/>
        <rFont val="Arial"/>
        <family val="2"/>
      </rPr>
      <t>f</t>
    </r>
    <r>
      <rPr>
        <sz val="8"/>
        <rFont val="Arial"/>
        <family val="2"/>
      </rPr>
      <t xml:space="preserve"> Totals have been rounded to 3 significant figures. Figures may not add exactly due to rounding.</t>
    </r>
  </si>
  <si>
    <t>hrs/response</t>
  </si>
  <si>
    <r>
      <rPr>
        <vertAlign val="superscript"/>
        <sz val="8"/>
        <rFont val="Arial"/>
        <family val="2"/>
      </rPr>
      <t>b</t>
    </r>
    <r>
      <rPr>
        <sz val="8"/>
        <rFont val="Arial"/>
        <family val="2"/>
      </rPr>
      <t xml:space="preserve"> Labor rates are $65.71 for managerial (GS-13, Step 5, $41.07 + 60%), $48.75 for technical (GS-12, Step 1, $30.47 + 60%), and $26.38 for clerical (GS-6, Step 3, $16.49 + 60%). These rates from the Office of Personnel Management (OPM), 2018 General Schedule, which excludes locality rates of pay. The rates have been increased by 60 percent to account for the benefit packages available to government employees.</t>
    </r>
  </si>
  <si>
    <r>
      <rPr>
        <vertAlign val="superscript"/>
        <sz val="9"/>
        <rFont val="Times New Roman"/>
        <family val="1"/>
      </rPr>
      <t>3</t>
    </r>
    <r>
      <rPr>
        <sz val="9"/>
        <rFont val="Times New Roman"/>
        <family val="1"/>
      </rPr>
      <t xml:space="preserve"> The capital cost of the PRD monitor is $15,000 per device, and it is assumed that 25 devices per facility require indicators.</t>
    </r>
  </si>
  <si>
    <r>
      <rPr>
        <vertAlign val="superscript"/>
        <sz val="9"/>
        <rFont val="Times New Roman"/>
        <family val="1"/>
      </rPr>
      <t>4</t>
    </r>
    <r>
      <rPr>
        <sz val="9"/>
        <rFont val="Times New Roman"/>
        <family val="1"/>
      </rPr>
      <t xml:space="preserve"> The costs of Non-VC TOHAP testing is $650 per sample, and three samples per facility.</t>
    </r>
  </si>
  <si>
    <r>
      <rPr>
        <vertAlign val="superscript"/>
        <sz val="9"/>
        <rFont val="Times New Roman"/>
        <family val="1"/>
      </rPr>
      <t>5</t>
    </r>
    <r>
      <rPr>
        <sz val="9"/>
        <rFont val="Times New Roman"/>
        <family val="1"/>
      </rPr>
      <t xml:space="preserve"> The costs of Non-VC TOHAP testing is $650 per sample, and five samples per facility.</t>
    </r>
  </si>
  <si>
    <r>
      <rPr>
        <b/>
        <sz val="8"/>
        <rFont val="Arial"/>
        <family val="2"/>
      </rPr>
      <t>Internal Notes:</t>
    </r>
    <r>
      <rPr>
        <sz val="8"/>
        <rFont val="Arial"/>
        <family val="2"/>
      </rPr>
      <t xml:space="preserve"> Assume sources have met initial requirements for consistency with the previous ICR.  </t>
    </r>
    <r>
      <rPr>
        <sz val="8"/>
        <color rgb="FF0070C0"/>
        <rFont val="Arial"/>
        <family val="2"/>
      </rPr>
      <t xml:space="preserve">Estimates for each item also updated using numbers provided by The Vinyl Institute (VI) for 2454.02, where appropriate.   </t>
    </r>
    <r>
      <rPr>
        <sz val="8"/>
        <rFont val="Arial"/>
        <family val="2"/>
      </rPr>
      <t xml:space="preserve">See notes in rows below (also in footnotes). </t>
    </r>
  </si>
  <si>
    <r>
      <rPr>
        <vertAlign val="superscript"/>
        <sz val="8"/>
        <rFont val="Arial"/>
        <family val="2"/>
      </rPr>
      <t>a</t>
    </r>
    <r>
      <rPr>
        <sz val="8"/>
        <rFont val="Arial"/>
        <family val="2"/>
      </rPr>
      <t xml:space="preserve"> Assumes that, over the next three years, approximately 4 respondents per year will be subject to the standard, and no additional respondents per year will become subject to the standard. </t>
    </r>
  </si>
  <si>
    <r>
      <t>a</t>
    </r>
    <r>
      <rPr>
        <sz val="8"/>
        <rFont val="Arial"/>
        <family val="2"/>
      </rPr>
      <t xml:space="preserve"> Assumes that, over the next three years, approximately 4 respondents per year will be subject to the standard, and no additional respondents per year will become subject to the standard. </t>
    </r>
  </si>
  <si>
    <r>
      <t>b</t>
    </r>
    <r>
      <rPr>
        <sz val="8"/>
        <rFont val="Arial"/>
        <family val="2"/>
      </rPr>
      <t xml:space="preserve"> Labor rates are $147.40 for managerial, $117.92 for technical, and $57.02 for clerical. These rates from the United States Department of Labor, Bureau of Labor Statistics, September June 2018, “Table 2. Civilian Workers, by occupational and industry group.” The rates are from column 1, “Total compensation.” The rates have been increased by 110 percent to account for the benefit packages available to those employed by private industry.</t>
    </r>
  </si>
  <si>
    <r>
      <t>c</t>
    </r>
    <r>
      <rPr>
        <sz val="8"/>
        <rFont val="Arial"/>
        <family val="2"/>
      </rPr>
      <t xml:space="preserve"> Costs apply only to newly-applicable sources.</t>
    </r>
  </si>
  <si>
    <r>
      <t>d</t>
    </r>
    <r>
      <rPr>
        <sz val="8"/>
        <rFont val="Arial"/>
        <family val="2"/>
      </rPr>
      <t xml:space="preserve"> Cost incurred by a facility regardless of the number of affected units at the plant.</t>
    </r>
  </si>
  <si>
    <r>
      <t>e</t>
    </r>
    <r>
      <rPr>
        <sz val="8"/>
        <rFont val="Arial"/>
        <family val="2"/>
      </rPr>
      <t xml:space="preserve"> There are 4 area sources in the affected source category.</t>
    </r>
  </si>
  <si>
    <r>
      <t>g</t>
    </r>
    <r>
      <rPr>
        <sz val="8"/>
        <rFont val="Arial"/>
        <family val="2"/>
      </rPr>
      <t xml:space="preserve"> It is assumed that performance testing for process vents will take 4 hours per sample for 9 samples per facility, initially and daily (350 days per year). See continuous monthly sampling &amp; testing of Non-VC TOHAP in O&amp;M section.</t>
    </r>
  </si>
  <si>
    <r>
      <t>h</t>
    </r>
    <r>
      <rPr>
        <sz val="8"/>
        <rFont val="Arial"/>
        <family val="2"/>
      </rPr>
      <t xml:space="preserve"> Estimated 1 uncontrolled stream and 1 wastewater stripper per facility. 1 wastewater stripper outlet is expected to require monthly testing;  5 uncontrolled stream will require annual testing (per facility).  It will take 4 hours per sample for 2 samples per stream.</t>
    </r>
  </si>
  <si>
    <r>
      <t>i</t>
    </r>
    <r>
      <rPr>
        <sz val="8"/>
        <rFont val="Arial"/>
        <family val="2"/>
      </rPr>
      <t xml:space="preserve"> It is assumed that performance testing on heat exchangers will take 4 hours per sample for 2 samples per facility, initially and monthly. </t>
    </r>
  </si>
  <si>
    <r>
      <t>j</t>
    </r>
    <r>
      <rPr>
        <sz val="8"/>
        <rFont val="Arial"/>
        <family val="2"/>
      </rPr>
      <t xml:space="preserve"> For Equipment leaks, we estimate approx 10,000 components per facility and 5 minutes per component, plus additional time calibration of analytical device for a total of 850 hr per facility.  For continuous monitoring, we assume 1 hr is required per component for leak repair, if detected.  It was assumed that overall continuous compliace of leak monitoring will take 5% of the time with initial monitoring per month. </t>
    </r>
  </si>
  <si>
    <r>
      <t>k</t>
    </r>
    <r>
      <rPr>
        <sz val="8"/>
        <rFont val="Arial"/>
        <family val="2"/>
      </rPr>
      <t xml:space="preserve"> We assume the initial performance testing for pressure relief devices (PRD), would take 524 hours per facility.  Periodically, corrective action for discharge from a PRD would take 24 hours.  It is estimated that 27% of the respondents would experience discharge from a PRD each year.</t>
    </r>
  </si>
  <si>
    <r>
      <t>l</t>
    </r>
    <r>
      <rPr>
        <sz val="8"/>
        <rFont val="Arial"/>
        <family val="2"/>
      </rPr>
      <t xml:space="preserve"> It will take 8 employees 40 hours per person to read and understand the rule requirements.</t>
    </r>
  </si>
  <si>
    <r>
      <t>m</t>
    </r>
    <r>
      <rPr>
        <sz val="8"/>
        <rFont val="Arial"/>
        <family val="2"/>
      </rPr>
      <t xml:space="preserve"> We have included this item based on comments previously provided by the Vinyl Institute. </t>
    </r>
  </si>
  <si>
    <r>
      <t>n</t>
    </r>
    <r>
      <rPr>
        <sz val="8"/>
        <rFont val="Arial"/>
        <family val="2"/>
      </rPr>
      <t xml:space="preserve"> Totals have been rounded to 3 significant figures. Figures may not add exactly due to rounding.</t>
    </r>
  </si>
  <si>
    <r>
      <rPr>
        <vertAlign val="superscript"/>
        <sz val="9"/>
        <rFont val="Times New Roman"/>
        <family val="1"/>
      </rPr>
      <t>6</t>
    </r>
    <r>
      <rPr>
        <sz val="9"/>
        <rFont val="Times New Roman"/>
        <family val="1"/>
      </rPr>
      <t xml:space="preserve"> Assumes 3.65 GC monitors per facility with an annual O&amp;M cost of $45,000 per monitor.  </t>
    </r>
  </si>
  <si>
    <r>
      <t>f</t>
    </r>
    <r>
      <rPr>
        <sz val="8"/>
        <rFont val="Arial"/>
        <family val="2"/>
      </rPr>
      <t xml:space="preserve">  It is assumed that performance testing for process vents will take 120 hours per occurrence initially.  The initial compliance and operating procedure development for continuous compliance and will take 8 hours.  The daily monitoring of parameters will take on avg 17.1 hr per facility per day over 350 day/yr. </t>
    </r>
  </si>
  <si>
    <t>(E x 0.05)</t>
  </si>
  <si>
    <t>(E x 0.1)</t>
  </si>
  <si>
    <t>(C x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</si>
</sst>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 numFmtId="175" formatCode="0.0"/>
    <numFmt numFmtId="176" formatCode="#,##0.0_);\(#,##0.0\)"/>
  </numFmts>
  <fonts count="52" x14ac:knownFonts="1">
    <font>
      <sz val="8"/>
      <name val="Helv"/>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name val="Arial"/>
      <family val="2"/>
    </font>
    <font>
      <b/>
      <sz val="8"/>
      <name val="Arial"/>
      <family val="2"/>
    </font>
    <font>
      <sz val="8"/>
      <name val="Arial"/>
      <family val="2"/>
    </font>
    <font>
      <b/>
      <sz val="12"/>
      <name val="Arial"/>
      <family val="2"/>
    </font>
    <font>
      <sz val="22"/>
      <name val="Arial"/>
      <family val="2"/>
    </font>
    <font>
      <sz val="8"/>
      <color indexed="8"/>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b/>
      <sz val="8"/>
      <name val="Helv"/>
    </font>
    <font>
      <vertAlign val="superscript"/>
      <sz val="10"/>
      <name val="Arial"/>
      <family val="2"/>
    </font>
    <font>
      <sz val="9"/>
      <color indexed="12"/>
      <name val="Arial"/>
      <family val="2"/>
    </font>
    <font>
      <sz val="11"/>
      <name val="Arial"/>
      <family val="2"/>
    </font>
    <font>
      <sz val="9"/>
      <color rgb="FFFF0000"/>
      <name val="Arial"/>
      <family val="2"/>
    </font>
    <font>
      <sz val="8"/>
      <name val="Times New Roman"/>
      <family val="1"/>
    </font>
    <font>
      <sz val="10"/>
      <name val="Times New Roman"/>
      <family val="1"/>
    </font>
    <font>
      <sz val="10"/>
      <color rgb="FF0070C0"/>
      <name val="Arial"/>
      <family val="2"/>
    </font>
    <font>
      <b/>
      <sz val="11"/>
      <color theme="1"/>
      <name val="Calibri"/>
      <family val="2"/>
      <scheme val="minor"/>
    </font>
    <font>
      <b/>
      <sz val="14"/>
      <color theme="1"/>
      <name val="Calibri"/>
      <family val="2"/>
      <scheme val="minor"/>
    </font>
    <font>
      <b/>
      <u val="double"/>
      <sz val="16"/>
      <name val="Arial"/>
      <family val="2"/>
    </font>
    <font>
      <b/>
      <u val="double"/>
      <sz val="16"/>
      <name val="Helv"/>
    </font>
    <font>
      <b/>
      <sz val="10"/>
      <name val="Times New Roman"/>
      <family val="1"/>
    </font>
    <font>
      <b/>
      <vertAlign val="superscript"/>
      <sz val="10"/>
      <name val="Times New Roman"/>
      <family val="1"/>
    </font>
    <font>
      <sz val="11"/>
      <color rgb="FFFF0000"/>
      <name val="Calibri"/>
      <family val="2"/>
      <scheme val="minor"/>
    </font>
    <font>
      <b/>
      <sz val="12"/>
      <color rgb="FFFF0000"/>
      <name val="Times New Roman"/>
      <family val="1"/>
    </font>
    <font>
      <b/>
      <i/>
      <sz val="8"/>
      <name val="Arial"/>
      <family val="2"/>
    </font>
    <font>
      <b/>
      <sz val="8"/>
      <name val="Times New Roman"/>
      <family val="1"/>
    </font>
    <font>
      <vertAlign val="superscript"/>
      <sz val="8"/>
      <name val="Arial"/>
      <family val="2"/>
    </font>
    <font>
      <vertAlign val="superscript"/>
      <sz val="9"/>
      <name val="Arial"/>
      <family val="2"/>
    </font>
    <font>
      <b/>
      <sz val="9"/>
      <color rgb="FF000000"/>
      <name val="Arial"/>
      <family val="2"/>
    </font>
    <font>
      <b/>
      <vertAlign val="superscript"/>
      <sz val="9"/>
      <name val="Arial"/>
      <family val="2"/>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vertAlign val="superscript"/>
      <sz val="12"/>
      <color rgb="FF000000"/>
      <name val="Times New Roman"/>
      <family val="1"/>
    </font>
    <font>
      <sz val="9"/>
      <color rgb="FF000000"/>
      <name val="Times New Roman"/>
      <family val="1"/>
    </font>
    <font>
      <vertAlign val="superscript"/>
      <sz val="9"/>
      <color rgb="FF000000"/>
      <name val="Times New Roman"/>
      <family val="1"/>
    </font>
    <font>
      <vertAlign val="superscript"/>
      <sz val="10"/>
      <color rgb="FF000000"/>
      <name val="Times New Roman"/>
      <family val="1"/>
    </font>
    <font>
      <sz val="9"/>
      <name val="Times New Roman"/>
      <family val="1"/>
    </font>
    <font>
      <vertAlign val="superscript"/>
      <sz val="9"/>
      <name val="Times New Roman"/>
      <family val="1"/>
    </font>
    <font>
      <sz val="8"/>
      <color rgb="FF0070C0"/>
      <name val="Arial"/>
      <family val="2"/>
    </font>
    <font>
      <b/>
      <vertAlign val="superscript"/>
      <sz val="8"/>
      <name val="Times New Roman"/>
      <family val="1"/>
    </font>
    <font>
      <b/>
      <vertAlign val="superscrip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73">
    <border>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style="thin">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medium">
        <color indexed="64"/>
      </top>
      <bottom/>
      <diagonal/>
    </border>
    <border>
      <left style="thin">
        <color indexed="8"/>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8"/>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right style="medium">
        <color indexed="64"/>
      </right>
      <top/>
      <bottom/>
      <diagonal/>
    </border>
    <border>
      <left style="medium">
        <color indexed="64"/>
      </left>
      <right/>
      <top style="thin">
        <color indexed="8"/>
      </top>
      <bottom style="thin">
        <color indexed="64"/>
      </bottom>
      <diagonal/>
    </border>
    <border>
      <left style="medium">
        <color indexed="64"/>
      </left>
      <right/>
      <top style="thin">
        <color indexed="8"/>
      </top>
      <bottom style="thin">
        <color indexed="8"/>
      </bottom>
      <diagonal/>
    </border>
    <border>
      <left style="medium">
        <color indexed="64"/>
      </left>
      <right/>
      <top style="thin">
        <color indexed="64"/>
      </top>
      <bottom style="thin">
        <color indexed="64"/>
      </bottom>
      <diagonal/>
    </border>
    <border>
      <left style="thin">
        <color indexed="8"/>
      </left>
      <right style="medium">
        <color indexed="64"/>
      </right>
      <top style="thin">
        <color indexed="64"/>
      </top>
      <bottom/>
      <diagonal/>
    </border>
    <border>
      <left/>
      <right/>
      <top style="medium">
        <color indexed="64"/>
      </top>
      <bottom/>
      <diagonal/>
    </border>
  </borders>
  <cellStyleXfs count="9">
    <xf numFmtId="164"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1" fillId="0" borderId="0"/>
  </cellStyleXfs>
  <cellXfs count="359">
    <xf numFmtId="164" fontId="0" fillId="0" borderId="0" xfId="0"/>
    <xf numFmtId="164" fontId="8" fillId="0" borderId="0" xfId="0" applyFont="1" applyFill="1"/>
    <xf numFmtId="164" fontId="8" fillId="0" borderId="0" xfId="0" applyFont="1" applyFill="1" applyBorder="1"/>
    <xf numFmtId="164" fontId="8" fillId="0" borderId="18" xfId="0" applyFont="1" applyFill="1" applyBorder="1" applyAlignment="1" applyProtection="1">
      <alignment horizontal="center"/>
    </xf>
    <xf numFmtId="164" fontId="8" fillId="0" borderId="21" xfId="0" applyFont="1" applyFill="1" applyBorder="1" applyAlignment="1" applyProtection="1">
      <alignment horizontal="center"/>
    </xf>
    <xf numFmtId="164" fontId="8" fillId="0" borderId="22" xfId="0" applyFont="1" applyFill="1" applyBorder="1" applyAlignment="1" applyProtection="1">
      <alignment horizontal="center"/>
    </xf>
    <xf numFmtId="164" fontId="8" fillId="0" borderId="23" xfId="0" applyFont="1" applyFill="1" applyBorder="1" applyAlignment="1" applyProtection="1">
      <alignment horizontal="center"/>
    </xf>
    <xf numFmtId="164" fontId="8" fillId="0" borderId="21" xfId="0" quotePrefix="1" applyFont="1" applyFill="1" applyBorder="1" applyAlignment="1" applyProtection="1">
      <alignment horizontal="center"/>
    </xf>
    <xf numFmtId="164" fontId="8" fillId="0" borderId="23" xfId="0" quotePrefix="1" applyFont="1" applyFill="1" applyBorder="1" applyAlignment="1" applyProtection="1">
      <alignment horizontal="center"/>
    </xf>
    <xf numFmtId="164" fontId="8" fillId="0" borderId="24" xfId="0" applyFont="1" applyFill="1" applyBorder="1" applyAlignment="1">
      <alignment horizontal="center"/>
    </xf>
    <xf numFmtId="164" fontId="8" fillId="0" borderId="25" xfId="0" applyFont="1" applyFill="1" applyBorder="1" applyAlignment="1" applyProtection="1">
      <alignment horizontal="center"/>
    </xf>
    <xf numFmtId="164" fontId="8" fillId="3" borderId="27" xfId="0" applyFont="1" applyFill="1" applyBorder="1" applyAlignment="1">
      <alignment horizontal="center"/>
    </xf>
    <xf numFmtId="164" fontId="8" fillId="0" borderId="28" xfId="0" applyFont="1" applyFill="1" applyBorder="1" applyAlignment="1">
      <alignment horizontal="center" vertical="center"/>
    </xf>
    <xf numFmtId="165" fontId="8" fillId="0" borderId="28" xfId="0" applyNumberFormat="1" applyFont="1" applyFill="1" applyBorder="1" applyAlignment="1" applyProtection="1">
      <alignment horizontal="center" vertical="center"/>
    </xf>
    <xf numFmtId="165" fontId="8" fillId="0" borderId="19" xfId="0" applyNumberFormat="1" applyFont="1" applyFill="1" applyBorder="1" applyAlignment="1" applyProtection="1">
      <alignment horizontal="center" vertical="center"/>
      <protection locked="0"/>
    </xf>
    <xf numFmtId="164" fontId="8" fillId="0" borderId="19" xfId="0" applyFont="1" applyFill="1" applyBorder="1" applyAlignment="1">
      <alignment horizontal="center" vertical="center"/>
    </xf>
    <xf numFmtId="164" fontId="8" fillId="0" borderId="29" xfId="0" applyFont="1" applyFill="1" applyBorder="1" applyAlignment="1">
      <alignment horizontal="center" vertical="center"/>
    </xf>
    <xf numFmtId="164" fontId="8" fillId="3" borderId="30" xfId="0" applyFont="1" applyFill="1" applyBorder="1" applyAlignment="1">
      <alignment horizontal="center"/>
    </xf>
    <xf numFmtId="164" fontId="8" fillId="0" borderId="31" xfId="0" applyFont="1" applyFill="1" applyBorder="1" applyAlignment="1">
      <alignment horizontal="center" vertical="center"/>
    </xf>
    <xf numFmtId="164" fontId="8" fillId="0" borderId="32" xfId="0" applyFont="1" applyFill="1" applyBorder="1" applyAlignment="1">
      <alignment horizontal="center" vertical="center"/>
    </xf>
    <xf numFmtId="165" fontId="8" fillId="0" borderId="34" xfId="0" applyNumberFormat="1" applyFont="1" applyFill="1" applyBorder="1" applyAlignment="1" applyProtection="1">
      <alignment horizontal="center" vertical="center"/>
    </xf>
    <xf numFmtId="168" fontId="11" fillId="0" borderId="0" xfId="4" quotePrefix="1" applyNumberFormat="1" applyFont="1" applyFill="1" applyBorder="1" applyAlignment="1" applyProtection="1">
      <alignment vertical="top" wrapText="1"/>
    </xf>
    <xf numFmtId="44" fontId="8" fillId="0" borderId="0" xfId="2" applyFont="1"/>
    <xf numFmtId="164" fontId="8" fillId="0" borderId="31" xfId="0" applyFont="1" applyFill="1" applyBorder="1" applyAlignment="1" applyProtection="1">
      <alignment horizontal="center" vertical="center"/>
      <protection locked="0"/>
    </xf>
    <xf numFmtId="164" fontId="8" fillId="3" borderId="31" xfId="0" applyFont="1" applyFill="1" applyBorder="1" applyAlignment="1" applyProtection="1">
      <alignment horizontal="center" vertical="center"/>
      <protection locked="0"/>
    </xf>
    <xf numFmtId="164" fontId="8" fillId="0" borderId="36" xfId="0" applyFont="1" applyFill="1" applyBorder="1" applyAlignment="1" applyProtection="1">
      <alignment horizontal="center" vertical="center"/>
    </xf>
    <xf numFmtId="166" fontId="8" fillId="0" borderId="36" xfId="0" applyNumberFormat="1" applyFont="1" applyFill="1" applyBorder="1" applyAlignment="1" applyProtection="1">
      <alignment horizontal="center" vertical="center"/>
      <protection locked="0"/>
    </xf>
    <xf numFmtId="37" fontId="8" fillId="0" borderId="36" xfId="0" applyNumberFormat="1" applyFont="1" applyFill="1" applyBorder="1" applyAlignment="1" applyProtection="1">
      <alignment horizontal="center" vertical="center"/>
    </xf>
    <xf numFmtId="37" fontId="8" fillId="0" borderId="37" xfId="0" applyNumberFormat="1" applyFont="1" applyFill="1" applyBorder="1" applyAlignment="1" applyProtection="1">
      <alignment horizontal="center" vertical="center"/>
    </xf>
    <xf numFmtId="164" fontId="8" fillId="0" borderId="36" xfId="0" applyFont="1" applyFill="1" applyBorder="1" applyAlignment="1" applyProtection="1">
      <alignment horizontal="center" vertical="center"/>
      <protection locked="0"/>
    </xf>
    <xf numFmtId="166" fontId="8" fillId="0" borderId="31" xfId="0" applyNumberFormat="1" applyFont="1" applyFill="1" applyBorder="1" applyAlignment="1" applyProtection="1">
      <alignment horizontal="center" vertical="center"/>
      <protection locked="0"/>
    </xf>
    <xf numFmtId="37" fontId="8" fillId="0" borderId="31" xfId="0" applyNumberFormat="1" applyFont="1" applyFill="1" applyBorder="1" applyAlignment="1" applyProtection="1">
      <alignment horizontal="center" vertical="center"/>
    </xf>
    <xf numFmtId="37" fontId="8" fillId="0" borderId="39" xfId="0" applyNumberFormat="1" applyFont="1" applyFill="1" applyBorder="1" applyAlignment="1" applyProtection="1">
      <alignment horizontal="center" vertical="center"/>
    </xf>
    <xf numFmtId="164" fontId="8" fillId="0" borderId="31" xfId="0" applyFont="1" applyFill="1" applyBorder="1" applyAlignment="1" applyProtection="1">
      <alignment horizontal="center" vertical="center"/>
    </xf>
    <xf numFmtId="164" fontId="8" fillId="0" borderId="40" xfId="0" applyFont="1" applyFill="1" applyBorder="1" applyAlignment="1" applyProtection="1">
      <alignment horizontal="center" vertical="center"/>
    </xf>
    <xf numFmtId="164" fontId="8" fillId="3" borderId="38" xfId="0" applyFont="1" applyFill="1" applyBorder="1" applyAlignment="1" applyProtection="1">
      <alignment horizontal="center" vertical="center"/>
      <protection locked="0"/>
    </xf>
    <xf numFmtId="164" fontId="8" fillId="0" borderId="30" xfId="0" applyFont="1" applyFill="1" applyBorder="1" applyAlignment="1">
      <alignment horizontal="center"/>
    </xf>
    <xf numFmtId="164" fontId="8" fillId="0" borderId="0" xfId="0" applyFont="1" applyFill="1" applyBorder="1" applyAlignment="1">
      <alignment horizontal="center"/>
    </xf>
    <xf numFmtId="164" fontId="8" fillId="0" borderId="0" xfId="0" applyFont="1" applyFill="1" applyAlignment="1">
      <alignment horizontal="center"/>
    </xf>
    <xf numFmtId="164" fontId="8" fillId="0" borderId="3" xfId="0" applyFont="1" applyFill="1" applyBorder="1" applyAlignment="1">
      <alignment horizontal="center" vertical="center"/>
    </xf>
    <xf numFmtId="164" fontId="8" fillId="3" borderId="3" xfId="0" applyFont="1" applyFill="1" applyBorder="1" applyAlignment="1" applyProtection="1">
      <alignment horizontal="center" vertical="center"/>
      <protection locked="0"/>
    </xf>
    <xf numFmtId="0" fontId="3" fillId="0" borderId="0" xfId="3"/>
    <xf numFmtId="164" fontId="8" fillId="3" borderId="34" xfId="0" applyFont="1" applyFill="1" applyBorder="1" applyAlignment="1">
      <alignment horizontal="center"/>
    </xf>
    <xf numFmtId="0" fontId="8" fillId="0" borderId="1" xfId="0" applyNumberFormat="1" applyFont="1" applyFill="1" applyBorder="1" applyAlignment="1" applyProtection="1">
      <alignment vertical="center"/>
      <protection locked="0"/>
    </xf>
    <xf numFmtId="0" fontId="8" fillId="0" borderId="42" xfId="0" applyNumberFormat="1" applyFont="1" applyFill="1" applyBorder="1" applyAlignment="1" applyProtection="1">
      <alignment vertical="center"/>
      <protection locked="0"/>
    </xf>
    <xf numFmtId="165" fontId="8" fillId="0" borderId="43" xfId="0" applyNumberFormat="1" applyFont="1" applyFill="1" applyBorder="1" applyAlignment="1" applyProtection="1">
      <alignment horizontal="center" vertical="center"/>
    </xf>
    <xf numFmtId="164" fontId="8" fillId="0" borderId="3" xfId="0" applyFont="1" applyFill="1" applyBorder="1" applyAlignment="1" applyProtection="1">
      <alignment horizontal="center" vertical="center"/>
    </xf>
    <xf numFmtId="164" fontId="8" fillId="0" borderId="3" xfId="0" applyFont="1" applyFill="1" applyBorder="1" applyAlignment="1" applyProtection="1">
      <alignment horizontal="center" vertical="center"/>
      <protection locked="0"/>
    </xf>
    <xf numFmtId="165" fontId="8"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protection locked="0"/>
    </xf>
    <xf numFmtId="37" fontId="8" fillId="0" borderId="3" xfId="0" applyNumberFormat="1" applyFont="1" applyFill="1" applyBorder="1" applyAlignment="1" applyProtection="1">
      <alignment horizontal="center" vertical="center"/>
      <protection locked="0"/>
    </xf>
    <xf numFmtId="37" fontId="8" fillId="0" borderId="3" xfId="0" applyNumberFormat="1" applyFont="1" applyFill="1" applyBorder="1" applyAlignment="1" applyProtection="1">
      <alignment horizontal="center" vertical="center"/>
    </xf>
    <xf numFmtId="166" fontId="8" fillId="0" borderId="3" xfId="0" applyNumberFormat="1" applyFont="1" applyFill="1" applyBorder="1" applyAlignment="1" applyProtection="1">
      <alignment horizontal="center" vertical="center"/>
      <protection locked="0"/>
    </xf>
    <xf numFmtId="165" fontId="8" fillId="0" borderId="3" xfId="0" applyNumberFormat="1" applyFont="1" applyFill="1" applyBorder="1" applyAlignment="1" applyProtection="1">
      <alignment horizontal="center" vertical="center"/>
      <protection locked="0"/>
    </xf>
    <xf numFmtId="164" fontId="5" fillId="0" borderId="0" xfId="0" applyFont="1" applyBorder="1"/>
    <xf numFmtId="164" fontId="8" fillId="0" borderId="10" xfId="0" applyFont="1" applyFill="1" applyBorder="1" applyAlignment="1">
      <alignment vertical="center"/>
    </xf>
    <xf numFmtId="164" fontId="8" fillId="0" borderId="21" xfId="0" applyFont="1" applyFill="1" applyBorder="1" applyAlignment="1">
      <alignment horizontal="center"/>
    </xf>
    <xf numFmtId="0" fontId="3" fillId="0" borderId="0" xfId="0" applyNumberFormat="1" applyFont="1"/>
    <xf numFmtId="0" fontId="0" fillId="0" borderId="0" xfId="0" applyNumberFormat="1"/>
    <xf numFmtId="0" fontId="5" fillId="0" borderId="0" xfId="0" applyNumberFormat="1" applyFont="1"/>
    <xf numFmtId="0" fontId="5" fillId="2" borderId="3" xfId="0" applyNumberFormat="1" applyFont="1" applyFill="1" applyBorder="1"/>
    <xf numFmtId="0" fontId="5" fillId="2" borderId="3" xfId="0" applyNumberFormat="1" applyFont="1" applyFill="1" applyBorder="1" applyAlignment="1">
      <alignment horizontal="center"/>
    </xf>
    <xf numFmtId="0" fontId="12" fillId="0" borderId="3" xfId="0" applyNumberFormat="1" applyFont="1" applyBorder="1"/>
    <xf numFmtId="0" fontId="12" fillId="0" borderId="3" xfId="0" applyNumberFormat="1" applyFont="1" applyBorder="1" applyAlignment="1">
      <alignment horizontal="center"/>
    </xf>
    <xf numFmtId="0" fontId="0" fillId="0" borderId="3" xfId="0" applyNumberFormat="1" applyBorder="1"/>
    <xf numFmtId="0" fontId="13" fillId="0" borderId="3" xfId="0" applyNumberFormat="1" applyFont="1" applyFill="1" applyBorder="1"/>
    <xf numFmtId="0" fontId="13" fillId="0" borderId="3" xfId="0" applyNumberFormat="1" applyFont="1" applyBorder="1"/>
    <xf numFmtId="0" fontId="14" fillId="0" borderId="3" xfId="0" applyNumberFormat="1" applyFont="1" applyFill="1" applyBorder="1" applyAlignment="1">
      <alignment vertical="top" wrapText="1"/>
    </xf>
    <xf numFmtId="0" fontId="14" fillId="0" borderId="3" xfId="0" applyNumberFormat="1" applyFont="1" applyFill="1" applyBorder="1" applyAlignment="1">
      <alignment horizontal="left" vertical="top" wrapText="1" indent="1"/>
    </xf>
    <xf numFmtId="44" fontId="13" fillId="0" borderId="3" xfId="2" applyFont="1" applyBorder="1"/>
    <xf numFmtId="44" fontId="0" fillId="0" borderId="3" xfId="0" applyNumberFormat="1" applyBorder="1"/>
    <xf numFmtId="171" fontId="0" fillId="0" borderId="3" xfId="0" applyNumberFormat="1" applyBorder="1"/>
    <xf numFmtId="167" fontId="13" fillId="0" borderId="3" xfId="0" quotePrefix="1" applyNumberFormat="1" applyFont="1" applyBorder="1"/>
    <xf numFmtId="167" fontId="13" fillId="0" borderId="3" xfId="0" applyNumberFormat="1" applyFont="1" applyBorder="1"/>
    <xf numFmtId="170" fontId="0" fillId="0" borderId="3" xfId="0" applyNumberFormat="1" applyBorder="1"/>
    <xf numFmtId="172" fontId="0" fillId="0" borderId="3" xfId="0" applyNumberFormat="1" applyBorder="1"/>
    <xf numFmtId="49" fontId="13" fillId="0" borderId="3" xfId="0" applyNumberFormat="1" applyFont="1" applyBorder="1"/>
    <xf numFmtId="168" fontId="14" fillId="0" borderId="3" xfId="0" quotePrefix="1" applyNumberFormat="1" applyFont="1" applyFill="1" applyBorder="1" applyAlignment="1" applyProtection="1">
      <alignment vertical="top" wrapText="1"/>
    </xf>
    <xf numFmtId="168" fontId="15" fillId="0" borderId="3" xfId="0" quotePrefix="1" applyNumberFormat="1" applyFont="1" applyFill="1" applyBorder="1" applyAlignment="1" applyProtection="1">
      <alignment vertical="top" wrapText="1"/>
    </xf>
    <xf numFmtId="172" fontId="5" fillId="0" borderId="3" xfId="0" applyNumberFormat="1" applyFont="1" applyBorder="1"/>
    <xf numFmtId="0" fontId="13" fillId="0" borderId="0" xfId="0" applyNumberFormat="1" applyFont="1"/>
    <xf numFmtId="44" fontId="0" fillId="0" borderId="0" xfId="2" applyFont="1"/>
    <xf numFmtId="0" fontId="16" fillId="0" borderId="0" xfId="0" applyNumberFormat="1" applyFont="1"/>
    <xf numFmtId="0" fontId="4" fillId="0" borderId="0" xfId="0" applyNumberFormat="1" applyFont="1"/>
    <xf numFmtId="0" fontId="6" fillId="0" borderId="0" xfId="0" applyNumberFormat="1" applyFont="1"/>
    <xf numFmtId="167" fontId="0" fillId="0" borderId="0" xfId="0" applyNumberFormat="1"/>
    <xf numFmtId="0" fontId="0" fillId="0" borderId="0" xfId="0" applyNumberFormat="1" applyFill="1" applyBorder="1" applyAlignment="1">
      <alignment vertical="top"/>
    </xf>
    <xf numFmtId="172" fontId="5" fillId="4" borderId="3" xfId="0" applyNumberFormat="1" applyFont="1" applyFill="1" applyBorder="1"/>
    <xf numFmtId="164" fontId="4" fillId="0" borderId="0" xfId="0" applyFont="1" applyFill="1"/>
    <xf numFmtId="164" fontId="8" fillId="0" borderId="41" xfId="0" applyFont="1" applyFill="1" applyBorder="1" applyAlignment="1">
      <alignment horizontal="center"/>
    </xf>
    <xf numFmtId="0" fontId="3" fillId="0" borderId="0" xfId="5" applyFont="1" applyAlignment="1">
      <alignment horizontal="centerContinuous"/>
    </xf>
    <xf numFmtId="0" fontId="3" fillId="0" borderId="0" xfId="5" applyFont="1"/>
    <xf numFmtId="164" fontId="4" fillId="0" borderId="0" xfId="0" applyFont="1" applyBorder="1"/>
    <xf numFmtId="164" fontId="4" fillId="0" borderId="0" xfId="0" applyFont="1" applyBorder="1" applyAlignment="1">
      <alignment horizontal="center"/>
    </xf>
    <xf numFmtId="3" fontId="4" fillId="0" borderId="0" xfId="1" applyNumberFormat="1" applyFont="1" applyBorder="1" applyAlignment="1">
      <alignment horizontal="right"/>
    </xf>
    <xf numFmtId="3" fontId="4" fillId="0" borderId="0" xfId="0" applyNumberFormat="1" applyFont="1"/>
    <xf numFmtId="164" fontId="4" fillId="0" borderId="0" xfId="0" applyFont="1"/>
    <xf numFmtId="167" fontId="4" fillId="0" borderId="0" xfId="0" applyNumberFormat="1" applyFont="1" applyBorder="1"/>
    <xf numFmtId="0" fontId="13" fillId="0" borderId="0" xfId="5" applyFont="1"/>
    <xf numFmtId="164" fontId="13" fillId="0" borderId="4" xfId="0" applyFont="1" applyBorder="1" applyAlignment="1" applyProtection="1">
      <alignment horizontal="left" vertical="center"/>
    </xf>
    <xf numFmtId="37" fontId="13" fillId="0" borderId="3" xfId="0" applyNumberFormat="1" applyFont="1" applyBorder="1" applyAlignment="1" applyProtection="1">
      <alignment horizontal="center" vertical="center"/>
      <protection locked="0"/>
    </xf>
    <xf numFmtId="1" fontId="13" fillId="0" borderId="3" xfId="0" applyNumberFormat="1" applyFont="1" applyBorder="1" applyAlignment="1" applyProtection="1">
      <alignment horizontal="center" vertical="center"/>
    </xf>
    <xf numFmtId="0" fontId="13" fillId="0" borderId="0" xfId="5" applyFont="1" applyBorder="1"/>
    <xf numFmtId="164" fontId="13" fillId="0" borderId="17" xfId="0" applyFont="1" applyFill="1" applyBorder="1" applyAlignment="1" applyProtection="1">
      <alignment horizontal="left" vertical="center"/>
    </xf>
    <xf numFmtId="37" fontId="13" fillId="0" borderId="3" xfId="0" applyNumberFormat="1" applyFont="1" applyFill="1" applyBorder="1" applyAlignment="1" applyProtection="1">
      <alignment horizontal="center" vertical="center"/>
      <protection locked="0"/>
    </xf>
    <xf numFmtId="1" fontId="13" fillId="0" borderId="3" xfId="0" applyNumberFormat="1" applyFont="1" applyFill="1" applyBorder="1" applyAlignment="1" applyProtection="1">
      <alignment horizontal="center" vertical="center"/>
    </xf>
    <xf numFmtId="166" fontId="13" fillId="0" borderId="3" xfId="0" applyNumberFormat="1" applyFont="1" applyFill="1" applyBorder="1" applyAlignment="1" applyProtection="1">
      <alignment horizontal="center" vertical="center"/>
      <protection locked="0"/>
    </xf>
    <xf numFmtId="164" fontId="13" fillId="0" borderId="3" xfId="0" applyFont="1" applyFill="1" applyBorder="1" applyAlignment="1">
      <alignment horizontal="center" vertical="center"/>
    </xf>
    <xf numFmtId="166" fontId="13" fillId="3" borderId="3" xfId="0" applyNumberFormat="1" applyFont="1" applyFill="1" applyBorder="1" applyAlignment="1" applyProtection="1">
      <alignment horizontal="center" vertical="center"/>
      <protection locked="0"/>
    </xf>
    <xf numFmtId="1" fontId="13" fillId="0" borderId="3" xfId="0" applyNumberFormat="1" applyFont="1" applyFill="1" applyBorder="1" applyAlignment="1">
      <alignment horizontal="center" vertical="center"/>
    </xf>
    <xf numFmtId="165" fontId="13" fillId="0" borderId="3" xfId="0" applyNumberFormat="1" applyFont="1" applyFill="1" applyBorder="1" applyAlignment="1" applyProtection="1">
      <alignment horizontal="center" vertical="center"/>
      <protection locked="0"/>
    </xf>
    <xf numFmtId="1" fontId="13" fillId="0" borderId="7" xfId="0" applyNumberFormat="1" applyFont="1" applyFill="1" applyBorder="1" applyAlignment="1" applyProtection="1">
      <alignment horizontal="center" vertical="center"/>
    </xf>
    <xf numFmtId="166" fontId="19" fillId="0" borderId="11" xfId="0" applyNumberFormat="1" applyFont="1" applyFill="1" applyBorder="1" applyAlignment="1" applyProtection="1">
      <alignment horizontal="center" vertical="center"/>
      <protection locked="0"/>
    </xf>
    <xf numFmtId="1" fontId="13" fillId="0" borderId="12" xfId="0" applyNumberFormat="1" applyFont="1" applyFill="1" applyBorder="1" applyAlignment="1" applyProtection="1">
      <alignment horizontal="center" vertical="center"/>
    </xf>
    <xf numFmtId="3" fontId="13" fillId="0" borderId="0" xfId="5" applyNumberFormat="1" applyFont="1" applyBorder="1"/>
    <xf numFmtId="5" fontId="13" fillId="0" borderId="5" xfId="0" applyNumberFormat="1" applyFont="1" applyFill="1" applyBorder="1" applyAlignment="1">
      <alignment horizontal="center" vertical="center"/>
    </xf>
    <xf numFmtId="164" fontId="20" fillId="0" borderId="0" xfId="0" applyFont="1" applyFill="1"/>
    <xf numFmtId="164" fontId="17" fillId="0" borderId="0" xfId="0" applyFont="1"/>
    <xf numFmtId="167" fontId="13" fillId="0" borderId="3" xfId="0" applyNumberFormat="1" applyFont="1" applyFill="1" applyBorder="1"/>
    <xf numFmtId="0" fontId="0" fillId="0" borderId="3" xfId="0" applyNumberFormat="1" applyFill="1" applyBorder="1"/>
    <xf numFmtId="170" fontId="0" fillId="0" borderId="3" xfId="0" applyNumberFormat="1" applyFill="1" applyBorder="1"/>
    <xf numFmtId="172" fontId="0" fillId="0" borderId="3" xfId="0" applyNumberFormat="1" applyFill="1" applyBorder="1"/>
    <xf numFmtId="0" fontId="3" fillId="0" borderId="0" xfId="3" applyFill="1"/>
    <xf numFmtId="0" fontId="21" fillId="0" borderId="3" xfId="0" applyNumberFormat="1" applyFont="1" applyFill="1" applyBorder="1"/>
    <xf numFmtId="0" fontId="22" fillId="0" borderId="0" xfId="0" applyNumberFormat="1" applyFont="1" applyFill="1" applyBorder="1" applyAlignment="1">
      <alignment horizontal="left" vertical="center"/>
    </xf>
    <xf numFmtId="43" fontId="0" fillId="0" borderId="0" xfId="1" applyFont="1" applyProtection="1"/>
    <xf numFmtId="0" fontId="5" fillId="0" borderId="0" xfId="6" applyFont="1"/>
    <xf numFmtId="0" fontId="3" fillId="0" borderId="0" xfId="6"/>
    <xf numFmtId="0" fontId="3" fillId="0" borderId="0" xfId="6" applyAlignment="1">
      <alignment horizontal="right"/>
    </xf>
    <xf numFmtId="6" fontId="3" fillId="0" borderId="0" xfId="6" applyNumberFormat="1"/>
    <xf numFmtId="0" fontId="3" fillId="0" borderId="0" xfId="6" applyFont="1"/>
    <xf numFmtId="8" fontId="3" fillId="0" borderId="0" xfId="6" applyNumberFormat="1"/>
    <xf numFmtId="0" fontId="5" fillId="0" borderId="2" xfId="6" applyFont="1" applyBorder="1"/>
    <xf numFmtId="0" fontId="3" fillId="0" borderId="2" xfId="6" applyBorder="1"/>
    <xf numFmtId="8" fontId="3" fillId="0" borderId="2" xfId="6" applyNumberFormat="1" applyBorder="1"/>
    <xf numFmtId="0" fontId="12" fillId="0" borderId="0" xfId="6" applyFont="1"/>
    <xf numFmtId="0" fontId="13" fillId="0" borderId="0" xfId="6" applyFont="1"/>
    <xf numFmtId="168" fontId="14" fillId="0" borderId="0" xfId="6" quotePrefix="1" applyNumberFormat="1" applyFont="1" applyFill="1" applyBorder="1" applyAlignment="1" applyProtection="1">
      <alignment vertical="top" wrapText="1"/>
    </xf>
    <xf numFmtId="0" fontId="3" fillId="0" borderId="2" xfId="6" applyFont="1" applyBorder="1"/>
    <xf numFmtId="8" fontId="5" fillId="0" borderId="2" xfId="6" applyNumberFormat="1" applyFont="1" applyBorder="1"/>
    <xf numFmtId="0" fontId="5" fillId="2" borderId="3" xfId="6" applyFont="1" applyFill="1" applyBorder="1" applyAlignment="1">
      <alignment vertical="center" wrapText="1"/>
    </xf>
    <xf numFmtId="0" fontId="3" fillId="0" borderId="3" xfId="6" applyBorder="1"/>
    <xf numFmtId="8" fontId="3" fillId="0" borderId="3" xfId="6" applyNumberFormat="1" applyBorder="1"/>
    <xf numFmtId="8" fontId="24" fillId="0" borderId="3" xfId="6" applyNumberFormat="1" applyFont="1" applyBorder="1"/>
    <xf numFmtId="6" fontId="0" fillId="0" borderId="0" xfId="0" applyNumberFormat="1"/>
    <xf numFmtId="0" fontId="0" fillId="0" borderId="0" xfId="0" applyNumberFormat="1" applyAlignment="1">
      <alignment vertical="top"/>
    </xf>
    <xf numFmtId="6" fontId="0" fillId="0" borderId="3" xfId="0" applyNumberFormat="1" applyBorder="1"/>
    <xf numFmtId="6" fontId="3" fillId="0" borderId="3" xfId="0" applyNumberFormat="1" applyFont="1" applyBorder="1"/>
    <xf numFmtId="0" fontId="3" fillId="0" borderId="3" xfId="0" applyNumberFormat="1" applyFont="1" applyBorder="1"/>
    <xf numFmtId="0" fontId="3" fillId="0" borderId="3" xfId="0" applyNumberFormat="1" applyFont="1" applyBorder="1" applyAlignment="1">
      <alignment wrapText="1"/>
    </xf>
    <xf numFmtId="0" fontId="0" fillId="0" borderId="3" xfId="0" applyNumberFormat="1" applyBorder="1" applyAlignment="1">
      <alignment wrapText="1"/>
    </xf>
    <xf numFmtId="167" fontId="15" fillId="0" borderId="3" xfId="2" quotePrefix="1" applyNumberFormat="1" applyFont="1" applyFill="1" applyBorder="1" applyAlignment="1" applyProtection="1">
      <alignment vertical="top" wrapText="1"/>
    </xf>
    <xf numFmtId="1" fontId="8" fillId="0" borderId="3" xfId="1" applyNumberFormat="1" applyFont="1" applyFill="1" applyBorder="1" applyAlignment="1" applyProtection="1">
      <alignment horizontal="center" vertical="center"/>
      <protection locked="0"/>
    </xf>
    <xf numFmtId="164" fontId="8" fillId="3" borderId="32" xfId="0" applyFont="1" applyFill="1" applyBorder="1" applyAlignment="1" applyProtection="1">
      <alignment horizontal="center" vertical="center"/>
      <protection locked="0"/>
    </xf>
    <xf numFmtId="164" fontId="8" fillId="0" borderId="32" xfId="0" applyFont="1" applyFill="1" applyBorder="1" applyAlignment="1" applyProtection="1">
      <alignment horizontal="center" vertical="center"/>
    </xf>
    <xf numFmtId="164" fontId="8" fillId="0" borderId="35" xfId="0" applyFont="1" applyFill="1" applyBorder="1" applyAlignment="1" applyProtection="1">
      <alignment horizontal="center" vertical="center"/>
    </xf>
    <xf numFmtId="166" fontId="8" fillId="0" borderId="42" xfId="0" applyNumberFormat="1" applyFont="1" applyFill="1" applyBorder="1" applyAlignment="1" applyProtection="1">
      <alignment horizontal="center" vertical="center"/>
      <protection locked="0"/>
    </xf>
    <xf numFmtId="37" fontId="8" fillId="0" borderId="32" xfId="0" applyNumberFormat="1" applyFont="1" applyFill="1" applyBorder="1" applyAlignment="1" applyProtection="1">
      <alignment horizontal="center" vertical="center"/>
    </xf>
    <xf numFmtId="164" fontId="8" fillId="3" borderId="41" xfId="0" applyFont="1" applyFill="1" applyBorder="1" applyAlignment="1">
      <alignment horizontal="center"/>
    </xf>
    <xf numFmtId="1" fontId="8" fillId="3" borderId="3" xfId="0" applyNumberFormat="1" applyFont="1" applyFill="1" applyBorder="1" applyAlignment="1" applyProtection="1">
      <alignment horizontal="center" vertical="center"/>
      <protection locked="0"/>
    </xf>
    <xf numFmtId="164" fontId="4" fillId="0" borderId="19" xfId="0" applyFont="1" applyFill="1" applyBorder="1" applyAlignment="1" applyProtection="1">
      <alignment horizontal="center"/>
    </xf>
    <xf numFmtId="164" fontId="4" fillId="0" borderId="18" xfId="0" applyFont="1" applyFill="1" applyBorder="1" applyAlignment="1" applyProtection="1">
      <alignment horizontal="center"/>
    </xf>
    <xf numFmtId="164" fontId="4" fillId="0" borderId="20" xfId="0" applyFont="1" applyFill="1" applyBorder="1" applyAlignment="1" applyProtection="1">
      <alignment horizontal="center"/>
    </xf>
    <xf numFmtId="164" fontId="4" fillId="0" borderId="24" xfId="0" applyFont="1" applyFill="1" applyBorder="1" applyAlignment="1" applyProtection="1">
      <alignment horizontal="center"/>
    </xf>
    <xf numFmtId="164" fontId="4" fillId="0" borderId="25" xfId="0" applyFont="1" applyFill="1" applyBorder="1" applyAlignment="1" applyProtection="1">
      <alignment horizontal="center"/>
    </xf>
    <xf numFmtId="164" fontId="4" fillId="0" borderId="26" xfId="0" applyFont="1" applyFill="1" applyBorder="1" applyAlignment="1" applyProtection="1">
      <alignment horizontal="center"/>
    </xf>
    <xf numFmtId="174" fontId="20" fillId="0" borderId="0" xfId="0" applyNumberFormat="1" applyFont="1" applyFill="1" applyAlignment="1">
      <alignment horizontal="left"/>
    </xf>
    <xf numFmtId="0" fontId="2" fillId="0" borderId="0" xfId="7"/>
    <xf numFmtId="7" fontId="2" fillId="0" borderId="0" xfId="7" applyNumberFormat="1"/>
    <xf numFmtId="0" fontId="2" fillId="0" borderId="3" xfId="7" applyBorder="1"/>
    <xf numFmtId="5" fontId="2" fillId="0" borderId="3" xfId="7" applyNumberFormat="1" applyBorder="1"/>
    <xf numFmtId="7" fontId="2" fillId="0" borderId="3" xfId="7" applyNumberFormat="1" applyBorder="1"/>
    <xf numFmtId="0" fontId="25" fillId="0" borderId="3" xfId="7" applyFont="1" applyBorder="1"/>
    <xf numFmtId="5" fontId="25" fillId="0" borderId="3" xfId="7" applyNumberFormat="1" applyFont="1" applyBorder="1"/>
    <xf numFmtId="7" fontId="25" fillId="0" borderId="3" xfId="7" applyNumberFormat="1" applyFont="1" applyBorder="1"/>
    <xf numFmtId="0" fontId="2" fillId="0" borderId="3" xfId="7" applyBorder="1" applyAlignment="1">
      <alignment horizontal="center" vertical="center"/>
    </xf>
    <xf numFmtId="0" fontId="22" fillId="0" borderId="3" xfId="0" applyNumberFormat="1" applyFont="1" applyBorder="1" applyAlignment="1">
      <alignment horizontal="left" vertical="center"/>
    </xf>
    <xf numFmtId="173" fontId="22" fillId="0" borderId="3" xfId="1" applyNumberFormat="1" applyFont="1" applyBorder="1" applyAlignment="1">
      <alignment horizontal="left" vertical="center"/>
    </xf>
    <xf numFmtId="173" fontId="22" fillId="0" borderId="3" xfId="1" applyNumberFormat="1" applyFont="1" applyBorder="1"/>
    <xf numFmtId="2" fontId="23" fillId="0" borderId="3" xfId="0" applyNumberFormat="1" applyFont="1" applyBorder="1"/>
    <xf numFmtId="0" fontId="26" fillId="0" borderId="0" xfId="7" applyFont="1"/>
    <xf numFmtId="164" fontId="28" fillId="0" borderId="0" xfId="0" applyFont="1"/>
    <xf numFmtId="0" fontId="28" fillId="0" borderId="0" xfId="0" applyNumberFormat="1" applyFont="1"/>
    <xf numFmtId="0" fontId="27" fillId="0" borderId="0" xfId="6" applyFont="1"/>
    <xf numFmtId="0" fontId="27" fillId="0" borderId="0" xfId="0" applyNumberFormat="1" applyFont="1"/>
    <xf numFmtId="43" fontId="29" fillId="5" borderId="3" xfId="1" applyFont="1" applyFill="1" applyBorder="1" applyAlignment="1">
      <alignment horizontal="center" vertical="center" wrapText="1"/>
    </xf>
    <xf numFmtId="0" fontId="29" fillId="5" borderId="3" xfId="6" applyNumberFormat="1" applyFont="1" applyFill="1" applyBorder="1" applyAlignment="1">
      <alignment horizontal="center" vertical="center" wrapText="1"/>
    </xf>
    <xf numFmtId="14" fontId="20" fillId="0" borderId="0" xfId="0" applyNumberFormat="1" applyFont="1" applyFill="1" applyAlignment="1">
      <alignment horizontal="left"/>
    </xf>
    <xf numFmtId="0" fontId="5" fillId="0" borderId="3" xfId="0" applyNumberFormat="1" applyFont="1" applyBorder="1"/>
    <xf numFmtId="0" fontId="0" fillId="0" borderId="3" xfId="0" applyNumberFormat="1" applyBorder="1" applyAlignment="1">
      <alignment vertical="top"/>
    </xf>
    <xf numFmtId="164" fontId="9" fillId="0" borderId="0" xfId="0" applyFont="1" applyFill="1" applyAlignment="1" applyProtection="1">
      <alignment horizontal="center"/>
    </xf>
    <xf numFmtId="0" fontId="31" fillId="0" borderId="0" xfId="8" applyFont="1"/>
    <xf numFmtId="0" fontId="32" fillId="0" borderId="0" xfId="8" applyFont="1" applyBorder="1" applyAlignment="1">
      <alignment vertical="top"/>
    </xf>
    <xf numFmtId="164" fontId="33" fillId="0" borderId="8" xfId="0" applyFont="1" applyFill="1" applyBorder="1" applyAlignment="1">
      <alignment vertical="center"/>
    </xf>
    <xf numFmtId="164" fontId="33" fillId="0" borderId="3" xfId="0" applyFont="1" applyFill="1" applyBorder="1" applyAlignment="1" applyProtection="1">
      <alignment horizontal="center" vertical="center"/>
      <protection locked="0"/>
    </xf>
    <xf numFmtId="164" fontId="33" fillId="0" borderId="3" xfId="0" applyFont="1" applyFill="1" applyBorder="1" applyAlignment="1" applyProtection="1">
      <alignment horizontal="center" vertical="center"/>
    </xf>
    <xf numFmtId="0" fontId="8" fillId="3" borderId="3" xfId="1" applyNumberFormat="1" applyFont="1" applyFill="1" applyBorder="1" applyAlignment="1" applyProtection="1">
      <alignment horizontal="center" vertical="center"/>
      <protection locked="0"/>
    </xf>
    <xf numFmtId="164" fontId="33" fillId="0" borderId="0" xfId="0" applyFont="1" applyFill="1"/>
    <xf numFmtId="39" fontId="8" fillId="0" borderId="3"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39" xfId="0" applyNumberFormat="1" applyFont="1" applyFill="1" applyBorder="1" applyAlignment="1" applyProtection="1">
      <alignment horizontal="center" vertical="center"/>
    </xf>
    <xf numFmtId="0" fontId="8" fillId="0" borderId="32" xfId="0" applyNumberFormat="1" applyFont="1" applyFill="1" applyBorder="1" applyAlignment="1" applyProtection="1">
      <alignment horizontal="center" vertical="center"/>
    </xf>
    <xf numFmtId="0" fontId="8" fillId="0" borderId="33" xfId="0" applyNumberFormat="1" applyFont="1" applyFill="1" applyBorder="1" applyAlignment="1" applyProtection="1">
      <alignment horizontal="center" vertical="center"/>
    </xf>
    <xf numFmtId="0" fontId="31" fillId="0" borderId="0" xfId="0" applyNumberFormat="1" applyFont="1"/>
    <xf numFmtId="1" fontId="13" fillId="0" borderId="11" xfId="0" applyNumberFormat="1" applyFont="1" applyFill="1" applyBorder="1" applyAlignment="1" applyProtection="1">
      <alignment horizontal="center" vertical="center"/>
    </xf>
    <xf numFmtId="0" fontId="13" fillId="0" borderId="3" xfId="0" applyNumberFormat="1" applyFont="1" applyBorder="1" applyAlignment="1" applyProtection="1">
      <alignment horizontal="center" vertical="center"/>
    </xf>
    <xf numFmtId="0" fontId="13" fillId="0" borderId="3" xfId="0" applyNumberFormat="1" applyFont="1" applyFill="1" applyBorder="1" applyAlignment="1">
      <alignment horizontal="center" vertical="center"/>
    </xf>
    <xf numFmtId="0" fontId="13" fillId="0" borderId="3" xfId="0" applyNumberFormat="1" applyFont="1" applyFill="1" applyBorder="1" applyAlignment="1" applyProtection="1">
      <alignment horizontal="center" vertical="center"/>
    </xf>
    <xf numFmtId="2" fontId="8" fillId="0" borderId="3" xfId="0" applyNumberFormat="1" applyFont="1" applyFill="1" applyBorder="1" applyAlignment="1" applyProtection="1">
      <alignment horizontal="center" vertical="center"/>
      <protection locked="0"/>
    </xf>
    <xf numFmtId="3" fontId="8" fillId="0" borderId="3" xfId="0" applyNumberFormat="1" applyFont="1" applyFill="1" applyBorder="1" applyAlignment="1" applyProtection="1">
      <alignment horizontal="center" vertical="center"/>
    </xf>
    <xf numFmtId="2" fontId="8" fillId="0" borderId="3" xfId="0" applyNumberFormat="1" applyFont="1" applyFill="1" applyBorder="1" applyAlignment="1" applyProtection="1">
      <alignment horizontal="center" vertical="center"/>
    </xf>
    <xf numFmtId="164" fontId="9" fillId="0" borderId="0" xfId="0" applyFont="1" applyFill="1" applyAlignment="1" applyProtection="1">
      <alignment horizontal="center" wrapText="1"/>
    </xf>
    <xf numFmtId="164" fontId="8" fillId="0" borderId="0" xfId="0" applyFont="1" applyFill="1" applyAlignment="1">
      <alignment wrapText="1"/>
    </xf>
    <xf numFmtId="164" fontId="8" fillId="0" borderId="0" xfId="0" applyFont="1" applyFill="1" applyAlignment="1">
      <alignment horizontal="center" wrapText="1"/>
    </xf>
    <xf numFmtId="175" fontId="8" fillId="3" borderId="3" xfId="0" applyNumberFormat="1" applyFont="1" applyFill="1" applyBorder="1" applyAlignment="1" applyProtection="1">
      <alignment horizontal="center" vertical="center"/>
      <protection locked="0"/>
    </xf>
    <xf numFmtId="175" fontId="8" fillId="0" borderId="3" xfId="1"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175" fontId="8" fillId="0" borderId="3" xfId="0" applyNumberFormat="1" applyFont="1" applyFill="1" applyBorder="1" applyAlignment="1" applyProtection="1">
      <alignment horizontal="center" vertical="center"/>
    </xf>
    <xf numFmtId="1" fontId="8" fillId="0" borderId="3" xfId="0" applyNumberFormat="1" applyFont="1" applyFill="1" applyBorder="1" applyAlignment="1" applyProtection="1">
      <alignment horizontal="center" vertical="center"/>
    </xf>
    <xf numFmtId="164" fontId="9" fillId="0" borderId="14" xfId="0" applyFont="1" applyBorder="1" applyAlignment="1" applyProtection="1">
      <alignment wrapText="1"/>
    </xf>
    <xf numFmtId="164" fontId="9" fillId="0" borderId="14" xfId="0" applyFont="1" applyBorder="1" applyAlignment="1" applyProtection="1"/>
    <xf numFmtId="9" fontId="12" fillId="0" borderId="11" xfId="0" applyNumberFormat="1" applyFont="1" applyBorder="1" applyAlignment="1" applyProtection="1">
      <alignment vertical="center"/>
    </xf>
    <xf numFmtId="164" fontId="13" fillId="0" borderId="6" xfId="0" applyFont="1" applyFill="1" applyBorder="1" applyAlignment="1" applyProtection="1">
      <alignment horizontal="left" vertical="center" wrapText="1" indent="1"/>
    </xf>
    <xf numFmtId="164" fontId="13" fillId="0" borderId="4" xfId="0" applyFont="1" applyFill="1" applyBorder="1" applyAlignment="1" applyProtection="1">
      <alignment horizontal="left" vertical="center" indent="1"/>
    </xf>
    <xf numFmtId="164" fontId="13" fillId="0" borderId="0" xfId="0" applyFont="1" applyFill="1" applyBorder="1" applyAlignment="1" applyProtection="1">
      <alignment horizontal="left" vertical="center" indent="1"/>
    </xf>
    <xf numFmtId="164" fontId="13" fillId="0" borderId="6" xfId="0" applyFont="1" applyFill="1" applyBorder="1" applyAlignment="1" applyProtection="1">
      <alignment horizontal="left" vertical="center" indent="2"/>
    </xf>
    <xf numFmtId="0" fontId="37" fillId="0" borderId="49" xfId="0" applyNumberFormat="1" applyFont="1" applyFill="1" applyBorder="1" applyAlignment="1">
      <alignment horizontal="center" vertical="center" wrapText="1"/>
    </xf>
    <xf numFmtId="0" fontId="37" fillId="0" borderId="7" xfId="0" applyNumberFormat="1" applyFont="1" applyFill="1" applyBorder="1" applyAlignment="1">
      <alignment horizontal="center" vertical="center" wrapText="1"/>
    </xf>
    <xf numFmtId="0" fontId="37" fillId="0" borderId="48" xfId="0" applyNumberFormat="1" applyFont="1" applyFill="1" applyBorder="1" applyAlignment="1">
      <alignment horizontal="center" vertical="center" wrapText="1"/>
    </xf>
    <xf numFmtId="164" fontId="12" fillId="0" borderId="50" xfId="0" applyFont="1" applyFill="1" applyBorder="1" applyAlignment="1">
      <alignment horizontal="center" vertical="center" wrapText="1"/>
    </xf>
    <xf numFmtId="164" fontId="12" fillId="0" borderId="16" xfId="0" applyFont="1" applyFill="1" applyBorder="1" applyAlignment="1" applyProtection="1">
      <alignment horizontal="center" vertical="center"/>
    </xf>
    <xf numFmtId="164" fontId="0" fillId="0" borderId="0" xfId="0" applyFill="1"/>
    <xf numFmtId="164" fontId="40" fillId="0" borderId="3" xfId="0" applyFont="1" applyFill="1" applyBorder="1" applyAlignment="1">
      <alignment vertical="top" wrapText="1"/>
    </xf>
    <xf numFmtId="164" fontId="41" fillId="0" borderId="3" xfId="0" applyFont="1" applyFill="1" applyBorder="1" applyAlignment="1">
      <alignment vertical="top" wrapText="1"/>
    </xf>
    <xf numFmtId="164" fontId="41" fillId="0" borderId="3" xfId="0" applyFont="1" applyFill="1" applyBorder="1" applyAlignment="1">
      <alignment horizontal="center" vertical="top" wrapText="1"/>
    </xf>
    <xf numFmtId="164" fontId="0" fillId="0" borderId="3" xfId="0" applyFill="1" applyBorder="1" applyAlignment="1">
      <alignment vertical="top" wrapText="1"/>
    </xf>
    <xf numFmtId="167" fontId="41" fillId="0" borderId="3" xfId="0" applyNumberFormat="1" applyFont="1" applyFill="1" applyBorder="1" applyAlignment="1">
      <alignment vertical="top" wrapText="1"/>
    </xf>
    <xf numFmtId="164" fontId="43" fillId="0" borderId="0" xfId="0" applyFont="1" applyFill="1"/>
    <xf numFmtId="164" fontId="39" fillId="0" borderId="0" xfId="0" applyFont="1" applyFill="1"/>
    <xf numFmtId="164" fontId="47" fillId="0" borderId="0" xfId="0" applyFont="1" applyFill="1"/>
    <xf numFmtId="176" fontId="8" fillId="0" borderId="3" xfId="0" applyNumberFormat="1" applyFont="1" applyFill="1" applyBorder="1" applyAlignment="1" applyProtection="1">
      <alignment horizontal="center" vertical="center"/>
    </xf>
    <xf numFmtId="164" fontId="4" fillId="3" borderId="36" xfId="0" applyFont="1" applyFill="1" applyBorder="1" applyAlignment="1" applyProtection="1">
      <alignment horizontal="center" vertical="center"/>
      <protection locked="0"/>
    </xf>
    <xf numFmtId="164" fontId="4" fillId="3" borderId="3" xfId="0" applyFont="1" applyFill="1" applyBorder="1" applyAlignment="1" applyProtection="1">
      <alignment horizontal="center" vertical="center"/>
      <protection locked="0"/>
    </xf>
    <xf numFmtId="164" fontId="4" fillId="0" borderId="3" xfId="0" applyFont="1" applyFill="1" applyBorder="1" applyAlignment="1" applyProtection="1">
      <alignment horizontal="center" vertical="center"/>
      <protection locked="0"/>
    </xf>
    <xf numFmtId="0" fontId="31" fillId="0" borderId="0" xfId="0" quotePrefix="1" applyNumberFormat="1" applyFont="1"/>
    <xf numFmtId="164" fontId="4" fillId="0" borderId="0" xfId="0" applyFont="1" applyFill="1" applyAlignment="1">
      <alignment vertical="top" wrapText="1"/>
    </xf>
    <xf numFmtId="164" fontId="4" fillId="0" borderId="0" xfId="0" applyFont="1" applyFill="1" applyAlignment="1">
      <alignment vertical="center" wrapText="1"/>
    </xf>
    <xf numFmtId="164" fontId="4" fillId="0" borderId="21" xfId="0" applyFont="1" applyFill="1" applyBorder="1" applyAlignment="1" applyProtection="1">
      <alignment horizontal="center"/>
    </xf>
    <xf numFmtId="164" fontId="34" fillId="0" borderId="51" xfId="0" applyFont="1" applyBorder="1"/>
    <xf numFmtId="164" fontId="34" fillId="0" borderId="16" xfId="0" applyFont="1" applyBorder="1"/>
    <xf numFmtId="164" fontId="34" fillId="0" borderId="15" xfId="0" applyFont="1" applyBorder="1"/>
    <xf numFmtId="164" fontId="33" fillId="0" borderId="34" xfId="0" applyFont="1" applyFill="1" applyBorder="1" applyAlignment="1">
      <alignment horizontal="center"/>
    </xf>
    <xf numFmtId="164" fontId="7" fillId="0" borderId="3" xfId="0" applyFont="1" applyFill="1" applyBorder="1" applyAlignment="1">
      <alignment horizontal="center" vertical="center"/>
    </xf>
    <xf numFmtId="164" fontId="7" fillId="0" borderId="3" xfId="0" applyFont="1" applyFill="1" applyBorder="1" applyAlignment="1">
      <alignment horizontal="left" vertical="center"/>
    </xf>
    <xf numFmtId="3" fontId="7" fillId="0" borderId="3" xfId="0" applyNumberFormat="1" applyFont="1" applyFill="1" applyBorder="1" applyAlignment="1">
      <alignment horizontal="center" vertical="center"/>
    </xf>
    <xf numFmtId="167" fontId="7" fillId="0" borderId="3" xfId="0" applyNumberFormat="1" applyFont="1" applyFill="1" applyBorder="1" applyAlignment="1">
      <alignment horizontal="center" vertical="center"/>
    </xf>
    <xf numFmtId="164" fontId="33" fillId="0" borderId="16" xfId="0" applyFont="1" applyFill="1" applyBorder="1" applyAlignment="1">
      <alignment vertical="center"/>
    </xf>
    <xf numFmtId="164" fontId="7" fillId="0" borderId="53" xfId="0" applyFont="1" applyFill="1" applyBorder="1" applyAlignment="1">
      <alignment horizontal="center" vertical="center"/>
    </xf>
    <xf numFmtId="167" fontId="7" fillId="0" borderId="5" xfId="0" applyNumberFormat="1" applyFont="1" applyFill="1" applyBorder="1" applyAlignment="1">
      <alignment horizontal="right" vertical="center"/>
    </xf>
    <xf numFmtId="164" fontId="7" fillId="0" borderId="55" xfId="0" applyFont="1" applyFill="1" applyBorder="1" applyAlignment="1">
      <alignment horizontal="center" vertical="center"/>
    </xf>
    <xf numFmtId="167" fontId="7" fillId="0" borderId="55" xfId="0" applyNumberFormat="1" applyFont="1" applyFill="1" applyBorder="1" applyAlignment="1">
      <alignment horizontal="center" vertical="center"/>
    </xf>
    <xf numFmtId="167" fontId="7" fillId="0" borderId="9" xfId="0" applyNumberFormat="1" applyFont="1" applyFill="1" applyBorder="1" applyAlignment="1">
      <alignment horizontal="right" vertical="center"/>
    </xf>
    <xf numFmtId="167" fontId="7" fillId="0" borderId="54" xfId="0" applyNumberFormat="1" applyFont="1" applyFill="1" applyBorder="1" applyAlignment="1">
      <alignment horizontal="right" vertical="center"/>
    </xf>
    <xf numFmtId="1" fontId="8" fillId="0" borderId="0" xfId="0" applyNumberFormat="1" applyFont="1" applyFill="1"/>
    <xf numFmtId="164" fontId="8" fillId="0" borderId="16" xfId="0" applyFont="1" applyFill="1" applyBorder="1"/>
    <xf numFmtId="164" fontId="33" fillId="0" borderId="16" xfId="0" applyFont="1" applyFill="1" applyBorder="1"/>
    <xf numFmtId="164" fontId="4" fillId="0" borderId="56" xfId="0" applyFont="1" applyFill="1" applyBorder="1" applyAlignment="1" applyProtection="1">
      <alignment horizontal="center"/>
    </xf>
    <xf numFmtId="164" fontId="8" fillId="0" borderId="6" xfId="0" applyFont="1" applyFill="1" applyBorder="1" applyAlignment="1">
      <alignment wrapText="1"/>
    </xf>
    <xf numFmtId="164" fontId="4" fillId="0" borderId="6" xfId="0" applyFont="1" applyFill="1" applyBorder="1" applyAlignment="1">
      <alignment wrapText="1"/>
    </xf>
    <xf numFmtId="164" fontId="33" fillId="0" borderId="6" xfId="0" applyFont="1" applyFill="1" applyBorder="1" applyAlignment="1">
      <alignment wrapText="1"/>
    </xf>
    <xf numFmtId="164" fontId="4" fillId="0" borderId="58" xfId="0" applyFont="1" applyFill="1" applyBorder="1" applyAlignment="1" applyProtection="1">
      <alignment horizontal="center"/>
    </xf>
    <xf numFmtId="164" fontId="4" fillId="0" borderId="60" xfId="0" applyFont="1" applyFill="1" applyBorder="1" applyAlignment="1" applyProtection="1">
      <alignment horizontal="center"/>
    </xf>
    <xf numFmtId="164" fontId="4" fillId="0" borderId="60" xfId="0" applyFont="1" applyFill="1" applyBorder="1" applyAlignment="1">
      <alignment horizontal="center"/>
    </xf>
    <xf numFmtId="164" fontId="4" fillId="0" borderId="62" xfId="0" applyFont="1" applyFill="1" applyBorder="1" applyAlignment="1">
      <alignment horizontal="center"/>
    </xf>
    <xf numFmtId="164" fontId="4" fillId="0" borderId="63" xfId="0" applyFont="1" applyFill="1" applyBorder="1" applyAlignment="1">
      <alignment vertical="center"/>
    </xf>
    <xf numFmtId="165" fontId="4" fillId="0" borderId="64" xfId="0" applyNumberFormat="1" applyFont="1" applyFill="1" applyBorder="1" applyAlignment="1" applyProtection="1">
      <alignment horizontal="right" vertical="center"/>
    </xf>
    <xf numFmtId="164" fontId="4" fillId="0" borderId="65" xfId="0" applyFont="1" applyFill="1" applyBorder="1" applyAlignment="1">
      <alignment vertical="center"/>
    </xf>
    <xf numFmtId="165" fontId="4" fillId="0" borderId="66" xfId="0" applyNumberFormat="1" applyFont="1" applyFill="1" applyBorder="1" applyAlignment="1" applyProtection="1">
      <alignment horizontal="right" vertical="center"/>
    </xf>
    <xf numFmtId="164" fontId="4" fillId="0" borderId="8" xfId="0" applyFont="1" applyFill="1" applyBorder="1" applyAlignment="1">
      <alignment vertical="center"/>
    </xf>
    <xf numFmtId="165" fontId="4" fillId="0" borderId="5" xfId="0" applyNumberFormat="1" applyFont="1" applyFill="1" applyBorder="1" applyAlignment="1" applyProtection="1">
      <alignment horizontal="right" vertical="center"/>
    </xf>
    <xf numFmtId="164" fontId="4" fillId="0" borderId="8" xfId="0" applyFont="1" applyFill="1" applyBorder="1" applyAlignment="1" applyProtection="1">
      <alignment horizontal="left" vertical="center" indent="1"/>
    </xf>
    <xf numFmtId="164" fontId="4" fillId="0" borderId="67" xfId="0" applyFont="1" applyFill="1" applyBorder="1" applyAlignment="1">
      <alignment horizontal="right"/>
    </xf>
    <xf numFmtId="0" fontId="4" fillId="0" borderId="8" xfId="0" applyNumberFormat="1" applyFont="1" applyFill="1" applyBorder="1" applyAlignment="1" applyProtection="1">
      <alignment horizontal="left" vertical="center" indent="3"/>
    </xf>
    <xf numFmtId="5" fontId="4" fillId="0" borderId="5" xfId="0" applyNumberFormat="1" applyFont="1" applyFill="1" applyBorder="1" applyAlignment="1" applyProtection="1">
      <alignment horizontal="right" vertical="center"/>
    </xf>
    <xf numFmtId="7" fontId="4" fillId="0" borderId="5" xfId="0" applyNumberFormat="1" applyFont="1" applyFill="1" applyBorder="1" applyAlignment="1" applyProtection="1">
      <alignment horizontal="right" vertical="center"/>
    </xf>
    <xf numFmtId="164" fontId="8" fillId="3" borderId="8" xfId="0" applyFont="1" applyFill="1" applyBorder="1" applyAlignment="1" applyProtection="1">
      <alignment horizontal="left" vertical="center" indent="2"/>
    </xf>
    <xf numFmtId="164" fontId="4" fillId="0" borderId="8" xfId="0" applyFont="1" applyFill="1" applyBorder="1" applyAlignment="1">
      <alignment horizontal="left" vertical="center" indent="3"/>
    </xf>
    <xf numFmtId="164" fontId="4" fillId="3" borderId="8" xfId="0" applyFont="1" applyFill="1" applyBorder="1" applyAlignment="1" applyProtection="1">
      <alignment horizontal="left" vertical="center" wrapText="1" indent="3"/>
    </xf>
    <xf numFmtId="164" fontId="4" fillId="0" borderId="8" xfId="0" applyFont="1" applyFill="1" applyBorder="1" applyAlignment="1" applyProtection="1">
      <alignment horizontal="left" vertical="center" wrapText="1" indent="3"/>
    </xf>
    <xf numFmtId="164" fontId="4" fillId="3" borderId="8" xfId="0" applyFont="1" applyFill="1" applyBorder="1" applyAlignment="1" applyProtection="1">
      <alignment horizontal="left" vertical="center" indent="2"/>
    </xf>
    <xf numFmtId="164" fontId="4" fillId="0" borderId="8" xfId="0" applyFont="1" applyFill="1" applyBorder="1" applyAlignment="1">
      <alignment horizontal="left" vertical="center" indent="2"/>
    </xf>
    <xf numFmtId="169" fontId="33" fillId="0" borderId="5" xfId="0" applyNumberFormat="1" applyFont="1" applyFill="1" applyBorder="1" applyAlignment="1" applyProtection="1">
      <alignment horizontal="right" vertical="center"/>
    </xf>
    <xf numFmtId="5" fontId="4" fillId="0" borderId="56" xfId="0" applyNumberFormat="1" applyFont="1" applyFill="1" applyBorder="1" applyAlignment="1" applyProtection="1">
      <alignment horizontal="right" vertical="center"/>
    </xf>
    <xf numFmtId="9" fontId="4" fillId="0" borderId="68" xfId="0" applyNumberFormat="1" applyFont="1" applyFill="1" applyBorder="1" applyAlignment="1" applyProtection="1">
      <alignment horizontal="left" vertical="center" indent="1"/>
    </xf>
    <xf numFmtId="9" fontId="8" fillId="0" borderId="68" xfId="0" applyNumberFormat="1" applyFont="1" applyFill="1" applyBorder="1" applyAlignment="1" applyProtection="1">
      <alignment horizontal="left" vertical="center" indent="1"/>
    </xf>
    <xf numFmtId="9" fontId="8" fillId="0" borderId="69" xfId="0" applyNumberFormat="1" applyFont="1" applyFill="1" applyBorder="1" applyAlignment="1" applyProtection="1">
      <alignment horizontal="left" vertical="center" indent="1"/>
    </xf>
    <xf numFmtId="9" fontId="8" fillId="0" borderId="65" xfId="0" applyNumberFormat="1" applyFont="1" applyFill="1" applyBorder="1" applyAlignment="1" applyProtection="1">
      <alignment horizontal="left" vertical="center" indent="1"/>
    </xf>
    <xf numFmtId="164" fontId="4" fillId="0" borderId="65" xfId="0" applyFont="1" applyFill="1" applyBorder="1" applyAlignment="1" applyProtection="1">
      <alignment horizontal="left" vertical="center" indent="2"/>
    </xf>
    <xf numFmtId="164" fontId="4" fillId="0" borderId="69" xfId="0" applyFont="1" applyFill="1" applyBorder="1" applyAlignment="1">
      <alignment horizontal="left" vertical="center" indent="2"/>
    </xf>
    <xf numFmtId="164" fontId="4" fillId="0" borderId="68" xfId="0" applyFont="1" applyFill="1" applyBorder="1" applyAlignment="1">
      <alignment horizontal="left" vertical="center" indent="2"/>
    </xf>
    <xf numFmtId="164" fontId="4" fillId="0" borderId="70" xfId="0" applyFont="1" applyFill="1" applyBorder="1" applyAlignment="1">
      <alignment horizontal="left" vertical="center" indent="2"/>
    </xf>
    <xf numFmtId="9" fontId="8" fillId="0" borderId="10" xfId="0" applyNumberFormat="1" applyFont="1" applyFill="1" applyBorder="1" applyAlignment="1" applyProtection="1">
      <alignment horizontal="left" vertical="center" indent="1"/>
    </xf>
    <xf numFmtId="164" fontId="8" fillId="0" borderId="68" xfId="0" applyFont="1" applyFill="1" applyBorder="1" applyAlignment="1">
      <alignment horizontal="left" vertical="center" indent="1"/>
    </xf>
    <xf numFmtId="7" fontId="4" fillId="0" borderId="60" xfId="0" applyNumberFormat="1" applyFont="1" applyFill="1" applyBorder="1" applyAlignment="1" applyProtection="1">
      <alignment horizontal="right" vertical="center"/>
    </xf>
    <xf numFmtId="7" fontId="33" fillId="0" borderId="71" xfId="0" applyNumberFormat="1" applyFont="1" applyFill="1" applyBorder="1" applyAlignment="1" applyProtection="1">
      <alignment horizontal="right" vertical="center"/>
    </xf>
    <xf numFmtId="164" fontId="35" fillId="0" borderId="0" xfId="0" applyFont="1" applyAlignment="1">
      <alignment vertical="center"/>
    </xf>
    <xf numFmtId="164" fontId="23" fillId="0" borderId="0" xfId="0" applyFont="1"/>
    <xf numFmtId="5" fontId="13" fillId="0" borderId="5" xfId="0" applyNumberFormat="1" applyFont="1" applyBorder="1" applyAlignment="1">
      <alignment horizontal="left" vertical="center"/>
    </xf>
    <xf numFmtId="5" fontId="13" fillId="0" borderId="5" xfId="0" applyNumberFormat="1" applyFont="1" applyFill="1" applyBorder="1" applyAlignment="1">
      <alignment horizontal="left" vertical="center"/>
    </xf>
    <xf numFmtId="7" fontId="13" fillId="0" borderId="5" xfId="0" applyNumberFormat="1" applyFont="1" applyBorder="1" applyAlignment="1">
      <alignment horizontal="left" vertical="center"/>
    </xf>
    <xf numFmtId="5" fontId="12" fillId="0" borderId="9" xfId="0" applyNumberFormat="1" applyFont="1" applyFill="1" applyBorder="1" applyAlignment="1">
      <alignment horizontal="left" vertical="center"/>
    </xf>
    <xf numFmtId="164" fontId="35" fillId="0" borderId="0" xfId="0" applyFont="1" applyAlignment="1">
      <alignment vertical="center"/>
    </xf>
    <xf numFmtId="164" fontId="35" fillId="0" borderId="0" xfId="0" applyFont="1" applyAlignment="1">
      <alignment vertical="center" wrapText="1"/>
    </xf>
    <xf numFmtId="164" fontId="4" fillId="0" borderId="6" xfId="0" applyFont="1" applyFill="1" applyBorder="1" applyAlignment="1">
      <alignment horizontal="center" vertical="center" wrapText="1"/>
    </xf>
    <xf numFmtId="164" fontId="8" fillId="0" borderId="4" xfId="0" applyFont="1" applyFill="1" applyBorder="1" applyAlignment="1">
      <alignment horizontal="center" vertical="center" wrapText="1"/>
    </xf>
    <xf numFmtId="164" fontId="8" fillId="0" borderId="6" xfId="0" applyFont="1" applyFill="1" applyBorder="1" applyAlignment="1">
      <alignment horizontal="center" vertical="center" wrapText="1"/>
    </xf>
    <xf numFmtId="164" fontId="35" fillId="0" borderId="72" xfId="0" applyFont="1" applyBorder="1" applyAlignment="1">
      <alignment vertical="center" wrapText="1"/>
    </xf>
    <xf numFmtId="164" fontId="7" fillId="0" borderId="57" xfId="0" applyFont="1" applyFill="1" applyBorder="1" applyAlignment="1" applyProtection="1">
      <alignment horizontal="center" vertical="center"/>
    </xf>
    <xf numFmtId="164" fontId="7" fillId="0" borderId="59" xfId="0" applyFont="1" applyFill="1" applyBorder="1" applyAlignment="1" applyProtection="1">
      <alignment horizontal="center" vertical="center"/>
    </xf>
    <xf numFmtId="164" fontId="7" fillId="0" borderId="61" xfId="0" applyFont="1" applyFill="1" applyBorder="1" applyAlignment="1" applyProtection="1">
      <alignment horizontal="center" vertical="center"/>
    </xf>
    <xf numFmtId="164" fontId="7" fillId="0" borderId="55" xfId="0" applyFont="1" applyFill="1" applyBorder="1" applyAlignment="1">
      <alignment horizontal="left" vertical="center"/>
    </xf>
    <xf numFmtId="3" fontId="33" fillId="0" borderId="17" xfId="0" applyNumberFormat="1" applyFont="1" applyFill="1" applyBorder="1" applyAlignment="1" applyProtection="1">
      <alignment horizontal="center" vertical="center"/>
    </xf>
    <xf numFmtId="3" fontId="33" fillId="0" borderId="6" xfId="0" applyNumberFormat="1" applyFont="1" applyFill="1" applyBorder="1" applyAlignment="1" applyProtection="1">
      <alignment horizontal="center" vertical="center"/>
    </xf>
    <xf numFmtId="3" fontId="33" fillId="0" borderId="4" xfId="0" applyNumberFormat="1" applyFont="1" applyFill="1" applyBorder="1" applyAlignment="1" applyProtection="1">
      <alignment horizontal="center" vertical="center"/>
    </xf>
    <xf numFmtId="3" fontId="33" fillId="0" borderId="34" xfId="0" applyNumberFormat="1" applyFont="1" applyFill="1" applyBorder="1" applyAlignment="1">
      <alignment horizontal="center"/>
    </xf>
    <xf numFmtId="3" fontId="33" fillId="0" borderId="13" xfId="0" applyNumberFormat="1" applyFont="1" applyFill="1" applyBorder="1" applyAlignment="1">
      <alignment horizontal="center"/>
    </xf>
    <xf numFmtId="3" fontId="33" fillId="0" borderId="52" xfId="0" applyNumberFormat="1" applyFont="1" applyFill="1" applyBorder="1" applyAlignment="1">
      <alignment horizontal="center"/>
    </xf>
    <xf numFmtId="3" fontId="7" fillId="0" borderId="53" xfId="0" applyNumberFormat="1" applyFont="1" applyFill="1" applyBorder="1" applyAlignment="1">
      <alignment horizontal="center" vertical="center"/>
    </xf>
    <xf numFmtId="0" fontId="2" fillId="0" borderId="17" xfId="7" applyBorder="1" applyAlignment="1">
      <alignment horizontal="center"/>
    </xf>
    <xf numFmtId="0" fontId="2" fillId="0" borderId="6" xfId="7" applyBorder="1" applyAlignment="1">
      <alignment horizontal="center"/>
    </xf>
    <xf numFmtId="0" fontId="2" fillId="0" borderId="4" xfId="7" applyBorder="1" applyAlignment="1">
      <alignment horizontal="center"/>
    </xf>
    <xf numFmtId="0" fontId="2" fillId="0" borderId="42" xfId="7" applyBorder="1" applyAlignment="1">
      <alignment horizontal="center" vertical="center" wrapText="1"/>
    </xf>
    <xf numFmtId="0" fontId="2" fillId="0" borderId="7" xfId="7" applyBorder="1" applyAlignment="1">
      <alignment horizontal="center" vertical="center" wrapText="1"/>
    </xf>
    <xf numFmtId="0" fontId="2" fillId="0" borderId="17" xfId="7" applyBorder="1" applyAlignment="1">
      <alignment horizontal="center" vertical="center"/>
    </xf>
    <xf numFmtId="0" fontId="2" fillId="0" borderId="6" xfId="7" applyBorder="1" applyAlignment="1">
      <alignment horizontal="center" vertical="center"/>
    </xf>
    <xf numFmtId="0" fontId="2" fillId="0" borderId="4" xfId="7" applyBorder="1" applyAlignment="1">
      <alignment horizontal="center" vertical="center"/>
    </xf>
    <xf numFmtId="164" fontId="13" fillId="0" borderId="3" xfId="0" applyFont="1" applyBorder="1" applyAlignment="1">
      <alignment horizontal="center" vertical="center" wrapText="1"/>
    </xf>
    <xf numFmtId="164" fontId="13" fillId="0" borderId="5" xfId="0" applyFont="1" applyBorder="1" applyAlignment="1">
      <alignment horizontal="center" vertical="center" wrapText="1"/>
    </xf>
    <xf numFmtId="1" fontId="12" fillId="0" borderId="24" xfId="0" applyNumberFormat="1" applyFont="1" applyFill="1" applyBorder="1" applyAlignment="1" applyProtection="1">
      <alignment horizontal="center" vertical="center"/>
    </xf>
    <xf numFmtId="1" fontId="12" fillId="0" borderId="14" xfId="0" applyNumberFormat="1" applyFont="1" applyFill="1" applyBorder="1" applyAlignment="1" applyProtection="1">
      <alignment horizontal="center" vertical="center"/>
    </xf>
    <xf numFmtId="1" fontId="12" fillId="0" borderId="44"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164" fontId="4" fillId="0" borderId="0" xfId="0" applyFont="1" applyBorder="1" applyAlignment="1">
      <alignment horizontal="left" wrapText="1"/>
    </xf>
    <xf numFmtId="0" fontId="4" fillId="0" borderId="0" xfId="0" applyNumberFormat="1" applyFont="1" applyAlignment="1">
      <alignment horizontal="left" wrapText="1"/>
    </xf>
    <xf numFmtId="0" fontId="16" fillId="0" borderId="0" xfId="0" applyNumberFormat="1" applyFont="1" applyAlignment="1">
      <alignment horizontal="left" wrapText="1"/>
    </xf>
    <xf numFmtId="0" fontId="3" fillId="0" borderId="0" xfId="6" applyAlignment="1">
      <alignment horizontal="left" vertical="top" wrapText="1"/>
    </xf>
    <xf numFmtId="0" fontId="5" fillId="0" borderId="3" xfId="0" applyNumberFormat="1" applyFont="1" applyBorder="1" applyAlignment="1">
      <alignment horizontal="center" vertical="center"/>
    </xf>
    <xf numFmtId="164" fontId="41" fillId="0" borderId="3" xfId="0" applyFont="1" applyFill="1" applyBorder="1" applyAlignment="1">
      <alignment horizontal="right" vertical="center" wrapText="1"/>
    </xf>
    <xf numFmtId="167" fontId="41" fillId="0" borderId="3" xfId="0" applyNumberFormat="1" applyFont="1" applyFill="1" applyBorder="1" applyAlignment="1">
      <alignment horizontal="right" vertical="center" wrapText="1"/>
    </xf>
    <xf numFmtId="164" fontId="41" fillId="0" borderId="3" xfId="0" applyFont="1" applyFill="1" applyBorder="1" applyAlignment="1">
      <alignment horizontal="left" vertical="center" wrapText="1"/>
    </xf>
    <xf numFmtId="167" fontId="41" fillId="0" borderId="42" xfId="0" applyNumberFormat="1" applyFont="1" applyFill="1" applyBorder="1" applyAlignment="1">
      <alignment horizontal="right" vertical="center" wrapText="1"/>
    </xf>
    <xf numFmtId="167" fontId="41" fillId="0" borderId="7" xfId="0" applyNumberFormat="1" applyFont="1" applyFill="1" applyBorder="1" applyAlignment="1">
      <alignment horizontal="right" vertical="center" wrapText="1"/>
    </xf>
    <xf numFmtId="164" fontId="42" fillId="0" borderId="3" xfId="0" applyFont="1" applyFill="1" applyBorder="1" applyAlignment="1">
      <alignment horizontal="center" vertical="top" wrapText="1"/>
    </xf>
    <xf numFmtId="164" fontId="39" fillId="0" borderId="45" xfId="0" applyFont="1" applyFill="1" applyBorder="1" applyAlignment="1">
      <alignment vertical="top" wrapText="1"/>
    </xf>
    <xf numFmtId="164" fontId="39" fillId="0" borderId="46" xfId="0" applyFont="1" applyFill="1" applyBorder="1" applyAlignment="1">
      <alignment vertical="top" wrapText="1"/>
    </xf>
    <xf numFmtId="164" fontId="39" fillId="0" borderId="47" xfId="0" applyFont="1" applyFill="1" applyBorder="1" applyAlignment="1">
      <alignment vertical="top" wrapText="1"/>
    </xf>
    <xf numFmtId="164" fontId="40" fillId="0" borderId="3" xfId="0" applyFont="1" applyFill="1" applyBorder="1" applyAlignment="1">
      <alignment horizontal="center" vertical="top" wrapText="1"/>
    </xf>
  </cellXfs>
  <cellStyles count="9">
    <cellStyle name="Comma" xfId="1" builtinId="3"/>
    <cellStyle name="Currency" xfId="2" builtinId="4"/>
    <cellStyle name="Normal" xfId="0" builtinId="0"/>
    <cellStyle name="Normal 2" xfId="6" xr:uid="{00000000-0005-0000-0000-000003000000}"/>
    <cellStyle name="Normal 3" xfId="7" xr:uid="{00000000-0005-0000-0000-000004000000}"/>
    <cellStyle name="Normal 4" xfId="8" xr:uid="{00000000-0005-0000-0000-000005000000}"/>
    <cellStyle name="Normal_Cost Analysis - Testing and Monitoring - 20101104 (QA 20101110)" xfId="3" xr:uid="{00000000-0005-0000-0000-000006000000}"/>
    <cellStyle name="Normal_ICR Cost Inputs" xfId="4" xr:uid="{00000000-0005-0000-0000-000007000000}"/>
    <cellStyle name="Normal_Sheet1" xfId="5"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2:M90"/>
  <sheetViews>
    <sheetView showGridLines="0" tabSelected="1" zoomScale="95" zoomScaleNormal="95" zoomScaleSheetLayoutView="85" workbookViewId="0">
      <pane ySplit="8" topLeftCell="A53" activePane="bottomLeft" state="frozenSplit"/>
      <selection activeCell="D2" sqref="D2"/>
      <selection pane="bottomLeft" activeCell="I69" sqref="I69"/>
    </sheetView>
  </sheetViews>
  <sheetFormatPr defaultColWidth="9.83203125" defaultRowHeight="11.25" x14ac:dyDescent="0.2"/>
  <cols>
    <col min="1" max="1" width="65.5" style="1" customWidth="1"/>
    <col min="2" max="2" width="12.33203125" style="38" customWidth="1"/>
    <col min="3" max="3" width="11.83203125" style="38" bestFit="1" customWidth="1"/>
    <col min="4" max="4" width="12.1640625" style="38" customWidth="1"/>
    <col min="5" max="5" width="11.83203125" style="38" bestFit="1" customWidth="1"/>
    <col min="6" max="6" width="8.83203125" style="38" bestFit="1" customWidth="1"/>
    <col min="7" max="7" width="11.33203125" style="38" bestFit="1" customWidth="1"/>
    <col min="8" max="8" width="8.6640625" style="38" bestFit="1" customWidth="1"/>
    <col min="9" max="9" width="23.33203125" style="38" customWidth="1"/>
    <col min="10" max="10" width="37.5" style="214" hidden="1" customWidth="1"/>
    <col min="11" max="11" width="9.1640625" style="1" customWidth="1"/>
    <col min="12" max="12" width="11.83203125" style="1" bestFit="1" customWidth="1"/>
    <col min="13" max="16384" width="9.83203125" style="1"/>
  </cols>
  <sheetData>
    <row r="2" spans="1:13" ht="16.5" thickBot="1" x14ac:dyDescent="0.3">
      <c r="A2" s="190"/>
      <c r="B2" s="190"/>
      <c r="C2" s="190"/>
      <c r="D2" s="190"/>
      <c r="E2" s="190"/>
      <c r="F2" s="191">
        <v>117.92</v>
      </c>
      <c r="G2" s="191">
        <v>147.4</v>
      </c>
      <c r="H2" s="191">
        <v>57.02</v>
      </c>
      <c r="I2" s="192" t="s">
        <v>168</v>
      </c>
      <c r="J2" s="212"/>
    </row>
    <row r="3" spans="1:13" x14ac:dyDescent="0.2">
      <c r="A3" s="318" t="s">
        <v>12</v>
      </c>
      <c r="B3" s="3" t="s">
        <v>17</v>
      </c>
      <c r="C3" s="160" t="s">
        <v>0</v>
      </c>
      <c r="D3" s="160" t="s">
        <v>1</v>
      </c>
      <c r="E3" s="161" t="s">
        <v>2</v>
      </c>
      <c r="F3" s="161" t="s">
        <v>3</v>
      </c>
      <c r="G3" s="161" t="s">
        <v>4</v>
      </c>
      <c r="H3" s="162" t="s">
        <v>18</v>
      </c>
      <c r="I3" s="271" t="s">
        <v>114</v>
      </c>
      <c r="J3" s="314" t="s">
        <v>298</v>
      </c>
      <c r="K3" s="265"/>
    </row>
    <row r="4" spans="1:13" x14ac:dyDescent="0.2">
      <c r="A4" s="319"/>
      <c r="B4" s="4" t="s">
        <v>24</v>
      </c>
      <c r="C4" s="5" t="s">
        <v>19</v>
      </c>
      <c r="D4" s="5" t="s">
        <v>8</v>
      </c>
      <c r="E4" s="4" t="s">
        <v>19</v>
      </c>
      <c r="F4" s="4" t="s">
        <v>20</v>
      </c>
      <c r="G4" s="4" t="s">
        <v>5</v>
      </c>
      <c r="H4" s="6" t="s">
        <v>6</v>
      </c>
      <c r="I4" s="267" t="s">
        <v>21</v>
      </c>
      <c r="J4" s="315"/>
    </row>
    <row r="5" spans="1:13" x14ac:dyDescent="0.2">
      <c r="A5" s="319"/>
      <c r="B5" s="4" t="s">
        <v>29</v>
      </c>
      <c r="C5" s="5" t="s">
        <v>7</v>
      </c>
      <c r="D5" s="5" t="s">
        <v>9</v>
      </c>
      <c r="E5" s="4" t="s">
        <v>22</v>
      </c>
      <c r="F5" s="4" t="s">
        <v>8</v>
      </c>
      <c r="G5" s="4" t="s">
        <v>8</v>
      </c>
      <c r="H5" s="6" t="s">
        <v>8</v>
      </c>
      <c r="I5" s="272" t="s">
        <v>23</v>
      </c>
      <c r="J5" s="316"/>
      <c r="K5" s="265"/>
    </row>
    <row r="6" spans="1:13" x14ac:dyDescent="0.2">
      <c r="A6" s="319"/>
      <c r="B6" s="4" t="s">
        <v>11</v>
      </c>
      <c r="C6" s="5" t="s">
        <v>9</v>
      </c>
      <c r="D6" s="5" t="s">
        <v>24</v>
      </c>
      <c r="E6" s="248" t="s">
        <v>248</v>
      </c>
      <c r="F6" s="4" t="s">
        <v>10</v>
      </c>
      <c r="G6" s="4" t="s">
        <v>10</v>
      </c>
      <c r="H6" s="6" t="s">
        <v>10</v>
      </c>
      <c r="I6" s="272" t="s">
        <v>247</v>
      </c>
      <c r="J6" s="316"/>
      <c r="K6" s="265"/>
    </row>
    <row r="7" spans="1:13" x14ac:dyDescent="0.2">
      <c r="A7" s="319"/>
      <c r="B7" s="4"/>
      <c r="C7" s="5" t="s">
        <v>24</v>
      </c>
      <c r="D7" s="5" t="s">
        <v>10</v>
      </c>
      <c r="E7" s="56"/>
      <c r="F7" s="7"/>
      <c r="G7" s="7"/>
      <c r="H7" s="8"/>
      <c r="I7" s="273"/>
      <c r="J7" s="316"/>
      <c r="K7" s="265"/>
    </row>
    <row r="8" spans="1:13" ht="12" thickBot="1" x14ac:dyDescent="0.25">
      <c r="A8" s="320"/>
      <c r="B8" s="9"/>
      <c r="C8" s="10" t="s">
        <v>10</v>
      </c>
      <c r="D8" s="164" t="s">
        <v>167</v>
      </c>
      <c r="E8" s="9"/>
      <c r="F8" s="163" t="s">
        <v>317</v>
      </c>
      <c r="G8" s="163" t="s">
        <v>315</v>
      </c>
      <c r="H8" s="165" t="s">
        <v>316</v>
      </c>
      <c r="I8" s="274"/>
      <c r="J8" s="316"/>
      <c r="K8" s="265"/>
    </row>
    <row r="9" spans="1:13" x14ac:dyDescent="0.2">
      <c r="A9" s="275" t="s">
        <v>218</v>
      </c>
      <c r="B9" s="11" t="s">
        <v>41</v>
      </c>
      <c r="C9" s="12"/>
      <c r="D9" s="13">
        <f>B9*$C9</f>
        <v>0</v>
      </c>
      <c r="E9" s="14">
        <v>55</v>
      </c>
      <c r="F9" s="15"/>
      <c r="G9" s="15"/>
      <c r="H9" s="16"/>
      <c r="I9" s="276">
        <f>F9*33+G9*49+H9*15</f>
        <v>0</v>
      </c>
      <c r="J9" s="268"/>
      <c r="K9" s="265"/>
    </row>
    <row r="10" spans="1:13" x14ac:dyDescent="0.2">
      <c r="A10" s="277" t="s">
        <v>219</v>
      </c>
      <c r="B10" s="42" t="s">
        <v>41</v>
      </c>
      <c r="C10" s="19"/>
      <c r="D10" s="20">
        <f>B10*$C10</f>
        <v>0</v>
      </c>
      <c r="E10" s="43"/>
      <c r="F10" s="44"/>
      <c r="G10" s="44"/>
      <c r="H10" s="45">
        <f t="shared" ref="H10:H22" si="0">F10*0.1</f>
        <v>0</v>
      </c>
      <c r="I10" s="278">
        <f>F10*33+G10*49+H10*15</f>
        <v>0</v>
      </c>
      <c r="J10" s="268"/>
      <c r="K10" s="265"/>
    </row>
    <row r="11" spans="1:13" ht="20.100000000000001" customHeight="1" x14ac:dyDescent="0.2">
      <c r="A11" s="279" t="s">
        <v>220</v>
      </c>
      <c r="B11" s="47"/>
      <c r="C11" s="39"/>
      <c r="D11" s="48">
        <f>B11*$C11</f>
        <v>0</v>
      </c>
      <c r="E11" s="49"/>
      <c r="F11" s="48">
        <f>D11*E11</f>
        <v>0</v>
      </c>
      <c r="G11" s="48">
        <f>F11*0.05</f>
        <v>0</v>
      </c>
      <c r="H11" s="48">
        <f t="shared" si="0"/>
        <v>0</v>
      </c>
      <c r="I11" s="280">
        <f>F11*33+G11*49+H11*15</f>
        <v>0</v>
      </c>
      <c r="J11" s="268"/>
      <c r="K11" s="265"/>
    </row>
    <row r="12" spans="1:13" ht="10.5" customHeight="1" x14ac:dyDescent="0.2">
      <c r="A12" s="281" t="s">
        <v>242</v>
      </c>
      <c r="B12" s="2"/>
      <c r="C12" s="2"/>
      <c r="D12" s="2"/>
      <c r="E12" s="2"/>
      <c r="F12" s="2"/>
      <c r="G12" s="2"/>
      <c r="H12" s="2"/>
      <c r="I12" s="282"/>
      <c r="J12" s="1"/>
      <c r="K12" s="265"/>
    </row>
    <row r="13" spans="1:13" ht="12.95" customHeight="1" x14ac:dyDescent="0.2">
      <c r="A13" s="283" t="s">
        <v>282</v>
      </c>
      <c r="B13" s="47">
        <f>2*4*40</f>
        <v>320</v>
      </c>
      <c r="C13" s="46">
        <v>1</v>
      </c>
      <c r="D13" s="46">
        <f>B13*$C13</f>
        <v>320</v>
      </c>
      <c r="E13" s="50">
        <v>0</v>
      </c>
      <c r="F13" s="51">
        <f>D13*E13</f>
        <v>0</v>
      </c>
      <c r="G13" s="51">
        <f>F13*0.05</f>
        <v>0</v>
      </c>
      <c r="H13" s="51">
        <f>F13*0.1</f>
        <v>0</v>
      </c>
      <c r="I13" s="284">
        <f>F13*$F$2+G13*$G$2+H13*$H$2</f>
        <v>0</v>
      </c>
      <c r="J13" s="269" t="s">
        <v>194</v>
      </c>
      <c r="K13" s="265"/>
    </row>
    <row r="14" spans="1:13" ht="12.95" customHeight="1" x14ac:dyDescent="0.2">
      <c r="A14" s="283" t="s">
        <v>283</v>
      </c>
      <c r="B14" s="47">
        <v>8</v>
      </c>
      <c r="C14" s="46">
        <v>1</v>
      </c>
      <c r="D14" s="46">
        <f>B14*$C14</f>
        <v>8</v>
      </c>
      <c r="E14" s="50">
        <v>4</v>
      </c>
      <c r="F14" s="51">
        <f>D14*E14</f>
        <v>32</v>
      </c>
      <c r="G14" s="241">
        <f>F14*0.05</f>
        <v>1.6</v>
      </c>
      <c r="H14" s="241">
        <f>F14*0.1</f>
        <v>3.2</v>
      </c>
      <c r="I14" s="285">
        <f>F14*$F$2+G14*$G$2+H14*$H$2</f>
        <v>4191.7440000000006</v>
      </c>
      <c r="J14" s="269" t="s">
        <v>240</v>
      </c>
      <c r="K14" s="265"/>
    </row>
    <row r="15" spans="1:13" ht="12.95" customHeight="1" x14ac:dyDescent="0.2">
      <c r="A15" s="281" t="s">
        <v>221</v>
      </c>
      <c r="B15" s="47"/>
      <c r="C15" s="39"/>
      <c r="D15" s="39"/>
      <c r="E15" s="50"/>
      <c r="F15" s="48">
        <f>D15*E15</f>
        <v>0</v>
      </c>
      <c r="G15" s="48">
        <f>F15*0.05</f>
        <v>0</v>
      </c>
      <c r="H15" s="48">
        <f t="shared" si="0"/>
        <v>0</v>
      </c>
      <c r="I15" s="284"/>
      <c r="J15" s="268"/>
      <c r="K15" s="265"/>
      <c r="M15" s="21"/>
    </row>
    <row r="16" spans="1:13" ht="12.95" customHeight="1" x14ac:dyDescent="0.2">
      <c r="A16" s="286" t="s">
        <v>74</v>
      </c>
      <c r="B16" s="47"/>
      <c r="C16" s="39"/>
      <c r="D16" s="39"/>
      <c r="E16" s="50"/>
      <c r="F16" s="48">
        <f>D16*E16</f>
        <v>0</v>
      </c>
      <c r="G16" s="48">
        <f>F16*0.05</f>
        <v>0</v>
      </c>
      <c r="H16" s="48">
        <f t="shared" si="0"/>
        <v>0</v>
      </c>
      <c r="I16" s="284"/>
      <c r="J16" s="268"/>
      <c r="K16" s="265"/>
      <c r="M16" s="22"/>
    </row>
    <row r="17" spans="1:13" ht="12.95" customHeight="1" x14ac:dyDescent="0.2">
      <c r="A17" s="287" t="s">
        <v>249</v>
      </c>
      <c r="B17" s="40">
        <v>120</v>
      </c>
      <c r="C17" s="46">
        <v>1</v>
      </c>
      <c r="D17" s="46">
        <f>B17*$C17</f>
        <v>120</v>
      </c>
      <c r="E17" s="52">
        <v>0</v>
      </c>
      <c r="F17" s="51">
        <f>D17*E17</f>
        <v>0</v>
      </c>
      <c r="G17" s="51">
        <f>F17*0.05</f>
        <v>0</v>
      </c>
      <c r="H17" s="51">
        <f t="shared" si="0"/>
        <v>0</v>
      </c>
      <c r="I17" s="284">
        <f t="shared" ref="I17:I22" si="1">F17*$F$2+G17*$G$2+H17*$H$2</f>
        <v>0</v>
      </c>
      <c r="J17" s="269" t="s">
        <v>195</v>
      </c>
      <c r="K17" s="265"/>
      <c r="M17" s="22"/>
    </row>
    <row r="18" spans="1:13" ht="13.5" customHeight="1" x14ac:dyDescent="0.2">
      <c r="A18" s="288" t="s">
        <v>250</v>
      </c>
      <c r="B18" s="40">
        <f>3*3*4</f>
        <v>36</v>
      </c>
      <c r="C18" s="46">
        <v>1</v>
      </c>
      <c r="D18" s="46">
        <f>B18*$C18</f>
        <v>36</v>
      </c>
      <c r="E18" s="50">
        <v>0</v>
      </c>
      <c r="F18" s="51">
        <f t="shared" ref="F18:F29" si="2">D18*E18</f>
        <v>0</v>
      </c>
      <c r="G18" s="51">
        <f t="shared" ref="G18:G29" si="3">F18*0.05</f>
        <v>0</v>
      </c>
      <c r="H18" s="51">
        <f t="shared" si="0"/>
        <v>0</v>
      </c>
      <c r="I18" s="284">
        <f t="shared" si="1"/>
        <v>0</v>
      </c>
      <c r="J18" s="269" t="s">
        <v>198</v>
      </c>
      <c r="K18" s="265"/>
      <c r="M18" s="22"/>
    </row>
    <row r="19" spans="1:13" ht="13.5" customHeight="1" x14ac:dyDescent="0.2">
      <c r="A19" s="289" t="s">
        <v>251</v>
      </c>
      <c r="B19" s="40">
        <f>4*2</f>
        <v>8</v>
      </c>
      <c r="C19" s="46">
        <v>1</v>
      </c>
      <c r="D19" s="46">
        <f>B19*$C19</f>
        <v>8</v>
      </c>
      <c r="E19" s="50">
        <v>0</v>
      </c>
      <c r="F19" s="51">
        <f t="shared" si="2"/>
        <v>0</v>
      </c>
      <c r="G19" s="51">
        <f t="shared" si="3"/>
        <v>0</v>
      </c>
      <c r="H19" s="51">
        <f t="shared" si="0"/>
        <v>0</v>
      </c>
      <c r="I19" s="284">
        <f t="shared" si="1"/>
        <v>0</v>
      </c>
      <c r="J19" s="269" t="s">
        <v>200</v>
      </c>
      <c r="K19" s="265"/>
      <c r="M19" s="22"/>
    </row>
    <row r="20" spans="1:13" ht="11.1" customHeight="1" x14ac:dyDescent="0.2">
      <c r="A20" s="289" t="s">
        <v>252</v>
      </c>
      <c r="B20" s="40">
        <f>4*2*5</f>
        <v>40</v>
      </c>
      <c r="C20" s="46">
        <v>1</v>
      </c>
      <c r="D20" s="46">
        <f>B20*C20</f>
        <v>40</v>
      </c>
      <c r="E20" s="50">
        <v>0</v>
      </c>
      <c r="F20" s="51">
        <f>D20*E20</f>
        <v>0</v>
      </c>
      <c r="G20" s="51">
        <f>F20*0.05</f>
        <v>0</v>
      </c>
      <c r="H20" s="51">
        <f t="shared" ref="H20" si="4">F20*0.1</f>
        <v>0</v>
      </c>
      <c r="I20" s="284">
        <f t="shared" si="1"/>
        <v>0</v>
      </c>
      <c r="J20" s="269" t="s">
        <v>202</v>
      </c>
      <c r="K20" s="265"/>
      <c r="M20" s="22"/>
    </row>
    <row r="21" spans="1:13" ht="11.1" customHeight="1" x14ac:dyDescent="0.2">
      <c r="A21" s="289" t="s">
        <v>253</v>
      </c>
      <c r="B21" s="196">
        <f>4*1*2</f>
        <v>8</v>
      </c>
      <c r="C21" s="46">
        <v>1</v>
      </c>
      <c r="D21" s="46">
        <f>B21*$C21</f>
        <v>8</v>
      </c>
      <c r="E21" s="50">
        <v>0</v>
      </c>
      <c r="F21" s="51">
        <f t="shared" si="2"/>
        <v>0</v>
      </c>
      <c r="G21" s="51">
        <f t="shared" si="3"/>
        <v>0</v>
      </c>
      <c r="H21" s="51">
        <f t="shared" si="0"/>
        <v>0</v>
      </c>
      <c r="I21" s="284">
        <f t="shared" si="1"/>
        <v>0</v>
      </c>
      <c r="J21" s="269" t="s">
        <v>204</v>
      </c>
      <c r="K21" s="265"/>
      <c r="M21" s="22"/>
    </row>
    <row r="22" spans="1:13" ht="11.1" customHeight="1" x14ac:dyDescent="0.2">
      <c r="A22" s="289" t="s">
        <v>254</v>
      </c>
      <c r="B22" s="159">
        <v>850</v>
      </c>
      <c r="C22" s="46">
        <v>1</v>
      </c>
      <c r="D22" s="46">
        <f>B22*$C22</f>
        <v>850</v>
      </c>
      <c r="E22" s="50">
        <v>0</v>
      </c>
      <c r="F22" s="51">
        <f t="shared" si="2"/>
        <v>0</v>
      </c>
      <c r="G22" s="51">
        <f t="shared" si="3"/>
        <v>0</v>
      </c>
      <c r="H22" s="51">
        <f t="shared" si="0"/>
        <v>0</v>
      </c>
      <c r="I22" s="284">
        <f t="shared" si="1"/>
        <v>0</v>
      </c>
      <c r="J22" s="269" t="s">
        <v>206</v>
      </c>
      <c r="K22" s="265"/>
      <c r="M22" s="22"/>
    </row>
    <row r="23" spans="1:13" x14ac:dyDescent="0.2">
      <c r="A23" s="290" t="s">
        <v>75</v>
      </c>
      <c r="B23" s="47"/>
      <c r="C23" s="46"/>
      <c r="D23" s="46"/>
      <c r="E23" s="52"/>
      <c r="F23" s="51"/>
      <c r="G23" s="51"/>
      <c r="H23" s="51"/>
      <c r="I23" s="284"/>
      <c r="J23" s="268"/>
      <c r="K23" s="265"/>
      <c r="M23" s="22"/>
    </row>
    <row r="24" spans="1:13" ht="9.9499999999999993" customHeight="1" x14ac:dyDescent="0.2">
      <c r="A24" s="287" t="s">
        <v>255</v>
      </c>
      <c r="B24" s="47">
        <v>17.100000000000001</v>
      </c>
      <c r="C24" s="46">
        <v>350</v>
      </c>
      <c r="D24" s="210">
        <f t="shared" ref="D24:D29" si="5">B24*$C24</f>
        <v>5985.0000000000009</v>
      </c>
      <c r="E24" s="52">
        <v>4</v>
      </c>
      <c r="F24" s="51">
        <f t="shared" si="2"/>
        <v>23940.000000000004</v>
      </c>
      <c r="G24" s="198">
        <f t="shared" si="3"/>
        <v>1197.0000000000002</v>
      </c>
      <c r="H24" s="198">
        <f t="shared" ref="H24:H29" si="6">F24*0.1</f>
        <v>2394.0000000000005</v>
      </c>
      <c r="I24" s="285">
        <f t="shared" ref="I24:I29" si="7">F24*$F$2+G24*$G$2+H24*$H$2</f>
        <v>3135948.4800000004</v>
      </c>
      <c r="J24" s="269" t="s">
        <v>197</v>
      </c>
      <c r="K24" s="265"/>
      <c r="M24" s="22"/>
    </row>
    <row r="25" spans="1:13" ht="9.9499999999999993" customHeight="1" x14ac:dyDescent="0.2">
      <c r="A25" s="289" t="s">
        <v>256</v>
      </c>
      <c r="B25" s="40">
        <f>3*3*4</f>
        <v>36</v>
      </c>
      <c r="C25" s="46">
        <v>350</v>
      </c>
      <c r="D25" s="210">
        <f t="shared" si="5"/>
        <v>12600</v>
      </c>
      <c r="E25" s="52">
        <v>4</v>
      </c>
      <c r="F25" s="51">
        <f t="shared" si="2"/>
        <v>50400</v>
      </c>
      <c r="G25" s="210">
        <f t="shared" si="3"/>
        <v>2520</v>
      </c>
      <c r="H25" s="210">
        <f t="shared" si="6"/>
        <v>5040</v>
      </c>
      <c r="I25" s="285">
        <f t="shared" si="7"/>
        <v>6601996.7999999998</v>
      </c>
      <c r="J25" s="269" t="s">
        <v>199</v>
      </c>
      <c r="K25" s="265"/>
      <c r="M25" s="22"/>
    </row>
    <row r="26" spans="1:13" ht="12" customHeight="1" x14ac:dyDescent="0.2">
      <c r="A26" s="289" t="s">
        <v>257</v>
      </c>
      <c r="B26" s="40">
        <f>4*2</f>
        <v>8</v>
      </c>
      <c r="C26" s="46">
        <v>12</v>
      </c>
      <c r="D26" s="46">
        <f t="shared" si="5"/>
        <v>96</v>
      </c>
      <c r="E26" s="52">
        <v>4</v>
      </c>
      <c r="F26" s="51">
        <f t="shared" si="2"/>
        <v>384</v>
      </c>
      <c r="G26" s="199">
        <f t="shared" si="3"/>
        <v>19.200000000000003</v>
      </c>
      <c r="H26" s="199">
        <f t="shared" si="6"/>
        <v>38.400000000000006</v>
      </c>
      <c r="I26" s="285">
        <f t="shared" si="7"/>
        <v>50300.928</v>
      </c>
      <c r="J26" s="269" t="s">
        <v>201</v>
      </c>
      <c r="K26" s="265"/>
      <c r="M26" s="22"/>
    </row>
    <row r="27" spans="1:13" ht="12" customHeight="1" x14ac:dyDescent="0.2">
      <c r="A27" s="289" t="s">
        <v>252</v>
      </c>
      <c r="B27" s="40">
        <f>4*2*5</f>
        <v>40</v>
      </c>
      <c r="C27" s="46">
        <v>1</v>
      </c>
      <c r="D27" s="46">
        <f t="shared" si="5"/>
        <v>40</v>
      </c>
      <c r="E27" s="52">
        <v>4</v>
      </c>
      <c r="F27" s="51">
        <f t="shared" si="2"/>
        <v>160</v>
      </c>
      <c r="G27" s="199">
        <f t="shared" si="3"/>
        <v>8</v>
      </c>
      <c r="H27" s="199">
        <f t="shared" si="6"/>
        <v>16</v>
      </c>
      <c r="I27" s="285">
        <f t="shared" si="7"/>
        <v>20958.72</v>
      </c>
      <c r="J27" s="269" t="s">
        <v>203</v>
      </c>
      <c r="K27" s="265"/>
      <c r="M27" s="22"/>
    </row>
    <row r="28" spans="1:13" ht="12" customHeight="1" x14ac:dyDescent="0.2">
      <c r="A28" s="289" t="s">
        <v>253</v>
      </c>
      <c r="B28" s="196">
        <f>4*1*2</f>
        <v>8</v>
      </c>
      <c r="C28" s="46">
        <v>12</v>
      </c>
      <c r="D28" s="46">
        <f t="shared" si="5"/>
        <v>96</v>
      </c>
      <c r="E28" s="52">
        <v>4</v>
      </c>
      <c r="F28" s="51">
        <f>D28*E28</f>
        <v>384</v>
      </c>
      <c r="G28" s="199">
        <f t="shared" si="3"/>
        <v>19.200000000000003</v>
      </c>
      <c r="H28" s="199">
        <f t="shared" si="6"/>
        <v>38.400000000000006</v>
      </c>
      <c r="I28" s="285">
        <f t="shared" si="7"/>
        <v>50300.928</v>
      </c>
      <c r="J28" s="269" t="s">
        <v>205</v>
      </c>
      <c r="K28" s="265"/>
      <c r="M28" s="22"/>
    </row>
    <row r="29" spans="1:13" ht="12" customHeight="1" x14ac:dyDescent="0.2">
      <c r="A29" s="289" t="s">
        <v>254</v>
      </c>
      <c r="B29" s="152">
        <f>0.05*B22</f>
        <v>42.5</v>
      </c>
      <c r="C29" s="46">
        <v>12</v>
      </c>
      <c r="D29" s="46">
        <f t="shared" si="5"/>
        <v>510</v>
      </c>
      <c r="E29" s="52">
        <v>4</v>
      </c>
      <c r="F29" s="51">
        <f t="shared" si="2"/>
        <v>2040</v>
      </c>
      <c r="G29" s="199">
        <f t="shared" si="3"/>
        <v>102</v>
      </c>
      <c r="H29" s="199">
        <f t="shared" si="6"/>
        <v>204</v>
      </c>
      <c r="I29" s="285">
        <f t="shared" si="7"/>
        <v>267223.67999999999</v>
      </c>
      <c r="J29" s="269" t="s">
        <v>207</v>
      </c>
      <c r="K29" s="265"/>
      <c r="M29" s="22"/>
    </row>
    <row r="30" spans="1:13" x14ac:dyDescent="0.2">
      <c r="A30" s="286" t="s">
        <v>73</v>
      </c>
      <c r="B30" s="47"/>
      <c r="C30" s="39"/>
      <c r="D30" s="39"/>
      <c r="E30" s="52"/>
      <c r="F30" s="51"/>
      <c r="G30" s="51"/>
      <c r="H30" s="51"/>
      <c r="I30" s="284"/>
      <c r="J30" s="268"/>
      <c r="K30" s="265"/>
    </row>
    <row r="31" spans="1:13" ht="11.45" customHeight="1" x14ac:dyDescent="0.2">
      <c r="A31" s="287" t="s">
        <v>258</v>
      </c>
      <c r="B31" s="47">
        <v>8</v>
      </c>
      <c r="C31" s="39">
        <v>1</v>
      </c>
      <c r="D31" s="39">
        <f>B31*$C31</f>
        <v>8</v>
      </c>
      <c r="E31" s="52">
        <v>0</v>
      </c>
      <c r="F31" s="51">
        <f>D31*E31</f>
        <v>0</v>
      </c>
      <c r="G31" s="51">
        <f>F31*0.05</f>
        <v>0</v>
      </c>
      <c r="H31" s="51">
        <f>F31*0.1</f>
        <v>0</v>
      </c>
      <c r="I31" s="284">
        <f>F31*$F$2+G31*$G$2+H31*$H$2</f>
        <v>0</v>
      </c>
      <c r="J31" s="269" t="s">
        <v>196</v>
      </c>
      <c r="K31" s="265"/>
    </row>
    <row r="32" spans="1:13" x14ac:dyDescent="0.2">
      <c r="A32" s="286" t="s">
        <v>68</v>
      </c>
      <c r="B32" s="47"/>
      <c r="C32" s="39"/>
      <c r="D32" s="39"/>
      <c r="E32" s="52"/>
      <c r="F32" s="51"/>
      <c r="G32" s="51"/>
      <c r="H32" s="51"/>
      <c r="I32" s="284"/>
      <c r="J32" s="268"/>
      <c r="K32" s="265"/>
    </row>
    <row r="33" spans="1:13" ht="12.95" customHeight="1" x14ac:dyDescent="0.2">
      <c r="A33" s="287" t="s">
        <v>259</v>
      </c>
      <c r="B33" s="47">
        <f>500+24</f>
        <v>524</v>
      </c>
      <c r="C33" s="39">
        <v>1</v>
      </c>
      <c r="D33" s="39">
        <f>B33*$C33</f>
        <v>524</v>
      </c>
      <c r="E33" s="52">
        <v>0</v>
      </c>
      <c r="F33" s="51">
        <f>D33*E33</f>
        <v>0</v>
      </c>
      <c r="G33" s="51">
        <f>F33*0.05</f>
        <v>0</v>
      </c>
      <c r="H33" s="51">
        <f>F33*0.1</f>
        <v>0</v>
      </c>
      <c r="I33" s="284">
        <f>F33*$F$2+G33*$G$2+H33*$H$2</f>
        <v>0</v>
      </c>
      <c r="J33" s="269" t="s">
        <v>208</v>
      </c>
      <c r="K33" s="265"/>
    </row>
    <row r="34" spans="1:13" ht="12.95" customHeight="1" x14ac:dyDescent="0.2">
      <c r="A34" s="287" t="s">
        <v>260</v>
      </c>
      <c r="B34" s="47">
        <v>24</v>
      </c>
      <c r="C34" s="39">
        <v>1</v>
      </c>
      <c r="D34" s="39">
        <f>B34*$C34</f>
        <v>24</v>
      </c>
      <c r="E34" s="209">
        <f>4*0.27</f>
        <v>1.08</v>
      </c>
      <c r="F34" s="211">
        <f>D34*E34</f>
        <v>25.92</v>
      </c>
      <c r="G34" s="211">
        <f>F34*0.05</f>
        <v>1.2960000000000003</v>
      </c>
      <c r="H34" s="211">
        <f>F34*0.1</f>
        <v>2.5920000000000005</v>
      </c>
      <c r="I34" s="285">
        <f>F34*$F$2+G34*$G$2+H34*$H$2</f>
        <v>3395.3126400000006</v>
      </c>
      <c r="J34" s="269" t="s">
        <v>208</v>
      </c>
      <c r="K34" s="265"/>
    </row>
    <row r="35" spans="1:13" x14ac:dyDescent="0.2">
      <c r="A35" s="290" t="s">
        <v>214</v>
      </c>
      <c r="B35" s="47"/>
      <c r="C35" s="39"/>
      <c r="D35" s="39"/>
      <c r="E35" s="52"/>
      <c r="F35" s="51"/>
      <c r="G35" s="51"/>
      <c r="H35" s="51"/>
      <c r="I35" s="284"/>
      <c r="J35" s="268"/>
      <c r="K35" s="265"/>
    </row>
    <row r="36" spans="1:13" ht="12.95" customHeight="1" x14ac:dyDescent="0.2">
      <c r="A36" s="289" t="s">
        <v>261</v>
      </c>
      <c r="B36" s="215">
        <v>1.5</v>
      </c>
      <c r="C36" s="46">
        <v>1</v>
      </c>
      <c r="D36" s="46">
        <f t="shared" ref="D36:D41" si="8">B36*$C36</f>
        <v>1.5</v>
      </c>
      <c r="E36" s="50">
        <v>0</v>
      </c>
      <c r="F36" s="51">
        <f t="shared" ref="F36:F41" si="9">D36*E36</f>
        <v>0</v>
      </c>
      <c r="G36" s="51">
        <f t="shared" ref="G36:G41" si="10">F36*0.05</f>
        <v>0</v>
      </c>
      <c r="H36" s="51">
        <f>F36*0.1</f>
        <v>0</v>
      </c>
      <c r="I36" s="284">
        <f>F36*$F$2+G36*$G$2+H36*$H$2</f>
        <v>0</v>
      </c>
      <c r="J36" s="269" t="s">
        <v>210</v>
      </c>
      <c r="K36" s="265"/>
      <c r="M36" s="22"/>
    </row>
    <row r="37" spans="1:13" ht="12.95" customHeight="1" x14ac:dyDescent="0.2">
      <c r="A37" s="289" t="s">
        <v>262</v>
      </c>
      <c r="B37" s="216">
        <v>1.5</v>
      </c>
      <c r="C37" s="46">
        <v>350</v>
      </c>
      <c r="D37" s="46">
        <f t="shared" si="8"/>
        <v>525</v>
      </c>
      <c r="E37" s="52">
        <v>4</v>
      </c>
      <c r="F37" s="51">
        <f t="shared" si="9"/>
        <v>2100</v>
      </c>
      <c r="G37" s="199">
        <f t="shared" si="10"/>
        <v>105</v>
      </c>
      <c r="H37" s="199">
        <f>F37*0.1</f>
        <v>210</v>
      </c>
      <c r="I37" s="285">
        <f>F37*$F$2+G37*$G$2+H37*$H$2</f>
        <v>275083.2</v>
      </c>
      <c r="J37" s="269" t="s">
        <v>211</v>
      </c>
      <c r="K37" s="265"/>
      <c r="M37" s="22"/>
    </row>
    <row r="38" spans="1:13" ht="12.95" customHeight="1" x14ac:dyDescent="0.2">
      <c r="A38" s="289" t="s">
        <v>263</v>
      </c>
      <c r="B38" s="159">
        <v>24</v>
      </c>
      <c r="C38" s="46">
        <v>1</v>
      </c>
      <c r="D38" s="46">
        <f t="shared" si="8"/>
        <v>24</v>
      </c>
      <c r="E38" s="50">
        <v>0</v>
      </c>
      <c r="F38" s="51">
        <f t="shared" si="9"/>
        <v>0</v>
      </c>
      <c r="G38" s="51">
        <f t="shared" si="10"/>
        <v>0</v>
      </c>
      <c r="H38" s="51">
        <f>F38*0.1</f>
        <v>0</v>
      </c>
      <c r="I38" s="284">
        <f>F38*$F$2+G38*$G$2+H38*$H$2</f>
        <v>0</v>
      </c>
      <c r="J38" s="269" t="s">
        <v>212</v>
      </c>
      <c r="K38" s="265"/>
      <c r="M38" s="22"/>
    </row>
    <row r="39" spans="1:13" ht="12.95" customHeight="1" x14ac:dyDescent="0.2">
      <c r="A39" s="289" t="s">
        <v>264</v>
      </c>
      <c r="B39" s="152">
        <v>40</v>
      </c>
      <c r="C39" s="46">
        <v>1</v>
      </c>
      <c r="D39" s="46">
        <f t="shared" si="8"/>
        <v>40</v>
      </c>
      <c r="E39" s="52">
        <v>0</v>
      </c>
      <c r="F39" s="51">
        <f t="shared" si="9"/>
        <v>0</v>
      </c>
      <c r="G39" s="51">
        <f t="shared" si="10"/>
        <v>0</v>
      </c>
      <c r="H39" s="51">
        <f t="shared" ref="H39:H41" si="11">F39*0.1</f>
        <v>0</v>
      </c>
      <c r="I39" s="284">
        <f t="shared" ref="I39:I41" si="12">F39*$F$2+G39*$G$2+H39*$H$2</f>
        <v>0</v>
      </c>
      <c r="J39" s="269" t="s">
        <v>215</v>
      </c>
      <c r="K39" s="265"/>
      <c r="M39" s="22"/>
    </row>
    <row r="40" spans="1:13" ht="12.95" customHeight="1" x14ac:dyDescent="0.2">
      <c r="A40" s="289" t="s">
        <v>265</v>
      </c>
      <c r="B40" s="159">
        <v>40</v>
      </c>
      <c r="C40" s="46">
        <v>1</v>
      </c>
      <c r="D40" s="46">
        <f t="shared" si="8"/>
        <v>40</v>
      </c>
      <c r="E40" s="50">
        <v>0</v>
      </c>
      <c r="F40" s="51">
        <f t="shared" si="9"/>
        <v>0</v>
      </c>
      <c r="G40" s="51">
        <f t="shared" si="10"/>
        <v>0</v>
      </c>
      <c r="H40" s="51">
        <f t="shared" si="11"/>
        <v>0</v>
      </c>
      <c r="I40" s="284">
        <f t="shared" si="12"/>
        <v>0</v>
      </c>
      <c r="J40" s="269" t="s">
        <v>216</v>
      </c>
      <c r="K40" s="265"/>
      <c r="M40" s="22"/>
    </row>
    <row r="41" spans="1:13" ht="12.95" customHeight="1" x14ac:dyDescent="0.2">
      <c r="A41" s="289" t="s">
        <v>266</v>
      </c>
      <c r="B41" s="47">
        <v>1</v>
      </c>
      <c r="C41" s="39">
        <v>12</v>
      </c>
      <c r="D41" s="39">
        <f t="shared" si="8"/>
        <v>12</v>
      </c>
      <c r="E41" s="217">
        <v>4</v>
      </c>
      <c r="F41" s="219">
        <f t="shared" si="9"/>
        <v>48</v>
      </c>
      <c r="G41" s="218">
        <f t="shared" si="10"/>
        <v>2.4000000000000004</v>
      </c>
      <c r="H41" s="51">
        <f t="shared" si="11"/>
        <v>4.8000000000000007</v>
      </c>
      <c r="I41" s="285">
        <f t="shared" si="12"/>
        <v>6287.616</v>
      </c>
      <c r="J41" s="269" t="s">
        <v>217</v>
      </c>
      <c r="K41" s="265"/>
    </row>
    <row r="42" spans="1:13" x14ac:dyDescent="0.2">
      <c r="A42" s="281" t="s">
        <v>222</v>
      </c>
      <c r="B42" s="244" t="s">
        <v>246</v>
      </c>
      <c r="C42" s="39"/>
      <c r="D42" s="39"/>
      <c r="E42" s="52"/>
      <c r="F42" s="51"/>
      <c r="G42" s="51"/>
      <c r="H42" s="51"/>
      <c r="I42" s="284"/>
      <c r="J42" s="268"/>
      <c r="K42" s="265"/>
    </row>
    <row r="43" spans="1:13" x14ac:dyDescent="0.2">
      <c r="A43" s="281" t="s">
        <v>223</v>
      </c>
      <c r="B43" s="243" t="s">
        <v>245</v>
      </c>
      <c r="C43" s="46"/>
      <c r="D43" s="46"/>
      <c r="E43" s="52"/>
      <c r="F43" s="51"/>
      <c r="G43" s="51"/>
      <c r="H43" s="51"/>
      <c r="I43" s="284"/>
      <c r="J43" s="268"/>
      <c r="K43" s="265"/>
    </row>
    <row r="44" spans="1:13" x14ac:dyDescent="0.2">
      <c r="A44" s="281" t="s">
        <v>224</v>
      </c>
      <c r="B44" s="47"/>
      <c r="C44" s="39"/>
      <c r="D44" s="48"/>
      <c r="E44" s="53"/>
      <c r="F44" s="48">
        <f t="shared" ref="F44:F50" si="13">D44*E44</f>
        <v>0</v>
      </c>
      <c r="G44" s="48">
        <f t="shared" ref="G44:G50" si="14">F44*0.05</f>
        <v>0</v>
      </c>
      <c r="H44" s="48">
        <f t="shared" ref="H44:H50" si="15">F44*0.1</f>
        <v>0</v>
      </c>
      <c r="I44" s="284"/>
      <c r="J44" s="268"/>
      <c r="K44" s="265"/>
    </row>
    <row r="45" spans="1:13" x14ac:dyDescent="0.2">
      <c r="A45" s="291" t="s">
        <v>267</v>
      </c>
      <c r="B45" s="47">
        <v>5</v>
      </c>
      <c r="C45" s="39">
        <v>1</v>
      </c>
      <c r="D45" s="39">
        <f t="shared" ref="D45:D50" si="16">B45*$C45</f>
        <v>5</v>
      </c>
      <c r="E45" s="52">
        <f>$E$13</f>
        <v>0</v>
      </c>
      <c r="F45" s="51">
        <f t="shared" si="13"/>
        <v>0</v>
      </c>
      <c r="G45" s="51">
        <f t="shared" si="14"/>
        <v>0</v>
      </c>
      <c r="H45" s="51">
        <f t="shared" si="15"/>
        <v>0</v>
      </c>
      <c r="I45" s="284">
        <f t="shared" ref="I45:I50" si="17">F45*$F$2+G45*$G$2+H45*$H$2</f>
        <v>0</v>
      </c>
      <c r="J45" s="268"/>
      <c r="K45" s="265"/>
    </row>
    <row r="46" spans="1:13" x14ac:dyDescent="0.2">
      <c r="A46" s="291" t="s">
        <v>268</v>
      </c>
      <c r="B46" s="47">
        <v>5</v>
      </c>
      <c r="C46" s="39">
        <v>1</v>
      </c>
      <c r="D46" s="39">
        <f t="shared" si="16"/>
        <v>5</v>
      </c>
      <c r="E46" s="52">
        <f>$E$13</f>
        <v>0</v>
      </c>
      <c r="F46" s="51">
        <f t="shared" si="13"/>
        <v>0</v>
      </c>
      <c r="G46" s="51">
        <f t="shared" si="14"/>
        <v>0</v>
      </c>
      <c r="H46" s="51">
        <f t="shared" si="15"/>
        <v>0</v>
      </c>
      <c r="I46" s="284">
        <f t="shared" si="17"/>
        <v>0</v>
      </c>
      <c r="J46" s="268"/>
      <c r="K46" s="265"/>
    </row>
    <row r="47" spans="1:13" x14ac:dyDescent="0.2">
      <c r="A47" s="291" t="s">
        <v>269</v>
      </c>
      <c r="B47" s="47">
        <v>10</v>
      </c>
      <c r="C47" s="39">
        <v>1</v>
      </c>
      <c r="D47" s="39">
        <f t="shared" si="16"/>
        <v>10</v>
      </c>
      <c r="E47" s="52">
        <f>$E$13</f>
        <v>0</v>
      </c>
      <c r="F47" s="51">
        <f t="shared" si="13"/>
        <v>0</v>
      </c>
      <c r="G47" s="51">
        <f t="shared" si="14"/>
        <v>0</v>
      </c>
      <c r="H47" s="51">
        <f t="shared" si="15"/>
        <v>0</v>
      </c>
      <c r="I47" s="284">
        <f t="shared" si="17"/>
        <v>0</v>
      </c>
      <c r="J47" s="268"/>
      <c r="K47" s="265"/>
    </row>
    <row r="48" spans="1:13" x14ac:dyDescent="0.2">
      <c r="A48" s="291" t="s">
        <v>270</v>
      </c>
      <c r="B48" s="47">
        <v>20</v>
      </c>
      <c r="C48" s="39">
        <v>1</v>
      </c>
      <c r="D48" s="39">
        <f t="shared" si="16"/>
        <v>20</v>
      </c>
      <c r="E48" s="52">
        <f>$E$13</f>
        <v>0</v>
      </c>
      <c r="F48" s="51">
        <f t="shared" si="13"/>
        <v>0</v>
      </c>
      <c r="G48" s="51">
        <f t="shared" si="14"/>
        <v>0</v>
      </c>
      <c r="H48" s="51">
        <f t="shared" si="15"/>
        <v>0</v>
      </c>
      <c r="I48" s="284">
        <f t="shared" si="17"/>
        <v>0</v>
      </c>
      <c r="J48" s="268"/>
      <c r="K48" s="265"/>
    </row>
    <row r="49" spans="1:11" ht="25.5" customHeight="1" x14ac:dyDescent="0.2">
      <c r="A49" s="291" t="s">
        <v>271</v>
      </c>
      <c r="B49" s="47">
        <v>40</v>
      </c>
      <c r="C49" s="39">
        <v>2</v>
      </c>
      <c r="D49" s="39">
        <f t="shared" si="16"/>
        <v>80</v>
      </c>
      <c r="E49" s="52">
        <v>4</v>
      </c>
      <c r="F49" s="51">
        <f>D49*E49</f>
        <v>320</v>
      </c>
      <c r="G49" s="199">
        <f t="shared" si="14"/>
        <v>16</v>
      </c>
      <c r="H49" s="199">
        <f t="shared" si="15"/>
        <v>32</v>
      </c>
      <c r="I49" s="285">
        <f t="shared" si="17"/>
        <v>41917.440000000002</v>
      </c>
      <c r="J49" s="269" t="s">
        <v>208</v>
      </c>
      <c r="K49" s="265"/>
    </row>
    <row r="50" spans="1:11" x14ac:dyDescent="0.2">
      <c r="A50" s="291" t="s">
        <v>272</v>
      </c>
      <c r="B50" s="47">
        <v>5</v>
      </c>
      <c r="C50" s="39">
        <v>1</v>
      </c>
      <c r="D50" s="39">
        <f t="shared" si="16"/>
        <v>5</v>
      </c>
      <c r="E50" s="52">
        <v>4</v>
      </c>
      <c r="F50" s="51">
        <f t="shared" si="13"/>
        <v>20</v>
      </c>
      <c r="G50" s="199">
        <f t="shared" si="14"/>
        <v>1</v>
      </c>
      <c r="H50" s="199">
        <f t="shared" si="15"/>
        <v>2</v>
      </c>
      <c r="I50" s="285">
        <f t="shared" si="17"/>
        <v>2619.84</v>
      </c>
      <c r="J50" s="268"/>
      <c r="K50" s="265"/>
    </row>
    <row r="51" spans="1:11" s="2" customFormat="1" x14ac:dyDescent="0.2">
      <c r="A51" s="193" t="s">
        <v>225</v>
      </c>
      <c r="B51" s="194"/>
      <c r="C51" s="195"/>
      <c r="D51" s="195"/>
      <c r="E51" s="195"/>
      <c r="F51" s="322">
        <f>SUM(F9:H50)</f>
        <v>91832.007999999987</v>
      </c>
      <c r="G51" s="323"/>
      <c r="H51" s="324"/>
      <c r="I51" s="292">
        <f>SUM(I9:I50)</f>
        <v>10460224.688639998</v>
      </c>
      <c r="J51" s="268"/>
      <c r="K51" s="265"/>
    </row>
    <row r="52" spans="1:11" x14ac:dyDescent="0.2">
      <c r="A52" s="55" t="s">
        <v>30</v>
      </c>
      <c r="B52" s="29" t="s">
        <v>15</v>
      </c>
      <c r="C52" s="25" t="s">
        <v>15</v>
      </c>
      <c r="D52" s="25" t="s">
        <v>15</v>
      </c>
      <c r="E52" s="26" t="s">
        <v>15</v>
      </c>
      <c r="F52" s="27" t="s">
        <v>15</v>
      </c>
      <c r="G52" s="27" t="s">
        <v>15</v>
      </c>
      <c r="H52" s="28" t="s">
        <v>15</v>
      </c>
      <c r="I52" s="293"/>
      <c r="J52" s="268"/>
      <c r="K52" s="265"/>
    </row>
    <row r="53" spans="1:11" x14ac:dyDescent="0.2">
      <c r="A53" s="294" t="s">
        <v>243</v>
      </c>
      <c r="B53" s="242" t="s">
        <v>244</v>
      </c>
      <c r="C53" s="25" t="s">
        <v>15</v>
      </c>
      <c r="D53" s="25" t="s">
        <v>15</v>
      </c>
      <c r="E53" s="26" t="s">
        <v>15</v>
      </c>
      <c r="F53" s="27" t="s">
        <v>15</v>
      </c>
      <c r="G53" s="27" t="s">
        <v>15</v>
      </c>
      <c r="H53" s="28" t="s">
        <v>15</v>
      </c>
      <c r="I53" s="284"/>
      <c r="J53" s="268"/>
      <c r="K53" s="265"/>
    </row>
    <row r="54" spans="1:11" x14ac:dyDescent="0.2">
      <c r="A54" s="295" t="s">
        <v>42</v>
      </c>
      <c r="B54" s="17" t="s">
        <v>41</v>
      </c>
      <c r="C54" s="18"/>
      <c r="D54" s="18"/>
      <c r="E54" s="30"/>
      <c r="F54" s="31"/>
      <c r="G54" s="31"/>
      <c r="H54" s="32"/>
      <c r="I54" s="284"/>
      <c r="J54" s="268"/>
      <c r="K54" s="265"/>
    </row>
    <row r="55" spans="1:11" x14ac:dyDescent="0.2">
      <c r="A55" s="296" t="s">
        <v>69</v>
      </c>
      <c r="B55" s="36" t="s">
        <v>41</v>
      </c>
      <c r="C55" s="18"/>
      <c r="D55" s="18"/>
      <c r="E55" s="30"/>
      <c r="F55" s="31"/>
      <c r="G55" s="31"/>
      <c r="H55" s="32"/>
      <c r="I55" s="284"/>
      <c r="J55" s="268"/>
      <c r="K55" s="265"/>
    </row>
    <row r="56" spans="1:11" x14ac:dyDescent="0.2">
      <c r="A56" s="297" t="s">
        <v>70</v>
      </c>
      <c r="B56" s="23"/>
      <c r="C56" s="18"/>
      <c r="D56" s="18"/>
      <c r="E56" s="30"/>
      <c r="F56" s="31"/>
      <c r="G56" s="31"/>
      <c r="H56" s="32"/>
      <c r="I56" s="284"/>
      <c r="J56" s="268"/>
      <c r="K56" s="265"/>
    </row>
    <row r="57" spans="1:11" x14ac:dyDescent="0.2">
      <c r="A57" s="298" t="s">
        <v>273</v>
      </c>
      <c r="B57" s="24">
        <v>10</v>
      </c>
      <c r="C57" s="33">
        <v>1</v>
      </c>
      <c r="D57" s="34">
        <f t="shared" ref="D57:D63" si="18">B57*$C57</f>
        <v>10</v>
      </c>
      <c r="E57" s="52">
        <v>4</v>
      </c>
      <c r="F57" s="31">
        <f t="shared" ref="F57:F63" si="19">D57*E57</f>
        <v>40</v>
      </c>
      <c r="G57" s="200">
        <f t="shared" ref="G57:G63" si="20">F57*0.05</f>
        <v>2</v>
      </c>
      <c r="H57" s="201">
        <f t="shared" ref="H57:H63" si="21">F57*0.1</f>
        <v>4</v>
      </c>
      <c r="I57" s="285">
        <f t="shared" ref="I57:I63" si="22">F57*$F$2+G57*$G$2+H57*$H$2</f>
        <v>5239.68</v>
      </c>
      <c r="J57" s="268"/>
      <c r="K57" s="265"/>
    </row>
    <row r="58" spans="1:11" x14ac:dyDescent="0.2">
      <c r="A58" s="298" t="s">
        <v>274</v>
      </c>
      <c r="B58" s="23">
        <v>15</v>
      </c>
      <c r="C58" s="33">
        <v>1</v>
      </c>
      <c r="D58" s="34">
        <f t="shared" si="18"/>
        <v>15</v>
      </c>
      <c r="E58" s="52">
        <v>4</v>
      </c>
      <c r="F58" s="31">
        <f t="shared" si="19"/>
        <v>60</v>
      </c>
      <c r="G58" s="200">
        <f t="shared" si="20"/>
        <v>3</v>
      </c>
      <c r="H58" s="201">
        <f t="shared" si="21"/>
        <v>6</v>
      </c>
      <c r="I58" s="285">
        <f t="shared" si="22"/>
        <v>7859.5199999999995</v>
      </c>
      <c r="J58" s="268"/>
      <c r="K58" s="265"/>
    </row>
    <row r="59" spans="1:11" x14ac:dyDescent="0.2">
      <c r="A59" s="298" t="s">
        <v>275</v>
      </c>
      <c r="B59" s="23">
        <v>15</v>
      </c>
      <c r="C59" s="33">
        <v>1</v>
      </c>
      <c r="D59" s="34">
        <f t="shared" si="18"/>
        <v>15</v>
      </c>
      <c r="E59" s="52">
        <v>4</v>
      </c>
      <c r="F59" s="31">
        <f t="shared" si="19"/>
        <v>60</v>
      </c>
      <c r="G59" s="200">
        <f t="shared" si="20"/>
        <v>3</v>
      </c>
      <c r="H59" s="201">
        <f t="shared" si="21"/>
        <v>6</v>
      </c>
      <c r="I59" s="285">
        <f t="shared" si="22"/>
        <v>7859.5199999999995</v>
      </c>
      <c r="J59" s="268"/>
      <c r="K59" s="265"/>
    </row>
    <row r="60" spans="1:11" x14ac:dyDescent="0.2">
      <c r="A60" s="298" t="s">
        <v>276</v>
      </c>
      <c r="B60" s="24">
        <v>10</v>
      </c>
      <c r="C60" s="33">
        <v>1</v>
      </c>
      <c r="D60" s="34">
        <f t="shared" si="18"/>
        <v>10</v>
      </c>
      <c r="E60" s="52">
        <v>4</v>
      </c>
      <c r="F60" s="31">
        <f t="shared" si="19"/>
        <v>40</v>
      </c>
      <c r="G60" s="200">
        <f t="shared" si="20"/>
        <v>2</v>
      </c>
      <c r="H60" s="201">
        <f t="shared" si="21"/>
        <v>4</v>
      </c>
      <c r="I60" s="285">
        <f t="shared" si="22"/>
        <v>5239.68</v>
      </c>
      <c r="J60" s="268"/>
      <c r="K60" s="265"/>
    </row>
    <row r="61" spans="1:11" x14ac:dyDescent="0.2">
      <c r="A61" s="299" t="s">
        <v>277</v>
      </c>
      <c r="B61" s="35">
        <v>25</v>
      </c>
      <c r="C61" s="33">
        <v>1</v>
      </c>
      <c r="D61" s="34">
        <f t="shared" si="18"/>
        <v>25</v>
      </c>
      <c r="E61" s="52">
        <v>4</v>
      </c>
      <c r="F61" s="31">
        <f t="shared" si="19"/>
        <v>100</v>
      </c>
      <c r="G61" s="200">
        <f t="shared" si="20"/>
        <v>5</v>
      </c>
      <c r="H61" s="201">
        <f t="shared" si="21"/>
        <v>10</v>
      </c>
      <c r="I61" s="285">
        <f t="shared" si="22"/>
        <v>13099.2</v>
      </c>
      <c r="J61" s="268"/>
      <c r="K61" s="265"/>
    </row>
    <row r="62" spans="1:11" x14ac:dyDescent="0.2">
      <c r="A62" s="300" t="s">
        <v>278</v>
      </c>
      <c r="B62" s="153">
        <v>10</v>
      </c>
      <c r="C62" s="154">
        <v>1</v>
      </c>
      <c r="D62" s="155">
        <f t="shared" si="18"/>
        <v>10</v>
      </c>
      <c r="E62" s="156">
        <v>4</v>
      </c>
      <c r="F62" s="157">
        <f t="shared" si="19"/>
        <v>40</v>
      </c>
      <c r="G62" s="202">
        <f t="shared" si="20"/>
        <v>2</v>
      </c>
      <c r="H62" s="203">
        <f t="shared" si="21"/>
        <v>4</v>
      </c>
      <c r="I62" s="285">
        <f t="shared" si="22"/>
        <v>5239.68</v>
      </c>
      <c r="J62" s="268"/>
      <c r="K62" s="265"/>
    </row>
    <row r="63" spans="1:11" x14ac:dyDescent="0.2">
      <c r="A63" s="301" t="s">
        <v>112</v>
      </c>
      <c r="B63" s="40">
        <v>10</v>
      </c>
      <c r="C63" s="154">
        <v>1</v>
      </c>
      <c r="D63" s="155">
        <f t="shared" si="18"/>
        <v>10</v>
      </c>
      <c r="E63" s="156">
        <v>4</v>
      </c>
      <c r="F63" s="157">
        <f t="shared" si="19"/>
        <v>40</v>
      </c>
      <c r="G63" s="202">
        <f t="shared" si="20"/>
        <v>2</v>
      </c>
      <c r="H63" s="203">
        <f t="shared" si="21"/>
        <v>4</v>
      </c>
      <c r="I63" s="285">
        <f t="shared" si="22"/>
        <v>5239.68</v>
      </c>
      <c r="J63" s="268"/>
      <c r="K63" s="265"/>
    </row>
    <row r="64" spans="1:11" x14ac:dyDescent="0.2">
      <c r="A64" s="302" t="s">
        <v>71</v>
      </c>
      <c r="B64" s="243" t="s">
        <v>246</v>
      </c>
      <c r="C64" s="46"/>
      <c r="D64" s="46"/>
      <c r="E64" s="46"/>
      <c r="F64" s="51"/>
      <c r="G64" s="51"/>
      <c r="H64" s="51" t="s">
        <v>15</v>
      </c>
      <c r="I64" s="285"/>
      <c r="J64" s="268"/>
      <c r="K64" s="265"/>
    </row>
    <row r="65" spans="1:12" x14ac:dyDescent="0.2">
      <c r="A65" s="303" t="s">
        <v>72</v>
      </c>
      <c r="B65" s="158" t="s">
        <v>41</v>
      </c>
      <c r="C65" s="89"/>
      <c r="D65" s="89"/>
      <c r="E65" s="89"/>
      <c r="F65" s="89"/>
      <c r="G65" s="89"/>
      <c r="H65" s="89"/>
      <c r="I65" s="304"/>
      <c r="J65" s="268"/>
      <c r="K65" s="265"/>
    </row>
    <row r="66" spans="1:12" s="197" customFormat="1" thickBot="1" x14ac:dyDescent="0.2">
      <c r="A66" s="257" t="s">
        <v>38</v>
      </c>
      <c r="B66" s="252"/>
      <c r="C66" s="252"/>
      <c r="D66" s="252"/>
      <c r="E66" s="252"/>
      <c r="F66" s="325">
        <f>SUM(F52:H65)</f>
        <v>437</v>
      </c>
      <c r="G66" s="326"/>
      <c r="H66" s="327"/>
      <c r="I66" s="305">
        <f>SUM(I52:I65)</f>
        <v>49776.960000000006</v>
      </c>
      <c r="J66" s="270"/>
      <c r="K66" s="266"/>
    </row>
    <row r="67" spans="1:12" x14ac:dyDescent="0.2">
      <c r="A67" s="249" t="s">
        <v>280</v>
      </c>
      <c r="B67" s="258"/>
      <c r="C67" s="258"/>
      <c r="D67" s="258"/>
      <c r="E67" s="258"/>
      <c r="F67" s="328">
        <f>(ROUND(F66+F51,-2))</f>
        <v>92300</v>
      </c>
      <c r="G67" s="328"/>
      <c r="H67" s="328"/>
      <c r="I67" s="263">
        <f>ROUND(I66+I51,-5)</f>
        <v>10500000</v>
      </c>
    </row>
    <row r="68" spans="1:12" x14ac:dyDescent="0.2">
      <c r="A68" s="250" t="s">
        <v>281</v>
      </c>
      <c r="B68" s="253"/>
      <c r="C68" s="253"/>
      <c r="D68" s="254"/>
      <c r="E68" s="253"/>
      <c r="F68" s="255"/>
      <c r="G68" s="255"/>
      <c r="H68" s="256"/>
      <c r="I68" s="259">
        <f>'CAP&amp;O&amp;M'!H31+'CAP&amp;O&amp;M'!E31</f>
        <v>1440000</v>
      </c>
    </row>
    <row r="69" spans="1:12" ht="12" thickBot="1" x14ac:dyDescent="0.25">
      <c r="A69" s="251" t="s">
        <v>279</v>
      </c>
      <c r="B69" s="260"/>
      <c r="C69" s="260"/>
      <c r="D69" s="321"/>
      <c r="E69" s="321"/>
      <c r="F69" s="321"/>
      <c r="G69" s="321"/>
      <c r="H69" s="261"/>
      <c r="I69" s="262">
        <f>ROUND(SUM(I67:I68),-5)</f>
        <v>11900000</v>
      </c>
      <c r="K69" s="264">
        <f>ROUND(F67/12,-1)</f>
        <v>7690</v>
      </c>
      <c r="L69" s="88" t="s">
        <v>293</v>
      </c>
    </row>
    <row r="70" spans="1:12" ht="12.95" customHeight="1" x14ac:dyDescent="0.2">
      <c r="A70" s="317" t="s">
        <v>300</v>
      </c>
      <c r="B70" s="317"/>
      <c r="C70" s="317"/>
      <c r="D70" s="317"/>
      <c r="E70" s="317"/>
      <c r="F70" s="317"/>
      <c r="G70" s="317"/>
      <c r="H70" s="317"/>
      <c r="I70" s="317"/>
      <c r="J70" s="38"/>
      <c r="K70" s="38"/>
      <c r="L70" s="214"/>
    </row>
    <row r="71" spans="1:12" ht="32.450000000000003" customHeight="1" x14ac:dyDescent="0.2">
      <c r="A71" s="313" t="s">
        <v>301</v>
      </c>
      <c r="B71" s="313"/>
      <c r="C71" s="313"/>
      <c r="D71" s="313"/>
      <c r="E71" s="313"/>
      <c r="F71" s="313"/>
      <c r="G71" s="313"/>
      <c r="H71" s="313"/>
      <c r="I71" s="313"/>
      <c r="J71" s="38"/>
      <c r="K71" s="38"/>
      <c r="L71" s="214"/>
    </row>
    <row r="72" spans="1:12" ht="12.75" x14ac:dyDescent="0.2">
      <c r="A72" s="306" t="s">
        <v>302</v>
      </c>
      <c r="B72" s="307"/>
      <c r="C72" s="307"/>
      <c r="D72" s="307"/>
      <c r="E72" s="307"/>
      <c r="F72" s="307"/>
      <c r="G72" s="307"/>
      <c r="H72" s="307"/>
      <c r="I72" s="307"/>
      <c r="J72" s="38"/>
      <c r="K72" s="38"/>
      <c r="L72" s="214"/>
    </row>
    <row r="73" spans="1:12" ht="12.75" x14ac:dyDescent="0.2">
      <c r="A73" s="312" t="s">
        <v>303</v>
      </c>
      <c r="B73" s="312"/>
      <c r="C73" s="312"/>
      <c r="D73" s="307"/>
      <c r="E73" s="307"/>
      <c r="F73" s="307"/>
      <c r="G73" s="307"/>
      <c r="H73" s="307"/>
      <c r="I73" s="307"/>
      <c r="J73" s="38"/>
      <c r="K73" s="38"/>
      <c r="L73" s="214"/>
    </row>
    <row r="74" spans="1:12" ht="12.75" x14ac:dyDescent="0.2">
      <c r="A74" s="306" t="s">
        <v>304</v>
      </c>
      <c r="B74" s="307"/>
      <c r="C74" s="307"/>
      <c r="D74" s="307"/>
      <c r="E74" s="307"/>
      <c r="F74" s="307"/>
      <c r="G74" s="307"/>
      <c r="H74" s="307"/>
      <c r="I74" s="307"/>
      <c r="J74" s="38"/>
      <c r="K74" s="38"/>
      <c r="L74" s="214"/>
    </row>
    <row r="75" spans="1:12" ht="33" customHeight="1" x14ac:dyDescent="0.2">
      <c r="A75" s="313" t="s">
        <v>314</v>
      </c>
      <c r="B75" s="313"/>
      <c r="C75" s="313"/>
      <c r="D75" s="313"/>
      <c r="E75" s="313"/>
      <c r="F75" s="313"/>
      <c r="G75" s="313"/>
      <c r="H75" s="313"/>
      <c r="I75" s="313"/>
      <c r="J75" s="246"/>
      <c r="K75" s="246"/>
      <c r="L75" s="214">
        <f>112*5/33</f>
        <v>16.969696969696969</v>
      </c>
    </row>
    <row r="76" spans="1:12" ht="21.95" customHeight="1" x14ac:dyDescent="0.2">
      <c r="A76" s="313" t="s">
        <v>305</v>
      </c>
      <c r="B76" s="313"/>
      <c r="C76" s="313"/>
      <c r="D76" s="313"/>
      <c r="E76" s="313"/>
      <c r="F76" s="313"/>
      <c r="G76" s="313"/>
      <c r="H76" s="313"/>
      <c r="I76" s="313"/>
      <c r="J76" s="246"/>
      <c r="K76" s="246"/>
      <c r="L76" s="214"/>
    </row>
    <row r="77" spans="1:12" ht="22.5" customHeight="1" x14ac:dyDescent="0.2">
      <c r="A77" s="313" t="s">
        <v>306</v>
      </c>
      <c r="B77" s="313"/>
      <c r="C77" s="313"/>
      <c r="D77" s="313"/>
      <c r="E77" s="313"/>
      <c r="F77" s="313"/>
      <c r="G77" s="313"/>
      <c r="H77" s="313"/>
      <c r="I77" s="313"/>
      <c r="J77" s="246"/>
      <c r="K77" s="246"/>
      <c r="L77" s="214"/>
    </row>
    <row r="78" spans="1:12" ht="12.75" x14ac:dyDescent="0.2">
      <c r="A78" s="312" t="s">
        <v>307</v>
      </c>
      <c r="B78" s="312"/>
      <c r="C78" s="312"/>
      <c r="D78" s="312"/>
      <c r="E78" s="312"/>
      <c r="F78" s="312"/>
      <c r="G78" s="312"/>
      <c r="H78" s="307"/>
      <c r="I78" s="307"/>
      <c r="J78" s="38"/>
      <c r="K78" s="38"/>
      <c r="L78" s="214"/>
    </row>
    <row r="79" spans="1:12" ht="30.95" customHeight="1" x14ac:dyDescent="0.2">
      <c r="A79" s="313" t="s">
        <v>308</v>
      </c>
      <c r="B79" s="313"/>
      <c r="C79" s="313"/>
      <c r="D79" s="313"/>
      <c r="E79" s="313"/>
      <c r="F79" s="313"/>
      <c r="G79" s="313"/>
      <c r="H79" s="313"/>
      <c r="I79" s="313"/>
      <c r="J79" s="247"/>
      <c r="K79" s="247"/>
      <c r="L79" s="247"/>
    </row>
    <row r="80" spans="1:12" ht="24.95" customHeight="1" x14ac:dyDescent="0.2">
      <c r="A80" s="313" t="s">
        <v>309</v>
      </c>
      <c r="B80" s="313"/>
      <c r="C80" s="313"/>
      <c r="D80" s="313"/>
      <c r="E80" s="313"/>
      <c r="F80" s="313"/>
      <c r="G80" s="313"/>
      <c r="H80" s="313"/>
      <c r="I80" s="313"/>
      <c r="J80" s="246"/>
      <c r="K80" s="246"/>
      <c r="L80" s="214"/>
    </row>
    <row r="81" spans="1:12" ht="12.75" x14ac:dyDescent="0.2">
      <c r="A81" s="312" t="s">
        <v>310</v>
      </c>
      <c r="B81" s="312"/>
      <c r="C81" s="312"/>
      <c r="D81" s="312"/>
      <c r="E81" s="307"/>
      <c r="F81" s="307"/>
      <c r="G81" s="307"/>
      <c r="H81" s="307"/>
      <c r="I81" s="307"/>
      <c r="J81" s="38"/>
      <c r="K81" s="38"/>
      <c r="L81" s="214"/>
    </row>
    <row r="82" spans="1:12" ht="12.75" x14ac:dyDescent="0.2">
      <c r="A82" s="312" t="s">
        <v>311</v>
      </c>
      <c r="B82" s="312"/>
      <c r="C82" s="312"/>
      <c r="D82" s="312"/>
      <c r="E82" s="312"/>
      <c r="F82" s="307"/>
      <c r="G82" s="307"/>
      <c r="H82" s="307"/>
      <c r="I82" s="307"/>
      <c r="J82" s="37"/>
      <c r="L82" s="213"/>
    </row>
    <row r="83" spans="1:12" ht="12.75" x14ac:dyDescent="0.2">
      <c r="A83" s="312" t="s">
        <v>312</v>
      </c>
      <c r="B83" s="312"/>
      <c r="C83" s="312"/>
      <c r="D83" s="312"/>
      <c r="E83" s="312"/>
      <c r="F83" s="307"/>
      <c r="G83" s="307"/>
      <c r="H83" s="307"/>
      <c r="I83" s="307"/>
    </row>
    <row r="84" spans="1:12" x14ac:dyDescent="0.2">
      <c r="C84" s="37"/>
    </row>
    <row r="85" spans="1:12" x14ac:dyDescent="0.2">
      <c r="C85" s="37"/>
    </row>
    <row r="86" spans="1:12" x14ac:dyDescent="0.2">
      <c r="C86" s="37"/>
    </row>
    <row r="87" spans="1:12" x14ac:dyDescent="0.2">
      <c r="C87" s="37"/>
    </row>
    <row r="88" spans="1:12" x14ac:dyDescent="0.2">
      <c r="C88" s="37"/>
    </row>
    <row r="89" spans="1:12" x14ac:dyDescent="0.2">
      <c r="C89" s="37"/>
    </row>
    <row r="90" spans="1:12" x14ac:dyDescent="0.2">
      <c r="C90" s="37"/>
    </row>
  </sheetData>
  <mergeCells count="18">
    <mergeCell ref="A71:I71"/>
    <mergeCell ref="A73:C73"/>
    <mergeCell ref="A78:G78"/>
    <mergeCell ref="J3:J8"/>
    <mergeCell ref="A70:I70"/>
    <mergeCell ref="A75:I75"/>
    <mergeCell ref="A3:A8"/>
    <mergeCell ref="D69:G69"/>
    <mergeCell ref="F51:H51"/>
    <mergeCell ref="F66:H66"/>
    <mergeCell ref="F67:H67"/>
    <mergeCell ref="A81:D81"/>
    <mergeCell ref="A82:E82"/>
    <mergeCell ref="A83:E83"/>
    <mergeCell ref="A76:I76"/>
    <mergeCell ref="A77:I77"/>
    <mergeCell ref="A79:I79"/>
    <mergeCell ref="A80:I80"/>
  </mergeCells>
  <printOptions horizontalCentered="1" gridLinesSet="0"/>
  <pageMargins left="0.5" right="0.5" top="0.5" bottom="0.5" header="0.5" footer="0.19"/>
  <pageSetup scale="6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zoomScaleNormal="100" zoomScaleSheetLayoutView="100" workbookViewId="0">
      <selection activeCell="B1" sqref="B1:B2"/>
    </sheetView>
  </sheetViews>
  <sheetFormatPr defaultColWidth="9.33203125" defaultRowHeight="15" x14ac:dyDescent="0.25"/>
  <cols>
    <col min="1" max="1" width="9.33203125" style="167"/>
    <col min="2" max="2" width="25.83203125" style="167" bestFit="1" customWidth="1"/>
    <col min="3" max="3" width="14" style="167" bestFit="1" customWidth="1"/>
    <col min="4" max="4" width="29.83203125" style="167" customWidth="1"/>
    <col min="5" max="5" width="18.6640625" style="167" bestFit="1" customWidth="1"/>
    <col min="6" max="7" width="17.6640625" style="167" bestFit="1" customWidth="1"/>
    <col min="8" max="8" width="19.1640625" style="167" customWidth="1"/>
    <col min="9" max="16384" width="9.33203125" style="167"/>
  </cols>
  <sheetData>
    <row r="1" spans="1:8" x14ac:dyDescent="0.25">
      <c r="B1" s="116"/>
    </row>
    <row r="2" spans="1:8" x14ac:dyDescent="0.25">
      <c r="B2" s="166"/>
    </row>
    <row r="3" spans="1:8" x14ac:dyDescent="0.25">
      <c r="B3" s="187"/>
    </row>
    <row r="4" spans="1:8" ht="18.75" x14ac:dyDescent="0.3">
      <c r="A4" s="180" t="s">
        <v>143</v>
      </c>
    </row>
    <row r="6" spans="1:8" x14ac:dyDescent="0.25">
      <c r="B6" s="167" t="s">
        <v>144</v>
      </c>
    </row>
    <row r="7" spans="1:8" x14ac:dyDescent="0.25">
      <c r="B7" s="167" t="s">
        <v>145</v>
      </c>
    </row>
    <row r="8" spans="1:8" x14ac:dyDescent="0.25">
      <c r="B8" s="167" t="s">
        <v>146</v>
      </c>
    </row>
    <row r="9" spans="1:8" x14ac:dyDescent="0.25">
      <c r="B9" s="167" t="s">
        <v>147</v>
      </c>
    </row>
    <row r="12" spans="1:8" x14ac:dyDescent="0.25">
      <c r="B12" s="329" t="s">
        <v>125</v>
      </c>
      <c r="C12" s="330"/>
      <c r="D12" s="330"/>
      <c r="E12" s="330"/>
      <c r="F12" s="330"/>
      <c r="G12" s="330"/>
      <c r="H12" s="331"/>
    </row>
    <row r="13" spans="1:8" ht="15" customHeight="1" x14ac:dyDescent="0.25">
      <c r="B13" s="332" t="s">
        <v>142</v>
      </c>
      <c r="C13" s="332" t="s">
        <v>126</v>
      </c>
      <c r="D13" s="332" t="s">
        <v>128</v>
      </c>
      <c r="E13" s="334" t="s">
        <v>127</v>
      </c>
      <c r="F13" s="335"/>
      <c r="G13" s="336"/>
      <c r="H13" s="332" t="s">
        <v>135</v>
      </c>
    </row>
    <row r="14" spans="1:8" x14ac:dyDescent="0.25">
      <c r="B14" s="333"/>
      <c r="C14" s="333"/>
      <c r="D14" s="333"/>
      <c r="E14" s="175" t="s">
        <v>124</v>
      </c>
      <c r="F14" s="175" t="s">
        <v>123</v>
      </c>
      <c r="G14" s="175" t="s">
        <v>122</v>
      </c>
      <c r="H14" s="333"/>
    </row>
    <row r="15" spans="1:8" x14ac:dyDescent="0.25">
      <c r="B15" s="169" t="s">
        <v>121</v>
      </c>
      <c r="C15" s="170" t="e">
        <f>SUM(#REF!)/7+#REF!+SUM(#REF!)/7</f>
        <v>#REF!</v>
      </c>
      <c r="D15" s="169" t="s">
        <v>134</v>
      </c>
      <c r="E15" s="170" t="e">
        <f>#REF!+#REF!</f>
        <v>#REF!</v>
      </c>
      <c r="F15" s="171" t="e">
        <f>#REF!+SUM(#REF!)/7+#REF!</f>
        <v>#REF!</v>
      </c>
      <c r="G15" s="171">
        <f>Industry!$I$25+SUM(Industry!$I$49:$I$50)/7+Industry!$I$58</f>
        <v>6616218.7885714276</v>
      </c>
      <c r="H15" s="169" t="s">
        <v>139</v>
      </c>
    </row>
    <row r="16" spans="1:8" x14ac:dyDescent="0.25">
      <c r="B16" s="169" t="s">
        <v>120</v>
      </c>
      <c r="C16" s="170" t="e">
        <f>SUM(#REF!)/7+#REF!+#REF!+SUM(#REF!)/7</f>
        <v>#REF!</v>
      </c>
      <c r="D16" s="171" t="s">
        <v>133</v>
      </c>
      <c r="E16" s="170" t="e">
        <f>#REF!+#REF!</f>
        <v>#REF!</v>
      </c>
      <c r="F16" s="171" t="e">
        <f>#REF!+SUM(#REF!)/7+#REF!</f>
        <v>#REF!</v>
      </c>
      <c r="G16" s="171">
        <f>Industry!$I$24+SUM(Industry!$I$49:$I$50)/7+Industry!$I$57</f>
        <v>3147550.6285714293</v>
      </c>
      <c r="H16" s="169" t="s">
        <v>139</v>
      </c>
    </row>
    <row r="17" spans="1:8" x14ac:dyDescent="0.25">
      <c r="B17" s="169" t="s">
        <v>119</v>
      </c>
      <c r="C17" s="170" t="e">
        <f>SUM(#REF!)/7+#REF!+SUM(#REF!)/7</f>
        <v>#REF!</v>
      </c>
      <c r="D17" s="171" t="s">
        <v>134</v>
      </c>
      <c r="E17" s="170" t="e">
        <f>#REF!+#REF!+#REF!</f>
        <v>#REF!</v>
      </c>
      <c r="F17" s="171" t="e">
        <f>#REF!+#REF!+SUM(#REF!)/7+#REF!</f>
        <v>#REF!</v>
      </c>
      <c r="G17" s="171">
        <f>Industry!$I$26+Industry!$I$27+SUM(Industry!$I$49:$I$50)/7+Industry!$I$59</f>
        <v>85481.636571428578</v>
      </c>
      <c r="H17" s="169" t="s">
        <v>139</v>
      </c>
    </row>
    <row r="18" spans="1:8" x14ac:dyDescent="0.25">
      <c r="B18" s="169" t="s">
        <v>118</v>
      </c>
      <c r="C18" s="170" t="e">
        <f>SUM(#REF!)/7+#REF!+SUM(#REF!)/7</f>
        <v>#REF!</v>
      </c>
      <c r="D18" s="171" t="s">
        <v>134</v>
      </c>
      <c r="E18" s="170" t="e">
        <f>#REF!+#REF!+#REF!</f>
        <v>#REF!</v>
      </c>
      <c r="F18" s="171" t="e">
        <f>#REF!+#REF!+SUM(#REF!)/7+#REF!</f>
        <v>#REF!</v>
      </c>
      <c r="G18" s="171">
        <f>Industry!$I$29+Industry!$I$34+SUM(Industry!$I$49:$I$50)/7+Industry!$I$61</f>
        <v>290080.66121142858</v>
      </c>
      <c r="H18" s="169" t="s">
        <v>140</v>
      </c>
    </row>
    <row r="19" spans="1:8" x14ac:dyDescent="0.25">
      <c r="B19" s="169" t="s">
        <v>117</v>
      </c>
      <c r="C19" s="170" t="e">
        <f>SUM(#REF!)/7+SUM(#REF!)/7</f>
        <v>#REF!</v>
      </c>
      <c r="D19" s="171" t="s">
        <v>40</v>
      </c>
      <c r="E19" s="170" t="e">
        <f>#REF!</f>
        <v>#REF!</v>
      </c>
      <c r="F19" s="171" t="e">
        <f>SUM(#REF!)/7+#REF!</f>
        <v>#REF!</v>
      </c>
      <c r="G19" s="171">
        <f>SUM(Industry!$I$49:$I$50)/7+Industry!$I$60</f>
        <v>11602.148571428572</v>
      </c>
      <c r="H19" s="169" t="s">
        <v>139</v>
      </c>
    </row>
    <row r="20" spans="1:8" x14ac:dyDescent="0.25">
      <c r="B20" s="169" t="s">
        <v>116</v>
      </c>
      <c r="C20" s="170" t="e">
        <f>SUM(#REF!)/7+#REF!+SUM(#REF!)/7</f>
        <v>#REF!</v>
      </c>
      <c r="D20" s="171" t="s">
        <v>134</v>
      </c>
      <c r="E20" s="170" t="e">
        <f>#REF!+#REF!</f>
        <v>#REF!</v>
      </c>
      <c r="F20" s="171" t="e">
        <f>#REF!+SUM(#REF!)/7+#REF!</f>
        <v>#REF!</v>
      </c>
      <c r="G20" s="171">
        <f>Industry!$I$28+SUM(Industry!$I$49:$I$50)/7+Industry!$I$62</f>
        <v>61903.076571428574</v>
      </c>
      <c r="H20" s="169" t="s">
        <v>139</v>
      </c>
    </row>
    <row r="21" spans="1:8" x14ac:dyDescent="0.25">
      <c r="B21" s="169" t="s">
        <v>115</v>
      </c>
      <c r="C21" s="170" t="e">
        <f>SUM(#REF!)/7+SUM(#REF!)/7</f>
        <v>#REF!</v>
      </c>
      <c r="D21" s="171" t="s">
        <v>40</v>
      </c>
      <c r="E21" s="170" t="e">
        <f>#REF!</f>
        <v>#REF!</v>
      </c>
      <c r="F21" s="171" t="e">
        <f>SUM(#REF!)/7+#REF!</f>
        <v>#REF!</v>
      </c>
      <c r="G21" s="171">
        <f>SUM(Industry!$I$49:$I$50)/7+Industry!$I$63</f>
        <v>11602.148571428572</v>
      </c>
      <c r="H21" s="169" t="s">
        <v>139</v>
      </c>
    </row>
    <row r="22" spans="1:8" x14ac:dyDescent="0.25">
      <c r="B22" s="172" t="s">
        <v>21</v>
      </c>
      <c r="C22" s="173" t="e">
        <f>SUM(C15:C21)</f>
        <v>#REF!</v>
      </c>
      <c r="D22" s="174"/>
      <c r="E22" s="174" t="e">
        <f>SUM(E15:E21)</f>
        <v>#REF!</v>
      </c>
      <c r="F22" s="174" t="e">
        <f>SUM(F15:F21)</f>
        <v>#REF!</v>
      </c>
      <c r="G22" s="174">
        <f>SUM(G15:G21)</f>
        <v>10224439.088639999</v>
      </c>
      <c r="H22" s="169"/>
    </row>
    <row r="24" spans="1:8" x14ac:dyDescent="0.25">
      <c r="A24" s="167" t="s">
        <v>27</v>
      </c>
      <c r="B24" s="168" t="s">
        <v>129</v>
      </c>
    </row>
    <row r="25" spans="1:8" x14ac:dyDescent="0.25">
      <c r="A25" s="167" t="s">
        <v>28</v>
      </c>
      <c r="B25" s="167" t="s">
        <v>130</v>
      </c>
    </row>
    <row r="26" spans="1:8" x14ac:dyDescent="0.25">
      <c r="A26" s="167" t="s">
        <v>14</v>
      </c>
      <c r="B26" s="167" t="s">
        <v>131</v>
      </c>
    </row>
    <row r="27" spans="1:8" x14ac:dyDescent="0.25">
      <c r="A27" s="167" t="s">
        <v>26</v>
      </c>
      <c r="B27" s="167" t="s">
        <v>132</v>
      </c>
    </row>
    <row r="28" spans="1:8" x14ac:dyDescent="0.25">
      <c r="A28" s="167" t="s">
        <v>25</v>
      </c>
      <c r="B28" s="167" t="s">
        <v>136</v>
      </c>
    </row>
    <row r="29" spans="1:8" x14ac:dyDescent="0.25">
      <c r="A29" s="167" t="s">
        <v>16</v>
      </c>
      <c r="B29" s="167" t="s">
        <v>141</v>
      </c>
    </row>
    <row r="30" spans="1:8" x14ac:dyDescent="0.25">
      <c r="A30" s="167" t="s">
        <v>92</v>
      </c>
      <c r="B30" s="167" t="s">
        <v>137</v>
      </c>
    </row>
    <row r="31" spans="1:8" x14ac:dyDescent="0.25">
      <c r="A31" s="167" t="s">
        <v>113</v>
      </c>
      <c r="B31" s="167" t="s">
        <v>138</v>
      </c>
    </row>
  </sheetData>
  <mergeCells count="6">
    <mergeCell ref="B12:H12"/>
    <mergeCell ref="C13:C14"/>
    <mergeCell ref="E13:G13"/>
    <mergeCell ref="D13:D14"/>
    <mergeCell ref="H13:H14"/>
    <mergeCell ref="B13:B14"/>
  </mergeCells>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showGridLines="0" topLeftCell="A9" zoomScaleNormal="100" zoomScaleSheetLayoutView="100" workbookViewId="0">
      <selection activeCell="F25" sqref="F25"/>
    </sheetView>
  </sheetViews>
  <sheetFormatPr defaultColWidth="9.1640625" defaultRowHeight="12.75" x14ac:dyDescent="0.2"/>
  <cols>
    <col min="1" max="1" width="43.1640625" style="91" customWidth="1"/>
    <col min="2" max="2" width="12.83203125" style="91" customWidth="1"/>
    <col min="3" max="5" width="13.6640625" style="91" customWidth="1"/>
    <col min="6" max="6" width="16.5" style="91" customWidth="1"/>
    <col min="7" max="7" width="17.1640625" style="91" customWidth="1"/>
    <col min="8" max="8" width="14.1640625" style="91" customWidth="1"/>
    <col min="9" max="9" width="15.6640625" style="91" customWidth="1"/>
    <col min="10" max="16384" width="9.1640625" style="91"/>
  </cols>
  <sheetData>
    <row r="1" spans="1:11" ht="15" x14ac:dyDescent="0.25">
      <c r="A1" s="187"/>
      <c r="E1" s="245">
        <v>2018</v>
      </c>
      <c r="F1" s="204">
        <v>48.75</v>
      </c>
      <c r="G1" s="204">
        <v>65.709999999999994</v>
      </c>
      <c r="H1" s="204">
        <v>26.38</v>
      </c>
      <c r="I1" s="204"/>
      <c r="J1" s="204" t="s">
        <v>169</v>
      </c>
    </row>
    <row r="2" spans="1:11" ht="42.75" customHeight="1" thickBot="1" x14ac:dyDescent="0.3">
      <c r="A2" s="221" t="s">
        <v>171</v>
      </c>
      <c r="B2" s="220"/>
      <c r="C2" s="220"/>
      <c r="D2" s="220"/>
      <c r="E2" s="220"/>
      <c r="F2" s="220"/>
      <c r="G2" s="220"/>
      <c r="H2" s="220"/>
      <c r="I2" s="220"/>
      <c r="J2" s="90"/>
      <c r="K2" s="90"/>
    </row>
    <row r="3" spans="1:11" s="98" customFormat="1" ht="60" x14ac:dyDescent="0.2">
      <c r="A3" s="231" t="s">
        <v>12</v>
      </c>
      <c r="B3" s="227" t="s">
        <v>235</v>
      </c>
      <c r="C3" s="228" t="s">
        <v>236</v>
      </c>
      <c r="D3" s="228" t="s">
        <v>237</v>
      </c>
      <c r="E3" s="228" t="s">
        <v>284</v>
      </c>
      <c r="F3" s="229" t="s">
        <v>238</v>
      </c>
      <c r="G3" s="229" t="s">
        <v>170</v>
      </c>
      <c r="H3" s="229" t="s">
        <v>239</v>
      </c>
      <c r="I3" s="230" t="s">
        <v>285</v>
      </c>
    </row>
    <row r="4" spans="1:11" s="98" customFormat="1" ht="12" x14ac:dyDescent="0.2">
      <c r="A4" s="99" t="s">
        <v>218</v>
      </c>
      <c r="B4" s="337" t="s">
        <v>13</v>
      </c>
      <c r="C4" s="337"/>
      <c r="D4" s="337"/>
      <c r="E4" s="337"/>
      <c r="F4" s="337"/>
      <c r="G4" s="337"/>
      <c r="H4" s="337"/>
      <c r="I4" s="338"/>
    </row>
    <row r="5" spans="1:11" s="102" customFormat="1" ht="15.75" customHeight="1" x14ac:dyDescent="0.2">
      <c r="A5" s="99" t="s">
        <v>241</v>
      </c>
      <c r="B5" s="101">
        <v>16</v>
      </c>
      <c r="C5" s="100">
        <v>0</v>
      </c>
      <c r="D5" s="101">
        <f>B5*C5</f>
        <v>0</v>
      </c>
      <c r="E5" s="101">
        <v>0</v>
      </c>
      <c r="F5" s="101">
        <f>D5*E5</f>
        <v>0</v>
      </c>
      <c r="G5" s="101">
        <f>F5*0.05</f>
        <v>0</v>
      </c>
      <c r="H5" s="101">
        <f>F5*0.1</f>
        <v>0</v>
      </c>
      <c r="I5" s="308">
        <f>F5*F$1+G5*G$1+H5*H$1</f>
        <v>0</v>
      </c>
    </row>
    <row r="6" spans="1:11" s="102" customFormat="1" ht="15.75" customHeight="1" x14ac:dyDescent="0.2">
      <c r="A6" s="103" t="s">
        <v>226</v>
      </c>
      <c r="B6" s="105"/>
      <c r="C6" s="104"/>
      <c r="D6" s="105"/>
      <c r="E6" s="105"/>
      <c r="F6" s="105"/>
      <c r="G6" s="105"/>
      <c r="H6" s="105"/>
      <c r="I6" s="309"/>
    </row>
    <row r="7" spans="1:11" s="98" customFormat="1" ht="15.75" customHeight="1" x14ac:dyDescent="0.2">
      <c r="A7" s="223" t="s">
        <v>286</v>
      </c>
      <c r="B7" s="107">
        <v>48</v>
      </c>
      <c r="C7" s="106">
        <v>0</v>
      </c>
      <c r="D7" s="101">
        <f>B7*C7</f>
        <v>0</v>
      </c>
      <c r="E7" s="107">
        <v>0</v>
      </c>
      <c r="F7" s="101">
        <f>D7*E7</f>
        <v>0</v>
      </c>
      <c r="G7" s="105">
        <f>F7*0.05</f>
        <v>0</v>
      </c>
      <c r="H7" s="105">
        <f>F7*0.1</f>
        <v>0</v>
      </c>
      <c r="I7" s="308">
        <f>F7*F$1+G7*G$1+H7*H$1</f>
        <v>0</v>
      </c>
    </row>
    <row r="8" spans="1:11" s="98" customFormat="1" ht="15.75" customHeight="1" x14ac:dyDescent="0.2">
      <c r="A8" s="224" t="s">
        <v>227</v>
      </c>
      <c r="B8" s="107">
        <v>24</v>
      </c>
      <c r="C8" s="108">
        <v>0</v>
      </c>
      <c r="D8" s="101">
        <f>B8*C8</f>
        <v>0</v>
      </c>
      <c r="E8" s="107">
        <v>0</v>
      </c>
      <c r="F8" s="101">
        <f>D8*E8</f>
        <v>0</v>
      </c>
      <c r="G8" s="109">
        <f>F8*0.05</f>
        <v>0</v>
      </c>
      <c r="H8" s="109">
        <f>F8*0.1</f>
        <v>0</v>
      </c>
      <c r="I8" s="308">
        <f>F8*F$1+G8*G$1+H8*H$1</f>
        <v>0</v>
      </c>
    </row>
    <row r="9" spans="1:11" s="98" customFormat="1" ht="15.75" customHeight="1" x14ac:dyDescent="0.2">
      <c r="A9" s="224" t="s">
        <v>222</v>
      </c>
      <c r="B9" s="342" t="s">
        <v>13</v>
      </c>
      <c r="C9" s="342"/>
      <c r="D9" s="342"/>
      <c r="E9" s="342"/>
      <c r="F9" s="342"/>
      <c r="G9" s="342"/>
      <c r="H9" s="342"/>
      <c r="I9" s="343"/>
    </row>
    <row r="10" spans="1:11" s="98" customFormat="1" ht="15.75" customHeight="1" x14ac:dyDescent="0.2">
      <c r="A10" s="224" t="s">
        <v>223</v>
      </c>
      <c r="B10" s="342" t="s">
        <v>13</v>
      </c>
      <c r="C10" s="342"/>
      <c r="D10" s="342"/>
      <c r="E10" s="342"/>
      <c r="F10" s="342"/>
      <c r="G10" s="342"/>
      <c r="H10" s="342"/>
      <c r="I10" s="343"/>
    </row>
    <row r="11" spans="1:11" s="98" customFormat="1" ht="15.75" customHeight="1" x14ac:dyDescent="0.2">
      <c r="A11" s="224" t="s">
        <v>228</v>
      </c>
      <c r="B11" s="107"/>
      <c r="C11" s="110"/>
      <c r="D11" s="107"/>
      <c r="E11" s="107"/>
      <c r="F11" s="109"/>
      <c r="G11" s="109"/>
      <c r="H11" s="109"/>
      <c r="I11" s="115"/>
    </row>
    <row r="12" spans="1:11" s="98" customFormat="1" ht="15.75" customHeight="1" x14ac:dyDescent="0.2">
      <c r="A12" s="226" t="s">
        <v>229</v>
      </c>
      <c r="B12" s="107">
        <v>3</v>
      </c>
      <c r="C12" s="106">
        <v>0</v>
      </c>
      <c r="D12" s="101">
        <f t="shared" ref="D12:D18" si="0">B12*C12</f>
        <v>0</v>
      </c>
      <c r="E12" s="106">
        <v>0</v>
      </c>
      <c r="F12" s="101">
        <f t="shared" ref="F12:F18" si="1">D12*E12</f>
        <v>0</v>
      </c>
      <c r="G12" s="109">
        <f t="shared" ref="G12:G18" si="2">F12*0.05</f>
        <v>0</v>
      </c>
      <c r="H12" s="109">
        <f t="shared" ref="H12:H18" si="3">F12*0.1</f>
        <v>0</v>
      </c>
      <c r="I12" s="308">
        <f t="shared" ref="I12:I18" si="4">F12*F$1+G12*G$1+H12*H$1</f>
        <v>0</v>
      </c>
    </row>
    <row r="13" spans="1:11" s="98" customFormat="1" ht="15.75" customHeight="1" x14ac:dyDescent="0.2">
      <c r="A13" s="226" t="s">
        <v>230</v>
      </c>
      <c r="B13" s="107">
        <v>5</v>
      </c>
      <c r="C13" s="106">
        <v>0</v>
      </c>
      <c r="D13" s="101">
        <f t="shared" si="0"/>
        <v>0</v>
      </c>
      <c r="E13" s="106">
        <v>0</v>
      </c>
      <c r="F13" s="101">
        <f t="shared" si="1"/>
        <v>0</v>
      </c>
      <c r="G13" s="109">
        <f t="shared" si="2"/>
        <v>0</v>
      </c>
      <c r="H13" s="109">
        <f t="shared" si="3"/>
        <v>0</v>
      </c>
      <c r="I13" s="308">
        <f t="shared" si="4"/>
        <v>0</v>
      </c>
    </row>
    <row r="14" spans="1:11" s="98" customFormat="1" ht="15.75" customHeight="1" x14ac:dyDescent="0.2">
      <c r="A14" s="226" t="s">
        <v>231</v>
      </c>
      <c r="B14" s="107">
        <v>10</v>
      </c>
      <c r="C14" s="106">
        <v>0</v>
      </c>
      <c r="D14" s="101">
        <f t="shared" si="0"/>
        <v>0</v>
      </c>
      <c r="E14" s="106">
        <v>0</v>
      </c>
      <c r="F14" s="101">
        <f t="shared" si="1"/>
        <v>0</v>
      </c>
      <c r="G14" s="109">
        <f t="shared" si="2"/>
        <v>0</v>
      </c>
      <c r="H14" s="109">
        <f t="shared" si="3"/>
        <v>0</v>
      </c>
      <c r="I14" s="308">
        <f t="shared" si="4"/>
        <v>0</v>
      </c>
    </row>
    <row r="15" spans="1:11" s="98" customFormat="1" ht="15.75" customHeight="1" x14ac:dyDescent="0.2">
      <c r="A15" s="226" t="s">
        <v>232</v>
      </c>
      <c r="B15" s="107">
        <v>40</v>
      </c>
      <c r="C15" s="106">
        <v>0</v>
      </c>
      <c r="D15" s="101">
        <f t="shared" si="0"/>
        <v>0</v>
      </c>
      <c r="E15" s="106">
        <v>0</v>
      </c>
      <c r="F15" s="101">
        <f t="shared" si="1"/>
        <v>0</v>
      </c>
      <c r="G15" s="109">
        <f t="shared" si="2"/>
        <v>0</v>
      </c>
      <c r="H15" s="109">
        <f t="shared" si="3"/>
        <v>0</v>
      </c>
      <c r="I15" s="308">
        <f t="shared" si="4"/>
        <v>0</v>
      </c>
    </row>
    <row r="16" spans="1:11" s="98" customFormat="1" ht="15.75" customHeight="1" x14ac:dyDescent="0.2">
      <c r="A16" s="226" t="s">
        <v>233</v>
      </c>
      <c r="B16" s="107">
        <v>20</v>
      </c>
      <c r="C16" s="106">
        <v>2</v>
      </c>
      <c r="D16" s="101">
        <f t="shared" si="0"/>
        <v>40</v>
      </c>
      <c r="E16" s="106">
        <v>4</v>
      </c>
      <c r="F16" s="206">
        <f t="shared" si="1"/>
        <v>160</v>
      </c>
      <c r="G16" s="207">
        <f t="shared" si="2"/>
        <v>8</v>
      </c>
      <c r="H16" s="207">
        <f t="shared" si="3"/>
        <v>16</v>
      </c>
      <c r="I16" s="310">
        <f t="shared" si="4"/>
        <v>8747.76</v>
      </c>
    </row>
    <row r="17" spans="1:11" s="98" customFormat="1" ht="15.75" customHeight="1" x14ac:dyDescent="0.2">
      <c r="A17" s="226" t="s">
        <v>234</v>
      </c>
      <c r="B17" s="107">
        <v>3</v>
      </c>
      <c r="C17" s="106">
        <v>1</v>
      </c>
      <c r="D17" s="101">
        <f t="shared" si="0"/>
        <v>3</v>
      </c>
      <c r="E17" s="106">
        <v>4</v>
      </c>
      <c r="F17" s="206">
        <f t="shared" si="1"/>
        <v>12</v>
      </c>
      <c r="G17" s="207">
        <f t="shared" si="2"/>
        <v>0.60000000000000009</v>
      </c>
      <c r="H17" s="207">
        <f t="shared" si="3"/>
        <v>1.2000000000000002</v>
      </c>
      <c r="I17" s="310">
        <f t="shared" si="4"/>
        <v>656.08199999999999</v>
      </c>
    </row>
    <row r="18" spans="1:11" s="102" customFormat="1" ht="15.75" customHeight="1" x14ac:dyDescent="0.2">
      <c r="A18" s="225" t="s">
        <v>288</v>
      </c>
      <c r="B18" s="111">
        <v>8</v>
      </c>
      <c r="C18" s="104">
        <v>1</v>
      </c>
      <c r="D18" s="101">
        <f t="shared" si="0"/>
        <v>8</v>
      </c>
      <c r="E18" s="104">
        <v>1</v>
      </c>
      <c r="F18" s="206">
        <f t="shared" si="1"/>
        <v>8</v>
      </c>
      <c r="G18" s="208">
        <f t="shared" si="2"/>
        <v>0.4</v>
      </c>
      <c r="H18" s="208">
        <f t="shared" si="3"/>
        <v>0.8</v>
      </c>
      <c r="I18" s="310">
        <f t="shared" si="4"/>
        <v>437.38799999999998</v>
      </c>
    </row>
    <row r="19" spans="1:11" s="102" customFormat="1" ht="15.75" customHeight="1" thickBot="1" x14ac:dyDescent="0.25">
      <c r="A19" s="222" t="s">
        <v>289</v>
      </c>
      <c r="B19" s="112"/>
      <c r="C19" s="113"/>
      <c r="D19" s="205"/>
      <c r="E19" s="205"/>
      <c r="F19" s="339">
        <f>SUM(F5:H8,F12:H18)</f>
        <v>207</v>
      </c>
      <c r="G19" s="340"/>
      <c r="H19" s="341"/>
      <c r="I19" s="311">
        <f>ROUND(SUM(I5:I18), -1)</f>
        <v>9840</v>
      </c>
      <c r="J19" s="114"/>
    </row>
    <row r="20" spans="1:11" s="96" customFormat="1" ht="15.75" customHeight="1" x14ac:dyDescent="0.2">
      <c r="A20" s="92" t="s">
        <v>299</v>
      </c>
      <c r="C20" s="93"/>
      <c r="D20" s="93"/>
      <c r="E20" s="93"/>
      <c r="F20" s="94"/>
      <c r="G20" s="94"/>
      <c r="H20" s="94" t="s">
        <v>15</v>
      </c>
      <c r="I20" s="94"/>
      <c r="J20" s="95"/>
      <c r="K20" s="93"/>
    </row>
    <row r="21" spans="1:11" s="96" customFormat="1" ht="39" customHeight="1" x14ac:dyDescent="0.2">
      <c r="A21" s="344" t="s">
        <v>294</v>
      </c>
      <c r="B21" s="344"/>
      <c r="C21" s="344"/>
      <c r="D21" s="344"/>
      <c r="E21" s="344"/>
      <c r="F21" s="344"/>
      <c r="G21" s="344"/>
      <c r="H21" s="344"/>
      <c r="I21" s="344"/>
      <c r="J21" s="344"/>
      <c r="K21" s="93"/>
    </row>
    <row r="22" spans="1:11" s="96" customFormat="1" ht="15.75" customHeight="1" x14ac:dyDescent="0.2">
      <c r="A22" s="92" t="s">
        <v>287</v>
      </c>
      <c r="C22" s="93"/>
      <c r="D22" s="93"/>
      <c r="E22" s="93"/>
      <c r="F22" s="94"/>
      <c r="G22" s="94"/>
      <c r="H22" s="94"/>
      <c r="I22" s="94"/>
      <c r="J22" s="95"/>
      <c r="K22" s="93"/>
    </row>
    <row r="23" spans="1:11" s="96" customFormat="1" ht="15.75" customHeight="1" x14ac:dyDescent="0.2">
      <c r="A23" s="92" t="s">
        <v>290</v>
      </c>
      <c r="C23" s="93"/>
      <c r="D23" s="93"/>
      <c r="E23" s="93"/>
      <c r="F23" s="94"/>
      <c r="G23" s="94"/>
      <c r="H23" s="94"/>
      <c r="I23" s="94"/>
      <c r="J23" s="95"/>
      <c r="K23" s="93"/>
    </row>
    <row r="24" spans="1:11" s="96" customFormat="1" ht="15.75" customHeight="1" x14ac:dyDescent="0.2">
      <c r="A24" s="96" t="s">
        <v>291</v>
      </c>
      <c r="C24" s="93"/>
      <c r="D24" s="93"/>
      <c r="E24" s="93"/>
      <c r="F24" s="94"/>
      <c r="G24" s="94"/>
      <c r="H24" s="94"/>
      <c r="I24" s="94"/>
      <c r="J24" s="95"/>
      <c r="K24" s="93"/>
    </row>
    <row r="25" spans="1:11" ht="15.95" customHeight="1" x14ac:dyDescent="0.2">
      <c r="A25" s="88" t="s">
        <v>292</v>
      </c>
    </row>
    <row r="28" spans="1:11" x14ac:dyDescent="0.2">
      <c r="A28"/>
      <c r="B28"/>
    </row>
    <row r="29" spans="1:11" x14ac:dyDescent="0.2">
      <c r="A29"/>
      <c r="B29"/>
      <c r="C29" s="96"/>
      <c r="D29" s="96"/>
      <c r="E29" s="96"/>
      <c r="G29" s="54"/>
      <c r="H29" s="92"/>
    </row>
    <row r="30" spans="1:11" x14ac:dyDescent="0.2">
      <c r="A30"/>
      <c r="B30"/>
      <c r="C30" s="96"/>
      <c r="D30" s="96"/>
      <c r="E30" s="96"/>
      <c r="G30" s="92"/>
      <c r="H30" s="92"/>
    </row>
    <row r="31" spans="1:11" x14ac:dyDescent="0.2">
      <c r="A31"/>
      <c r="B31"/>
      <c r="G31" s="92"/>
      <c r="H31" s="97"/>
    </row>
    <row r="32" spans="1:11" x14ac:dyDescent="0.2">
      <c r="A32"/>
      <c r="B32"/>
      <c r="G32" s="92"/>
      <c r="H32" s="97"/>
    </row>
    <row r="33" spans="1:8" x14ac:dyDescent="0.2">
      <c r="A33"/>
      <c r="B33"/>
      <c r="G33" s="92"/>
      <c r="H33" s="97"/>
    </row>
    <row r="34" spans="1:8" x14ac:dyDescent="0.2">
      <c r="A34"/>
      <c r="B34"/>
      <c r="G34" s="92"/>
      <c r="H34" s="92"/>
    </row>
    <row r="35" spans="1:8" x14ac:dyDescent="0.2">
      <c r="A35"/>
      <c r="B35"/>
    </row>
    <row r="36" spans="1:8" x14ac:dyDescent="0.2">
      <c r="A36"/>
      <c r="B36"/>
    </row>
    <row r="37" spans="1:8" x14ac:dyDescent="0.2">
      <c r="A37"/>
      <c r="B37"/>
    </row>
    <row r="38" spans="1:8" x14ac:dyDescent="0.2">
      <c r="A38"/>
      <c r="B38"/>
    </row>
    <row r="39" spans="1:8" x14ac:dyDescent="0.2">
      <c r="A39"/>
      <c r="B39"/>
    </row>
    <row r="40" spans="1:8" x14ac:dyDescent="0.2">
      <c r="A40"/>
      <c r="B40"/>
    </row>
    <row r="41" spans="1:8" x14ac:dyDescent="0.2">
      <c r="A41"/>
      <c r="B41"/>
    </row>
    <row r="42" spans="1:8" x14ac:dyDescent="0.2">
      <c r="A42"/>
      <c r="B42"/>
    </row>
  </sheetData>
  <mergeCells count="5">
    <mergeCell ref="B4:I4"/>
    <mergeCell ref="F19:H19"/>
    <mergeCell ref="B9:I9"/>
    <mergeCell ref="B10:I10"/>
    <mergeCell ref="A21:J21"/>
  </mergeCells>
  <printOptions horizontalCentered="1"/>
  <pageMargins left="0.75" right="0.75" top="1" bottom="1" header="0.25" footer="0.25"/>
  <pageSetup scale="8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zoomScaleNormal="100" workbookViewId="0">
      <selection activeCell="C37" sqref="C37"/>
    </sheetView>
  </sheetViews>
  <sheetFormatPr defaultColWidth="10.6640625" defaultRowHeight="12.75" x14ac:dyDescent="0.2"/>
  <cols>
    <col min="1" max="1" width="3.1640625" style="58" customWidth="1"/>
    <col min="2" max="2" width="60.1640625" style="58" bestFit="1" customWidth="1"/>
    <col min="3" max="3" width="39.83203125" style="58" customWidth="1"/>
    <col min="4" max="4" width="14.1640625" style="58" customWidth="1"/>
    <col min="5" max="5" width="15.6640625" style="58" customWidth="1"/>
    <col min="6" max="6" width="26.5" style="58" customWidth="1"/>
    <col min="7" max="7" width="39.5" style="58" bestFit="1" customWidth="1"/>
    <col min="8" max="8" width="16.83203125" style="58" bestFit="1" customWidth="1"/>
    <col min="9" max="9" width="13" style="41" bestFit="1" customWidth="1"/>
    <col min="10" max="10" width="11.83203125" style="41" bestFit="1" customWidth="1"/>
    <col min="11" max="16384" width="10.6640625" style="41"/>
  </cols>
  <sheetData>
    <row r="1" spans="1:8" ht="20.25" x14ac:dyDescent="0.3">
      <c r="A1" s="184" t="s">
        <v>79</v>
      </c>
    </row>
    <row r="2" spans="1:8" x14ac:dyDescent="0.2">
      <c r="A2" s="60" t="s">
        <v>31</v>
      </c>
      <c r="B2" s="60"/>
      <c r="C2" s="61" t="s">
        <v>32</v>
      </c>
      <c r="D2" s="61" t="s">
        <v>35</v>
      </c>
      <c r="E2" s="61" t="s">
        <v>80</v>
      </c>
      <c r="F2" s="61" t="s">
        <v>81</v>
      </c>
      <c r="G2" s="61" t="s">
        <v>82</v>
      </c>
      <c r="H2" s="61" t="s">
        <v>83</v>
      </c>
    </row>
    <row r="3" spans="1:8" x14ac:dyDescent="0.2">
      <c r="A3" s="62"/>
      <c r="B3" s="62"/>
      <c r="C3" s="62"/>
      <c r="D3" s="63"/>
      <c r="E3" s="64"/>
      <c r="F3" s="64"/>
      <c r="G3" s="64"/>
      <c r="H3" s="64"/>
    </row>
    <row r="4" spans="1:8" x14ac:dyDescent="0.2">
      <c r="A4" s="65" t="s">
        <v>33</v>
      </c>
      <c r="B4" s="62"/>
      <c r="C4" s="62"/>
      <c r="D4" s="63"/>
      <c r="E4" s="64"/>
      <c r="F4" s="64"/>
      <c r="G4" s="64"/>
      <c r="H4" s="64"/>
    </row>
    <row r="5" spans="1:8" x14ac:dyDescent="0.2">
      <c r="A5" s="66"/>
      <c r="B5" s="66" t="s">
        <v>43</v>
      </c>
      <c r="C5" s="62"/>
      <c r="D5" s="63"/>
      <c r="E5" s="64"/>
      <c r="F5" s="64"/>
      <c r="G5" s="64"/>
      <c r="H5" s="64"/>
    </row>
    <row r="6" spans="1:8" x14ac:dyDescent="0.2">
      <c r="A6" s="66"/>
      <c r="B6" s="67" t="s">
        <v>44</v>
      </c>
      <c r="C6" s="67"/>
      <c r="D6" s="67">
        <v>539.1</v>
      </c>
      <c r="E6" s="64"/>
      <c r="F6" s="64"/>
      <c r="G6" s="64"/>
      <c r="H6" s="64"/>
    </row>
    <row r="7" spans="1:8" x14ac:dyDescent="0.2">
      <c r="A7" s="66"/>
      <c r="B7" s="68" t="s">
        <v>45</v>
      </c>
      <c r="C7" s="67"/>
      <c r="D7" s="67">
        <v>521.9</v>
      </c>
      <c r="E7" s="64"/>
      <c r="F7" s="64"/>
      <c r="G7" s="64"/>
      <c r="H7" s="64"/>
    </row>
    <row r="8" spans="1:8" x14ac:dyDescent="0.2">
      <c r="A8" s="62"/>
      <c r="B8" s="67" t="s">
        <v>46</v>
      </c>
      <c r="C8" s="67"/>
      <c r="D8" s="67">
        <v>358.2</v>
      </c>
      <c r="E8" s="64"/>
      <c r="F8" s="64"/>
      <c r="G8" s="64"/>
      <c r="H8" s="64"/>
    </row>
    <row r="9" spans="1:8" x14ac:dyDescent="0.2">
      <c r="A9" s="62"/>
      <c r="B9" s="62"/>
      <c r="C9" s="62"/>
      <c r="D9" s="63"/>
      <c r="E9" s="64"/>
      <c r="F9" s="64"/>
      <c r="G9" s="64"/>
      <c r="H9" s="64"/>
    </row>
    <row r="10" spans="1:8" x14ac:dyDescent="0.2">
      <c r="A10" s="66" t="s">
        <v>36</v>
      </c>
      <c r="B10" s="66"/>
      <c r="C10" s="66"/>
      <c r="D10" s="66"/>
      <c r="E10" s="64"/>
      <c r="F10" s="64"/>
      <c r="G10" s="64"/>
      <c r="H10" s="64"/>
    </row>
    <row r="11" spans="1:8" x14ac:dyDescent="0.2">
      <c r="A11" s="66"/>
      <c r="B11" s="66" t="s">
        <v>47</v>
      </c>
      <c r="C11" s="66" t="s">
        <v>48</v>
      </c>
      <c r="D11" s="69">
        <v>0</v>
      </c>
      <c r="E11" s="64">
        <v>1</v>
      </c>
      <c r="F11" s="70">
        <f>D11/E11</f>
        <v>0</v>
      </c>
      <c r="G11" s="71">
        <f>D11*$D$18</f>
        <v>0</v>
      </c>
      <c r="H11" s="71">
        <f>F11+G11</f>
        <v>0</v>
      </c>
    </row>
    <row r="12" spans="1:8" x14ac:dyDescent="0.2">
      <c r="A12" s="66"/>
      <c r="B12" s="66" t="s">
        <v>49</v>
      </c>
      <c r="C12" s="72" t="s">
        <v>50</v>
      </c>
      <c r="D12" s="73"/>
      <c r="E12" s="64">
        <v>1</v>
      </c>
      <c r="F12" s="74"/>
      <c r="G12" s="75">
        <f>D12*$D$18</f>
        <v>0</v>
      </c>
      <c r="H12" s="75">
        <f>F12+G12</f>
        <v>0</v>
      </c>
    </row>
    <row r="13" spans="1:8" x14ac:dyDescent="0.2">
      <c r="A13" s="66"/>
      <c r="B13" s="66" t="s">
        <v>51</v>
      </c>
      <c r="C13" s="72" t="s">
        <v>52</v>
      </c>
      <c r="D13" s="73">
        <f>ROUND(21000*D6/D8,-3)-5000</f>
        <v>27000</v>
      </c>
      <c r="E13" s="64">
        <v>1</v>
      </c>
      <c r="F13" s="74">
        <f>D13/E13</f>
        <v>27000</v>
      </c>
      <c r="G13" s="75"/>
      <c r="H13" s="75">
        <f>F13+G13</f>
        <v>27000</v>
      </c>
    </row>
    <row r="14" spans="1:8" x14ac:dyDescent="0.2">
      <c r="A14" s="66"/>
      <c r="B14" s="66" t="s">
        <v>84</v>
      </c>
      <c r="C14" s="76" t="s">
        <v>85</v>
      </c>
      <c r="D14" s="73">
        <f>6000*D6/D7</f>
        <v>6197.7390304656064</v>
      </c>
      <c r="E14" s="64">
        <v>1</v>
      </c>
      <c r="F14" s="74">
        <f>D14/E14</f>
        <v>6197.7390304656064</v>
      </c>
      <c r="G14" s="75"/>
      <c r="H14" s="75">
        <f>F14+G14</f>
        <v>6197.7390304656064</v>
      </c>
    </row>
    <row r="15" spans="1:8" x14ac:dyDescent="0.2">
      <c r="A15" s="66"/>
      <c r="B15" s="65" t="s">
        <v>94</v>
      </c>
      <c r="C15" s="72"/>
      <c r="D15" s="73">
        <v>10000</v>
      </c>
      <c r="E15" s="64">
        <v>1</v>
      </c>
      <c r="F15" s="74">
        <f>D15/E15</f>
        <v>10000</v>
      </c>
      <c r="G15" s="75"/>
      <c r="H15" s="75">
        <f>F15+G15</f>
        <v>10000</v>
      </c>
    </row>
    <row r="16" spans="1:8" s="122" customFormat="1" x14ac:dyDescent="0.2">
      <c r="A16" s="65"/>
      <c r="B16" s="123" t="s">
        <v>95</v>
      </c>
      <c r="C16" s="118"/>
      <c r="D16" s="118"/>
      <c r="E16" s="119"/>
      <c r="F16" s="120"/>
      <c r="G16" s="121"/>
      <c r="H16" s="121"/>
    </row>
    <row r="17" spans="1:8" x14ac:dyDescent="0.2">
      <c r="A17" s="64"/>
      <c r="B17" s="66"/>
      <c r="C17" s="66"/>
      <c r="D17" s="66"/>
      <c r="E17" s="64"/>
      <c r="F17" s="64"/>
      <c r="G17" s="64"/>
      <c r="H17" s="64"/>
    </row>
    <row r="18" spans="1:8" x14ac:dyDescent="0.2">
      <c r="A18" s="66" t="s">
        <v>86</v>
      </c>
      <c r="B18" s="66" t="s">
        <v>53</v>
      </c>
      <c r="C18" s="66" t="s">
        <v>54</v>
      </c>
      <c r="D18" s="77">
        <f>(0.07*(1+0.07)^20)/((1+0.07)^20-1)</f>
        <v>9.4392925743255696E-2</v>
      </c>
      <c r="E18" s="64"/>
      <c r="F18" s="64"/>
      <c r="G18" s="64"/>
      <c r="H18" s="64"/>
    </row>
    <row r="19" spans="1:8" x14ac:dyDescent="0.2">
      <c r="A19" s="66"/>
      <c r="B19" s="62"/>
      <c r="C19" s="66"/>
      <c r="D19" s="78"/>
      <c r="E19" s="64"/>
      <c r="F19" s="64"/>
      <c r="G19" s="64"/>
      <c r="H19" s="64"/>
    </row>
    <row r="20" spans="1:8" x14ac:dyDescent="0.2">
      <c r="A20" s="66" t="s">
        <v>87</v>
      </c>
      <c r="B20" s="62"/>
      <c r="C20" s="66"/>
      <c r="D20" s="78"/>
      <c r="E20" s="64"/>
      <c r="F20" s="64"/>
      <c r="G20" s="64"/>
      <c r="H20" s="64"/>
    </row>
    <row r="21" spans="1:8" x14ac:dyDescent="0.2">
      <c r="A21" s="66"/>
      <c r="B21" s="66" t="s">
        <v>88</v>
      </c>
      <c r="C21" s="66"/>
      <c r="D21" s="78"/>
      <c r="E21" s="64"/>
      <c r="F21" s="64"/>
      <c r="G21" s="64"/>
      <c r="H21" s="79">
        <f>SUM(H11:H12,H14:H16)</f>
        <v>16197.739030465607</v>
      </c>
    </row>
    <row r="22" spans="1:8" x14ac:dyDescent="0.2">
      <c r="A22" s="66"/>
      <c r="B22" s="66" t="s">
        <v>89</v>
      </c>
      <c r="C22" s="66"/>
      <c r="D22" s="78"/>
      <c r="E22" s="64"/>
      <c r="F22" s="64"/>
      <c r="G22" s="64"/>
      <c r="H22" s="79">
        <f>H13</f>
        <v>27000</v>
      </c>
    </row>
    <row r="23" spans="1:8" x14ac:dyDescent="0.2">
      <c r="A23" s="66"/>
      <c r="B23" s="62" t="s">
        <v>90</v>
      </c>
      <c r="C23" s="66"/>
      <c r="D23" s="151">
        <f>SUM(D12:D15)</f>
        <v>43197.739030465607</v>
      </c>
      <c r="E23" s="64"/>
      <c r="F23" s="64"/>
      <c r="G23" s="64"/>
      <c r="H23" s="87">
        <f>ROUND(SUM(H21:H22),0)</f>
        <v>43198</v>
      </c>
    </row>
    <row r="24" spans="1:8" x14ac:dyDescent="0.2">
      <c r="A24" s="80" t="s">
        <v>91</v>
      </c>
      <c r="B24" s="80"/>
      <c r="C24" s="80"/>
      <c r="D24" s="80"/>
      <c r="F24" s="81"/>
    </row>
    <row r="25" spans="1:8" x14ac:dyDescent="0.2">
      <c r="A25" s="80"/>
      <c r="B25" s="80"/>
      <c r="C25" s="80"/>
      <c r="D25" s="80"/>
      <c r="F25" s="81"/>
    </row>
    <row r="26" spans="1:8" x14ac:dyDescent="0.2">
      <c r="A26" s="80"/>
      <c r="B26" s="80"/>
      <c r="C26" s="80"/>
      <c r="D26" s="80"/>
      <c r="F26" s="81"/>
    </row>
    <row r="27" spans="1:8" x14ac:dyDescent="0.2">
      <c r="A27" s="82" t="s">
        <v>37</v>
      </c>
      <c r="B27" s="83"/>
      <c r="C27" s="83"/>
    </row>
    <row r="28" spans="1:8" x14ac:dyDescent="0.2">
      <c r="A28" s="345" t="s">
        <v>148</v>
      </c>
      <c r="B28" s="345"/>
      <c r="C28" s="345"/>
      <c r="D28" s="345"/>
    </row>
    <row r="29" spans="1:8" x14ac:dyDescent="0.2">
      <c r="A29" s="345" t="s">
        <v>55</v>
      </c>
      <c r="B29" s="345"/>
      <c r="C29" s="345"/>
      <c r="D29" s="345"/>
    </row>
    <row r="30" spans="1:8" s="58" customFormat="1" x14ac:dyDescent="0.2">
      <c r="A30" s="346" t="s">
        <v>34</v>
      </c>
      <c r="B30" s="346"/>
      <c r="C30" s="346"/>
      <c r="D30" s="346"/>
      <c r="E30" s="84"/>
      <c r="F30" s="84"/>
      <c r="G30" s="84"/>
      <c r="H30" s="84"/>
    </row>
    <row r="31" spans="1:8" s="58" customFormat="1" ht="11.25" x14ac:dyDescent="0.2">
      <c r="A31" s="345" t="s">
        <v>56</v>
      </c>
      <c r="B31" s="345"/>
      <c r="C31" s="345"/>
      <c r="D31" s="345"/>
      <c r="E31" s="85"/>
    </row>
    <row r="32" spans="1:8" s="58" customFormat="1" ht="11.25" x14ac:dyDescent="0.2">
      <c r="A32" s="345" t="s">
        <v>57</v>
      </c>
      <c r="B32" s="345"/>
      <c r="C32" s="345"/>
      <c r="D32" s="345"/>
    </row>
    <row r="33" spans="1:4" s="58" customFormat="1" ht="11.25" x14ac:dyDescent="0.2">
      <c r="A33" s="345" t="s">
        <v>58</v>
      </c>
      <c r="B33" s="345"/>
      <c r="C33" s="345"/>
      <c r="D33" s="345"/>
    </row>
    <row r="34" spans="1:4" s="58" customFormat="1" ht="11.25" x14ac:dyDescent="0.2">
      <c r="A34" s="345" t="s">
        <v>59</v>
      </c>
      <c r="B34" s="345"/>
      <c r="C34" s="345"/>
      <c r="D34" s="345"/>
    </row>
    <row r="35" spans="1:4" s="58" customFormat="1" ht="11.25" x14ac:dyDescent="0.2">
      <c r="A35" s="345"/>
      <c r="B35" s="345"/>
      <c r="C35" s="345"/>
      <c r="D35" s="345"/>
    </row>
    <row r="36" spans="1:4" s="58" customFormat="1" ht="10.5" x14ac:dyDescent="0.15">
      <c r="A36" s="86"/>
      <c r="D36" s="85"/>
    </row>
    <row r="37" spans="1:4" s="58" customFormat="1" ht="10.5" x14ac:dyDescent="0.15">
      <c r="A37" s="86"/>
      <c r="D37" s="85"/>
    </row>
    <row r="38" spans="1:4" s="58" customFormat="1" ht="10.5" x14ac:dyDescent="0.15">
      <c r="A38" s="86"/>
      <c r="D38" s="85"/>
    </row>
    <row r="39" spans="1:4" s="58" customFormat="1" ht="10.5" x14ac:dyDescent="0.15">
      <c r="A39" s="86"/>
      <c r="D39" s="85"/>
    </row>
    <row r="40" spans="1:4" s="58" customFormat="1" ht="10.5" x14ac:dyDescent="0.15">
      <c r="A40" s="86"/>
      <c r="D40" s="85"/>
    </row>
    <row r="41" spans="1:4" s="58" customFormat="1" ht="10.5" x14ac:dyDescent="0.15">
      <c r="A41" s="86"/>
      <c r="D41" s="85"/>
    </row>
    <row r="42" spans="1:4" s="58" customFormat="1" ht="10.5" x14ac:dyDescent="0.15">
      <c r="A42" s="86"/>
      <c r="D42" s="85"/>
    </row>
    <row r="43" spans="1:4" s="58" customFormat="1" ht="10.5" x14ac:dyDescent="0.15">
      <c r="A43" s="86"/>
      <c r="D43" s="85"/>
    </row>
    <row r="44" spans="1:4" s="58" customFormat="1" ht="10.5" x14ac:dyDescent="0.15">
      <c r="A44" s="86"/>
      <c r="D44" s="85"/>
    </row>
    <row r="45" spans="1:4" s="58" customFormat="1" ht="10.5" x14ac:dyDescent="0.15">
      <c r="A45" s="86"/>
      <c r="D45" s="85"/>
    </row>
    <row r="46" spans="1:4" s="58" customFormat="1" ht="10.5" x14ac:dyDescent="0.15">
      <c r="A46" s="86"/>
      <c r="D46" s="85"/>
    </row>
    <row r="47" spans="1:4" s="58" customFormat="1" ht="10.5" x14ac:dyDescent="0.15">
      <c r="A47" s="86"/>
      <c r="D47" s="85"/>
    </row>
    <row r="48" spans="1:4" s="58" customFormat="1" ht="10.5" x14ac:dyDescent="0.15">
      <c r="A48" s="86"/>
      <c r="D48" s="85"/>
    </row>
    <row r="49" spans="1:8" s="58" customFormat="1" ht="10.5" x14ac:dyDescent="0.15">
      <c r="A49" s="86"/>
      <c r="D49" s="85"/>
    </row>
    <row r="50" spans="1:8" s="58" customFormat="1" ht="10.5" x14ac:dyDescent="0.15">
      <c r="A50" s="86"/>
      <c r="D50" s="85"/>
    </row>
    <row r="51" spans="1:8" s="58" customFormat="1" ht="10.5" x14ac:dyDescent="0.15">
      <c r="A51" s="86"/>
      <c r="D51" s="85"/>
    </row>
    <row r="52" spans="1:8" s="58" customFormat="1" ht="10.5" x14ac:dyDescent="0.15">
      <c r="A52" s="86"/>
      <c r="D52" s="85"/>
    </row>
    <row r="53" spans="1:8" s="58" customFormat="1" ht="10.5" x14ac:dyDescent="0.15">
      <c r="A53" s="86"/>
      <c r="D53" s="85"/>
    </row>
    <row r="54" spans="1:8" s="58" customFormat="1" ht="10.5" x14ac:dyDescent="0.15">
      <c r="A54" s="86"/>
      <c r="D54" s="85"/>
    </row>
    <row r="55" spans="1:8" s="58" customFormat="1" ht="11.25" customHeight="1" x14ac:dyDescent="0.15">
      <c r="A55" s="86"/>
      <c r="D55" s="85"/>
    </row>
    <row r="56" spans="1:8" s="58" customFormat="1" ht="22.5" customHeight="1" x14ac:dyDescent="0.15">
      <c r="A56" s="86"/>
      <c r="D56" s="85"/>
    </row>
    <row r="57" spans="1:8" s="84" customFormat="1" ht="12.75" customHeight="1" x14ac:dyDescent="0.2">
      <c r="A57" s="86"/>
      <c r="B57" s="58"/>
      <c r="C57" s="58"/>
      <c r="D57" s="85"/>
      <c r="E57" s="58"/>
      <c r="F57" s="58"/>
      <c r="G57" s="58"/>
      <c r="H57" s="58"/>
    </row>
    <row r="58" spans="1:8" s="58" customFormat="1" ht="22.5" customHeight="1" x14ac:dyDescent="0.15">
      <c r="A58" s="86"/>
      <c r="D58" s="85"/>
    </row>
    <row r="59" spans="1:8" s="58" customFormat="1" ht="22.5" customHeight="1" x14ac:dyDescent="0.15">
      <c r="A59" s="86"/>
      <c r="D59" s="85"/>
    </row>
    <row r="60" spans="1:8" s="58" customFormat="1" ht="22.5" customHeight="1" x14ac:dyDescent="0.15">
      <c r="A60" s="86"/>
      <c r="D60" s="85"/>
    </row>
    <row r="61" spans="1:8" s="58" customFormat="1" ht="11.25" customHeight="1" x14ac:dyDescent="0.15">
      <c r="A61" s="86"/>
      <c r="D61" s="85"/>
    </row>
  </sheetData>
  <mergeCells count="8">
    <mergeCell ref="A33:D33"/>
    <mergeCell ref="A34:D34"/>
    <mergeCell ref="A35:D35"/>
    <mergeCell ref="A28:D28"/>
    <mergeCell ref="A29:D29"/>
    <mergeCell ref="A30:D30"/>
    <mergeCell ref="A31:D31"/>
    <mergeCell ref="A32:D32"/>
  </mergeCells>
  <phoneticPr fontId="4"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34"/>
  <sheetViews>
    <sheetView workbookViewId="0">
      <selection activeCell="C37" sqref="C37"/>
    </sheetView>
  </sheetViews>
  <sheetFormatPr defaultColWidth="10.6640625" defaultRowHeight="12.75" x14ac:dyDescent="0.2"/>
  <cols>
    <col min="1" max="1" width="36.5" style="41" customWidth="1"/>
    <col min="2" max="2" width="10.6640625" style="41" customWidth="1"/>
    <col min="3" max="3" width="33.1640625" style="41" customWidth="1"/>
    <col min="4" max="4" width="36.83203125" style="41" bestFit="1" customWidth="1"/>
    <col min="5" max="5" width="12.83203125" style="41" bestFit="1" customWidth="1"/>
    <col min="6" max="6" width="14" style="41" customWidth="1"/>
    <col min="7" max="16384" width="10.6640625" style="41"/>
  </cols>
  <sheetData>
    <row r="1" spans="1:6" ht="20.25" x14ac:dyDescent="0.3">
      <c r="A1" s="183" t="s">
        <v>154</v>
      </c>
      <c r="B1" s="127"/>
      <c r="C1" s="127"/>
      <c r="D1" s="127"/>
      <c r="E1" s="127"/>
      <c r="F1" s="127"/>
    </row>
    <row r="2" spans="1:6" x14ac:dyDescent="0.2">
      <c r="A2" s="127"/>
      <c r="B2" s="127"/>
      <c r="C2" s="127"/>
      <c r="D2" s="127"/>
      <c r="E2" s="126"/>
      <c r="F2" s="127"/>
    </row>
    <row r="3" spans="1:6" x14ac:dyDescent="0.2">
      <c r="A3" s="126"/>
      <c r="B3" s="128" t="s">
        <v>97</v>
      </c>
      <c r="C3" s="128" t="s">
        <v>98</v>
      </c>
      <c r="D3" s="128" t="s">
        <v>39</v>
      </c>
      <c r="E3" s="127"/>
      <c r="F3" s="127"/>
    </row>
    <row r="4" spans="1:6" x14ac:dyDescent="0.2">
      <c r="A4" s="126" t="s">
        <v>99</v>
      </c>
      <c r="B4" s="129">
        <v>201</v>
      </c>
      <c r="C4" s="129">
        <v>400</v>
      </c>
      <c r="D4" s="129">
        <f>AVERAGE(B4:C4)</f>
        <v>300.5</v>
      </c>
      <c r="E4" s="127"/>
      <c r="F4" s="127"/>
    </row>
    <row r="5" spans="1:6" x14ac:dyDescent="0.2">
      <c r="A5" s="127"/>
      <c r="B5" s="127"/>
      <c r="C5" s="127"/>
      <c r="D5" s="127"/>
      <c r="E5" s="127"/>
      <c r="F5" s="127"/>
    </row>
    <row r="6" spans="1:6" x14ac:dyDescent="0.2">
      <c r="A6" s="126" t="s">
        <v>60</v>
      </c>
      <c r="B6" s="127"/>
      <c r="C6" s="127"/>
      <c r="D6" s="127"/>
      <c r="E6" s="127"/>
      <c r="F6" s="127"/>
    </row>
    <row r="7" spans="1:6" x14ac:dyDescent="0.2">
      <c r="A7" s="127"/>
      <c r="B7" s="127"/>
      <c r="C7" s="127"/>
      <c r="D7" s="127"/>
      <c r="E7" s="127"/>
      <c r="F7" s="127"/>
    </row>
    <row r="8" spans="1:6" ht="14.25" x14ac:dyDescent="0.2">
      <c r="A8" s="127">
        <v>3</v>
      </c>
      <c r="B8" s="130" t="s">
        <v>78</v>
      </c>
      <c r="C8" s="127"/>
      <c r="D8" s="127"/>
      <c r="E8" s="131">
        <f>A8*D4*2</f>
        <v>1803</v>
      </c>
      <c r="F8" s="127"/>
    </row>
    <row r="9" spans="1:6" x14ac:dyDescent="0.2">
      <c r="A9" s="127"/>
      <c r="B9" s="127"/>
      <c r="C9" s="127"/>
      <c r="D9" s="127"/>
      <c r="E9" s="127"/>
      <c r="F9" s="127"/>
    </row>
    <row r="10" spans="1:6" x14ac:dyDescent="0.2">
      <c r="A10" s="132" t="s">
        <v>61</v>
      </c>
      <c r="B10" s="133"/>
      <c r="C10" s="133"/>
      <c r="D10" s="133"/>
      <c r="E10" s="134">
        <f>SUM(E8:E8)</f>
        <v>1803</v>
      </c>
      <c r="F10" s="127"/>
    </row>
    <row r="11" spans="1:6" x14ac:dyDescent="0.2">
      <c r="A11" s="127"/>
      <c r="B11" s="127"/>
      <c r="C11" s="127"/>
      <c r="D11" s="127"/>
      <c r="E11" s="127"/>
      <c r="F11" s="127"/>
    </row>
    <row r="12" spans="1:6" x14ac:dyDescent="0.2">
      <c r="A12" s="135" t="s">
        <v>53</v>
      </c>
      <c r="B12" s="136" t="s">
        <v>54</v>
      </c>
      <c r="C12" s="127"/>
      <c r="D12" s="127"/>
      <c r="E12" s="137">
        <f>(0.07*(1+0.07)^20)/((1+0.07)^20-1)</f>
        <v>9.4392925743255696E-2</v>
      </c>
      <c r="F12" s="127"/>
    </row>
    <row r="13" spans="1:6" x14ac:dyDescent="0.2">
      <c r="A13" s="127"/>
      <c r="B13" s="127"/>
      <c r="C13" s="127"/>
      <c r="D13" s="127"/>
      <c r="E13" s="127"/>
      <c r="F13" s="127"/>
    </row>
    <row r="14" spans="1:6" x14ac:dyDescent="0.2">
      <c r="A14" s="133" t="s">
        <v>62</v>
      </c>
      <c r="B14" s="138" t="s">
        <v>100</v>
      </c>
      <c r="C14" s="133"/>
      <c r="D14" s="133"/>
      <c r="E14" s="139">
        <f>E10*E12</f>
        <v>170.19044511509003</v>
      </c>
      <c r="F14" s="127"/>
    </row>
    <row r="15" spans="1:6" x14ac:dyDescent="0.2">
      <c r="A15" s="127"/>
      <c r="B15" s="127"/>
      <c r="C15" s="127"/>
      <c r="D15" s="127"/>
      <c r="E15" s="127"/>
      <c r="F15" s="127"/>
    </row>
    <row r="16" spans="1:6" x14ac:dyDescent="0.2">
      <c r="A16" s="127"/>
      <c r="B16" s="127"/>
      <c r="C16" s="127"/>
      <c r="D16" s="127"/>
      <c r="E16" s="127"/>
      <c r="F16" s="127"/>
    </row>
    <row r="17" spans="1:6" x14ac:dyDescent="0.2">
      <c r="A17" s="126" t="s">
        <v>63</v>
      </c>
      <c r="B17" s="127"/>
      <c r="C17" s="127"/>
      <c r="D17" s="127"/>
      <c r="E17" s="127"/>
      <c r="F17" s="127"/>
    </row>
    <row r="18" spans="1:6" x14ac:dyDescent="0.2">
      <c r="A18" s="127"/>
      <c r="B18" s="127"/>
      <c r="C18" s="127"/>
      <c r="D18" s="127"/>
      <c r="E18" s="127"/>
      <c r="F18" s="127"/>
    </row>
    <row r="19" spans="1:6" ht="14.25" x14ac:dyDescent="0.2">
      <c r="A19" s="127">
        <v>1</v>
      </c>
      <c r="B19" s="130" t="s">
        <v>76</v>
      </c>
      <c r="C19" s="127"/>
      <c r="D19" s="127"/>
      <c r="E19" s="131">
        <f>A19*D4*2</f>
        <v>601</v>
      </c>
      <c r="F19" s="127"/>
    </row>
    <row r="20" spans="1:6" x14ac:dyDescent="0.2">
      <c r="A20" s="127"/>
      <c r="B20" s="127"/>
      <c r="C20" s="127"/>
      <c r="D20" s="127"/>
      <c r="E20" s="127"/>
      <c r="F20" s="127"/>
    </row>
    <row r="21" spans="1:6" x14ac:dyDescent="0.2">
      <c r="A21" s="127"/>
      <c r="B21" s="127"/>
      <c r="C21" s="127"/>
      <c r="D21" s="127"/>
      <c r="E21" s="127"/>
      <c r="F21" s="127"/>
    </row>
    <row r="22" spans="1:6" x14ac:dyDescent="0.2">
      <c r="A22" s="127"/>
      <c r="B22" s="127"/>
      <c r="C22" s="127"/>
      <c r="D22" s="127"/>
      <c r="E22" s="127"/>
      <c r="F22" s="127"/>
    </row>
    <row r="23" spans="1:6" x14ac:dyDescent="0.2">
      <c r="A23" s="127"/>
      <c r="B23" s="127"/>
      <c r="C23" s="127"/>
      <c r="D23" s="127"/>
      <c r="E23" s="127"/>
      <c r="F23" s="127"/>
    </row>
    <row r="24" spans="1:6" ht="38.25" x14ac:dyDescent="0.2">
      <c r="A24" s="140" t="s">
        <v>64</v>
      </c>
      <c r="B24" s="140" t="s">
        <v>151</v>
      </c>
      <c r="C24" s="140" t="s">
        <v>101</v>
      </c>
      <c r="D24" s="140" t="s">
        <v>102</v>
      </c>
      <c r="E24" s="140" t="s">
        <v>65</v>
      </c>
      <c r="F24" s="140" t="s">
        <v>65</v>
      </c>
    </row>
    <row r="25" spans="1:6" x14ac:dyDescent="0.2">
      <c r="A25" s="64" t="s">
        <v>149</v>
      </c>
      <c r="B25" s="141" t="s">
        <v>150</v>
      </c>
      <c r="C25" s="142">
        <f>E$10</f>
        <v>1803</v>
      </c>
      <c r="D25" s="142">
        <v>0</v>
      </c>
      <c r="E25" s="142">
        <f>E$19*12</f>
        <v>7212</v>
      </c>
      <c r="F25" s="143">
        <f>SUM(D25:E25)</f>
        <v>7212</v>
      </c>
    </row>
    <row r="26" spans="1:6" x14ac:dyDescent="0.2">
      <c r="A26" s="64" t="s">
        <v>165</v>
      </c>
      <c r="B26" s="141" t="s">
        <v>166</v>
      </c>
      <c r="C26" s="142">
        <f>E$10</f>
        <v>1803</v>
      </c>
      <c r="D26" s="142">
        <v>1</v>
      </c>
      <c r="E26" s="142">
        <f>E$19*12</f>
        <v>7212</v>
      </c>
      <c r="F26" s="143">
        <f>SUM(D26:E26)</f>
        <v>7213</v>
      </c>
    </row>
    <row r="27" spans="1:6" x14ac:dyDescent="0.2">
      <c r="A27" s="347" t="s">
        <v>103</v>
      </c>
      <c r="B27" s="347"/>
      <c r="C27" s="347"/>
      <c r="D27" s="347"/>
      <c r="E27" s="347"/>
      <c r="F27" s="127"/>
    </row>
    <row r="28" spans="1:6" x14ac:dyDescent="0.2">
      <c r="A28" s="127" t="s">
        <v>77</v>
      </c>
      <c r="B28" s="127"/>
      <c r="C28" s="127"/>
      <c r="D28" s="127"/>
      <c r="E28" s="127"/>
      <c r="F28" s="127"/>
    </row>
    <row r="29" spans="1:6" x14ac:dyDescent="0.2">
      <c r="A29" s="127"/>
      <c r="B29" s="127"/>
      <c r="C29" s="127"/>
      <c r="D29" s="127"/>
      <c r="E29" s="127"/>
      <c r="F29" s="127"/>
    </row>
    <row r="30" spans="1:6" x14ac:dyDescent="0.2">
      <c r="A30" s="127"/>
      <c r="B30" s="127"/>
      <c r="C30" s="127"/>
      <c r="D30" s="127"/>
      <c r="E30" s="127"/>
      <c r="F30" s="127"/>
    </row>
    <row r="31" spans="1:6" x14ac:dyDescent="0.2">
      <c r="A31" s="127"/>
      <c r="B31" s="127"/>
      <c r="C31" s="127"/>
      <c r="D31" s="127"/>
      <c r="E31" s="127"/>
      <c r="F31" s="127"/>
    </row>
    <row r="32" spans="1:6" x14ac:dyDescent="0.2">
      <c r="A32" s="127"/>
      <c r="B32" s="127"/>
      <c r="C32" s="127"/>
      <c r="D32" s="127"/>
      <c r="E32" s="127"/>
      <c r="F32" s="127"/>
    </row>
    <row r="33" spans="1:6" x14ac:dyDescent="0.2">
      <c r="A33" s="127"/>
      <c r="B33" s="127"/>
      <c r="C33" s="127"/>
      <c r="D33" s="127"/>
      <c r="E33" s="127"/>
      <c r="F33" s="127"/>
    </row>
    <row r="34" spans="1:6" x14ac:dyDescent="0.2">
      <c r="A34" s="127"/>
      <c r="B34" s="127"/>
      <c r="C34" s="127"/>
      <c r="D34" s="127"/>
      <c r="E34" s="127"/>
      <c r="F34" s="127"/>
    </row>
  </sheetData>
  <mergeCells count="1">
    <mergeCell ref="A27:E27"/>
  </mergeCells>
  <phoneticPr fontId="4"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O29"/>
  <sheetViews>
    <sheetView workbookViewId="0">
      <selection activeCell="D13" sqref="D13"/>
    </sheetView>
  </sheetViews>
  <sheetFormatPr defaultColWidth="10.6640625" defaultRowHeight="12.75" x14ac:dyDescent="0.2"/>
  <cols>
    <col min="1" max="1" width="33" style="41" customWidth="1"/>
    <col min="2" max="2" width="10.6640625" style="41" customWidth="1"/>
    <col min="3" max="3" width="35.5" style="41" customWidth="1"/>
    <col min="4" max="4" width="51.83203125" style="41" customWidth="1"/>
    <col min="5" max="5" width="11.33203125" style="41" bestFit="1" customWidth="1"/>
    <col min="6" max="6" width="15" style="41" customWidth="1"/>
    <col min="7" max="7" width="10.6640625" style="41" customWidth="1"/>
    <col min="8" max="8" width="11.33203125" style="41" bestFit="1" customWidth="1"/>
    <col min="9" max="12" width="10.6640625" style="41"/>
    <col min="13" max="13" width="15.33203125" style="41" customWidth="1"/>
    <col min="14" max="14" width="13.5" style="41" customWidth="1"/>
    <col min="15" max="16384" width="10.6640625" style="41"/>
  </cols>
  <sheetData>
    <row r="1" spans="1:15" ht="19.5" x14ac:dyDescent="0.3">
      <c r="A1" s="182" t="s">
        <v>153</v>
      </c>
      <c r="B1" s="58"/>
      <c r="C1" s="58"/>
      <c r="D1" s="58"/>
      <c r="E1" s="58"/>
      <c r="F1" s="58"/>
      <c r="G1" s="58"/>
      <c r="H1" s="58"/>
      <c r="I1" s="58"/>
      <c r="J1" s="58"/>
      <c r="K1" s="58"/>
      <c r="L1" s="58"/>
      <c r="M1" s="58"/>
      <c r="N1" s="58"/>
    </row>
    <row r="2" spans="1:15" x14ac:dyDescent="0.2">
      <c r="A2" s="58"/>
      <c r="B2" s="58"/>
      <c r="C2" s="58"/>
      <c r="D2" s="58"/>
      <c r="E2" s="58"/>
      <c r="F2" s="58"/>
      <c r="G2" s="58"/>
      <c r="H2" s="58"/>
      <c r="I2" s="58"/>
      <c r="J2" s="58"/>
      <c r="K2" s="58"/>
      <c r="L2" s="58"/>
      <c r="M2" s="58"/>
      <c r="N2" s="58"/>
    </row>
    <row r="3" spans="1:15" x14ac:dyDescent="0.2">
      <c r="A3" s="188" t="s">
        <v>67</v>
      </c>
      <c r="B3" s="64" t="s">
        <v>97</v>
      </c>
      <c r="C3" s="64" t="s">
        <v>98</v>
      </c>
      <c r="D3" s="64" t="s">
        <v>39</v>
      </c>
      <c r="E3" s="64"/>
      <c r="F3" s="58"/>
      <c r="G3" s="58"/>
      <c r="H3" s="58"/>
      <c r="I3" s="58"/>
      <c r="J3" s="58"/>
      <c r="K3" s="58"/>
      <c r="L3" s="58"/>
      <c r="M3" s="58"/>
      <c r="N3" s="58"/>
    </row>
    <row r="4" spans="1:15" x14ac:dyDescent="0.2">
      <c r="A4" s="188" t="s">
        <v>104</v>
      </c>
      <c r="B4" s="146">
        <v>201</v>
      </c>
      <c r="C4" s="146">
        <v>400</v>
      </c>
      <c r="D4" s="146">
        <f>AVERAGE(B4:C4)</f>
        <v>300.5</v>
      </c>
      <c r="E4" s="189" t="s">
        <v>66</v>
      </c>
      <c r="F4" s="145"/>
      <c r="G4" s="145"/>
      <c r="H4" s="58"/>
      <c r="I4" s="58"/>
      <c r="J4" s="58"/>
      <c r="K4" s="58"/>
      <c r="L4" s="58"/>
      <c r="M4" s="58"/>
      <c r="N4" s="58"/>
    </row>
    <row r="5" spans="1:15" x14ac:dyDescent="0.2">
      <c r="A5" s="188" t="s">
        <v>105</v>
      </c>
      <c r="B5" s="146"/>
      <c r="C5" s="146"/>
      <c r="D5" s="146">
        <v>190</v>
      </c>
      <c r="E5" s="64" t="s">
        <v>106</v>
      </c>
      <c r="F5" s="145"/>
      <c r="G5" s="145"/>
      <c r="H5" s="58"/>
      <c r="I5" s="58"/>
      <c r="J5" s="58"/>
      <c r="K5" s="58"/>
      <c r="L5" s="58"/>
      <c r="M5" s="58"/>
      <c r="N5" s="58"/>
    </row>
    <row r="6" spans="1:15" x14ac:dyDescent="0.2">
      <c r="A6" s="188" t="s">
        <v>107</v>
      </c>
      <c r="B6" s="147"/>
      <c r="C6" s="147"/>
      <c r="D6" s="147">
        <v>0</v>
      </c>
      <c r="E6" s="148" t="s">
        <v>108</v>
      </c>
      <c r="F6" s="57"/>
      <c r="G6" s="57"/>
      <c r="H6" s="57"/>
      <c r="I6" s="57"/>
      <c r="J6" s="57"/>
      <c r="K6" s="57"/>
      <c r="L6" s="57"/>
      <c r="M6" s="57"/>
      <c r="N6" s="57"/>
    </row>
    <row r="7" spans="1:15" x14ac:dyDescent="0.2">
      <c r="A7" s="59"/>
      <c r="B7" s="144"/>
      <c r="C7" s="144"/>
      <c r="D7" s="144"/>
      <c r="E7" s="58"/>
      <c r="F7" s="58"/>
      <c r="G7" s="58"/>
      <c r="H7" s="58"/>
      <c r="I7" s="58"/>
      <c r="J7" s="58"/>
      <c r="K7" s="58"/>
      <c r="L7" s="58"/>
      <c r="M7" s="58"/>
      <c r="N7" s="58"/>
    </row>
    <row r="8" spans="1:15" ht="12.75" customHeight="1" x14ac:dyDescent="0.2">
      <c r="A8" s="58"/>
      <c r="B8" s="348" t="s">
        <v>109</v>
      </c>
      <c r="C8" s="348"/>
      <c r="D8"/>
      <c r="E8"/>
      <c r="F8"/>
      <c r="G8"/>
      <c r="H8"/>
      <c r="I8"/>
      <c r="J8"/>
      <c r="K8"/>
      <c r="L8"/>
      <c r="M8"/>
      <c r="N8"/>
      <c r="O8"/>
    </row>
    <row r="9" spans="1:15" x14ac:dyDescent="0.2">
      <c r="A9" s="58"/>
      <c r="B9" s="348"/>
      <c r="C9" s="348"/>
      <c r="D9"/>
      <c r="E9"/>
      <c r="F9"/>
      <c r="G9"/>
      <c r="H9"/>
      <c r="I9"/>
      <c r="J9"/>
      <c r="K9"/>
      <c r="L9"/>
      <c r="M9"/>
      <c r="N9"/>
      <c r="O9"/>
    </row>
    <row r="10" spans="1:15" ht="114.75" x14ac:dyDescent="0.2">
      <c r="A10" s="64"/>
      <c r="B10" s="149" t="s">
        <v>110</v>
      </c>
      <c r="C10" s="150" t="s">
        <v>111</v>
      </c>
      <c r="D10"/>
      <c r="E10"/>
      <c r="F10"/>
      <c r="G10"/>
      <c r="H10"/>
      <c r="I10"/>
      <c r="J10"/>
      <c r="K10"/>
      <c r="L10"/>
      <c r="M10"/>
      <c r="N10"/>
      <c r="O10"/>
    </row>
    <row r="11" spans="1:15" x14ac:dyDescent="0.2">
      <c r="A11" s="64" t="s">
        <v>149</v>
      </c>
      <c r="B11" s="64">
        <v>1</v>
      </c>
      <c r="C11" s="64">
        <v>1</v>
      </c>
      <c r="D11"/>
      <c r="E11"/>
      <c r="F11"/>
      <c r="G11"/>
      <c r="H11"/>
      <c r="I11"/>
      <c r="J11"/>
      <c r="K11"/>
      <c r="L11"/>
      <c r="M11"/>
      <c r="N11"/>
      <c r="O11"/>
    </row>
    <row r="12" spans="1:15" x14ac:dyDescent="0.2">
      <c r="A12" s="64" t="s">
        <v>165</v>
      </c>
      <c r="B12" s="64">
        <v>1</v>
      </c>
      <c r="C12" s="64">
        <v>1</v>
      </c>
      <c r="D12"/>
      <c r="E12"/>
      <c r="F12"/>
      <c r="G12"/>
      <c r="H12"/>
      <c r="I12"/>
      <c r="J12"/>
      <c r="K12"/>
      <c r="L12"/>
      <c r="M12"/>
      <c r="N12"/>
      <c r="O12"/>
    </row>
    <row r="13" spans="1:15" x14ac:dyDescent="0.2">
      <c r="A13" s="58"/>
      <c r="B13" s="58"/>
      <c r="C13" s="58"/>
      <c r="D13" s="58"/>
      <c r="E13" s="58"/>
      <c r="F13" s="58"/>
      <c r="G13" s="58"/>
      <c r="H13" s="58"/>
      <c r="I13" s="58"/>
      <c r="J13" s="58"/>
      <c r="K13" s="58"/>
      <c r="L13"/>
      <c r="M13"/>
      <c r="N13"/>
      <c r="O13"/>
    </row>
    <row r="14" spans="1:15" x14ac:dyDescent="0.2">
      <c r="A14" s="58"/>
      <c r="B14" s="58"/>
      <c r="C14" s="58"/>
      <c r="D14"/>
      <c r="E14" s="58"/>
      <c r="F14" s="58"/>
      <c r="G14" s="58"/>
      <c r="H14" s="58"/>
      <c r="I14" s="58"/>
      <c r="J14" s="58"/>
      <c r="K14" s="58"/>
      <c r="L14"/>
      <c r="M14"/>
      <c r="N14"/>
      <c r="O14"/>
    </row>
    <row r="15" spans="1:15" x14ac:dyDescent="0.2">
      <c r="A15"/>
      <c r="B15"/>
      <c r="C15" s="58"/>
      <c r="D15"/>
      <c r="E15" s="58"/>
      <c r="F15" s="58"/>
      <c r="G15" s="58"/>
      <c r="H15" s="58"/>
      <c r="I15" s="58"/>
      <c r="J15" s="58"/>
      <c r="K15" s="58"/>
      <c r="L15"/>
      <c r="M15"/>
      <c r="N15"/>
      <c r="O15"/>
    </row>
    <row r="16" spans="1:15" x14ac:dyDescent="0.2">
      <c r="A16"/>
      <c r="B16"/>
      <c r="C16" s="58"/>
      <c r="D16" s="58"/>
      <c r="E16" s="58"/>
      <c r="F16" s="58"/>
      <c r="G16" s="58"/>
      <c r="H16" s="58"/>
      <c r="I16" s="58"/>
      <c r="J16" s="58"/>
      <c r="K16" s="58"/>
      <c r="L16"/>
      <c r="M16"/>
      <c r="N16"/>
      <c r="O16"/>
    </row>
    <row r="17" spans="1:15" x14ac:dyDescent="0.2">
      <c r="A17"/>
      <c r="B17"/>
      <c r="C17" s="58"/>
      <c r="D17" s="58"/>
      <c r="E17" s="58"/>
      <c r="F17" s="58"/>
      <c r="G17" s="58"/>
      <c r="H17" s="58"/>
      <c r="I17" s="58"/>
      <c r="J17" s="58"/>
      <c r="K17" s="58"/>
      <c r="L17"/>
      <c r="M17"/>
      <c r="N17"/>
      <c r="O17"/>
    </row>
    <row r="18" spans="1:15" x14ac:dyDescent="0.2">
      <c r="A18"/>
      <c r="B18"/>
      <c r="C18" s="58"/>
      <c r="D18" s="58"/>
      <c r="E18" s="58"/>
      <c r="F18" s="58"/>
      <c r="G18" s="58"/>
      <c r="H18" s="58"/>
      <c r="I18" s="58"/>
      <c r="J18" s="58"/>
      <c r="K18" s="58"/>
      <c r="L18"/>
      <c r="M18"/>
      <c r="N18"/>
      <c r="O18"/>
    </row>
    <row r="19" spans="1:15" x14ac:dyDescent="0.2">
      <c r="A19"/>
      <c r="B19"/>
      <c r="C19" s="58"/>
      <c r="D19" s="58"/>
      <c r="E19" s="58"/>
      <c r="F19" s="58"/>
      <c r="G19" s="58"/>
      <c r="H19" s="58"/>
      <c r="I19" s="58"/>
      <c r="J19" s="58"/>
      <c r="K19" s="58"/>
      <c r="L19"/>
      <c r="M19" s="58"/>
      <c r="N19" s="58"/>
    </row>
    <row r="20" spans="1:15" x14ac:dyDescent="0.2">
      <c r="A20"/>
      <c r="B20"/>
      <c r="C20" s="58"/>
      <c r="D20" s="58"/>
      <c r="E20" s="58"/>
      <c r="F20" s="58"/>
      <c r="G20" s="58"/>
      <c r="H20" s="58"/>
      <c r="I20" s="58"/>
      <c r="J20" s="58"/>
      <c r="K20" s="58"/>
      <c r="L20"/>
      <c r="M20" s="58"/>
      <c r="N20" s="58"/>
    </row>
    <row r="21" spans="1:15" x14ac:dyDescent="0.2">
      <c r="A21"/>
      <c r="B21"/>
      <c r="C21" s="58"/>
      <c r="D21" s="58"/>
      <c r="E21" s="58"/>
      <c r="F21" s="58"/>
      <c r="G21" s="58"/>
      <c r="H21" s="58"/>
      <c r="I21" s="58"/>
      <c r="J21" s="58"/>
      <c r="K21" s="58"/>
      <c r="L21" s="58"/>
      <c r="M21" s="58"/>
      <c r="N21" s="58"/>
    </row>
    <row r="22" spans="1:15" x14ac:dyDescent="0.2">
      <c r="A22"/>
      <c r="B22"/>
      <c r="C22" s="58"/>
      <c r="D22" s="58"/>
      <c r="E22" s="58"/>
      <c r="F22" s="58"/>
      <c r="G22" s="58"/>
      <c r="H22" s="58"/>
      <c r="I22" s="58"/>
      <c r="J22" s="58"/>
      <c r="K22" s="58"/>
      <c r="L22" s="58"/>
      <c r="M22" s="58"/>
      <c r="N22" s="58"/>
    </row>
    <row r="23" spans="1:15" x14ac:dyDescent="0.2">
      <c r="A23"/>
      <c r="B23"/>
      <c r="C23" s="58"/>
      <c r="D23" s="58"/>
      <c r="E23" s="58"/>
      <c r="F23" s="58"/>
      <c r="G23" s="58"/>
      <c r="H23" s="58"/>
      <c r="I23" s="58"/>
      <c r="J23" s="58"/>
      <c r="K23" s="58"/>
      <c r="L23" s="58"/>
      <c r="M23" s="58"/>
      <c r="N23" s="58"/>
    </row>
    <row r="24" spans="1:15" x14ac:dyDescent="0.2">
      <c r="A24"/>
      <c r="B24"/>
      <c r="C24" s="58"/>
      <c r="D24" s="58"/>
      <c r="E24" s="58"/>
      <c r="F24" s="58"/>
      <c r="G24" s="58"/>
      <c r="H24" s="58"/>
      <c r="I24" s="58"/>
      <c r="J24" s="58"/>
      <c r="K24" s="58"/>
      <c r="L24" s="58"/>
      <c r="M24" s="58"/>
      <c r="N24" s="58"/>
    </row>
    <row r="25" spans="1:15" x14ac:dyDescent="0.2">
      <c r="A25"/>
      <c r="B25"/>
      <c r="C25" s="58"/>
      <c r="D25" s="58"/>
      <c r="E25" s="58"/>
      <c r="F25" s="58"/>
      <c r="G25" s="58"/>
      <c r="H25" s="58"/>
      <c r="I25" s="58"/>
      <c r="J25" s="58"/>
      <c r="K25" s="58"/>
      <c r="L25" s="58"/>
      <c r="M25" s="58"/>
      <c r="N25" s="58"/>
    </row>
    <row r="26" spans="1:15" x14ac:dyDescent="0.2">
      <c r="A26"/>
      <c r="B26"/>
      <c r="C26" s="58"/>
      <c r="D26" s="58"/>
      <c r="E26" s="58"/>
      <c r="F26" s="58"/>
      <c r="G26" s="58"/>
      <c r="H26" s="58"/>
      <c r="I26" s="58"/>
      <c r="J26" s="58"/>
      <c r="K26" s="58"/>
      <c r="L26" s="58"/>
      <c r="M26" s="58"/>
      <c r="N26" s="58"/>
    </row>
    <row r="27" spans="1:15" x14ac:dyDescent="0.2">
      <c r="A27"/>
      <c r="B27"/>
      <c r="C27" s="58"/>
      <c r="D27" s="58"/>
      <c r="E27" s="58"/>
      <c r="F27" s="58"/>
      <c r="G27" s="58"/>
      <c r="H27" s="58"/>
      <c r="I27" s="58"/>
      <c r="J27" s="58"/>
      <c r="K27" s="58"/>
      <c r="L27" s="58"/>
      <c r="M27" s="58"/>
      <c r="N27" s="58"/>
    </row>
    <row r="28" spans="1:15" x14ac:dyDescent="0.2">
      <c r="A28"/>
      <c r="B28"/>
      <c r="C28" s="58"/>
      <c r="D28" s="58"/>
      <c r="E28" s="58"/>
      <c r="F28" s="58"/>
      <c r="G28" s="58"/>
      <c r="H28" s="58"/>
      <c r="I28" s="58"/>
      <c r="J28" s="58"/>
      <c r="K28" s="58"/>
      <c r="L28" s="58"/>
      <c r="M28" s="58"/>
      <c r="N28" s="58"/>
    </row>
    <row r="29" spans="1:15" x14ac:dyDescent="0.2">
      <c r="A29"/>
      <c r="B29"/>
      <c r="C29" s="58"/>
      <c r="D29" s="58"/>
      <c r="E29" s="58"/>
      <c r="F29" s="58"/>
      <c r="G29" s="58"/>
      <c r="H29" s="58"/>
      <c r="I29" s="58"/>
      <c r="J29" s="58"/>
      <c r="K29" s="58"/>
      <c r="L29" s="58"/>
      <c r="M29" s="58"/>
      <c r="N29" s="58"/>
    </row>
  </sheetData>
  <mergeCells count="1">
    <mergeCell ref="B8:C9"/>
  </mergeCells>
  <phoneticPr fontId="4"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K6"/>
  <sheetViews>
    <sheetView workbookViewId="0">
      <selection activeCell="C37" sqref="C37"/>
    </sheetView>
  </sheetViews>
  <sheetFormatPr defaultRowHeight="10.5" x14ac:dyDescent="0.15"/>
  <cols>
    <col min="1" max="1" width="52.33203125" bestFit="1" customWidth="1"/>
    <col min="2" max="2" width="11.1640625" bestFit="1" customWidth="1"/>
    <col min="3" max="3" width="15" bestFit="1" customWidth="1"/>
    <col min="4" max="4" width="15.83203125" bestFit="1" customWidth="1"/>
    <col min="5" max="5" width="11.5" bestFit="1" customWidth="1"/>
    <col min="6" max="6" width="15.5" bestFit="1" customWidth="1"/>
    <col min="7" max="7" width="11.6640625" bestFit="1" customWidth="1"/>
    <col min="8" max="8" width="15.5" bestFit="1" customWidth="1"/>
    <col min="9" max="9" width="16.5" bestFit="1" customWidth="1"/>
    <col min="10" max="10" width="18.5" customWidth="1"/>
    <col min="11" max="12" width="26.1640625" customWidth="1"/>
  </cols>
  <sheetData>
    <row r="1" spans="1:11" ht="19.5" x14ac:dyDescent="0.3">
      <c r="A1" s="181" t="s">
        <v>152</v>
      </c>
    </row>
    <row r="2" spans="1:11" x14ac:dyDescent="0.15">
      <c r="A2" s="117"/>
    </row>
    <row r="3" spans="1:11" ht="76.5" x14ac:dyDescent="0.15">
      <c r="A3" s="186" t="s">
        <v>155</v>
      </c>
      <c r="B3" s="185" t="s">
        <v>156</v>
      </c>
      <c r="C3" s="186" t="s">
        <v>157</v>
      </c>
      <c r="D3" s="185" t="s">
        <v>158</v>
      </c>
      <c r="E3" s="185" t="s">
        <v>159</v>
      </c>
      <c r="F3" s="185" t="s">
        <v>160</v>
      </c>
      <c r="G3" s="185" t="s">
        <v>161</v>
      </c>
      <c r="H3" s="185" t="s">
        <v>162</v>
      </c>
      <c r="I3" s="185" t="s">
        <v>163</v>
      </c>
      <c r="J3" s="185" t="s">
        <v>164</v>
      </c>
      <c r="K3" s="185" t="s">
        <v>96</v>
      </c>
    </row>
    <row r="4" spans="1:11" ht="12.75" x14ac:dyDescent="0.2">
      <c r="A4" s="64" t="s">
        <v>93</v>
      </c>
      <c r="B4" s="176">
        <v>113116</v>
      </c>
      <c r="C4" s="177">
        <v>64244.059835040454</v>
      </c>
      <c r="D4" s="177">
        <v>177360.05983504045</v>
      </c>
      <c r="E4" s="178">
        <v>9170.5133030639354</v>
      </c>
      <c r="F4" s="178">
        <v>6496.4357744032541</v>
      </c>
      <c r="G4" s="178">
        <v>15666.94907746719</v>
      </c>
      <c r="H4" s="178">
        <v>16105</v>
      </c>
      <c r="I4" s="178">
        <v>31771.949077467187</v>
      </c>
      <c r="J4" s="178">
        <v>9.9954979138475988</v>
      </c>
      <c r="K4" s="179">
        <v>4.6447670503079994</v>
      </c>
    </row>
    <row r="6" spans="1:11" ht="11.25" x14ac:dyDescent="0.15">
      <c r="B6" s="124"/>
      <c r="I6" s="1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39"/>
  <sheetViews>
    <sheetView topLeftCell="A5" zoomScale="70" zoomScaleNormal="70" workbookViewId="0">
      <selection activeCell="B14" sqref="B14:B15"/>
    </sheetView>
  </sheetViews>
  <sheetFormatPr defaultColWidth="9.33203125" defaultRowHeight="10.5" x14ac:dyDescent="0.15"/>
  <cols>
    <col min="1" max="1" width="9.33203125" style="232"/>
    <col min="2" max="2" width="47.83203125" style="232" customWidth="1"/>
    <col min="3" max="8" width="24.33203125" style="232" customWidth="1"/>
    <col min="9" max="16384" width="9.33203125" style="232"/>
  </cols>
  <sheetData>
    <row r="2" spans="2:8" ht="11.25" thickBot="1" x14ac:dyDescent="0.2"/>
    <row r="3" spans="2:8" ht="15.75" x14ac:dyDescent="0.15">
      <c r="B3" s="355"/>
      <c r="C3" s="356"/>
      <c r="D3" s="356"/>
      <c r="E3" s="356"/>
      <c r="F3" s="356"/>
      <c r="G3" s="356"/>
      <c r="H3" s="357"/>
    </row>
    <row r="4" spans="2:8" ht="15.75" x14ac:dyDescent="0.15">
      <c r="B4" s="358" t="s">
        <v>172</v>
      </c>
      <c r="C4" s="358"/>
      <c r="D4" s="358"/>
      <c r="E4" s="358"/>
      <c r="F4" s="358"/>
      <c r="G4" s="358"/>
      <c r="H4" s="358"/>
    </row>
    <row r="5" spans="2:8" ht="15.75" x14ac:dyDescent="0.15">
      <c r="B5" s="233"/>
      <c r="C5" s="234"/>
      <c r="D5" s="234"/>
      <c r="E5" s="234"/>
      <c r="F5" s="234"/>
      <c r="G5" s="234"/>
      <c r="H5" s="234"/>
    </row>
    <row r="6" spans="2:8" ht="12.75" x14ac:dyDescent="0.15">
      <c r="B6" s="235" t="s">
        <v>17</v>
      </c>
      <c r="C6" s="235" t="s">
        <v>0</v>
      </c>
      <c r="D6" s="235" t="s">
        <v>1</v>
      </c>
      <c r="E6" s="235" t="s">
        <v>2</v>
      </c>
      <c r="F6" s="235" t="s">
        <v>3</v>
      </c>
      <c r="G6" s="235" t="s">
        <v>4</v>
      </c>
      <c r="H6" s="235" t="s">
        <v>18</v>
      </c>
    </row>
    <row r="7" spans="2:8" ht="25.5" x14ac:dyDescent="0.15">
      <c r="B7" s="234" t="s">
        <v>173</v>
      </c>
      <c r="C7" s="234" t="s">
        <v>174</v>
      </c>
      <c r="D7" s="234" t="s">
        <v>175</v>
      </c>
      <c r="E7" s="234" t="s">
        <v>176</v>
      </c>
      <c r="F7" s="234" t="s">
        <v>177</v>
      </c>
      <c r="G7" s="234" t="s">
        <v>178</v>
      </c>
      <c r="H7" s="234" t="s">
        <v>179</v>
      </c>
    </row>
    <row r="8" spans="2:8" ht="12.75" x14ac:dyDescent="0.15">
      <c r="B8" s="236"/>
      <c r="C8" s="236"/>
      <c r="D8" s="236"/>
      <c r="E8" s="236"/>
      <c r="F8" s="236"/>
      <c r="G8" s="236"/>
      <c r="H8" s="234" t="s">
        <v>180</v>
      </c>
    </row>
    <row r="9" spans="2:8" ht="12.75" x14ac:dyDescent="0.15">
      <c r="B9" s="354" t="s">
        <v>181</v>
      </c>
      <c r="C9" s="354"/>
      <c r="D9" s="354"/>
      <c r="E9" s="354"/>
      <c r="F9" s="354"/>
      <c r="G9" s="354"/>
      <c r="H9" s="354"/>
    </row>
    <row r="10" spans="2:8" ht="15.75" x14ac:dyDescent="0.15">
      <c r="B10" s="234" t="s">
        <v>188</v>
      </c>
      <c r="C10" s="237">
        <f>15000*25</f>
        <v>375000</v>
      </c>
      <c r="D10" s="234">
        <v>0</v>
      </c>
      <c r="E10" s="237">
        <f>C10*D10</f>
        <v>0</v>
      </c>
      <c r="F10" s="237">
        <v>31772</v>
      </c>
      <c r="G10" s="234">
        <v>4</v>
      </c>
      <c r="H10" s="237">
        <f>F10*G10</f>
        <v>127088</v>
      </c>
    </row>
    <row r="11" spans="2:8" ht="15.75" x14ac:dyDescent="0.15">
      <c r="B11" s="234" t="s">
        <v>209</v>
      </c>
      <c r="C11" s="237"/>
      <c r="D11" s="234"/>
      <c r="E11" s="237"/>
      <c r="F11" s="237">
        <f>73/20*45000</f>
        <v>164250</v>
      </c>
      <c r="G11" s="234">
        <v>4</v>
      </c>
      <c r="H11" s="237">
        <f>F11*G11</f>
        <v>657000</v>
      </c>
    </row>
    <row r="12" spans="2:8" ht="12.75" x14ac:dyDescent="0.15">
      <c r="B12" s="234" t="s">
        <v>213</v>
      </c>
      <c r="C12" s="237">
        <v>5000</v>
      </c>
      <c r="D12" s="234">
        <v>0</v>
      </c>
      <c r="E12" s="237">
        <v>0</v>
      </c>
      <c r="F12" s="237"/>
      <c r="G12" s="234"/>
      <c r="H12" s="237"/>
    </row>
    <row r="13" spans="2:8" ht="12.75" x14ac:dyDescent="0.15">
      <c r="B13" s="354" t="s">
        <v>182</v>
      </c>
      <c r="C13" s="354"/>
      <c r="D13" s="354"/>
      <c r="E13" s="354"/>
      <c r="F13" s="354"/>
      <c r="G13" s="354"/>
      <c r="H13" s="354"/>
    </row>
    <row r="14" spans="2:8" ht="10.5" customHeight="1" x14ac:dyDescent="0.15">
      <c r="B14" s="351" t="s">
        <v>183</v>
      </c>
      <c r="C14" s="350">
        <v>43198</v>
      </c>
      <c r="D14" s="349">
        <v>0</v>
      </c>
      <c r="E14" s="352">
        <f>C14*D14</f>
        <v>0</v>
      </c>
      <c r="F14" s="350">
        <v>99080</v>
      </c>
      <c r="G14" s="349">
        <v>4</v>
      </c>
      <c r="H14" s="350">
        <f>F14*G14</f>
        <v>396320</v>
      </c>
    </row>
    <row r="15" spans="2:8" ht="10.5" customHeight="1" x14ac:dyDescent="0.15">
      <c r="B15" s="351"/>
      <c r="C15" s="350"/>
      <c r="D15" s="349"/>
      <c r="E15" s="353"/>
      <c r="F15" s="350"/>
      <c r="G15" s="349"/>
      <c r="H15" s="350"/>
    </row>
    <row r="16" spans="2:8" ht="10.5" customHeight="1" x14ac:dyDescent="0.15">
      <c r="B16" s="351" t="s">
        <v>191</v>
      </c>
      <c r="C16" s="350">
        <v>1803</v>
      </c>
      <c r="D16" s="349">
        <v>0</v>
      </c>
      <c r="E16" s="352">
        <f>C16*D16</f>
        <v>0</v>
      </c>
      <c r="F16" s="350">
        <f>601*12</f>
        <v>7212</v>
      </c>
      <c r="G16" s="349">
        <v>4</v>
      </c>
      <c r="H16" s="350">
        <f>F16*G16</f>
        <v>28848</v>
      </c>
    </row>
    <row r="17" spans="2:8" ht="18" customHeight="1" x14ac:dyDescent="0.15">
      <c r="B17" s="351"/>
      <c r="C17" s="350"/>
      <c r="D17" s="349"/>
      <c r="E17" s="353"/>
      <c r="F17" s="350"/>
      <c r="G17" s="349"/>
      <c r="H17" s="350"/>
    </row>
    <row r="18" spans="2:8" ht="16.5" customHeight="1" x14ac:dyDescent="0.15">
      <c r="B18" s="351" t="s">
        <v>189</v>
      </c>
      <c r="C18" s="350">
        <f>650*3</f>
        <v>1950</v>
      </c>
      <c r="D18" s="349">
        <v>0</v>
      </c>
      <c r="E18" s="352">
        <f>C18*D18</f>
        <v>0</v>
      </c>
      <c r="F18" s="350">
        <f>650*3*12</f>
        <v>23400</v>
      </c>
      <c r="G18" s="349">
        <v>4</v>
      </c>
      <c r="H18" s="350">
        <f>F18*G18</f>
        <v>93600</v>
      </c>
    </row>
    <row r="19" spans="2:8" ht="16.5" customHeight="1" x14ac:dyDescent="0.15">
      <c r="B19" s="351"/>
      <c r="C19" s="350"/>
      <c r="D19" s="349"/>
      <c r="E19" s="353"/>
      <c r="F19" s="350"/>
      <c r="G19" s="349"/>
      <c r="H19" s="350"/>
    </row>
    <row r="20" spans="2:8" ht="10.5" customHeight="1" x14ac:dyDescent="0.15">
      <c r="B20" s="351" t="s">
        <v>192</v>
      </c>
      <c r="C20" s="350">
        <v>491</v>
      </c>
      <c r="D20" s="349">
        <v>0</v>
      </c>
      <c r="E20" s="352">
        <f>C20*D20</f>
        <v>0</v>
      </c>
      <c r="F20" s="350">
        <f>491*12</f>
        <v>5892</v>
      </c>
      <c r="G20" s="349">
        <v>4</v>
      </c>
      <c r="H20" s="350">
        <f>F20*G20</f>
        <v>23568</v>
      </c>
    </row>
    <row r="21" spans="2:8" ht="10.5" customHeight="1" x14ac:dyDescent="0.15">
      <c r="B21" s="351"/>
      <c r="C21" s="350"/>
      <c r="D21" s="349"/>
      <c r="E21" s="353"/>
      <c r="F21" s="350"/>
      <c r="G21" s="349"/>
      <c r="H21" s="350"/>
    </row>
    <row r="22" spans="2:8" ht="10.5" customHeight="1" x14ac:dyDescent="0.15">
      <c r="B22" s="351" t="s">
        <v>187</v>
      </c>
      <c r="C22" s="350">
        <v>650</v>
      </c>
      <c r="D22" s="349">
        <v>0</v>
      </c>
      <c r="E22" s="352">
        <f>C22*D22</f>
        <v>0</v>
      </c>
      <c r="F22" s="350">
        <v>7800</v>
      </c>
      <c r="G22" s="349">
        <v>4</v>
      </c>
      <c r="H22" s="350">
        <f>F22*G22</f>
        <v>31200</v>
      </c>
    </row>
    <row r="23" spans="2:8" ht="17.25" customHeight="1" x14ac:dyDescent="0.15">
      <c r="B23" s="351"/>
      <c r="C23" s="350"/>
      <c r="D23" s="349"/>
      <c r="E23" s="353"/>
      <c r="F23" s="350"/>
      <c r="G23" s="349"/>
      <c r="H23" s="350"/>
    </row>
    <row r="24" spans="2:8" ht="10.5" customHeight="1" x14ac:dyDescent="0.15">
      <c r="B24" s="351" t="s">
        <v>184</v>
      </c>
      <c r="C24" s="350">
        <v>0</v>
      </c>
      <c r="D24" s="349">
        <v>0</v>
      </c>
      <c r="E24" s="352">
        <f>C24*D24</f>
        <v>0</v>
      </c>
      <c r="F24" s="350">
        <v>491</v>
      </c>
      <c r="G24" s="349">
        <v>4</v>
      </c>
      <c r="H24" s="350">
        <f>F24*G24</f>
        <v>1964</v>
      </c>
    </row>
    <row r="25" spans="2:8" ht="15" customHeight="1" x14ac:dyDescent="0.15">
      <c r="B25" s="351"/>
      <c r="C25" s="350"/>
      <c r="D25" s="349"/>
      <c r="E25" s="353"/>
      <c r="F25" s="350"/>
      <c r="G25" s="349"/>
      <c r="H25" s="350"/>
    </row>
    <row r="26" spans="2:8" ht="10.5" customHeight="1" x14ac:dyDescent="0.15">
      <c r="B26" s="351" t="s">
        <v>193</v>
      </c>
      <c r="C26" s="350">
        <f>650*5</f>
        <v>3250</v>
      </c>
      <c r="D26" s="349">
        <v>0</v>
      </c>
      <c r="E26" s="352">
        <f>C26*D26</f>
        <v>0</v>
      </c>
      <c r="F26" s="350">
        <v>3250</v>
      </c>
      <c r="G26" s="349">
        <v>4</v>
      </c>
      <c r="H26" s="350">
        <f>F26*G26</f>
        <v>13000</v>
      </c>
    </row>
    <row r="27" spans="2:8" ht="30" customHeight="1" x14ac:dyDescent="0.15">
      <c r="B27" s="351"/>
      <c r="C27" s="350"/>
      <c r="D27" s="349"/>
      <c r="E27" s="353"/>
      <c r="F27" s="350"/>
      <c r="G27" s="349"/>
      <c r="H27" s="350"/>
    </row>
    <row r="28" spans="2:8" ht="10.5" customHeight="1" x14ac:dyDescent="0.15">
      <c r="B28" s="351" t="s">
        <v>185</v>
      </c>
      <c r="C28" s="350">
        <v>177360</v>
      </c>
      <c r="D28" s="349">
        <v>0</v>
      </c>
      <c r="E28" s="352">
        <f>C28*D28</f>
        <v>0</v>
      </c>
      <c r="F28" s="350">
        <v>16105</v>
      </c>
      <c r="G28" s="349">
        <v>4</v>
      </c>
      <c r="H28" s="350">
        <f>F28*G28</f>
        <v>64420</v>
      </c>
    </row>
    <row r="29" spans="2:8" ht="10.5" customHeight="1" x14ac:dyDescent="0.15">
      <c r="B29" s="351"/>
      <c r="C29" s="350"/>
      <c r="D29" s="349"/>
      <c r="E29" s="353"/>
      <c r="F29" s="350"/>
      <c r="G29" s="349"/>
      <c r="H29" s="350"/>
    </row>
    <row r="30" spans="2:8" ht="12.75" x14ac:dyDescent="0.15">
      <c r="B30" s="354" t="s">
        <v>21</v>
      </c>
      <c r="C30" s="354"/>
      <c r="D30" s="354"/>
      <c r="E30" s="354"/>
      <c r="F30" s="354"/>
      <c r="G30" s="354"/>
      <c r="H30" s="354"/>
    </row>
    <row r="31" spans="2:8" ht="12.75" x14ac:dyDescent="0.15">
      <c r="B31" s="234"/>
      <c r="C31" s="234"/>
      <c r="D31" s="234"/>
      <c r="E31" s="237">
        <v>0</v>
      </c>
      <c r="F31" s="234"/>
      <c r="G31" s="234"/>
      <c r="H31" s="237">
        <f>ROUND(SUM(H14:H29,H10:H11), -4)</f>
        <v>1440000</v>
      </c>
    </row>
    <row r="34" spans="2:2" ht="18.75" x14ac:dyDescent="0.25">
      <c r="B34" s="238" t="s">
        <v>186</v>
      </c>
    </row>
    <row r="35" spans="2:2" ht="18.75" x14ac:dyDescent="0.25">
      <c r="B35" s="239" t="s">
        <v>190</v>
      </c>
    </row>
    <row r="36" spans="2:2" ht="13.5" x14ac:dyDescent="0.2">
      <c r="B36" s="240" t="s">
        <v>295</v>
      </c>
    </row>
    <row r="37" spans="2:2" ht="13.5" x14ac:dyDescent="0.2">
      <c r="B37" s="240" t="s">
        <v>296</v>
      </c>
    </row>
    <row r="38" spans="2:2" ht="13.5" x14ac:dyDescent="0.2">
      <c r="B38" s="240" t="s">
        <v>297</v>
      </c>
    </row>
    <row r="39" spans="2:2" ht="13.5" x14ac:dyDescent="0.2">
      <c r="B39" s="240" t="s">
        <v>313</v>
      </c>
    </row>
  </sheetData>
  <mergeCells count="61">
    <mergeCell ref="B3:H3"/>
    <mergeCell ref="B4:H4"/>
    <mergeCell ref="B9:H9"/>
    <mergeCell ref="B13:H13"/>
    <mergeCell ref="B14:B15"/>
    <mergeCell ref="C14:C15"/>
    <mergeCell ref="D14:D15"/>
    <mergeCell ref="E14:E15"/>
    <mergeCell ref="F14:F15"/>
    <mergeCell ref="G14:G15"/>
    <mergeCell ref="H14:H15"/>
    <mergeCell ref="B16:B17"/>
    <mergeCell ref="C16:C17"/>
    <mergeCell ref="D16:D17"/>
    <mergeCell ref="E16:E17"/>
    <mergeCell ref="F16:F17"/>
    <mergeCell ref="G16:G17"/>
    <mergeCell ref="H16:H17"/>
    <mergeCell ref="H20:H21"/>
    <mergeCell ref="B24:B25"/>
    <mergeCell ref="C24:C25"/>
    <mergeCell ref="D24:D25"/>
    <mergeCell ref="E24:E25"/>
    <mergeCell ref="F24:F25"/>
    <mergeCell ref="G24:G25"/>
    <mergeCell ref="H24:H25"/>
    <mergeCell ref="B20:B21"/>
    <mergeCell ref="C20:C21"/>
    <mergeCell ref="D20:D21"/>
    <mergeCell ref="E20:E21"/>
    <mergeCell ref="F20:F21"/>
    <mergeCell ref="G20:G21"/>
    <mergeCell ref="H28:H29"/>
    <mergeCell ref="B30:H30"/>
    <mergeCell ref="B28:B29"/>
    <mergeCell ref="C28:C29"/>
    <mergeCell ref="D28:D29"/>
    <mergeCell ref="E28:E29"/>
    <mergeCell ref="F28:F29"/>
    <mergeCell ref="G28:G29"/>
    <mergeCell ref="G18:G19"/>
    <mergeCell ref="H18:H19"/>
    <mergeCell ref="B22:B23"/>
    <mergeCell ref="C22:C23"/>
    <mergeCell ref="D22:D23"/>
    <mergeCell ref="E22:E23"/>
    <mergeCell ref="F22:F23"/>
    <mergeCell ref="G22:G23"/>
    <mergeCell ref="H22:H23"/>
    <mergeCell ref="B18:B19"/>
    <mergeCell ref="C18:C19"/>
    <mergeCell ref="D18:D19"/>
    <mergeCell ref="E18:E19"/>
    <mergeCell ref="F18:F19"/>
    <mergeCell ref="G26:G27"/>
    <mergeCell ref="H26:H27"/>
    <mergeCell ref="B26:B27"/>
    <mergeCell ref="C26:C27"/>
    <mergeCell ref="D26:D27"/>
    <mergeCell ref="E26:E27"/>
    <mergeCell ref="F26:F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Industry</vt:lpstr>
      <vt:lpstr>Record&amp;Reporting Burden Only</vt:lpstr>
      <vt:lpstr>Agency</vt:lpstr>
      <vt:lpstr>Process Vent - T&amp;M Costs</vt:lpstr>
      <vt:lpstr>Resin T&amp;M Costs</vt:lpstr>
      <vt:lpstr>Wastewater T&amp;M Costs</vt:lpstr>
      <vt:lpstr>EquipmentLeaks - T&amp;M Costs</vt:lpstr>
      <vt:lpstr>CAP&amp;O&amp;M</vt:lpstr>
      <vt:lpstr>Agency!Print_Area</vt:lpstr>
      <vt:lpstr>Industry!Print_Area</vt:lpstr>
      <vt:lpstr>'Record&amp;Reporting Burden Only'!Print_Area</vt:lpstr>
      <vt:lpstr>Industry!Print_Titles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wwrigley</cp:lastModifiedBy>
  <cp:lastPrinted>2019-03-12T18:09:21Z</cp:lastPrinted>
  <dcterms:created xsi:type="dcterms:W3CDTF">1998-09-17T19:20:06Z</dcterms:created>
  <dcterms:modified xsi:type="dcterms:W3CDTF">2019-03-12T18:10:16Z</dcterms:modified>
</cp:coreProperties>
</file>