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codeName="ThisWorkbook" hidePivotFieldList="1" defaultThemeVersion="124226"/>
  <mc:AlternateContent xmlns:mc="http://schemas.openxmlformats.org/markup-compatibility/2006">
    <mc:Choice Requires="x15">
      <x15ac:absPath xmlns:x15ac="http://schemas.microsoft.com/office/spreadsheetml/2010/11/ac" url="F:\New ICRs\"/>
    </mc:Choice>
  </mc:AlternateContent>
  <xr:revisionPtr revIDLastSave="0" documentId="8_{50AB7A62-CE59-4871-80FB-9E66964D5745}" xr6:coauthVersionLast="36" xr6:coauthVersionMax="36" xr10:uidLastSave="{00000000-0000-0000-0000-000000000000}"/>
  <bookViews>
    <workbookView xWindow="-15" yWindow="5010" windowWidth="24060" windowHeight="5070" tabRatio="925" xr2:uid="{00000000-000D-0000-FFFF-FFFF00000000}"/>
  </bookViews>
  <sheets>
    <sheet name="Industry" sheetId="97" r:id="rId1"/>
    <sheet name="Agency" sheetId="99" r:id="rId2"/>
    <sheet name="Record&amp;Reporting Burden Only" sheetId="100" state="hidden" r:id="rId3"/>
    <sheet name="Process Vent - T&amp;M Costs" sheetId="81" state="hidden" r:id="rId4"/>
    <sheet name="Resin T&amp;M Costs" sheetId="82" state="hidden" r:id="rId5"/>
    <sheet name="Wastewater T&amp;M Costs" sheetId="83" state="hidden" r:id="rId6"/>
    <sheet name="EquipmentLeaks - T&amp;M Costs" sheetId="93" state="hidden" r:id="rId7"/>
    <sheet name="Hourly Rates" sheetId="18" state="hidden" r:id="rId8"/>
    <sheet name="CAP&amp;O&amp;M" sheetId="101" r:id="rId9"/>
  </sheets>
  <definedNames>
    <definedName name="_Regression_Int" localSheetId="0" hidden="1">1</definedName>
    <definedName name="June_2003_HMIWI_Inventory" localSheetId="7">#REF!</definedName>
    <definedName name="_xlnm.Print_Area" localSheetId="1">Agency!$A$2:$L$28</definedName>
    <definedName name="_xlnm.Print_Area" localSheetId="7">'Hourly Rates'!$A$7:$J$16</definedName>
    <definedName name="_xlnm.Print_Area" localSheetId="0">Industry!$A$1:$P$88</definedName>
    <definedName name="_xlnm.Print_Area" localSheetId="2">'Record&amp;Reporting Burden Only'!$A$1:$K$37</definedName>
    <definedName name="_xlnm.Print_Titles" localSheetId="7">'Hourly Rates'!#REF!</definedName>
    <definedName name="_xlnm.Print_Titles" localSheetId="0">Industry!$5:$12</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16" i="99" l="1"/>
  <c r="N68" i="97"/>
  <c r="H6" i="99" l="1"/>
  <c r="G31" i="97" l="1"/>
  <c r="I9" i="99" l="1"/>
  <c r="C11" i="101" l="1"/>
  <c r="E11" i="101" s="1"/>
  <c r="F12" i="101"/>
  <c r="H12" i="101" s="1"/>
  <c r="H25" i="101"/>
  <c r="H15" i="101"/>
  <c r="F25" i="101"/>
  <c r="C25" i="101"/>
  <c r="E25" i="101" s="1"/>
  <c r="H22" i="101"/>
  <c r="E22" i="101"/>
  <c r="F22" i="101"/>
  <c r="H26" i="101"/>
  <c r="H23" i="101"/>
  <c r="H20" i="101"/>
  <c r="F19" i="101"/>
  <c r="H19" i="101" s="1"/>
  <c r="H17" i="101"/>
  <c r="H11" i="101"/>
  <c r="E26" i="101"/>
  <c r="E23" i="101"/>
  <c r="E20" i="101"/>
  <c r="E19" i="101"/>
  <c r="E17" i="101"/>
  <c r="E15" i="101"/>
  <c r="C19" i="101"/>
  <c r="H29" i="101" l="1"/>
  <c r="L70" i="97" s="1"/>
  <c r="E29" i="101"/>
  <c r="G38" i="97"/>
  <c r="I38" i="97" s="1"/>
  <c r="G39" i="97"/>
  <c r="I39" i="97" s="1"/>
  <c r="G40" i="97"/>
  <c r="I40" i="97" s="1"/>
  <c r="G41" i="97"/>
  <c r="I41" i="97" s="1"/>
  <c r="G42" i="97"/>
  <c r="I42" i="97" s="1"/>
  <c r="G43" i="97"/>
  <c r="I43" i="97" s="1"/>
  <c r="E35" i="97"/>
  <c r="E30" i="97"/>
  <c r="E23" i="97"/>
  <c r="K43" i="97" l="1"/>
  <c r="J43" i="97"/>
  <c r="K39" i="97"/>
  <c r="J39" i="97"/>
  <c r="K40" i="97"/>
  <c r="J40" i="97"/>
  <c r="L40" i="97" s="1"/>
  <c r="K41" i="97"/>
  <c r="J41" i="97"/>
  <c r="K42" i="97"/>
  <c r="J42" i="97"/>
  <c r="K38" i="97"/>
  <c r="J38" i="97"/>
  <c r="L39" i="97" l="1"/>
  <c r="L41" i="97"/>
  <c r="L43" i="97"/>
  <c r="L42" i="97"/>
  <c r="L38" i="97"/>
  <c r="E29" i="97" l="1"/>
  <c r="E22" i="97"/>
  <c r="G22" i="97" s="1"/>
  <c r="I22" i="97" s="1"/>
  <c r="J22" i="97" s="1"/>
  <c r="E28" i="97"/>
  <c r="E21" i="97"/>
  <c r="E27" i="97"/>
  <c r="E20" i="97"/>
  <c r="K22" i="97" l="1"/>
  <c r="L22" i="97" s="1"/>
  <c r="E16" i="97" l="1"/>
  <c r="H19" i="99"/>
  <c r="J19" i="99" s="1"/>
  <c r="H18" i="99"/>
  <c r="J18" i="99" s="1"/>
  <c r="H17" i="99"/>
  <c r="J17" i="99" s="1"/>
  <c r="J16" i="99"/>
  <c r="H15" i="99"/>
  <c r="J15" i="99" s="1"/>
  <c r="H14" i="99"/>
  <c r="J14" i="99" s="1"/>
  <c r="H13" i="99"/>
  <c r="J13" i="99" s="1"/>
  <c r="H9" i="99"/>
  <c r="H8" i="99"/>
  <c r="J8" i="99" s="1"/>
  <c r="J6" i="99"/>
  <c r="J9" i="99" l="1"/>
  <c r="C29" i="83"/>
  <c r="E8" i="18" l="1"/>
  <c r="G29" i="97" l="1"/>
  <c r="I29" i="97" s="1"/>
  <c r="G30" i="97"/>
  <c r="I30" i="97" s="1"/>
  <c r="I31" i="97"/>
  <c r="M20" i="99"/>
  <c r="L19" i="99"/>
  <c r="L18" i="99"/>
  <c r="L9" i="99"/>
  <c r="A9" i="99"/>
  <c r="L8" i="99"/>
  <c r="G65" i="97"/>
  <c r="I65" i="97" s="1"/>
  <c r="G64" i="97"/>
  <c r="I64" i="97" s="1"/>
  <c r="G63" i="97"/>
  <c r="I63" i="97" s="1"/>
  <c r="G62" i="97"/>
  <c r="I62" i="97" s="1"/>
  <c r="G61" i="97"/>
  <c r="I61" i="97" s="1"/>
  <c r="G60" i="97"/>
  <c r="I60" i="97" s="1"/>
  <c r="G59" i="97"/>
  <c r="I59" i="97" s="1"/>
  <c r="G52" i="97"/>
  <c r="I52" i="97" s="1"/>
  <c r="G51" i="97"/>
  <c r="I51" i="97" s="1"/>
  <c r="G50" i="97"/>
  <c r="G49" i="97"/>
  <c r="G48" i="97"/>
  <c r="G47" i="97"/>
  <c r="I46" i="97"/>
  <c r="K46" i="97" s="1"/>
  <c r="G36" i="97"/>
  <c r="I36" i="97" s="1"/>
  <c r="G35" i="97"/>
  <c r="I35" i="97" s="1"/>
  <c r="G33" i="97"/>
  <c r="I33" i="97" s="1"/>
  <c r="G28" i="97"/>
  <c r="I28" i="97" s="1"/>
  <c r="G27" i="97"/>
  <c r="I27" i="97" s="1"/>
  <c r="G26" i="97"/>
  <c r="I26" i="97" s="1"/>
  <c r="G24" i="97"/>
  <c r="I24" i="97" s="1"/>
  <c r="G23" i="97"/>
  <c r="I23" i="97" s="1"/>
  <c r="G21" i="97"/>
  <c r="I21" i="97" s="1"/>
  <c r="G20" i="97"/>
  <c r="I20" i="97" s="1"/>
  <c r="G19" i="97"/>
  <c r="I19" i="97" s="1"/>
  <c r="I18" i="97"/>
  <c r="K18" i="97" s="1"/>
  <c r="I17" i="97"/>
  <c r="K17" i="97" s="1"/>
  <c r="G16" i="97"/>
  <c r="I16" i="97" s="1"/>
  <c r="G15" i="97"/>
  <c r="I15" i="97" s="1"/>
  <c r="K14" i="97"/>
  <c r="G14" i="97"/>
  <c r="L13" i="97"/>
  <c r="G13" i="97"/>
  <c r="K16" i="97" l="1"/>
  <c r="K23" i="97"/>
  <c r="K21" i="97"/>
  <c r="K20" i="97"/>
  <c r="K26" i="97"/>
  <c r="I47" i="97"/>
  <c r="I49" i="97"/>
  <c r="L14" i="99"/>
  <c r="L16" i="99"/>
  <c r="K13" i="99"/>
  <c r="L15" i="99"/>
  <c r="J30" i="97"/>
  <c r="K30" i="97"/>
  <c r="J17" i="97"/>
  <c r="J46" i="97"/>
  <c r="I48" i="97"/>
  <c r="I50" i="97"/>
  <c r="K50" i="97" s="1"/>
  <c r="K19" i="99"/>
  <c r="M19" i="99" s="1"/>
  <c r="K29" i="97"/>
  <c r="J29" i="97"/>
  <c r="K31" i="97"/>
  <c r="J31" i="97"/>
  <c r="K17" i="99"/>
  <c r="L17" i="99"/>
  <c r="K6" i="99"/>
  <c r="K8" i="99"/>
  <c r="M8" i="99" s="1"/>
  <c r="K9" i="99"/>
  <c r="K18" i="99"/>
  <c r="M18" i="99" s="1"/>
  <c r="L6" i="99"/>
  <c r="J24" i="97"/>
  <c r="K24" i="97"/>
  <c r="J36" i="97"/>
  <c r="K36" i="97"/>
  <c r="J15" i="97"/>
  <c r="K15" i="97"/>
  <c r="J19" i="97"/>
  <c r="K19" i="97"/>
  <c r="J27" i="97"/>
  <c r="K27" i="97"/>
  <c r="K28" i="97"/>
  <c r="J28" i="97"/>
  <c r="K33" i="97"/>
  <c r="J33" i="97"/>
  <c r="K51" i="97"/>
  <c r="J51" i="97"/>
  <c r="L14" i="97"/>
  <c r="J16" i="97"/>
  <c r="J18" i="97"/>
  <c r="J20" i="97"/>
  <c r="J21" i="97"/>
  <c r="J23" i="97"/>
  <c r="J26" i="97"/>
  <c r="K35" i="97"/>
  <c r="K52" i="97"/>
  <c r="K59" i="97"/>
  <c r="K60" i="97"/>
  <c r="K61" i="97"/>
  <c r="K62" i="97"/>
  <c r="K63" i="97"/>
  <c r="K64" i="97"/>
  <c r="K65" i="97"/>
  <c r="J35" i="97"/>
  <c r="J52" i="97"/>
  <c r="J59" i="97"/>
  <c r="I68" i="97" s="1"/>
  <c r="J60" i="97"/>
  <c r="J61" i="97"/>
  <c r="J62" i="97"/>
  <c r="J63" i="97"/>
  <c r="J64" i="97"/>
  <c r="J65" i="97"/>
  <c r="L65" i="97" s="1"/>
  <c r="L15" i="97" l="1"/>
  <c r="L60" i="97"/>
  <c r="M9" i="99"/>
  <c r="L62" i="97"/>
  <c r="L30" i="97"/>
  <c r="L19" i="97"/>
  <c r="L23" i="97"/>
  <c r="M6" i="99"/>
  <c r="L36" i="97"/>
  <c r="L16" i="97"/>
  <c r="M17" i="99"/>
  <c r="L61" i="97"/>
  <c r="L52" i="97"/>
  <c r="L33" i="97"/>
  <c r="L13" i="99"/>
  <c r="M13" i="99" s="1"/>
  <c r="L28" i="97"/>
  <c r="L29" i="97"/>
  <c r="L26" i="97"/>
  <c r="L59" i="97"/>
  <c r="L20" i="97"/>
  <c r="L64" i="97"/>
  <c r="L51" i="97"/>
  <c r="L31" i="97"/>
  <c r="L35" i="97"/>
  <c r="L27" i="97"/>
  <c r="L24" i="97"/>
  <c r="L21" i="97"/>
  <c r="J47" i="97"/>
  <c r="K49" i="97"/>
  <c r="K48" i="97"/>
  <c r="J49" i="97"/>
  <c r="J50" i="97"/>
  <c r="L50" i="97" s="1"/>
  <c r="L63" i="97"/>
  <c r="K16" i="99"/>
  <c r="M16" i="99" s="1"/>
  <c r="J48" i="97"/>
  <c r="K47" i="97"/>
  <c r="K15" i="99"/>
  <c r="M15" i="99" s="1"/>
  <c r="K14" i="99"/>
  <c r="M14" i="99" s="1"/>
  <c r="I53" i="97" l="1"/>
  <c r="I69" i="97" s="1"/>
  <c r="N69" i="97" s="1"/>
  <c r="J21" i="99"/>
  <c r="M21" i="99"/>
  <c r="L68" i="97"/>
  <c r="L48" i="97"/>
  <c r="L49" i="97"/>
  <c r="L47" i="97"/>
  <c r="B26" i="83"/>
  <c r="C26" i="83" s="1"/>
  <c r="B25" i="83"/>
  <c r="C25" i="83" s="1"/>
  <c r="B24" i="83"/>
  <c r="C24" i="83" s="1"/>
  <c r="B23" i="83"/>
  <c r="C23" i="83" s="1"/>
  <c r="B22" i="83"/>
  <c r="B20" i="83"/>
  <c r="C20" i="83" s="1"/>
  <c r="B18" i="83"/>
  <c r="C18" i="83" s="1"/>
  <c r="B16" i="83"/>
  <c r="C16" i="83" s="1"/>
  <c r="B12" i="83"/>
  <c r="C12" i="83" s="1"/>
  <c r="D4" i="83"/>
  <c r="E12" i="82"/>
  <c r="D4" i="82"/>
  <c r="E19" i="82" s="1"/>
  <c r="L53" i="97" l="1"/>
  <c r="L69" i="97" s="1"/>
  <c r="L71" i="97" s="1"/>
  <c r="E8" i="82"/>
  <c r="E10" i="82" s="1"/>
  <c r="C37" i="82" s="1"/>
  <c r="B27" i="83"/>
  <c r="C19" i="83" s="1"/>
  <c r="C22" i="83"/>
  <c r="C39" i="82"/>
  <c r="C31" i="82"/>
  <c r="E14" i="82"/>
  <c r="C42" i="82"/>
  <c r="C36" i="82"/>
  <c r="C34" i="82"/>
  <c r="C27" i="82"/>
  <c r="C25" i="82"/>
  <c r="E42" i="82"/>
  <c r="F42" i="82" s="1"/>
  <c r="E40" i="82"/>
  <c r="F40" i="82" s="1"/>
  <c r="E38" i="82"/>
  <c r="F38" i="82" s="1"/>
  <c r="E36" i="82"/>
  <c r="F36" i="82" s="1"/>
  <c r="E34" i="82"/>
  <c r="F34" i="82" s="1"/>
  <c r="E32" i="82"/>
  <c r="F32" i="82" s="1"/>
  <c r="E30" i="82"/>
  <c r="F30" i="82" s="1"/>
  <c r="E27" i="82"/>
  <c r="F27" i="82" s="1"/>
  <c r="E25" i="82"/>
  <c r="F25" i="82" s="1"/>
  <c r="E41" i="82"/>
  <c r="F41" i="82" s="1"/>
  <c r="E39" i="82"/>
  <c r="F39" i="82" s="1"/>
  <c r="E37" i="82"/>
  <c r="F37" i="82" s="1"/>
  <c r="E35" i="82"/>
  <c r="F35" i="82" s="1"/>
  <c r="E33" i="82"/>
  <c r="F33" i="82" s="1"/>
  <c r="E31" i="82"/>
  <c r="F31" i="82" s="1"/>
  <c r="E29" i="82"/>
  <c r="F29" i="82" s="1"/>
  <c r="E28" i="82"/>
  <c r="F28" i="82" s="1"/>
  <c r="E26" i="82"/>
  <c r="F26" i="82" s="1"/>
  <c r="C30" i="82" l="1"/>
  <c r="C38" i="82"/>
  <c r="C26" i="82"/>
  <c r="C33" i="82"/>
  <c r="C41" i="82"/>
  <c r="C32" i="82"/>
  <c r="C40" i="82"/>
  <c r="C28" i="82"/>
  <c r="C35" i="82"/>
  <c r="C29" i="82"/>
  <c r="C15" i="83"/>
  <c r="C13" i="83"/>
  <c r="C21" i="83"/>
  <c r="C17" i="83"/>
  <c r="C14" i="83"/>
  <c r="D18" i="81" l="1"/>
  <c r="G15" i="81" s="1"/>
  <c r="F15" i="81"/>
  <c r="D14" i="81"/>
  <c r="D13" i="81"/>
  <c r="G13" i="81" s="1"/>
  <c r="D12" i="81"/>
  <c r="G11" i="81"/>
  <c r="F11" i="81"/>
  <c r="D23" i="81" l="1"/>
  <c r="G14" i="81"/>
  <c r="H15" i="81"/>
  <c r="G12" i="81"/>
  <c r="H12" i="81" s="1"/>
  <c r="H11" i="81"/>
  <c r="F13" i="81"/>
  <c r="H13" i="81" s="1"/>
  <c r="H22" i="81" s="1"/>
  <c r="F14" i="81"/>
  <c r="H14" i="81" s="1"/>
  <c r="H21" i="81" s="1"/>
  <c r="H23" i="81" s="1"/>
  <c r="E25" i="18" l="1"/>
  <c r="E24" i="18"/>
  <c r="E23" i="18"/>
  <c r="D37" i="18"/>
  <c r="D36" i="18"/>
  <c r="D35" i="18"/>
  <c r="E26" i="18" l="1"/>
  <c r="F20" i="100"/>
  <c r="F36" i="100"/>
  <c r="F19" i="100"/>
  <c r="E22" i="100"/>
  <c r="E18" i="100"/>
  <c r="F17" i="100" l="1"/>
  <c r="E36" i="100"/>
  <c r="F35" i="100"/>
  <c r="F37" i="100" s="1"/>
  <c r="E35" i="100"/>
  <c r="G19" i="100"/>
  <c r="G18" i="100"/>
  <c r="G17" i="100"/>
  <c r="G22" i="100"/>
  <c r="F22" i="100"/>
  <c r="F18" i="100"/>
  <c r="F21" i="100"/>
  <c r="G16" i="100"/>
  <c r="G20" i="100"/>
  <c r="F16" i="100"/>
  <c r="G21" i="100"/>
  <c r="E21" i="100"/>
  <c r="E20" i="100"/>
  <c r="E17" i="100"/>
  <c r="E16" i="100"/>
  <c r="E19" i="100"/>
  <c r="E37" i="100" l="1"/>
  <c r="C18" i="100"/>
  <c r="C16" i="100"/>
  <c r="C36" i="100"/>
  <c r="D35" i="100"/>
  <c r="D36" i="100"/>
  <c r="F23" i="100"/>
  <c r="G23" i="100"/>
  <c r="C20" i="100"/>
  <c r="C22" i="100"/>
  <c r="C21" i="100"/>
  <c r="E23" i="100"/>
  <c r="C17" i="100"/>
  <c r="D37" i="100" l="1"/>
  <c r="C19" i="100" l="1"/>
  <c r="C23" i="100" s="1"/>
  <c r="C35" i="100"/>
  <c r="C37" i="100" s="1"/>
</calcChain>
</file>

<file path=xl/sharedStrings.xml><?xml version="1.0" encoding="utf-8"?>
<sst xmlns="http://schemas.openxmlformats.org/spreadsheetml/2006/main" count="575" uniqueCount="410">
  <si>
    <t>(B)</t>
  </si>
  <si>
    <t>(C)</t>
  </si>
  <si>
    <t>(D)</t>
  </si>
  <si>
    <t>(E)</t>
  </si>
  <si>
    <t>(F)</t>
  </si>
  <si>
    <t>EPA</t>
  </si>
  <si>
    <t>Management</t>
  </si>
  <si>
    <t>Clerical</t>
  </si>
  <si>
    <t>Occurrences</t>
  </si>
  <si>
    <t>Hours</t>
  </si>
  <si>
    <t>Per</t>
  </si>
  <si>
    <t>Per Year</t>
  </si>
  <si>
    <t>Occurrence</t>
  </si>
  <si>
    <t>Burden Item</t>
  </si>
  <si>
    <t>1.</t>
  </si>
  <si>
    <t>Applications</t>
  </si>
  <si>
    <t>not applicable</t>
  </si>
  <si>
    <t>2.</t>
  </si>
  <si>
    <t>c</t>
  </si>
  <si>
    <t>3.</t>
  </si>
  <si>
    <t>Required Activities</t>
  </si>
  <si>
    <t>A.</t>
  </si>
  <si>
    <t xml:space="preserve"> </t>
  </si>
  <si>
    <t>B.</t>
  </si>
  <si>
    <t>C.</t>
  </si>
  <si>
    <t>Create Information</t>
  </si>
  <si>
    <t>D.</t>
  </si>
  <si>
    <t>Gather Information</t>
  </si>
  <si>
    <t>E.</t>
  </si>
  <si>
    <t>Report Reviews</t>
  </si>
  <si>
    <t>f</t>
  </si>
  <si>
    <t>F.</t>
  </si>
  <si>
    <t xml:space="preserve">Travel expenses:  (1 person *  30 hours per year / 8 hours per day * $75 per diem) + ($600 per round trip) = </t>
  </si>
  <si>
    <t>per trip</t>
  </si>
  <si>
    <t>(A)</t>
  </si>
  <si>
    <t>(G)</t>
  </si>
  <si>
    <t>Number of</t>
  </si>
  <si>
    <t>Technical</t>
  </si>
  <si>
    <t>Total</t>
  </si>
  <si>
    <t>Respondents</t>
  </si>
  <si>
    <t>Labor Costs</t>
  </si>
  <si>
    <t>(Technical</t>
  </si>
  <si>
    <t>Respondent</t>
  </si>
  <si>
    <t>hours)</t>
  </si>
  <si>
    <t>Surveys and Studies</t>
  </si>
  <si>
    <t>Reporting Requirements</t>
  </si>
  <si>
    <t>e</t>
  </si>
  <si>
    <t>Report Preparation</t>
  </si>
  <si>
    <t>d</t>
  </si>
  <si>
    <t>a</t>
  </si>
  <si>
    <t>b</t>
  </si>
  <si>
    <t>One-time only costs.</t>
  </si>
  <si>
    <t>Hours per</t>
  </si>
  <si>
    <t>4.  Recordkeeping Requirements</t>
  </si>
  <si>
    <t>FOOTNOTES</t>
  </si>
  <si>
    <t>Parameters/Costs</t>
  </si>
  <si>
    <t>Equation</t>
  </si>
  <si>
    <t>A. Parameters</t>
  </si>
  <si>
    <t>Notes:</t>
  </si>
  <si>
    <t>Sources:</t>
  </si>
  <si>
    <t>Values</t>
  </si>
  <si>
    <t>B. Testing Costs, $</t>
  </si>
  <si>
    <t>Note:</t>
  </si>
  <si>
    <t>2.  Required activities</t>
  </si>
  <si>
    <t xml:space="preserve">    a.  Perf. spec. tests (certif.) for CMS</t>
  </si>
  <si>
    <t>2.  Person-hours per occurrence for CMS performance specification costs are based on the performance specification costs to certify CMS ($700) divided by the composite hourly</t>
  </si>
  <si>
    <t>1. Bureau of Labor Statistics, Occupational Employment Statistics, May 2008 National Industry-Specific Occupational Employment and Wage Estimates.</t>
  </si>
  <si>
    <t>2. Hospital/Medical/Infectious Waste Incinerators (HMIWI) [EPA-HQ-OAR2006-0534] Testing and Monitoring Options and Costs Memo (IV-B-66).</t>
  </si>
  <si>
    <t>Hourly Mean Wage</t>
  </si>
  <si>
    <t>With  Fringe &amp; Overhead</t>
  </si>
  <si>
    <t>Average</t>
  </si>
  <si>
    <t>from http://www.opm.gov/oca/10tables/</t>
  </si>
  <si>
    <t>Source: http://www.opm.gov/oca/10tables/pdf/gs_h.pdf</t>
  </si>
  <si>
    <t>i</t>
  </si>
  <si>
    <t>3)</t>
  </si>
  <si>
    <t>4)</t>
  </si>
  <si>
    <t>Cost incurred by a facility regardless of the number of affected units at the plant.</t>
  </si>
  <si>
    <t>Labor Type</t>
  </si>
  <si>
    <t>a,d</t>
  </si>
  <si>
    <t>labor rate ($66.41/hr).</t>
  </si>
  <si>
    <t>(GS- 13, step 5) - Mgmt.</t>
  </si>
  <si>
    <t>(GS- 12, step 1) - Tech.</t>
  </si>
  <si>
    <t>(GS-6, step 3) - Cler.</t>
  </si>
  <si>
    <t>1)</t>
  </si>
  <si>
    <t>2)</t>
  </si>
  <si>
    <t>Sector and SOC Code*</t>
  </si>
  <si>
    <r>
      <t>Hourly mean wage</t>
    </r>
    <r>
      <rPr>
        <sz val="8"/>
        <rFont val="Arial"/>
        <family val="2"/>
      </rPr>
      <t xml:space="preserve"> (From OES tables)</t>
    </r>
  </si>
  <si>
    <r>
      <t>Loaded Rate</t>
    </r>
    <r>
      <rPr>
        <sz val="8"/>
        <rFont val="Arial"/>
        <family val="2"/>
      </rPr>
      <t xml:space="preserve"> (Rate + 110%rate)</t>
    </r>
  </si>
  <si>
    <t>Mgmt.</t>
  </si>
  <si>
    <t>Tech.</t>
  </si>
  <si>
    <t>Cler.</t>
  </si>
  <si>
    <t xml:space="preserve">      Composite labor rate</t>
  </si>
  <si>
    <t xml:space="preserve">      Contractor</t>
  </si>
  <si>
    <t>http://www.bls.gov/oes/current/naics4_999300.htm</t>
  </si>
  <si>
    <t>j</t>
  </si>
  <si>
    <t>N/A</t>
  </si>
  <si>
    <t>Incl. in 3.B</t>
  </si>
  <si>
    <t>Incl. in 3.E</t>
  </si>
  <si>
    <t>Incl. in 3.A</t>
  </si>
  <si>
    <t>Managerial</t>
  </si>
  <si>
    <t>B.  Implement Activities</t>
  </si>
  <si>
    <t xml:space="preserve">1. CE Plant Cost index </t>
  </si>
  <si>
    <t xml:space="preserve">    a. 2010 (Feb 10 Final CE Index)</t>
  </si>
  <si>
    <t>b. 2009 (Annual CE Index)</t>
  </si>
  <si>
    <t xml:space="preserve">    c. 1992 (Annual CE Index)</t>
  </si>
  <si>
    <t>1. Method 1 or 1A</t>
  </si>
  <si>
    <t>Included as part of M 23</t>
  </si>
  <si>
    <t>2. Method 26 (HCl)</t>
  </si>
  <si>
    <t xml:space="preserve">= $5,000 x (539.1/358.2) </t>
  </si>
  <si>
    <t>3. Method 23 (CDD/CDF)</t>
  </si>
  <si>
    <t>= $21,000 x (539.1/358.2) - $5,000</t>
  </si>
  <si>
    <t>CRF (20 yr, 7%):</t>
  </si>
  <si>
    <t>(0.07*(1+0.07)^20)/((1+0.07)^20-1)</t>
  </si>
  <si>
    <t>1. Initial testing costs to be annualized over 20 years at 7% interest.</t>
  </si>
  <si>
    <t>2.  Testing costs have been rounded to the nearest $1,000  to be consistent with level of rounding in original costs; costs also adjusted based on additional information from EPA.</t>
  </si>
  <si>
    <t>1.  Memorandum from R. Segall, EPA/EMB, to R. Copland, EPA/SDB.  October 14, 1992. Medical Waste Incinerator Study:  Emission Measurement and Continuous Monitoring. (II-B-89)</t>
  </si>
  <si>
    <t>2.  E-mail from Jason Dewees, EPA, to Peter Westlin, EPA.  August 20, 2008. Monitoring Options for SNCR &amp; Test Cost Questions.</t>
  </si>
  <si>
    <t>3.  E-mail from Jason Dewees, EPA, to Mary Johnson, EPA.  August 20, 2008. Re: Monitoring Options for SNCR &amp; Test Cost Questions.</t>
  </si>
  <si>
    <t>4. Conversation with Ray Merrill, ERG - 11/5/2010.</t>
  </si>
  <si>
    <t>Resin Sampling and Monitoring</t>
  </si>
  <si>
    <t xml:space="preserve">Initial Compliance </t>
  </si>
  <si>
    <t>Total Compliance Cost</t>
  </si>
  <si>
    <t>Annual Cost of Initial Compliance</t>
  </si>
  <si>
    <t>Monitoring</t>
  </si>
  <si>
    <t>Company</t>
  </si>
  <si>
    <t>Location</t>
  </si>
  <si>
    <t>TAC of Resin Testing</t>
  </si>
  <si>
    <t>*National Environmental Methods Index Website https://www.nemi.gov/apex/f?p=237:38:951365369293524::::P38_METHOD_ID:7041</t>
  </si>
  <si>
    <t>Wastewater Sampling and Monitoring</t>
  </si>
  <si>
    <t>4) Continuous parameter monitoring</t>
  </si>
  <si>
    <t>C.  Develop Record System</t>
  </si>
  <si>
    <t>D.  Record Information</t>
  </si>
  <si>
    <t>E. Personnel Training</t>
  </si>
  <si>
    <t>F. Time for Audits</t>
  </si>
  <si>
    <t>These rates are from the United States Department of Labor, Bureau of Labor Statistics, September 2009, ATable 2. Civilian Workers, by occupational and industry group.@  The rates are from column 1, ATotal compensation.@  The rates have been increased by 110 percent to account for the benefit packages available to those employed by private industry.</t>
  </si>
  <si>
    <t>3) Establish operating parameters and monitoring plan</t>
  </si>
  <si>
    <t>Review notification of compliance status</t>
  </si>
  <si>
    <t>1) Initial performance test, sampling, and report</t>
  </si>
  <si>
    <t>2) Periodic performance test, sampling, and report</t>
  </si>
  <si>
    <t>Review initial notification</t>
  </si>
  <si>
    <t>Review notification of performance test</t>
  </si>
  <si>
    <t>Review compliance report</t>
  </si>
  <si>
    <t>4.</t>
  </si>
  <si>
    <r>
      <t>tests per month for each type of resin x 2 strippers</t>
    </r>
    <r>
      <rPr>
        <vertAlign val="superscript"/>
        <sz val="10"/>
        <rFont val="Arial"/>
        <family val="2"/>
      </rPr>
      <t>2</t>
    </r>
  </si>
  <si>
    <t>2. Average number of strippers calculated from facility submitted survey data</t>
  </si>
  <si>
    <r>
      <t>outlet tests x 2 strippers</t>
    </r>
    <r>
      <rPr>
        <vertAlign val="superscript"/>
        <sz val="10"/>
        <rFont val="Arial"/>
        <family val="2"/>
      </rPr>
      <t>2</t>
    </r>
  </si>
  <si>
    <t>Process Vents Emission Testing Costs</t>
  </si>
  <si>
    <t>Testing Freq.*</t>
  </si>
  <si>
    <t>Annual Cost fo Test</t>
  </si>
  <si>
    <t xml:space="preserve">Annual Cost of Initial Test </t>
  </si>
  <si>
    <t>TAC of Testing</t>
  </si>
  <si>
    <t>4. Method 25A (THC)</t>
  </si>
  <si>
    <t>=$6,000x(539.1/521.9)</t>
  </si>
  <si>
    <t xml:space="preserve">C. </t>
  </si>
  <si>
    <t>D. Facility Totals</t>
  </si>
  <si>
    <t>1. HCl, TOH, &amp;VC</t>
  </si>
  <si>
    <t>2. CDD/CDF</t>
  </si>
  <si>
    <t>3. Facility Total</t>
  </si>
  <si>
    <t>* Number of Years Between Tests</t>
  </si>
  <si>
    <t>Table 1 - Annual Respondent Burden and Cost of Recordkeeping and Reporting Requirements of the MACT Floor</t>
  </si>
  <si>
    <t>Review batch precompliance report</t>
  </si>
  <si>
    <t>5)</t>
  </si>
  <si>
    <t>6)</t>
  </si>
  <si>
    <t>Review notice of inspection</t>
  </si>
  <si>
    <t>g</t>
  </si>
  <si>
    <t>Formosa - Baton Rouge</t>
  </si>
  <si>
    <t>Formosa - Delaware City</t>
  </si>
  <si>
    <t>Formosa - Point Comfort</t>
  </si>
  <si>
    <t>Georgia Gulf - Aberdeen</t>
  </si>
  <si>
    <t>Georgia Gulf - Plaquemine</t>
  </si>
  <si>
    <t>OxyVinyls - Pasadena</t>
  </si>
  <si>
    <t>OxyVinyls - Pedricktown</t>
  </si>
  <si>
    <t>PolyOne - Henry</t>
  </si>
  <si>
    <t>Shintech - Addis</t>
  </si>
  <si>
    <t>Shintech - Freeport</t>
  </si>
  <si>
    <t>Shintech - Plaquemine</t>
  </si>
  <si>
    <t>Dow - Midland</t>
  </si>
  <si>
    <t>Westlake - Calvert City</t>
  </si>
  <si>
    <t>Westlake - Geismar</t>
  </si>
  <si>
    <t>40CFR61 V</t>
  </si>
  <si>
    <t>40CFR63 UU</t>
  </si>
  <si>
    <t>LDAR Cost increase for V to UU</t>
  </si>
  <si>
    <t>5. Method 18 (assumed cost is equal to Method SW 846 0031)</t>
  </si>
  <si>
    <t>PolyOne - Pedricktown</t>
  </si>
  <si>
    <t>Low</t>
  </si>
  <si>
    <t>High</t>
  </si>
  <si>
    <t>Cost of US EPA Method 8260B [1]</t>
  </si>
  <si>
    <t>`= (3 inlet tests*Avg Cost*2 Strippers)*CRF</t>
  </si>
  <si>
    <t>Initial Compliance Costs</t>
  </si>
  <si>
    <t>Annualized Initial Compliance Costs</t>
  </si>
  <si>
    <t>Dispersion</t>
  </si>
  <si>
    <t>Suspension</t>
  </si>
  <si>
    <t>Copolymer (VDCO-S)</t>
  </si>
  <si>
    <t>Copolymer (VACO-D)</t>
  </si>
  <si>
    <t>Suspension Blending</t>
  </si>
  <si>
    <t>1. National Environmental Methods Index Website https://www.nemi.gov/apex/f?p=237:38:951365369293524::::P38_METHOD_ID:7041</t>
  </si>
  <si>
    <t>Cost of US EPA Method 8260B</t>
  </si>
  <si>
    <t>Cost of US EPA Method 305</t>
  </si>
  <si>
    <t>http://analyticallaboratories.com/page.cfm?pageid=90 (Cost of Volatile Organics)</t>
  </si>
  <si>
    <t>Cost of US EPA Method 107</t>
  </si>
  <si>
    <t xml:space="preserve">Assume no cost since facilities are presumably already testing VC (Based on VI submitted data). </t>
  </si>
  <si>
    <t>Initial Uncontrolled Stream Testing</t>
  </si>
  <si>
    <t>Number of Uncontrolled Streams (As reported in survey data)</t>
  </si>
  <si>
    <t>Number of Uncontrolled Streams with average for missing data</t>
  </si>
  <si>
    <t>Count of Wastewater StreamID_STD</t>
  </si>
  <si>
    <t>FacilityName</t>
  </si>
  <si>
    <t>Formosa Plastics Corporation Baton Rouge</t>
  </si>
  <si>
    <t>Georgia Gulf Chemicals Aberdeen Facility</t>
  </si>
  <si>
    <t>Lake Charles Polymer Plant</t>
  </si>
  <si>
    <t>OxyVinyls Deer Park</t>
  </si>
  <si>
    <t>OxyVinyls Pasadena</t>
  </si>
  <si>
    <t>PolyOne Henry</t>
  </si>
  <si>
    <t>Shintech Addis</t>
  </si>
  <si>
    <t>Shintech Freeport</t>
  </si>
  <si>
    <t>Shintech Plaquemine</t>
  </si>
  <si>
    <t>Union Carbide Texas City</t>
  </si>
  <si>
    <t>Westlake Calvert City</t>
  </si>
  <si>
    <t>Westlake Geismar</t>
  </si>
  <si>
    <t>Grand Total</t>
  </si>
  <si>
    <t>h</t>
  </si>
  <si>
    <t>(H)</t>
  </si>
  <si>
    <t>(C=A x C</t>
  </si>
  <si>
    <t>(F x 0.05)</t>
  </si>
  <si>
    <t>(F x 0.1)</t>
  </si>
  <si>
    <t>(D x E)</t>
  </si>
  <si>
    <t>k</t>
  </si>
  <si>
    <t xml:space="preserve">Reporting subtotal does not include capital costs for PRD monitoring system.  </t>
  </si>
  <si>
    <t>Assumes EPA personnel attend 20 percent of the initial process vent stack tests.</t>
  </si>
  <si>
    <t>n/a</t>
  </si>
  <si>
    <t>Other Sources</t>
  </si>
  <si>
    <t>Heat Exchange Systems</t>
  </si>
  <si>
    <t>Storage Vessels</t>
  </si>
  <si>
    <t>Equipment Leaks</t>
  </si>
  <si>
    <t>Wastewater</t>
  </si>
  <si>
    <t>Process Vents</t>
  </si>
  <si>
    <t>Resins</t>
  </si>
  <si>
    <t>Yr 3</t>
  </si>
  <si>
    <t>Yr 2</t>
  </si>
  <si>
    <t>Yr 1</t>
  </si>
  <si>
    <t>Record Keeping and Reporting Burden By Emission Point</t>
  </si>
  <si>
    <t>Initial Cost
($)</t>
  </si>
  <si>
    <t>Annual Cost ($/yr)</t>
  </si>
  <si>
    <t>Initial Notes</t>
  </si>
  <si>
    <t>Labor/Non Labor Costs to "Read/Understand Rule Requirements" divided by 7 emission points</t>
  </si>
  <si>
    <t>Initial Performance Test/Sampling/Report</t>
  </si>
  <si>
    <t>Establishment of operating parameters and monitoring plan</t>
  </si>
  <si>
    <t>Report preparation for item 3.E.1-6 divided by 7 emission points</t>
  </si>
  <si>
    <t>a,b,c,d</t>
  </si>
  <si>
    <t>a,b,d</t>
  </si>
  <si>
    <t>Annual Notes</t>
  </si>
  <si>
    <t>Periodic sampling/testing/and monitoring (not applicable for process vents in year 1)</t>
  </si>
  <si>
    <t>In year 2 and 3, recordkeeping items under 4.D are included</t>
  </si>
  <si>
    <t>includes annual labor cost for PRD monitoring system</t>
  </si>
  <si>
    <t>e,f,g</t>
  </si>
  <si>
    <t>e,f,g,h</t>
  </si>
  <si>
    <t>Years 2 and 3 include items 3.E.5 and 3.E.6 divided by 7 emission points</t>
  </si>
  <si>
    <t>Emission Point</t>
  </si>
  <si>
    <t>Record Keeping and Reporting Burden by Emission Point</t>
  </si>
  <si>
    <t xml:space="preserve">Note: This table is used to caluclate the record keeping and reporting burden by emission point for the PVC NESHAP. The costs presented </t>
  </si>
  <si>
    <t xml:space="preserve">in the table below represent costs not otherwise included in the PVC NESHAP Impact estimate (i.e., testing and monitoring costs are already </t>
  </si>
  <si>
    <t xml:space="preserve">included in the PVC NESHAP impacts estimate, therefore, they are not included in the table below). The costs presented in the table below </t>
  </si>
  <si>
    <t xml:space="preserve">should be added to the previously calculated PVC Impacts to obtain an impacts estimate which includes record keeping and reporting. </t>
  </si>
  <si>
    <t>WastewaterTesting and Sampling Cost Estimate</t>
  </si>
  <si>
    <t>Hourly Rate Determinations</t>
  </si>
  <si>
    <r>
      <t>LDAR Program</t>
    </r>
    <r>
      <rPr>
        <b/>
        <vertAlign val="superscript"/>
        <sz val="10"/>
        <rFont val="Times New Roman"/>
        <family val="1"/>
      </rPr>
      <t>[1]</t>
    </r>
  </si>
  <si>
    <t>(A) PRV Monitoring System Capital Cost ($)</t>
  </si>
  <si>
    <t>(B) Capital Cost Increase of LDAR ($)</t>
  </si>
  <si>
    <t>(C) TCI ($)
C=A+B</t>
  </si>
  <si>
    <t>(D) Annualized Capital Cost Increase of LDAR</t>
  </si>
  <si>
    <t>(E) Annual Increase in LDAR Cost</t>
  </si>
  <si>
    <t>(F) Total Annualized Increase LDAR Cost
F=D+E</t>
  </si>
  <si>
    <t>(G) Annualize Capital Cost of PRV Monitoring System ($)</t>
  </si>
  <si>
    <t>(H) TAC ($)
H=D+E+G</t>
  </si>
  <si>
    <t>Facilities going from V to UU</t>
  </si>
  <si>
    <t>Incremental BTF Costs for Facilities going from V to UU</t>
  </si>
  <si>
    <t>Equipment Leaks BTF Costs Calculation on a Facility Basis</t>
  </si>
  <si>
    <t>MACT</t>
  </si>
  <si>
    <t>ATTACHMENT E: RECORDKEEPING AND REPORTING COST ALGORITHM</t>
  </si>
  <si>
    <t xml:space="preserve">15 WW Strippers + Sum of Uncontrolled Streams = </t>
  </si>
  <si>
    <t>Increase: Update labor rates</t>
  </si>
  <si>
    <t xml:space="preserve">for Existing Major Sources: Polyvinyl Chloride and Copolymer Manufacturing Units </t>
  </si>
  <si>
    <t xml:space="preserve">(C) </t>
  </si>
  <si>
    <t xml:space="preserve">(D) </t>
  </si>
  <si>
    <t>(E) Technical person-hours per year (E=CxD)</t>
  </si>
  <si>
    <t>(F) Management person-hours per year (Ex0.05)</t>
  </si>
  <si>
    <t>(G) Clerical person-hours per year (Ex0.10)</t>
  </si>
  <si>
    <t xml:space="preserve">(H) </t>
  </si>
  <si>
    <t>EPA person-hours per occurrence</t>
  </si>
  <si>
    <t>No. of occurrences per plant per year</t>
  </si>
  <si>
    <t>EPA person-hours per plant per year (C=AxB)</t>
  </si>
  <si>
    <r>
      <t xml:space="preserve">Excess emissions -- Enforcement Activities </t>
    </r>
    <r>
      <rPr>
        <vertAlign val="superscript"/>
        <sz val="9"/>
        <rFont val="Arial"/>
        <family val="2"/>
      </rPr>
      <t>d</t>
    </r>
  </si>
  <si>
    <t>Using four hours per state (8 states) to write annual summary report.</t>
  </si>
  <si>
    <t>hr per resp</t>
  </si>
  <si>
    <t>l</t>
  </si>
  <si>
    <t>Per VI, it is assumed that performance testing for process vents will take 4 hours per sample for 9 samples per facility, initially and daily (350 days per year). See continuous monthly sampling &amp; testing of Non-VC TOHAP in O&amp;M section.</t>
  </si>
  <si>
    <t>Per VI, Estimated that semi annual compliance reports would take 40 technical hours twice per year.</t>
  </si>
  <si>
    <t>5) Other requirements</t>
  </si>
  <si>
    <t>Per VI, it will require 24 hr to evaluate compliance options, order materials, monitor installation, and developing O&amp;M procedures. Note: there are only 15 gas holders in the industry among major &amp; area sources.</t>
  </si>
  <si>
    <t>m</t>
  </si>
  <si>
    <t>n</t>
  </si>
  <si>
    <t>o</t>
  </si>
  <si>
    <t xml:space="preserve">Per VI, 40 hr per facility to develop initial and ongoing compliance, inspection,and maintenance plans and procedures. </t>
  </si>
  <si>
    <t>p</t>
  </si>
  <si>
    <t xml:space="preserve">Per VI, 40 hr per facility for traning, development, and implementation; and it will take 1 hr per month to inspect car seals per facility. </t>
  </si>
  <si>
    <t>Capital/Startup vs. Operation and Maintenance (O&amp;M) Costs</t>
  </si>
  <si>
    <t>Continuous Monitoring Device</t>
  </si>
  <si>
    <t>Capital/Startup Cost for One Respondent</t>
  </si>
  <si>
    <t xml:space="preserve">Number of New Respondents </t>
  </si>
  <si>
    <t>Total Capital/Startup Cost,  (B X C)</t>
  </si>
  <si>
    <t>Annual O&amp;M Costs for One Respondent</t>
  </si>
  <si>
    <t>Number of Respondents  with O&amp;M</t>
  </si>
  <si>
    <t>Total O&amp;M,</t>
  </si>
  <si>
    <t>(E X F)</t>
  </si>
  <si>
    <t>Continuous Parameter Monitoring</t>
  </si>
  <si>
    <t>Periodic Testing</t>
  </si>
  <si>
    <t>Gas holders</t>
  </si>
  <si>
    <r>
      <t>1</t>
    </r>
    <r>
      <rPr>
        <sz val="9"/>
        <color rgb="FF000000"/>
        <rFont val="Times New Roman"/>
        <family val="1"/>
      </rPr>
      <t xml:space="preserve">Monthly testing ($601 x 12 months = $7,212 per year) </t>
    </r>
  </si>
  <si>
    <r>
      <t xml:space="preserve">Stripped resin: Non-VC TOHAP testing </t>
    </r>
    <r>
      <rPr>
        <vertAlign val="superscript"/>
        <sz val="10"/>
        <color rgb="FF000000"/>
        <rFont val="Times New Roman"/>
        <family val="1"/>
      </rPr>
      <t>2</t>
    </r>
  </si>
  <si>
    <r>
      <t>3</t>
    </r>
    <r>
      <rPr>
        <sz val="9"/>
        <color rgb="FF000000"/>
        <rFont val="Times New Roman"/>
        <family val="1"/>
      </rPr>
      <t>Monthly testing ($491 x 12 months = $5,892 per year)</t>
    </r>
  </si>
  <si>
    <r>
      <t>Wastewater Testing</t>
    </r>
    <r>
      <rPr>
        <vertAlign val="superscript"/>
        <sz val="10"/>
        <color rgb="FF000000"/>
        <rFont val="Times New Roman"/>
        <family val="1"/>
      </rPr>
      <t>3</t>
    </r>
  </si>
  <si>
    <r>
      <t>Wastewater: Non-VC TOHAP testing</t>
    </r>
    <r>
      <rPr>
        <vertAlign val="superscript"/>
        <sz val="10"/>
        <color rgb="FF000000"/>
        <rFont val="Times New Roman"/>
        <family val="1"/>
      </rPr>
      <t>4</t>
    </r>
  </si>
  <si>
    <r>
      <t>5</t>
    </r>
    <r>
      <rPr>
        <sz val="9"/>
        <color rgb="FF000000"/>
        <rFont val="Times New Roman"/>
        <family val="1"/>
      </rPr>
      <t>Per VI's comments, there are 5 uncontrolled wastewater streams per source sampled annually.</t>
    </r>
  </si>
  <si>
    <r>
      <t xml:space="preserve">Uncontrolled Wastewater testing </t>
    </r>
    <r>
      <rPr>
        <vertAlign val="superscript"/>
        <sz val="10"/>
        <color rgb="FF000000"/>
        <rFont val="Times New Roman"/>
        <family val="1"/>
      </rPr>
      <t>5</t>
    </r>
  </si>
  <si>
    <r>
      <t xml:space="preserve">Uncontrolled wastewater: Non-VC TOHAP testing </t>
    </r>
    <r>
      <rPr>
        <vertAlign val="superscript"/>
        <sz val="10"/>
        <color rgb="FF000000"/>
        <rFont val="Times New Roman"/>
        <family val="1"/>
      </rPr>
      <t>6</t>
    </r>
  </si>
  <si>
    <r>
      <t xml:space="preserve">Resin Sampling and Monitoring </t>
    </r>
    <r>
      <rPr>
        <vertAlign val="superscript"/>
        <sz val="10"/>
        <color rgb="FF000000"/>
        <rFont val="Times New Roman"/>
        <family val="1"/>
      </rPr>
      <t>1</t>
    </r>
  </si>
  <si>
    <r>
      <t>6</t>
    </r>
    <r>
      <rPr>
        <sz val="9"/>
        <color rgb="FF000000"/>
        <rFont val="Times New Roman"/>
        <family val="1"/>
      </rPr>
      <t>Per VI's comments, the costs of Non-VC TOHAP testing is $650 per sample, and five samples per facility.</t>
    </r>
  </si>
  <si>
    <r>
      <rPr>
        <vertAlign val="superscript"/>
        <sz val="9"/>
        <rFont val="Times New Roman"/>
        <family val="1"/>
      </rPr>
      <t>8</t>
    </r>
    <r>
      <rPr>
        <sz val="9"/>
        <rFont val="Times New Roman"/>
        <family val="1"/>
      </rPr>
      <t xml:space="preserve"> Per VI's comments, the capital cost of the PRD monitor is $15,000 per device, and it is assumed that 25 devices per facility require indicators.</t>
    </r>
  </si>
  <si>
    <r>
      <t xml:space="preserve">PRD Electronic Monitor </t>
    </r>
    <r>
      <rPr>
        <vertAlign val="superscript"/>
        <sz val="10"/>
        <color rgb="FF000000"/>
        <rFont val="Times New Roman"/>
        <family val="1"/>
      </rPr>
      <t>8</t>
    </r>
  </si>
  <si>
    <r>
      <t xml:space="preserve">VC Ambient monitoring  </t>
    </r>
    <r>
      <rPr>
        <vertAlign val="superscript"/>
        <sz val="10"/>
        <color rgb="FF000000"/>
        <rFont val="Times New Roman"/>
        <family val="1"/>
      </rPr>
      <t>9</t>
    </r>
  </si>
  <si>
    <r>
      <t>4</t>
    </r>
    <r>
      <rPr>
        <sz val="9"/>
        <color rgb="FF000000"/>
        <rFont val="Times New Roman"/>
        <family val="1"/>
      </rPr>
      <t>Per VI's comments, the costs of Non-VC TOHAP testing is $650 per sample, and one sample per facility.</t>
    </r>
  </si>
  <si>
    <r>
      <t>2</t>
    </r>
    <r>
      <rPr>
        <sz val="9"/>
        <color rgb="FF000000"/>
        <rFont val="Times New Roman"/>
        <family val="1"/>
      </rPr>
      <t>Per VI's comments, the costs of Non-VC TOHAP testing is $650 per sample, and 3 resin samples per facility.</t>
    </r>
  </si>
  <si>
    <t>A.  Familiarization with Regulatory Requirements</t>
  </si>
  <si>
    <t>q</t>
  </si>
  <si>
    <t xml:space="preserve"> Totals have been rounded to 3 significant figures.  Figures may not add exactly due to rounding.</t>
  </si>
  <si>
    <t>Subtotal for Recordkeeping Requirements</t>
  </si>
  <si>
    <t>2018:</t>
  </si>
  <si>
    <t>Totals have been rounded to 3 significant figures.  Figures may not add exactly due to rounding.</t>
  </si>
  <si>
    <t>Familiarization with Rule Requirements</t>
  </si>
  <si>
    <t>It will take 8 employees 8 hours per person to read and understand the rule requirements.</t>
  </si>
  <si>
    <t>Per VI, wastewater testing is estimated to take 4 hours per sample for 2 samples per facility. There are 16 wastewater streams for 17 major sources, yields 16/17 wastewater streams per major source that are sampled monthly.  There are 5 uncontrolled wastewater streams per source that are sampled annually.  See Capital/O&amp;M costs for non-VC TOHAP samples.</t>
  </si>
  <si>
    <t>Assume 10% of major source facilities (15) have emission exceedances.</t>
  </si>
  <si>
    <r>
      <t>7</t>
    </r>
    <r>
      <rPr>
        <sz val="9"/>
        <color rgb="FF000000"/>
        <rFont val="Times New Roman"/>
        <family val="1"/>
      </rPr>
      <t xml:space="preserve">15 facilities are expected to be required to increase stringency of their LDAR programs to 40 CFR Part 63, Subpart UU.  </t>
    </r>
  </si>
  <si>
    <r>
      <rPr>
        <vertAlign val="superscript"/>
        <sz val="9"/>
        <rFont val="Times New Roman"/>
        <family val="1"/>
      </rPr>
      <t>9</t>
    </r>
    <r>
      <rPr>
        <sz val="9"/>
        <rFont val="Times New Roman"/>
        <family val="1"/>
      </rPr>
      <t xml:space="preserve"> Per VI's comments, there are 71 GC monitors in the industry (3 area source and 15 major source) with an annual O&amp;M cost of $45,000 per monitor.  </t>
    </r>
  </si>
  <si>
    <r>
      <t>Process Vent Testing</t>
    </r>
    <r>
      <rPr>
        <vertAlign val="superscript"/>
        <sz val="10"/>
        <color rgb="FF000000"/>
        <rFont val="Times New Roman"/>
        <family val="1"/>
      </rPr>
      <t>10</t>
    </r>
  </si>
  <si>
    <t xml:space="preserve">Equipment Leak Testing </t>
  </si>
  <si>
    <r>
      <rPr>
        <vertAlign val="superscript"/>
        <sz val="9"/>
        <rFont val="Times New Roman"/>
        <family val="1"/>
      </rPr>
      <t>10</t>
    </r>
    <r>
      <rPr>
        <sz val="9"/>
        <rFont val="Times New Roman"/>
        <family val="1"/>
      </rPr>
      <t xml:space="preserve"> Per VI's comments, the cost to test one thermal oxidizer in 2018 was $99,080 and there are 32 thermal oxidizers in operation at 15 major source facilities</t>
    </r>
  </si>
  <si>
    <t>&lt;-- updated to total # of respondents</t>
  </si>
  <si>
    <r>
      <t xml:space="preserve">Familiarization with Regulatory Requirements </t>
    </r>
    <r>
      <rPr>
        <vertAlign val="superscript"/>
        <sz val="8"/>
        <rFont val="Arial"/>
        <family val="2"/>
      </rPr>
      <t>e,n</t>
    </r>
  </si>
  <si>
    <r>
      <t xml:space="preserve">a) Process Vents </t>
    </r>
    <r>
      <rPr>
        <vertAlign val="superscript"/>
        <sz val="8"/>
        <rFont val="Arial"/>
        <family val="2"/>
      </rPr>
      <t>c,e</t>
    </r>
  </si>
  <si>
    <r>
      <t xml:space="preserve">b) Resins </t>
    </r>
    <r>
      <rPr>
        <vertAlign val="superscript"/>
        <sz val="8"/>
        <rFont val="Arial"/>
        <family val="2"/>
      </rPr>
      <t>c,g</t>
    </r>
    <r>
      <rPr>
        <sz val="8"/>
        <rFont val="Arial"/>
        <family val="2"/>
      </rPr>
      <t xml:space="preserve"> </t>
    </r>
  </si>
  <si>
    <r>
      <t xml:space="preserve">c) wastewater </t>
    </r>
    <r>
      <rPr>
        <vertAlign val="superscript"/>
        <sz val="8"/>
        <rFont val="Arial"/>
        <family val="2"/>
      </rPr>
      <t>c,h</t>
    </r>
  </si>
  <si>
    <r>
      <t xml:space="preserve">d) uncontrolled wastewater </t>
    </r>
    <r>
      <rPr>
        <vertAlign val="superscript"/>
        <sz val="8"/>
        <rFont val="Arial"/>
        <family val="2"/>
      </rPr>
      <t>c,h</t>
    </r>
  </si>
  <si>
    <r>
      <t xml:space="preserve">e) heat exchangers </t>
    </r>
    <r>
      <rPr>
        <vertAlign val="superscript"/>
        <sz val="8"/>
        <rFont val="Arial"/>
        <family val="2"/>
      </rPr>
      <t>c,i</t>
    </r>
  </si>
  <si>
    <r>
      <t xml:space="preserve">f) equipment leaks </t>
    </r>
    <r>
      <rPr>
        <vertAlign val="superscript"/>
        <sz val="8"/>
        <rFont val="Arial"/>
        <family val="2"/>
      </rPr>
      <t>c,j</t>
    </r>
  </si>
  <si>
    <r>
      <t>a) Process Vents</t>
    </r>
    <r>
      <rPr>
        <vertAlign val="superscript"/>
        <sz val="8"/>
        <rFont val="Arial"/>
        <family val="2"/>
      </rPr>
      <t xml:space="preserve"> f</t>
    </r>
  </si>
  <si>
    <r>
      <t xml:space="preserve">b) Resins </t>
    </r>
    <r>
      <rPr>
        <vertAlign val="superscript"/>
        <sz val="8"/>
        <rFont val="Arial"/>
        <family val="2"/>
      </rPr>
      <t>g</t>
    </r>
  </si>
  <si>
    <r>
      <t xml:space="preserve">c) wastewater </t>
    </r>
    <r>
      <rPr>
        <vertAlign val="superscript"/>
        <sz val="8"/>
        <rFont val="Arial"/>
        <family val="2"/>
      </rPr>
      <t>h</t>
    </r>
  </si>
  <si>
    <r>
      <t xml:space="preserve">d) uncontrolled wastehater </t>
    </r>
    <r>
      <rPr>
        <vertAlign val="superscript"/>
        <sz val="8"/>
        <rFont val="Arial"/>
        <family val="2"/>
      </rPr>
      <t>h</t>
    </r>
  </si>
  <si>
    <r>
      <t xml:space="preserve">e) heat exchangers </t>
    </r>
    <r>
      <rPr>
        <vertAlign val="superscript"/>
        <sz val="8"/>
        <rFont val="Arial"/>
        <family val="2"/>
      </rPr>
      <t>i</t>
    </r>
  </si>
  <si>
    <r>
      <t xml:space="preserve">f) equipment leaks </t>
    </r>
    <r>
      <rPr>
        <vertAlign val="superscript"/>
        <sz val="8"/>
        <rFont val="Arial"/>
        <family val="2"/>
      </rPr>
      <t>j</t>
    </r>
  </si>
  <si>
    <r>
      <t xml:space="preserve">a) Process Vents </t>
    </r>
    <r>
      <rPr>
        <vertAlign val="superscript"/>
        <sz val="8"/>
        <rFont val="Arial"/>
        <family val="2"/>
      </rPr>
      <t>c,d,e</t>
    </r>
  </si>
  <si>
    <r>
      <t xml:space="preserve">a) Initial capital costs (PRD Electronic Monitor) </t>
    </r>
    <r>
      <rPr>
        <vertAlign val="superscript"/>
        <sz val="8"/>
        <rFont val="Arial"/>
        <family val="2"/>
      </rPr>
      <t>c,ik</t>
    </r>
  </si>
  <si>
    <r>
      <t xml:space="preserve">b) Annualized capital and O&amp;M costs (PRD Electronic Monitor) </t>
    </r>
    <r>
      <rPr>
        <vertAlign val="superscript"/>
        <sz val="8"/>
        <rFont val="Arial"/>
        <family val="2"/>
      </rPr>
      <t>k</t>
    </r>
  </si>
  <si>
    <r>
      <t xml:space="preserve">a) equipment openings, initial measurement </t>
    </r>
    <r>
      <rPr>
        <vertAlign val="superscript"/>
        <sz val="8"/>
        <rFont val="Arial"/>
        <family val="2"/>
      </rPr>
      <t>c,o</t>
    </r>
  </si>
  <si>
    <r>
      <t>b) equipment openings, daily measurement</t>
    </r>
    <r>
      <rPr>
        <vertAlign val="superscript"/>
        <sz val="8"/>
        <rFont val="Arial"/>
        <family val="2"/>
      </rPr>
      <t xml:space="preserve"> o</t>
    </r>
  </si>
  <si>
    <r>
      <t xml:space="preserve">c) gasholders </t>
    </r>
    <r>
      <rPr>
        <vertAlign val="superscript"/>
        <sz val="8"/>
        <rFont val="Arial"/>
        <family val="2"/>
      </rPr>
      <t>c,p</t>
    </r>
  </si>
  <si>
    <r>
      <t>d) storage vessels</t>
    </r>
    <r>
      <rPr>
        <vertAlign val="superscript"/>
        <sz val="8"/>
        <rFont val="Arial"/>
        <family val="2"/>
      </rPr>
      <t xml:space="preserve"> c,q</t>
    </r>
  </si>
  <si>
    <r>
      <t xml:space="preserve">e) bypasses, initial requirement </t>
    </r>
    <r>
      <rPr>
        <vertAlign val="superscript"/>
        <sz val="8"/>
        <rFont val="Arial"/>
        <family val="2"/>
      </rPr>
      <t>c,r</t>
    </r>
  </si>
  <si>
    <r>
      <t xml:space="preserve">f) bypasses, ongoing inspection </t>
    </r>
    <r>
      <rPr>
        <vertAlign val="superscript"/>
        <sz val="8"/>
        <rFont val="Arial"/>
        <family val="2"/>
      </rPr>
      <t>r</t>
    </r>
  </si>
  <si>
    <r>
      <t xml:space="preserve">1) Initial Notification </t>
    </r>
    <r>
      <rPr>
        <vertAlign val="superscript"/>
        <sz val="8"/>
        <rFont val="Arial"/>
        <family val="2"/>
      </rPr>
      <t>c,d</t>
    </r>
  </si>
  <si>
    <r>
      <t xml:space="preserve">2) Batch precompliance report </t>
    </r>
    <r>
      <rPr>
        <vertAlign val="superscript"/>
        <sz val="8"/>
        <rFont val="Arial"/>
        <family val="2"/>
      </rPr>
      <t>c,d</t>
    </r>
  </si>
  <si>
    <r>
      <t xml:space="preserve">3) Notification of performance test with test plan </t>
    </r>
    <r>
      <rPr>
        <vertAlign val="superscript"/>
        <sz val="8"/>
        <rFont val="Arial"/>
        <family val="2"/>
      </rPr>
      <t>c,d</t>
    </r>
  </si>
  <si>
    <r>
      <t xml:space="preserve">4) Notification of compliance status </t>
    </r>
    <r>
      <rPr>
        <vertAlign val="superscript"/>
        <sz val="8"/>
        <rFont val="Arial"/>
        <family val="2"/>
      </rPr>
      <t>c,d</t>
    </r>
  </si>
  <si>
    <r>
      <t xml:space="preserve">5) Compliance report </t>
    </r>
    <r>
      <rPr>
        <vertAlign val="superscript"/>
        <sz val="8"/>
        <rFont val="Arial"/>
        <family val="2"/>
      </rPr>
      <t>d,k</t>
    </r>
  </si>
  <si>
    <r>
      <t xml:space="preserve">6) Notice of inspection </t>
    </r>
    <r>
      <rPr>
        <vertAlign val="superscript"/>
        <sz val="8"/>
        <rFont val="Arial"/>
        <family val="2"/>
      </rPr>
      <t>d</t>
    </r>
  </si>
  <si>
    <r>
      <t xml:space="preserve">Subtotal for Reporting Requirements </t>
    </r>
    <r>
      <rPr>
        <b/>
        <i/>
        <vertAlign val="superscript"/>
        <sz val="8"/>
        <rFont val="Arial"/>
        <family val="2"/>
      </rPr>
      <t>m</t>
    </r>
  </si>
  <si>
    <r>
      <t xml:space="preserve">1) Records of process vent requirements </t>
    </r>
    <r>
      <rPr>
        <vertAlign val="superscript"/>
        <sz val="8"/>
        <rFont val="Arial"/>
        <family val="2"/>
      </rPr>
      <t>d</t>
    </r>
  </si>
  <si>
    <r>
      <t xml:space="preserve">2) Records of resin stripper requirements </t>
    </r>
    <r>
      <rPr>
        <vertAlign val="superscript"/>
        <sz val="8"/>
        <rFont val="Arial"/>
        <family val="2"/>
      </rPr>
      <t>d</t>
    </r>
  </si>
  <si>
    <r>
      <t xml:space="preserve">3) Records wastewater requirements </t>
    </r>
    <r>
      <rPr>
        <vertAlign val="superscript"/>
        <sz val="8"/>
        <rFont val="Arial"/>
        <family val="2"/>
      </rPr>
      <t>d</t>
    </r>
  </si>
  <si>
    <r>
      <t xml:space="preserve">4) Records of storage vessel requirements </t>
    </r>
    <r>
      <rPr>
        <vertAlign val="superscript"/>
        <sz val="8"/>
        <rFont val="Arial"/>
        <family val="2"/>
      </rPr>
      <t>d</t>
    </r>
  </si>
  <si>
    <r>
      <t xml:space="preserve">5) Records of equipment leak requirements </t>
    </r>
    <r>
      <rPr>
        <vertAlign val="superscript"/>
        <sz val="8"/>
        <rFont val="Arial"/>
        <family val="2"/>
      </rPr>
      <t>d</t>
    </r>
  </si>
  <si>
    <r>
      <t xml:space="preserve">6) Records of heat exchanger requirements </t>
    </r>
    <r>
      <rPr>
        <vertAlign val="superscript"/>
        <sz val="8"/>
        <rFont val="Arial"/>
        <family val="2"/>
      </rPr>
      <t>d</t>
    </r>
  </si>
  <si>
    <r>
      <t xml:space="preserve">7) Records of other emission sources requirements </t>
    </r>
    <r>
      <rPr>
        <vertAlign val="superscript"/>
        <sz val="8"/>
        <rFont val="Arial"/>
        <family val="2"/>
      </rPr>
      <t>d</t>
    </r>
  </si>
  <si>
    <t>r</t>
  </si>
  <si>
    <t>s</t>
  </si>
  <si>
    <r>
      <t>TOTAL LABOR BURDEN AND COSTS (rounded)</t>
    </r>
    <r>
      <rPr>
        <b/>
        <vertAlign val="superscript"/>
        <sz val="8"/>
        <rFont val="Times New Roman"/>
        <family val="1"/>
      </rPr>
      <t>s</t>
    </r>
  </si>
  <si>
    <r>
      <t>GRAND TOTAL (rounded)</t>
    </r>
    <r>
      <rPr>
        <b/>
        <vertAlign val="superscript"/>
        <sz val="8"/>
        <rFont val="Times New Roman"/>
        <family val="1"/>
      </rPr>
      <t>s</t>
    </r>
  </si>
  <si>
    <t>&lt;--Updated # of respondents</t>
  </si>
  <si>
    <t xml:space="preserve">Assumes that, over the next three years, approximately 15 respondents per year will be subject to the standard, and no additional respondents per year will become subject to the standard. </t>
  </si>
  <si>
    <t>Labor rates are $147.40 for managerial, $117.92 for technical, and $57.02 for clerical. These rates from the United States Department of Labor, Bureau of Labor Statistics, September June 2018, “Table 2. Civilian Workers, by occupational and industry group.” The rates are from column 1, “Total compensation.” The rates have been increased by 110 percent to account for the benefit packages available to those employed by private industry.</t>
  </si>
  <si>
    <t>There are 15 major sources in the affected source category.</t>
  </si>
  <si>
    <r>
      <t xml:space="preserve">Plants Per Year </t>
    </r>
    <r>
      <rPr>
        <b/>
        <vertAlign val="superscript"/>
        <sz val="9"/>
        <color rgb="FF000000"/>
        <rFont val="Arial"/>
        <family val="2"/>
      </rPr>
      <t>a</t>
    </r>
  </si>
  <si>
    <r>
      <t xml:space="preserve">EPA Cost Per Year </t>
    </r>
    <r>
      <rPr>
        <b/>
        <vertAlign val="superscript"/>
        <sz val="9"/>
        <rFont val="Arial"/>
        <family val="2"/>
      </rPr>
      <t>b</t>
    </r>
  </si>
  <si>
    <t>Labor rates are $65.71 for managerial (GS-13, Step 5, $41.07 + 60%), $48.75 for technical (GS-12, Step 1, $30.47 + 60%), and $26.38 for clerical (GS-6, Step 3, $16.49 + 60%). These rates from the Office of Personnel Management (OPM), 2018 General Schedule, which excludes locality rates of pay. The rates have been increased by 60 percent to account for the benefit packages available to government employees.</t>
  </si>
  <si>
    <r>
      <t xml:space="preserve">Observe initial performance tests </t>
    </r>
    <r>
      <rPr>
        <vertAlign val="superscript"/>
        <sz val="9"/>
        <rFont val="Arial"/>
        <family val="2"/>
      </rPr>
      <t>c</t>
    </r>
  </si>
  <si>
    <r>
      <t xml:space="preserve">Prepare annual summary report </t>
    </r>
    <r>
      <rPr>
        <vertAlign val="superscript"/>
        <sz val="9"/>
        <rFont val="Arial"/>
        <family val="2"/>
      </rPr>
      <t>e</t>
    </r>
  </si>
  <si>
    <r>
      <t>TOTAL ANNUAL BURDEN AND COST (rounded)</t>
    </r>
    <r>
      <rPr>
        <b/>
        <vertAlign val="superscript"/>
        <sz val="9"/>
        <rFont val="Arial"/>
        <family val="2"/>
      </rPr>
      <t>f</t>
    </r>
  </si>
  <si>
    <t xml:space="preserve">f </t>
  </si>
  <si>
    <r>
      <t>TOTAL CAPITAL AND O&amp;M COST (rounded)</t>
    </r>
    <r>
      <rPr>
        <b/>
        <vertAlign val="superscript"/>
        <sz val="8"/>
        <rFont val="Times New Roman"/>
        <family val="1"/>
      </rPr>
      <t>s</t>
    </r>
  </si>
  <si>
    <r>
      <t xml:space="preserve">Per Year </t>
    </r>
    <r>
      <rPr>
        <vertAlign val="superscript"/>
        <sz val="8"/>
        <rFont val="Arial"/>
        <family val="2"/>
      </rPr>
      <t>a</t>
    </r>
  </si>
  <si>
    <r>
      <t xml:space="preserve">Per Year </t>
    </r>
    <r>
      <rPr>
        <vertAlign val="superscript"/>
        <sz val="8"/>
        <rFont val="Arial"/>
        <family val="2"/>
      </rPr>
      <t>b</t>
    </r>
  </si>
  <si>
    <t>Per VI, the initial performance testing for pressure relief devices (PRD), would take 524 hours per facility.  Periodically, corrective action for discharge from a PRD would take 24 hours.  It is estimated that 27% of the respondents would experience discharge from a PRD each year.</t>
  </si>
  <si>
    <t xml:space="preserve">For Equipment openings, Per VI, 1.5 hr to obtain measurement, initially, daily. </t>
  </si>
  <si>
    <t xml:space="preserve">For Equipment leaks, VI estimates approx 10,000 components per facility and 5 minutes per component, plus additional time calibration of analytical device for a total of 850 hr per facility.  For continuous monitoring, VI assumes 1 hr is required per component for leak repair, if detected. It was assumed that overall continuous compliace of leak monitoring will take 5% of the time with initial monitoring per month. </t>
  </si>
  <si>
    <t>Per VI, it is assumed that performance testing on heat exchangers will take 4 hours per sample for 2 samples per facility, initially and monthly,  for 16 of the 17 major sources.  One of the sources relies on another facility to cool the water.</t>
  </si>
  <si>
    <t xml:space="preserve">15 major sources are expected to perform testing for process vents.  OxyVinyls Pedricktown does not operate a process vent control, but rather sends process vent gas streams to Mexichem Pedricktown for control.  Like wise, the Wacker Calvert City facility does not operate a process vent control device, but rather sends process vent gas streams to the Westlake Calvert City facility for control.  Per VI, it is assumed that performance testing for process vents will take 120 hours per occurrence initially.  The initial compliance and operating procedure development for continuous compliance and will take 8 hours.  The daily monitoring of parameters will take 5 min per record with 112 records a day across 33 devices in the industry.  There are 3 area source and 15 major source subject to this requirement.  Therefore, the continuous/daily monitoring will take on avg 17.1 hr per facility per day over 350 day/yr. </t>
  </si>
  <si>
    <t>Updated labor rates</t>
  </si>
  <si>
    <t xml:space="preserve">Table 2 - Average Annual EPA Burden and Cost – NESHAP for Polyvinyl Chloride and Copolymers Production (40 CFR Part 63, Subpart HHHHHHH) (Renewal)   </t>
  </si>
  <si>
    <t>&lt;-- Updated costs and affected Tos.</t>
  </si>
  <si>
    <t>&lt;- Updated # of facilities that are reviewed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</si>
</sst>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General_)"/>
    <numFmt numFmtId="165" formatCode=";;;"/>
    <numFmt numFmtId="166" formatCode="0_)"/>
    <numFmt numFmtId="167" formatCode="&quot;$&quot;#,##0"/>
    <numFmt numFmtId="168" formatCode="0.00000"/>
    <numFmt numFmtId="169" formatCode="&quot;$&quot;#,##0.00"/>
    <numFmt numFmtId="170" formatCode="_(&quot;$&quot;* #,##0_);_(&quot;$&quot;* \(#,##0\);_(&quot;$&quot;* &quot;-&quot;??_);_(@_)"/>
    <numFmt numFmtId="171" formatCode="_(&quot;$&quot;* #,##0.00000_);_(&quot;$&quot;* \(#,##0.00000\);_(&quot;$&quot;* &quot;-&quot;?????_);_(@_)"/>
    <numFmt numFmtId="172" formatCode="_(&quot;$&quot;* #,##0_);_(&quot;$&quot;* \(#,##0\);_(&quot;$&quot;* &quot;-&quot;?????_);_(@_)"/>
    <numFmt numFmtId="173" formatCode="_(* #,##0_);_(* \(#,##0\);_(* &quot;-&quot;??_);_(@_)"/>
    <numFmt numFmtId="174" formatCode="[$-409]mmmm\ d\,\ yyyy;@"/>
  </numFmts>
  <fonts count="70" x14ac:knownFonts="1">
    <font>
      <sz val="8"/>
      <name val="Helv"/>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Helv"/>
    </font>
    <font>
      <sz val="8"/>
      <name val="Courier"/>
      <family val="3"/>
    </font>
    <font>
      <sz val="10"/>
      <color indexed="8"/>
      <name val="Arial"/>
      <family val="2"/>
    </font>
    <font>
      <sz val="8"/>
      <name val="Arial"/>
      <family val="2"/>
    </font>
    <font>
      <b/>
      <sz val="10"/>
      <name val="Arial"/>
      <family val="2"/>
    </font>
    <font>
      <sz val="10"/>
      <name val="Arial"/>
      <family val="2"/>
    </font>
    <font>
      <sz val="10"/>
      <color indexed="8"/>
      <name val="Arial"/>
      <family val="2"/>
    </font>
    <font>
      <u/>
      <sz val="10"/>
      <name val="Arial"/>
      <family val="2"/>
    </font>
    <font>
      <u/>
      <sz val="10"/>
      <name val="Arial"/>
      <family val="2"/>
    </font>
    <font>
      <u/>
      <sz val="10"/>
      <color indexed="8"/>
      <name val="Arial"/>
      <family val="2"/>
    </font>
    <font>
      <b/>
      <u/>
      <sz val="10"/>
      <name val="Arial"/>
      <family val="2"/>
    </font>
    <font>
      <b/>
      <sz val="8"/>
      <name val="Arial"/>
      <family val="2"/>
    </font>
    <font>
      <sz val="8"/>
      <color indexed="8"/>
      <name val="Verdana"/>
      <family val="2"/>
    </font>
    <font>
      <sz val="8"/>
      <name val="Arial"/>
      <family val="2"/>
    </font>
    <font>
      <b/>
      <u/>
      <sz val="8"/>
      <name val="Arial"/>
      <family val="2"/>
    </font>
    <font>
      <sz val="8"/>
      <name val="Verdana"/>
      <family val="2"/>
    </font>
    <font>
      <b/>
      <sz val="12"/>
      <name val="Arial"/>
      <family val="2"/>
    </font>
    <font>
      <sz val="22"/>
      <name val="Arial"/>
      <family val="2"/>
    </font>
    <font>
      <sz val="8"/>
      <color indexed="8"/>
      <name val="Arial"/>
      <family val="2"/>
    </font>
    <font>
      <sz val="8"/>
      <color indexed="10"/>
      <name val="Arial"/>
      <family val="2"/>
    </font>
    <font>
      <b/>
      <sz val="9"/>
      <name val="Arial"/>
      <family val="2"/>
    </font>
    <font>
      <sz val="9"/>
      <name val="Arial"/>
      <family val="2"/>
    </font>
    <font>
      <sz val="9"/>
      <color indexed="8"/>
      <name val="Arial"/>
      <family val="2"/>
    </font>
    <font>
      <b/>
      <sz val="9"/>
      <color indexed="8"/>
      <name val="Arial"/>
      <family val="2"/>
    </font>
    <font>
      <u/>
      <sz val="8"/>
      <name val="Arial"/>
      <family val="2"/>
    </font>
    <font>
      <vertAlign val="superscript"/>
      <sz val="10"/>
      <name val="Arial"/>
      <family val="2"/>
    </font>
    <font>
      <sz val="9"/>
      <color indexed="12"/>
      <name val="Arial"/>
      <family val="2"/>
    </font>
    <font>
      <sz val="11"/>
      <name val="Arial"/>
      <family val="2"/>
    </font>
    <font>
      <sz val="9"/>
      <color rgb="FFFF0000"/>
      <name val="Arial"/>
      <family val="2"/>
    </font>
    <font>
      <sz val="8"/>
      <name val="Times New Roman"/>
      <family val="1"/>
    </font>
    <font>
      <sz val="10"/>
      <color rgb="FF0070C0"/>
      <name val="Arial"/>
      <family val="2"/>
    </font>
    <font>
      <b/>
      <sz val="11"/>
      <color theme="1"/>
      <name val="Calibri"/>
      <family val="2"/>
      <scheme val="minor"/>
    </font>
    <font>
      <b/>
      <u val="double"/>
      <sz val="16"/>
      <name val="Helv"/>
    </font>
    <font>
      <u val="double"/>
      <sz val="16"/>
      <name val="Helv"/>
    </font>
    <font>
      <b/>
      <u val="double"/>
      <sz val="16"/>
      <name val="Arial"/>
      <family val="2"/>
    </font>
    <font>
      <b/>
      <sz val="10"/>
      <name val="Times New Roman"/>
      <family val="1"/>
    </font>
    <font>
      <b/>
      <vertAlign val="superscript"/>
      <sz val="10"/>
      <name val="Times New Roman"/>
      <family val="1"/>
    </font>
    <font>
      <sz val="11"/>
      <color rgb="FFFF0000"/>
      <name val="Calibri"/>
      <family val="2"/>
      <scheme val="minor"/>
    </font>
    <font>
      <b/>
      <sz val="12"/>
      <color rgb="FFFF0000"/>
      <name val="Times New Roman"/>
      <family val="1"/>
    </font>
    <font>
      <vertAlign val="superscript"/>
      <sz val="8"/>
      <name val="Arial"/>
      <family val="2"/>
    </font>
    <font>
      <b/>
      <i/>
      <sz val="8"/>
      <name val="Arial"/>
      <family val="2"/>
    </font>
    <font>
      <b/>
      <i/>
      <vertAlign val="superscript"/>
      <sz val="8"/>
      <name val="Arial"/>
      <family val="2"/>
    </font>
    <font>
      <b/>
      <sz val="8"/>
      <name val="Times New Roman"/>
      <family val="1"/>
    </font>
    <font>
      <b/>
      <sz val="9"/>
      <color rgb="FF000000"/>
      <name val="Arial"/>
      <family val="2"/>
    </font>
    <font>
      <b/>
      <vertAlign val="superscript"/>
      <sz val="9"/>
      <name val="Arial"/>
      <family val="2"/>
    </font>
    <font>
      <vertAlign val="superscript"/>
      <sz val="9"/>
      <name val="Arial"/>
      <family val="2"/>
    </font>
    <font>
      <sz val="12"/>
      <color rgb="FF000000"/>
      <name val="Times New Roman"/>
      <family val="1"/>
    </font>
    <font>
      <b/>
      <sz val="12"/>
      <color rgb="FF000000"/>
      <name val="Times New Roman"/>
      <family val="1"/>
    </font>
    <font>
      <sz val="10"/>
      <color rgb="FF000000"/>
      <name val="Times New Roman"/>
      <family val="1"/>
    </font>
    <font>
      <b/>
      <sz val="10"/>
      <color rgb="FF000000"/>
      <name val="Times New Roman"/>
      <family val="1"/>
    </font>
    <font>
      <vertAlign val="superscript"/>
      <sz val="10"/>
      <color rgb="FF000000"/>
      <name val="Times New Roman"/>
      <family val="1"/>
    </font>
    <font>
      <sz val="10"/>
      <name val="Times New Roman"/>
      <family val="1"/>
    </font>
    <font>
      <vertAlign val="superscript"/>
      <sz val="9"/>
      <color rgb="FF000000"/>
      <name val="Times New Roman"/>
      <family val="1"/>
    </font>
    <font>
      <sz val="9"/>
      <color rgb="FF000000"/>
      <name val="Times New Roman"/>
      <family val="1"/>
    </font>
    <font>
      <vertAlign val="superscript"/>
      <sz val="12"/>
      <color rgb="FF000000"/>
      <name val="Times New Roman"/>
      <family val="1"/>
    </font>
    <font>
      <sz val="9"/>
      <name val="Times New Roman"/>
      <family val="1"/>
    </font>
    <font>
      <vertAlign val="superscript"/>
      <sz val="9"/>
      <name val="Times New Roman"/>
      <family val="1"/>
    </font>
    <font>
      <b/>
      <vertAlign val="superscript"/>
      <sz val="8"/>
      <name val="Times New Roman"/>
      <family val="1"/>
    </font>
    <font>
      <sz val="8"/>
      <color theme="1"/>
      <name val="Times New Roman"/>
      <family val="1"/>
    </font>
    <font>
      <sz val="8"/>
      <color rgb="FFFF0000"/>
      <name val="Arial"/>
      <family val="2"/>
    </font>
    <font>
      <b/>
      <vertAlign val="superscript"/>
      <sz val="9"/>
      <color rgb="FF000000"/>
      <name val="Arial"/>
      <family val="2"/>
    </font>
    <font>
      <sz val="8"/>
      <color rgb="FFFF0000"/>
      <name val="Helv"/>
    </font>
  </fonts>
  <fills count="8">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9"/>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s>
  <borders count="107">
    <border>
      <left/>
      <right/>
      <top/>
      <bottom/>
      <diagonal/>
    </border>
    <border>
      <left style="thin">
        <color indexed="64"/>
      </left>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8"/>
      </top>
      <bottom style="thin">
        <color indexed="8"/>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8"/>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8"/>
      </bottom>
      <diagonal/>
    </border>
    <border>
      <left style="medium">
        <color indexed="64"/>
      </left>
      <right/>
      <top style="thin">
        <color indexed="8"/>
      </top>
      <bottom style="thin">
        <color indexed="8"/>
      </bottom>
      <diagonal/>
    </border>
    <border>
      <left style="thin">
        <color indexed="64"/>
      </left>
      <right style="medium">
        <color indexed="64"/>
      </right>
      <top style="thin">
        <color indexed="64"/>
      </top>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right/>
      <top style="thin">
        <color indexed="8"/>
      </top>
      <bottom/>
      <diagonal/>
    </border>
    <border>
      <left/>
      <right/>
      <top/>
      <bottom style="thin">
        <color indexed="8"/>
      </bottom>
      <diagonal/>
    </border>
    <border>
      <left/>
      <right/>
      <top style="thin">
        <color indexed="8"/>
      </top>
      <bottom style="thin">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8"/>
      </left>
      <right/>
      <top style="medium">
        <color indexed="64"/>
      </top>
      <bottom/>
      <diagonal/>
    </border>
    <border>
      <left style="thin">
        <color indexed="8"/>
      </left>
      <right style="thin">
        <color indexed="8"/>
      </right>
      <top style="medium">
        <color indexed="64"/>
      </top>
      <bottom/>
      <diagonal/>
    </border>
    <border>
      <left style="thin">
        <color indexed="8"/>
      </left>
      <right style="thin">
        <color indexed="64"/>
      </right>
      <top style="medium">
        <color indexed="64"/>
      </top>
      <bottom/>
      <diagonal/>
    </border>
    <border>
      <left style="thin">
        <color indexed="8"/>
      </left>
      <right style="medium">
        <color indexed="64"/>
      </right>
      <top style="medium">
        <color indexed="64"/>
      </top>
      <bottom/>
      <diagonal/>
    </border>
    <border>
      <left style="thin">
        <color indexed="8"/>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indexed="8"/>
      </left>
      <right style="medium">
        <color indexed="64"/>
      </right>
      <top/>
      <bottom/>
      <diagonal/>
    </border>
    <border>
      <left style="thin">
        <color indexed="8"/>
      </left>
      <right/>
      <top/>
      <bottom style="medium">
        <color indexed="64"/>
      </bottom>
      <diagonal/>
    </border>
    <border>
      <left style="thin">
        <color indexed="8"/>
      </left>
      <right style="thin">
        <color indexed="8"/>
      </right>
      <top/>
      <bottom style="medium">
        <color indexed="64"/>
      </bottom>
      <diagonal/>
    </border>
    <border>
      <left style="thin">
        <color indexed="8"/>
      </left>
      <right style="thin">
        <color indexed="64"/>
      </right>
      <top/>
      <bottom style="medium">
        <color indexed="64"/>
      </bottom>
      <diagonal/>
    </border>
    <border>
      <left style="thin">
        <color indexed="8"/>
      </left>
      <right style="medium">
        <color indexed="64"/>
      </right>
      <top/>
      <bottom style="medium">
        <color indexed="64"/>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style="thin">
        <color indexed="8"/>
      </left>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thin">
        <color indexed="64"/>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top style="thin">
        <color indexed="8"/>
      </top>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indexed="8"/>
      </left>
      <right/>
      <top style="thin">
        <color indexed="8"/>
      </top>
      <bottom/>
      <diagonal/>
    </border>
    <border>
      <left style="thin">
        <color indexed="8"/>
      </left>
      <right style="medium">
        <color indexed="64"/>
      </right>
      <top style="thin">
        <color indexed="8"/>
      </top>
      <bottom/>
      <diagonal/>
    </border>
    <border>
      <left style="thin">
        <color indexed="8"/>
      </left>
      <right style="thin">
        <color indexed="8"/>
      </right>
      <top style="thin">
        <color indexed="64"/>
      </top>
      <bottom/>
      <diagonal/>
    </border>
    <border>
      <left style="thin">
        <color indexed="8"/>
      </left>
      <right style="thin">
        <color indexed="8"/>
      </right>
      <top/>
      <bottom style="thin">
        <color indexed="8"/>
      </bottom>
      <diagonal/>
    </border>
    <border>
      <left style="thin">
        <color indexed="8"/>
      </left>
      <right style="thin">
        <color indexed="64"/>
      </right>
      <top/>
      <bottom style="thin">
        <color indexed="8"/>
      </bottom>
      <diagonal/>
    </border>
    <border>
      <left/>
      <right style="thin">
        <color indexed="8"/>
      </right>
      <top style="thin">
        <color indexed="8"/>
      </top>
      <bottom style="thin">
        <color indexed="8"/>
      </bottom>
      <diagonal/>
    </border>
    <border>
      <left/>
      <right style="medium">
        <color indexed="64"/>
      </right>
      <top style="thin">
        <color indexed="64"/>
      </top>
      <bottom style="thin">
        <color indexed="64"/>
      </bottom>
      <diagonal/>
    </border>
    <border>
      <left style="thin">
        <color indexed="8"/>
      </left>
      <right style="thin">
        <color indexed="64"/>
      </right>
      <top style="thin">
        <color indexed="8"/>
      </top>
      <bottom style="thin">
        <color indexed="8"/>
      </bottom>
      <diagonal/>
    </border>
    <border>
      <left style="medium">
        <color indexed="64"/>
      </left>
      <right/>
      <top style="thin">
        <color indexed="64"/>
      </top>
      <bottom/>
      <diagonal/>
    </border>
    <border>
      <left style="thin">
        <color indexed="8"/>
      </left>
      <right style="thin">
        <color indexed="8"/>
      </right>
      <top style="thin">
        <color indexed="64"/>
      </top>
      <bottom style="thin">
        <color indexed="8"/>
      </bottom>
      <diagonal/>
    </border>
    <border>
      <left style="medium">
        <color indexed="64"/>
      </left>
      <right/>
      <top style="thin">
        <color indexed="64"/>
      </top>
      <bottom style="thin">
        <color indexed="8"/>
      </bottom>
      <diagonal/>
    </border>
    <border>
      <left style="medium">
        <color indexed="64"/>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bottom style="thin">
        <color indexed="8"/>
      </bottom>
      <diagonal/>
    </border>
    <border>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style="thin">
        <color indexed="64"/>
      </right>
      <top style="thin">
        <color indexed="8"/>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8"/>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thin">
        <color indexed="8"/>
      </left>
      <right style="medium">
        <color indexed="64"/>
      </right>
      <top style="thin">
        <color indexed="64"/>
      </top>
      <bottom/>
      <diagonal/>
    </border>
    <border>
      <left/>
      <right style="thin">
        <color indexed="8"/>
      </right>
      <top style="thin">
        <color indexed="8"/>
      </top>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top style="thin">
        <color auto="1"/>
      </top>
      <bottom style="medium">
        <color indexed="64"/>
      </bottom>
      <diagonal/>
    </border>
    <border>
      <left style="thin">
        <color indexed="64"/>
      </left>
      <right style="thin">
        <color indexed="64"/>
      </right>
      <top/>
      <bottom style="thin">
        <color indexed="64"/>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right style="thin">
        <color indexed="64"/>
      </right>
      <top style="thin">
        <color indexed="8"/>
      </top>
      <bottom style="medium">
        <color indexed="64"/>
      </bottom>
      <diagonal/>
    </border>
    <border>
      <left/>
      <right style="medium">
        <color rgb="FFFFFFFF"/>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medium">
        <color rgb="FFFFFFFF"/>
      </right>
      <top/>
      <bottom/>
      <diagonal/>
    </border>
    <border>
      <left/>
      <right style="thin">
        <color rgb="FF000000"/>
      </right>
      <top/>
      <bottom/>
      <diagonal/>
    </border>
    <border>
      <left style="thin">
        <color rgb="FF000000"/>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right style="thin">
        <color indexed="8"/>
      </right>
      <top style="medium">
        <color indexed="64"/>
      </top>
      <bottom/>
      <diagonal/>
    </border>
    <border>
      <left/>
      <right style="thin">
        <color indexed="8"/>
      </right>
      <top/>
      <bottom/>
      <diagonal/>
    </border>
    <border>
      <left/>
      <right style="thin">
        <color indexed="8"/>
      </right>
      <top/>
      <bottom style="medium">
        <color indexed="64"/>
      </bottom>
      <diagonal/>
    </border>
  </borders>
  <cellStyleXfs count="14">
    <xf numFmtId="164" fontId="0" fillId="0" borderId="0"/>
    <xf numFmtId="43" fontId="7" fillId="0" borderId="0" applyFont="0" applyFill="0" applyBorder="0" applyAlignment="0" applyProtection="0"/>
    <xf numFmtId="44" fontId="7" fillId="0" borderId="0" applyFont="0" applyFill="0" applyBorder="0" applyAlignment="0" applyProtection="0"/>
    <xf numFmtId="0" fontId="7" fillId="0" borderId="0"/>
    <xf numFmtId="0" fontId="9" fillId="0" borderId="0"/>
    <xf numFmtId="0" fontId="7" fillId="0" borderId="0"/>
    <xf numFmtId="0" fontId="7" fillId="0" borderId="0"/>
    <xf numFmtId="0" fontId="10" fillId="0" borderId="0"/>
    <xf numFmtId="164" fontId="8" fillId="0" borderId="0"/>
    <xf numFmtId="0" fontId="7" fillId="0" borderId="0"/>
    <xf numFmtId="0" fontId="6" fillId="0" borderId="0"/>
    <xf numFmtId="0" fontId="3" fillId="0" borderId="0"/>
    <xf numFmtId="0" fontId="2" fillId="0" borderId="0"/>
    <xf numFmtId="0" fontId="1" fillId="0" borderId="0"/>
  </cellStyleXfs>
  <cellXfs count="520">
    <xf numFmtId="164" fontId="0" fillId="0" borderId="0" xfId="0"/>
    <xf numFmtId="0" fontId="13" fillId="0" borderId="0" xfId="4" applyFont="1" applyBorder="1"/>
    <xf numFmtId="0" fontId="14" fillId="0" borderId="7" xfId="4" applyFont="1" applyFill="1" applyBorder="1" applyAlignment="1" applyProtection="1">
      <alignment vertical="top" wrapText="1"/>
    </xf>
    <xf numFmtId="3" fontId="14" fillId="0" borderId="4" xfId="4" applyNumberFormat="1" applyFont="1" applyFill="1" applyBorder="1" applyAlignment="1" applyProtection="1">
      <alignment horizontal="right" vertical="top"/>
    </xf>
    <xf numFmtId="0" fontId="13" fillId="0" borderId="8" xfId="4" applyFont="1" applyBorder="1" applyAlignment="1">
      <alignment vertical="top"/>
    </xf>
    <xf numFmtId="0" fontId="14" fillId="0" borderId="0" xfId="4" applyFont="1" applyFill="1" applyBorder="1" applyAlignment="1" applyProtection="1"/>
    <xf numFmtId="0" fontId="14" fillId="0" borderId="0" xfId="5" applyFont="1" applyFill="1" applyAlignment="1" applyProtection="1"/>
    <xf numFmtId="0" fontId="17" fillId="0" borderId="0" xfId="7" applyFont="1" applyFill="1" applyBorder="1" applyAlignment="1">
      <alignment vertical="top"/>
    </xf>
    <xf numFmtId="0" fontId="13" fillId="0" borderId="0" xfId="5" quotePrefix="1" applyFont="1" applyFill="1" applyBorder="1"/>
    <xf numFmtId="0" fontId="13" fillId="0" borderId="0" xfId="5" applyFont="1" applyFill="1" applyBorder="1"/>
    <xf numFmtId="0" fontId="16" fillId="0" borderId="0" xfId="5" applyFont="1" applyBorder="1"/>
    <xf numFmtId="1" fontId="13" fillId="0" borderId="0" xfId="4" applyNumberFormat="1" applyFont="1" applyBorder="1"/>
    <xf numFmtId="0" fontId="13" fillId="0" borderId="0" xfId="4" applyFont="1" applyFill="1" applyBorder="1"/>
    <xf numFmtId="0" fontId="13" fillId="0" borderId="0" xfId="4" applyFont="1" applyFill="1" applyBorder="1" applyAlignment="1">
      <alignment wrapText="1"/>
    </xf>
    <xf numFmtId="164" fontId="8" fillId="0" borderId="0" xfId="8"/>
    <xf numFmtId="164" fontId="8" fillId="0" borderId="0" xfId="8" applyFill="1"/>
    <xf numFmtId="164" fontId="19" fillId="0" borderId="0" xfId="8" applyFont="1" applyFill="1" applyBorder="1" applyAlignment="1">
      <alignment horizontal="left" vertical="center" wrapText="1"/>
    </xf>
    <xf numFmtId="164" fontId="19" fillId="0" borderId="0" xfId="8" applyFont="1" applyFill="1" applyBorder="1" applyAlignment="1">
      <alignment horizontal="center" vertical="center" wrapText="1"/>
    </xf>
    <xf numFmtId="164" fontId="11" fillId="0" borderId="0" xfId="8" applyFont="1" applyFill="1" applyBorder="1" applyAlignment="1">
      <alignment wrapText="1"/>
    </xf>
    <xf numFmtId="169" fontId="11" fillId="0" borderId="0" xfId="8" applyNumberFormat="1" applyFont="1" applyFill="1" applyBorder="1"/>
    <xf numFmtId="169" fontId="20" fillId="0" borderId="0" xfId="8" applyNumberFormat="1" applyFont="1" applyFill="1" applyBorder="1" applyAlignment="1">
      <alignment horizontal="right" wrapText="1"/>
    </xf>
    <xf numFmtId="164" fontId="13" fillId="0" borderId="0" xfId="8" applyFont="1" applyFill="1" applyBorder="1" applyAlignment="1">
      <alignment horizontal="left" vertical="center" wrapText="1"/>
    </xf>
    <xf numFmtId="0" fontId="16" fillId="0" borderId="0" xfId="4" applyFont="1" applyBorder="1"/>
    <xf numFmtId="169" fontId="20" fillId="3" borderId="4" xfId="8" applyNumberFormat="1" applyFont="1" applyFill="1" applyBorder="1" applyAlignment="1">
      <alignment horizontal="right" wrapText="1"/>
    </xf>
    <xf numFmtId="169" fontId="13" fillId="3" borderId="11" xfId="4" applyNumberFormat="1" applyFont="1" applyFill="1" applyBorder="1"/>
    <xf numFmtId="169" fontId="13" fillId="3" borderId="4" xfId="4" applyNumberFormat="1" applyFont="1" applyFill="1" applyBorder="1"/>
    <xf numFmtId="164" fontId="21" fillId="0" borderId="0" xfId="0" applyFont="1" applyFill="1" applyBorder="1" applyAlignment="1">
      <alignment vertical="center"/>
    </xf>
    <xf numFmtId="164" fontId="21" fillId="0" borderId="29" xfId="0" applyFont="1" applyFill="1" applyBorder="1" applyAlignment="1" applyProtection="1">
      <alignment horizontal="left" vertical="center"/>
    </xf>
    <xf numFmtId="164" fontId="21" fillId="0" borderId="3" xfId="0" applyFont="1" applyFill="1" applyBorder="1" applyAlignment="1">
      <alignment vertical="center"/>
    </xf>
    <xf numFmtId="164" fontId="21" fillId="0" borderId="30" xfId="0" applyFont="1" applyFill="1" applyBorder="1" applyAlignment="1">
      <alignment vertical="center"/>
    </xf>
    <xf numFmtId="9" fontId="21" fillId="0" borderId="7" xfId="0" applyNumberFormat="1" applyFont="1" applyFill="1" applyBorder="1" applyAlignment="1" applyProtection="1">
      <alignment horizontal="center" vertical="center"/>
    </xf>
    <xf numFmtId="9" fontId="21" fillId="0" borderId="3" xfId="0" applyNumberFormat="1" applyFont="1" applyFill="1" applyBorder="1" applyAlignment="1" applyProtection="1">
      <alignment vertical="center"/>
    </xf>
    <xf numFmtId="164" fontId="21" fillId="0" borderId="31" xfId="0" applyFont="1" applyFill="1" applyBorder="1" applyAlignment="1" applyProtection="1">
      <alignment horizontal="left" vertical="center"/>
    </xf>
    <xf numFmtId="164" fontId="21" fillId="0" borderId="31" xfId="0" applyFont="1" applyFill="1" applyBorder="1" applyAlignment="1">
      <alignment vertical="center"/>
    </xf>
    <xf numFmtId="9" fontId="21" fillId="0" borderId="31" xfId="0" applyNumberFormat="1" applyFont="1" applyFill="1" applyBorder="1" applyAlignment="1" applyProtection="1">
      <alignment horizontal="left" vertical="center"/>
    </xf>
    <xf numFmtId="9" fontId="21" fillId="0" borderId="13" xfId="0" applyNumberFormat="1" applyFont="1" applyFill="1" applyBorder="1" applyAlignment="1" applyProtection="1">
      <alignment horizontal="left" vertical="center"/>
    </xf>
    <xf numFmtId="9" fontId="21" fillId="0" borderId="29" xfId="0" applyNumberFormat="1" applyFont="1" applyFill="1" applyBorder="1" applyAlignment="1" applyProtection="1">
      <alignment horizontal="left" vertical="center"/>
    </xf>
    <xf numFmtId="9" fontId="21" fillId="0" borderId="15" xfId="0" applyNumberFormat="1" applyFont="1" applyFill="1" applyBorder="1" applyAlignment="1" applyProtection="1">
      <alignment horizontal="left" vertical="center"/>
    </xf>
    <xf numFmtId="9" fontId="21" fillId="0" borderId="30" xfId="0" applyNumberFormat="1" applyFont="1" applyFill="1" applyBorder="1" applyAlignment="1" applyProtection="1">
      <alignment horizontal="left" vertical="center"/>
    </xf>
    <xf numFmtId="164" fontId="21" fillId="0" borderId="0" xfId="0" applyFont="1" applyFill="1"/>
    <xf numFmtId="164" fontId="21" fillId="0" borderId="0" xfId="0" applyFont="1" applyFill="1" applyBorder="1"/>
    <xf numFmtId="164" fontId="21" fillId="0" borderId="0" xfId="0" applyFont="1" applyFill="1" applyProtection="1">
      <protection locked="0"/>
    </xf>
    <xf numFmtId="164" fontId="21" fillId="0" borderId="36" xfId="0" applyFont="1" applyFill="1" applyBorder="1" applyAlignment="1" applyProtection="1">
      <alignment horizontal="center"/>
    </xf>
    <xf numFmtId="164" fontId="21" fillId="0" borderId="40" xfId="0" applyFont="1" applyFill="1" applyBorder="1" applyAlignment="1" applyProtection="1">
      <alignment horizontal="center"/>
    </xf>
    <xf numFmtId="164" fontId="21" fillId="0" borderId="41" xfId="0" applyFont="1" applyFill="1" applyBorder="1" applyAlignment="1" applyProtection="1">
      <alignment horizontal="center"/>
    </xf>
    <xf numFmtId="164" fontId="21" fillId="0" borderId="42" xfId="0" applyFont="1" applyFill="1" applyBorder="1" applyAlignment="1" applyProtection="1">
      <alignment horizontal="center"/>
    </xf>
    <xf numFmtId="164" fontId="21" fillId="0" borderId="40" xfId="0" quotePrefix="1" applyFont="1" applyFill="1" applyBorder="1" applyAlignment="1" applyProtection="1">
      <alignment horizontal="center"/>
    </xf>
    <xf numFmtId="164" fontId="21" fillId="0" borderId="42" xfId="0" quotePrefix="1" applyFont="1" applyFill="1" applyBorder="1" applyAlignment="1" applyProtection="1">
      <alignment horizontal="center"/>
    </xf>
    <xf numFmtId="164" fontId="21" fillId="0" borderId="44" xfId="0" applyFont="1" applyFill="1" applyBorder="1" applyAlignment="1">
      <alignment horizontal="center"/>
    </xf>
    <xf numFmtId="164" fontId="21" fillId="0" borderId="45" xfId="0" applyFont="1" applyFill="1" applyBorder="1" applyAlignment="1" applyProtection="1">
      <alignment horizontal="center"/>
    </xf>
    <xf numFmtId="164" fontId="21" fillId="0" borderId="48" xfId="0" applyFont="1" applyFill="1" applyBorder="1" applyAlignment="1" applyProtection="1">
      <alignment horizontal="center" vertical="center"/>
    </xf>
    <xf numFmtId="164" fontId="21" fillId="0" borderId="49" xfId="0" applyFont="1" applyFill="1" applyBorder="1" applyAlignment="1" applyProtection="1">
      <alignment horizontal="left" vertical="center"/>
    </xf>
    <xf numFmtId="164" fontId="21" fillId="0" borderId="49" xfId="0" applyFont="1" applyFill="1" applyBorder="1" applyAlignment="1">
      <alignment vertical="center"/>
    </xf>
    <xf numFmtId="164" fontId="21" fillId="4" borderId="50" xfId="0" applyFont="1" applyFill="1" applyBorder="1" applyAlignment="1">
      <alignment horizontal="center"/>
    </xf>
    <xf numFmtId="164" fontId="21" fillId="0" borderId="51" xfId="0" applyFont="1" applyFill="1" applyBorder="1" applyAlignment="1">
      <alignment horizontal="center" vertical="center"/>
    </xf>
    <xf numFmtId="165" fontId="21" fillId="0" borderId="51" xfId="0" applyNumberFormat="1" applyFont="1" applyFill="1" applyBorder="1" applyAlignment="1" applyProtection="1">
      <alignment horizontal="center" vertical="center"/>
    </xf>
    <xf numFmtId="165" fontId="21" fillId="0" borderId="37" xfId="0" applyNumberFormat="1" applyFont="1" applyFill="1" applyBorder="1" applyAlignment="1" applyProtection="1">
      <alignment horizontal="center" vertical="center"/>
      <protection locked="0"/>
    </xf>
    <xf numFmtId="164" fontId="21" fillId="0" borderId="37" xfId="0" applyFont="1" applyFill="1" applyBorder="1" applyAlignment="1">
      <alignment horizontal="center" vertical="center"/>
    </xf>
    <xf numFmtId="164" fontId="21" fillId="0" borderId="52" xfId="0" applyFont="1" applyFill="1" applyBorder="1" applyAlignment="1">
      <alignment horizontal="center" vertical="center"/>
    </xf>
    <xf numFmtId="164" fontId="21" fillId="4" borderId="54" xfId="0" applyFont="1" applyFill="1" applyBorder="1" applyAlignment="1">
      <alignment horizontal="center"/>
    </xf>
    <xf numFmtId="164" fontId="21" fillId="0" borderId="55" xfId="0" applyFont="1" applyFill="1" applyBorder="1" applyAlignment="1">
      <alignment horizontal="center" vertical="center"/>
    </xf>
    <xf numFmtId="164" fontId="21" fillId="0" borderId="56" xfId="0" applyFont="1" applyFill="1" applyBorder="1" applyAlignment="1" applyProtection="1">
      <alignment horizontal="center" vertical="center"/>
    </xf>
    <xf numFmtId="164" fontId="21" fillId="0" borderId="57" xfId="0" applyFont="1" applyFill="1" applyBorder="1" applyAlignment="1">
      <alignment horizontal="center" vertical="center"/>
    </xf>
    <xf numFmtId="165" fontId="21" fillId="0" borderId="59" xfId="0" applyNumberFormat="1" applyFont="1" applyFill="1" applyBorder="1" applyAlignment="1" applyProtection="1">
      <alignment horizontal="center" vertical="center"/>
    </xf>
    <xf numFmtId="164" fontId="21" fillId="0" borderId="29" xfId="0" applyFont="1" applyFill="1" applyBorder="1" applyAlignment="1">
      <alignment vertical="center"/>
    </xf>
    <xf numFmtId="168" fontId="26" fillId="0" borderId="0" xfId="5" quotePrefix="1" applyNumberFormat="1" applyFont="1" applyFill="1" applyBorder="1" applyAlignment="1" applyProtection="1">
      <alignment vertical="top" wrapText="1"/>
    </xf>
    <xf numFmtId="165" fontId="21" fillId="0" borderId="10" xfId="0" applyNumberFormat="1" applyFont="1" applyFill="1" applyBorder="1" applyAlignment="1" applyProtection="1">
      <alignment vertical="center"/>
      <protection locked="0"/>
    </xf>
    <xf numFmtId="44" fontId="21" fillId="0" borderId="0" xfId="2" applyFont="1"/>
    <xf numFmtId="164" fontId="21" fillId="0" borderId="55" xfId="0" applyFont="1" applyFill="1" applyBorder="1" applyAlignment="1" applyProtection="1">
      <alignment horizontal="center" vertical="center"/>
      <protection locked="0"/>
    </xf>
    <xf numFmtId="164" fontId="21" fillId="4" borderId="55" xfId="0" applyFont="1" applyFill="1" applyBorder="1" applyAlignment="1" applyProtection="1">
      <alignment horizontal="center" vertical="center"/>
      <protection locked="0"/>
    </xf>
    <xf numFmtId="164" fontId="21" fillId="0" borderId="62" xfId="0" applyFont="1" applyFill="1" applyBorder="1" applyAlignment="1" applyProtection="1">
      <alignment horizontal="center" vertical="center"/>
    </xf>
    <xf numFmtId="166" fontId="21" fillId="0" borderId="62" xfId="0" applyNumberFormat="1" applyFont="1" applyFill="1" applyBorder="1" applyAlignment="1" applyProtection="1">
      <alignment horizontal="center" vertical="center"/>
      <protection locked="0"/>
    </xf>
    <xf numFmtId="37" fontId="21" fillId="0" borderId="62" xfId="0" applyNumberFormat="1" applyFont="1" applyFill="1" applyBorder="1" applyAlignment="1" applyProtection="1">
      <alignment horizontal="center" vertical="center"/>
    </xf>
    <xf numFmtId="37" fontId="21" fillId="0" borderId="63" xfId="0" applyNumberFormat="1" applyFont="1" applyFill="1" applyBorder="1" applyAlignment="1" applyProtection="1">
      <alignment horizontal="center" vertical="center"/>
    </xf>
    <xf numFmtId="164" fontId="21" fillId="0" borderId="62" xfId="0" applyFont="1" applyFill="1" applyBorder="1" applyAlignment="1" applyProtection="1">
      <alignment horizontal="center" vertical="center"/>
      <protection locked="0"/>
    </xf>
    <xf numFmtId="164" fontId="21" fillId="0" borderId="64" xfId="0" applyFont="1" applyFill="1" applyBorder="1" applyAlignment="1">
      <alignment vertical="center"/>
    </xf>
    <xf numFmtId="164" fontId="21" fillId="4" borderId="62" xfId="0" applyFont="1" applyFill="1" applyBorder="1" applyAlignment="1" applyProtection="1">
      <alignment horizontal="center" vertical="center"/>
      <protection locked="0"/>
    </xf>
    <xf numFmtId="9" fontId="21" fillId="0" borderId="10" xfId="0" applyNumberFormat="1" applyFont="1" applyFill="1" applyBorder="1" applyAlignment="1" applyProtection="1">
      <alignment vertical="center"/>
      <protection locked="0"/>
    </xf>
    <xf numFmtId="166" fontId="21" fillId="0" borderId="55" xfId="0" applyNumberFormat="1" applyFont="1" applyFill="1" applyBorder="1" applyAlignment="1" applyProtection="1">
      <alignment horizontal="center" vertical="center"/>
      <protection locked="0"/>
    </xf>
    <xf numFmtId="37" fontId="21" fillId="0" borderId="55" xfId="0" applyNumberFormat="1" applyFont="1" applyFill="1" applyBorder="1" applyAlignment="1" applyProtection="1">
      <alignment horizontal="center" vertical="center"/>
    </xf>
    <xf numFmtId="37" fontId="21" fillId="0" borderId="66" xfId="0" applyNumberFormat="1" applyFont="1" applyFill="1" applyBorder="1" applyAlignment="1" applyProtection="1">
      <alignment horizontal="center" vertical="center"/>
    </xf>
    <xf numFmtId="9" fontId="21" fillId="0" borderId="67" xfId="0" applyNumberFormat="1" applyFont="1" applyFill="1" applyBorder="1" applyAlignment="1" applyProtection="1">
      <alignment vertical="center"/>
      <protection locked="0"/>
    </xf>
    <xf numFmtId="164" fontId="21" fillId="0" borderId="55" xfId="0" applyFont="1" applyFill="1" applyBorder="1" applyAlignment="1" applyProtection="1">
      <alignment horizontal="center" vertical="center"/>
    </xf>
    <xf numFmtId="164" fontId="21" fillId="0" borderId="68" xfId="0" applyFont="1" applyFill="1" applyBorder="1" applyAlignment="1" applyProtection="1">
      <alignment horizontal="center" vertical="center"/>
    </xf>
    <xf numFmtId="9" fontId="21" fillId="0" borderId="69" xfId="0" applyNumberFormat="1" applyFont="1" applyFill="1" applyBorder="1" applyAlignment="1" applyProtection="1">
      <alignment vertical="center"/>
      <protection locked="0"/>
    </xf>
    <xf numFmtId="9" fontId="21" fillId="0" borderId="23" xfId="0" applyNumberFormat="1" applyFont="1" applyFill="1" applyBorder="1" applyAlignment="1" applyProtection="1">
      <alignment vertical="center"/>
      <protection locked="0"/>
    </xf>
    <xf numFmtId="164" fontId="21" fillId="4" borderId="64" xfId="0" applyFont="1" applyFill="1" applyBorder="1" applyAlignment="1" applyProtection="1">
      <alignment horizontal="center" vertical="center"/>
      <protection locked="0"/>
    </xf>
    <xf numFmtId="9" fontId="21" fillId="0" borderId="70" xfId="0" applyNumberFormat="1" applyFont="1" applyFill="1" applyBorder="1" applyAlignment="1" applyProtection="1">
      <alignment vertical="center"/>
      <protection locked="0"/>
    </xf>
    <xf numFmtId="164" fontId="21" fillId="0" borderId="71" xfId="0" applyFont="1" applyFill="1" applyBorder="1" applyAlignment="1">
      <alignment vertical="center"/>
    </xf>
    <xf numFmtId="164" fontId="21" fillId="0" borderId="70" xfId="0" applyFont="1" applyFill="1" applyBorder="1" applyAlignment="1">
      <alignment vertical="center"/>
    </xf>
    <xf numFmtId="164" fontId="21" fillId="0" borderId="54" xfId="0" applyFont="1" applyFill="1" applyBorder="1" applyAlignment="1">
      <alignment horizontal="center"/>
    </xf>
    <xf numFmtId="164" fontId="21" fillId="0" borderId="0" xfId="0" applyFont="1" applyFill="1" applyBorder="1" applyAlignment="1">
      <alignment horizontal="center" vertical="center"/>
    </xf>
    <xf numFmtId="3" fontId="21" fillId="0" borderId="0" xfId="0" applyNumberFormat="1" applyFont="1" applyFill="1" applyBorder="1" applyAlignment="1">
      <alignment horizontal="center" vertical="center"/>
    </xf>
    <xf numFmtId="164" fontId="21" fillId="0" borderId="0" xfId="0" applyFont="1" applyFill="1" applyBorder="1" applyAlignment="1">
      <alignment horizontal="center"/>
    </xf>
    <xf numFmtId="167" fontId="21" fillId="0" borderId="0" xfId="0" applyNumberFormat="1" applyFont="1" applyFill="1" applyBorder="1" applyAlignment="1">
      <alignment horizontal="center" vertical="center"/>
    </xf>
    <xf numFmtId="164" fontId="21" fillId="0" borderId="0" xfId="0" applyFont="1" applyFill="1" applyBorder="1" applyAlignment="1">
      <alignment horizontal="right"/>
    </xf>
    <xf numFmtId="5" fontId="21" fillId="0" borderId="0" xfId="0" applyNumberFormat="1" applyFont="1" applyFill="1" applyBorder="1" applyAlignment="1">
      <alignment horizontal="center"/>
    </xf>
    <xf numFmtId="164" fontId="21" fillId="0" borderId="0" xfId="0" applyFont="1" applyFill="1" applyAlignment="1">
      <alignment horizontal="center"/>
    </xf>
    <xf numFmtId="164" fontId="21" fillId="0" borderId="4" xfId="0" applyFont="1" applyFill="1" applyBorder="1" applyAlignment="1">
      <alignment vertical="center"/>
    </xf>
    <xf numFmtId="164" fontId="21" fillId="4" borderId="4" xfId="0" applyFont="1" applyFill="1" applyBorder="1" applyAlignment="1" applyProtection="1">
      <alignment horizontal="left" vertical="center"/>
    </xf>
    <xf numFmtId="164" fontId="21" fillId="4" borderId="4" xfId="0" applyFont="1" applyFill="1" applyBorder="1" applyAlignment="1" applyProtection="1">
      <alignment vertical="center" wrapText="1"/>
    </xf>
    <xf numFmtId="164" fontId="21" fillId="0" borderId="5" xfId="0" applyFont="1" applyFill="1" applyBorder="1" applyAlignment="1" applyProtection="1">
      <alignment horizontal="left" vertical="center"/>
    </xf>
    <xf numFmtId="164" fontId="21" fillId="0" borderId="7" xfId="0" applyFont="1" applyFill="1" applyBorder="1" applyAlignment="1" applyProtection="1">
      <alignment horizontal="center" vertical="center"/>
    </xf>
    <xf numFmtId="164" fontId="21" fillId="0" borderId="5" xfId="0" applyFont="1" applyFill="1" applyBorder="1" applyAlignment="1">
      <alignment vertical="center"/>
    </xf>
    <xf numFmtId="164" fontId="21" fillId="4" borderId="5" xfId="0" applyFont="1" applyFill="1" applyBorder="1" applyAlignment="1" applyProtection="1">
      <alignment horizontal="left" vertical="center"/>
    </xf>
    <xf numFmtId="164" fontId="21" fillId="0" borderId="7" xfId="0" applyFont="1" applyFill="1" applyBorder="1" applyAlignment="1">
      <alignment vertical="center"/>
    </xf>
    <xf numFmtId="9" fontId="21" fillId="0" borderId="7" xfId="0" applyNumberFormat="1" applyFont="1" applyFill="1" applyBorder="1" applyAlignment="1" applyProtection="1">
      <alignment vertical="center"/>
      <protection locked="0"/>
    </xf>
    <xf numFmtId="164" fontId="21" fillId="0" borderId="7" xfId="0" applyFont="1" applyFill="1" applyBorder="1" applyAlignment="1" applyProtection="1">
      <alignment horizontal="left" vertical="center"/>
    </xf>
    <xf numFmtId="164" fontId="21" fillId="0" borderId="4" xfId="0" applyFont="1" applyFill="1" applyBorder="1" applyAlignment="1">
      <alignment horizontal="center" vertical="center"/>
    </xf>
    <xf numFmtId="164" fontId="21" fillId="4" borderId="4" xfId="0" applyFont="1" applyFill="1" applyBorder="1" applyAlignment="1" applyProtection="1">
      <alignment horizontal="center" vertical="center"/>
      <protection locked="0"/>
    </xf>
    <xf numFmtId="0" fontId="7" fillId="0" borderId="0" xfId="3"/>
    <xf numFmtId="164" fontId="21" fillId="4" borderId="59" xfId="0" applyFont="1" applyFill="1" applyBorder="1" applyAlignment="1">
      <alignment horizontal="center"/>
    </xf>
    <xf numFmtId="0" fontId="21" fillId="0" borderId="1" xfId="0" applyNumberFormat="1" applyFont="1" applyFill="1" applyBorder="1" applyAlignment="1" applyProtection="1">
      <alignment vertical="center"/>
      <protection locked="0"/>
    </xf>
    <xf numFmtId="0" fontId="21" fillId="0" borderId="75" xfId="0" applyNumberFormat="1" applyFont="1" applyFill="1" applyBorder="1" applyAlignment="1" applyProtection="1">
      <alignment vertical="center"/>
      <protection locked="0"/>
    </xf>
    <xf numFmtId="165" fontId="21" fillId="0" borderId="76" xfId="0" applyNumberFormat="1" applyFont="1" applyFill="1" applyBorder="1" applyAlignment="1" applyProtection="1">
      <alignment horizontal="center" vertical="center"/>
    </xf>
    <xf numFmtId="164" fontId="21" fillId="0" borderId="4" xfId="0" applyFont="1" applyFill="1" applyBorder="1" applyAlignment="1" applyProtection="1">
      <alignment horizontal="center" vertical="center"/>
    </xf>
    <xf numFmtId="164" fontId="21" fillId="0" borderId="4" xfId="0" applyFont="1" applyFill="1" applyBorder="1" applyAlignment="1" applyProtection="1">
      <alignment horizontal="center" vertical="center"/>
      <protection locked="0"/>
    </xf>
    <xf numFmtId="165" fontId="21" fillId="0" borderId="4" xfId="0" applyNumberFormat="1" applyFont="1" applyFill="1" applyBorder="1" applyAlignment="1" applyProtection="1">
      <alignment horizontal="center" vertical="center"/>
    </xf>
    <xf numFmtId="0" fontId="25" fillId="0" borderId="4" xfId="0" applyNumberFormat="1" applyFont="1" applyFill="1" applyBorder="1" applyAlignment="1" applyProtection="1">
      <alignment horizontal="center" vertical="center"/>
      <protection locked="0"/>
    </xf>
    <xf numFmtId="37" fontId="21" fillId="0" borderId="4" xfId="0" applyNumberFormat="1" applyFont="1" applyFill="1" applyBorder="1" applyAlignment="1" applyProtection="1">
      <alignment horizontal="center" vertical="center"/>
      <protection locked="0"/>
    </xf>
    <xf numFmtId="37" fontId="21" fillId="0" borderId="4" xfId="0" applyNumberFormat="1" applyFont="1" applyFill="1" applyBorder="1" applyAlignment="1" applyProtection="1">
      <alignment horizontal="center" vertical="center"/>
    </xf>
    <xf numFmtId="166" fontId="21" fillId="0" borderId="4" xfId="0" applyNumberFormat="1" applyFont="1" applyFill="1" applyBorder="1" applyAlignment="1" applyProtection="1">
      <alignment horizontal="center" vertical="center"/>
      <protection locked="0"/>
    </xf>
    <xf numFmtId="164" fontId="18" fillId="0" borderId="5" xfId="8" applyFont="1" applyFill="1" applyBorder="1" applyAlignment="1">
      <alignment horizontal="center" vertical="center" wrapText="1"/>
    </xf>
    <xf numFmtId="164" fontId="22" fillId="0" borderId="4" xfId="8" applyFont="1" applyFill="1" applyBorder="1" applyAlignment="1">
      <alignment horizontal="center" vertical="center" wrapText="1"/>
    </xf>
    <xf numFmtId="164" fontId="19" fillId="0" borderId="4" xfId="8" applyFont="1" applyFill="1" applyBorder="1" applyAlignment="1">
      <alignment horizontal="left" vertical="center" wrapText="1" indent="2"/>
    </xf>
    <xf numFmtId="164" fontId="21" fillId="0" borderId="4" xfId="8" applyFont="1" applyFill="1" applyBorder="1" applyAlignment="1">
      <alignment horizontal="center" vertical="center" wrapText="1"/>
    </xf>
    <xf numFmtId="169" fontId="23" fillId="0" borderId="4" xfId="8" applyNumberFormat="1" applyFont="1" applyFill="1" applyBorder="1" applyAlignment="1">
      <alignment horizontal="right" wrapText="1"/>
    </xf>
    <xf numFmtId="164" fontId="19" fillId="0" borderId="4" xfId="8" applyFont="1" applyFill="1" applyBorder="1" applyAlignment="1">
      <alignment horizontal="left" vertical="center" wrapText="1"/>
    </xf>
    <xf numFmtId="164" fontId="19" fillId="0" borderId="4" xfId="8" applyFont="1" applyFill="1" applyBorder="1" applyAlignment="1">
      <alignment horizontal="center" vertical="center" wrapText="1"/>
    </xf>
    <xf numFmtId="164" fontId="11" fillId="0" borderId="4" xfId="8" applyFont="1" applyFill="1" applyBorder="1" applyAlignment="1">
      <alignment wrapText="1"/>
    </xf>
    <xf numFmtId="0" fontId="12" fillId="0" borderId="0" xfId="5" applyFont="1" applyFill="1" applyBorder="1"/>
    <xf numFmtId="0" fontId="7" fillId="0" borderId="77" xfId="5" applyFill="1" applyBorder="1" applyAlignment="1">
      <alignment wrapText="1"/>
    </xf>
    <xf numFmtId="0" fontId="12" fillId="0" borderId="9" xfId="5" applyFont="1" applyFill="1" applyBorder="1" applyAlignment="1">
      <alignment wrapText="1"/>
    </xf>
    <xf numFmtId="0" fontId="12" fillId="0" borderId="78" xfId="5" applyFont="1" applyFill="1" applyBorder="1" applyAlignment="1">
      <alignment wrapText="1"/>
    </xf>
    <xf numFmtId="0" fontId="13" fillId="0" borderId="11" xfId="5" applyFont="1" applyFill="1" applyBorder="1"/>
    <xf numFmtId="0" fontId="13" fillId="0" borderId="4" xfId="4" applyFont="1" applyFill="1" applyBorder="1"/>
    <xf numFmtId="0" fontId="13" fillId="0" borderId="4" xfId="5" applyFont="1" applyFill="1" applyBorder="1"/>
    <xf numFmtId="164" fontId="12" fillId="0" borderId="0" xfId="0" applyFont="1" applyBorder="1"/>
    <xf numFmtId="164" fontId="21" fillId="0" borderId="8" xfId="0" applyFont="1" applyFill="1" applyBorder="1" applyAlignment="1" applyProtection="1">
      <alignment horizontal="center" vertical="center"/>
    </xf>
    <xf numFmtId="165" fontId="21" fillId="0" borderId="8" xfId="0" applyNumberFormat="1" applyFont="1" applyFill="1" applyBorder="1" applyAlignment="1" applyProtection="1">
      <alignment vertical="center"/>
      <protection locked="0"/>
    </xf>
    <xf numFmtId="164" fontId="21" fillId="0" borderId="23" xfId="0" applyFont="1" applyFill="1" applyBorder="1" applyAlignment="1">
      <alignment vertical="center"/>
    </xf>
    <xf numFmtId="164" fontId="21" fillId="0" borderId="3" xfId="0" applyFont="1" applyFill="1" applyBorder="1" applyAlignment="1" applyProtection="1">
      <alignment horizontal="left" vertical="center"/>
    </xf>
    <xf numFmtId="164" fontId="21" fillId="0" borderId="40" xfId="0" applyFont="1" applyFill="1" applyBorder="1" applyAlignment="1">
      <alignment horizontal="center"/>
    </xf>
    <xf numFmtId="0" fontId="7" fillId="0" borderId="0" xfId="0" applyNumberFormat="1" applyFont="1"/>
    <xf numFmtId="0" fontId="0" fillId="0" borderId="0" xfId="0" applyNumberFormat="1"/>
    <xf numFmtId="0" fontId="12" fillId="0" borderId="0" xfId="0" applyNumberFormat="1" applyFont="1"/>
    <xf numFmtId="0" fontId="12" fillId="2" borderId="4" xfId="0" applyNumberFormat="1" applyFont="1" applyFill="1" applyBorder="1"/>
    <xf numFmtId="0" fontId="12" fillId="2" borderId="4" xfId="0" applyNumberFormat="1" applyFont="1" applyFill="1" applyBorder="1" applyAlignment="1">
      <alignment horizontal="center"/>
    </xf>
    <xf numFmtId="0" fontId="28" fillId="0" borderId="4" xfId="0" applyNumberFormat="1" applyFont="1" applyBorder="1"/>
    <xf numFmtId="0" fontId="28" fillId="0" borderId="4" xfId="0" applyNumberFormat="1" applyFont="1" applyBorder="1" applyAlignment="1">
      <alignment horizontal="center"/>
    </xf>
    <xf numFmtId="0" fontId="0" fillId="0" borderId="4" xfId="0" applyNumberFormat="1" applyBorder="1"/>
    <xf numFmtId="0" fontId="29" fillId="0" borderId="4" xfId="0" applyNumberFormat="1" applyFont="1" applyFill="1" applyBorder="1"/>
    <xf numFmtId="0" fontId="29" fillId="0" borderId="4" xfId="0" applyNumberFormat="1" applyFont="1" applyBorder="1"/>
    <xf numFmtId="0" fontId="30" fillId="0" borderId="4" xfId="0" applyNumberFormat="1" applyFont="1" applyFill="1" applyBorder="1" applyAlignment="1">
      <alignment vertical="top" wrapText="1"/>
    </xf>
    <xf numFmtId="0" fontId="30" fillId="0" borderId="4" xfId="0" applyNumberFormat="1" applyFont="1" applyFill="1" applyBorder="1" applyAlignment="1">
      <alignment horizontal="left" vertical="top" wrapText="1" indent="1"/>
    </xf>
    <xf numFmtId="44" fontId="29" fillId="0" borderId="4" xfId="2" applyFont="1" applyBorder="1"/>
    <xf numFmtId="44" fontId="0" fillId="0" borderId="4" xfId="0" applyNumberFormat="1" applyBorder="1"/>
    <xf numFmtId="171" fontId="0" fillId="0" borderId="4" xfId="0" applyNumberFormat="1" applyBorder="1"/>
    <xf numFmtId="167" fontId="29" fillId="0" borderId="4" xfId="0" quotePrefix="1" applyNumberFormat="1" applyFont="1" applyBorder="1"/>
    <xf numFmtId="167" fontId="29" fillId="0" borderId="4" xfId="0" applyNumberFormat="1" applyFont="1" applyBorder="1"/>
    <xf numFmtId="170" fontId="0" fillId="0" borderId="4" xfId="0" applyNumberFormat="1" applyBorder="1"/>
    <xf numFmtId="172" fontId="0" fillId="0" borderId="4" xfId="0" applyNumberFormat="1" applyBorder="1"/>
    <xf numFmtId="49" fontId="29" fillId="0" borderId="4" xfId="0" applyNumberFormat="1" applyFont="1" applyBorder="1"/>
    <xf numFmtId="168" fontId="30" fillId="0" borderId="4" xfId="0" quotePrefix="1" applyNumberFormat="1" applyFont="1" applyFill="1" applyBorder="1" applyAlignment="1" applyProtection="1">
      <alignment vertical="top" wrapText="1"/>
    </xf>
    <xf numFmtId="168" fontId="31" fillId="0" borderId="4" xfId="0" quotePrefix="1" applyNumberFormat="1" applyFont="1" applyFill="1" applyBorder="1" applyAlignment="1" applyProtection="1">
      <alignment vertical="top" wrapText="1"/>
    </xf>
    <xf numFmtId="172" fontId="12" fillId="0" borderId="4" xfId="0" applyNumberFormat="1" applyFont="1" applyBorder="1"/>
    <xf numFmtId="0" fontId="29" fillId="0" borderId="0" xfId="0" applyNumberFormat="1" applyFont="1"/>
    <xf numFmtId="44" fontId="0" fillId="0" borderId="0" xfId="2" applyFont="1"/>
    <xf numFmtId="0" fontId="32" fillId="0" borderId="0" xfId="0" applyNumberFormat="1" applyFont="1"/>
    <xf numFmtId="0" fontId="11" fillId="0" borderId="0" xfId="0" applyNumberFormat="1" applyFont="1"/>
    <xf numFmtId="0" fontId="15" fillId="0" borderId="0" xfId="0" applyNumberFormat="1" applyFont="1"/>
    <xf numFmtId="167" fontId="0" fillId="0" borderId="0" xfId="0" applyNumberFormat="1"/>
    <xf numFmtId="0" fontId="0" fillId="0" borderId="0" xfId="0" applyNumberFormat="1" applyFill="1" applyBorder="1" applyAlignment="1">
      <alignment vertical="top"/>
    </xf>
    <xf numFmtId="172" fontId="12" fillId="5" borderId="4" xfId="0" applyNumberFormat="1" applyFont="1" applyFill="1" applyBorder="1"/>
    <xf numFmtId="164" fontId="21" fillId="0" borderId="72" xfId="0" applyFont="1" applyFill="1" applyBorder="1" applyAlignment="1">
      <alignment horizontal="center"/>
    </xf>
    <xf numFmtId="164" fontId="11" fillId="0" borderId="5" xfId="0" applyFont="1" applyFill="1" applyBorder="1" applyAlignment="1">
      <alignment vertical="center"/>
    </xf>
    <xf numFmtId="164" fontId="11" fillId="0" borderId="29" xfId="0" applyFont="1" applyFill="1" applyBorder="1" applyAlignment="1" applyProtection="1">
      <alignment horizontal="left" vertical="center"/>
    </xf>
    <xf numFmtId="0" fontId="7" fillId="0" borderId="0" xfId="6" applyFont="1" applyAlignment="1">
      <alignment horizontal="centerContinuous"/>
    </xf>
    <xf numFmtId="0" fontId="7" fillId="0" borderId="0" xfId="6" applyFont="1"/>
    <xf numFmtId="164" fontId="11" fillId="0" borderId="0" xfId="0" applyFont="1" applyBorder="1"/>
    <xf numFmtId="164" fontId="11" fillId="0" borderId="0" xfId="0" applyFont="1" applyBorder="1" applyAlignment="1"/>
    <xf numFmtId="164" fontId="11" fillId="0" borderId="0" xfId="0" applyFont="1" applyBorder="1" applyAlignment="1">
      <alignment horizontal="center"/>
    </xf>
    <xf numFmtId="3" fontId="11" fillId="0" borderId="0" xfId="1" applyNumberFormat="1" applyFont="1" applyBorder="1" applyAlignment="1">
      <alignment horizontal="right"/>
    </xf>
    <xf numFmtId="3" fontId="11" fillId="0" borderId="0" xfId="0" applyNumberFormat="1" applyFont="1"/>
    <xf numFmtId="164" fontId="11" fillId="0" borderId="0" xfId="0" applyFont="1"/>
    <xf numFmtId="164" fontId="27" fillId="0" borderId="0" xfId="0" applyFont="1" applyBorder="1" applyAlignment="1"/>
    <xf numFmtId="167" fontId="11" fillId="0" borderId="0" xfId="0" applyNumberFormat="1" applyFont="1" applyBorder="1"/>
    <xf numFmtId="0" fontId="29" fillId="0" borderId="0" xfId="6" applyFont="1"/>
    <xf numFmtId="164" fontId="29" fillId="0" borderId="5" xfId="0" applyFont="1" applyBorder="1" applyAlignment="1" applyProtection="1">
      <alignment horizontal="left" vertical="center"/>
    </xf>
    <xf numFmtId="164" fontId="29" fillId="0" borderId="4" xfId="0" applyFont="1" applyBorder="1"/>
    <xf numFmtId="164" fontId="29" fillId="0" borderId="35" xfId="0" applyFont="1" applyBorder="1"/>
    <xf numFmtId="164" fontId="29" fillId="0" borderId="5" xfId="0" applyFont="1" applyBorder="1"/>
    <xf numFmtId="164" fontId="29" fillId="0" borderId="4" xfId="0" applyFont="1" applyBorder="1" applyAlignment="1" applyProtection="1">
      <alignment horizontal="left" vertical="center"/>
    </xf>
    <xf numFmtId="164" fontId="29" fillId="0" borderId="35" xfId="0" applyFont="1" applyBorder="1" applyAlignment="1" applyProtection="1">
      <alignment horizontal="left" vertical="center"/>
    </xf>
    <xf numFmtId="164" fontId="29" fillId="0" borderId="5" xfId="0" applyFont="1" applyBorder="1" applyAlignment="1">
      <alignment vertical="center"/>
    </xf>
    <xf numFmtId="1" fontId="29" fillId="0" borderId="4" xfId="0" applyNumberFormat="1" applyFont="1" applyBorder="1" applyAlignment="1" applyProtection="1">
      <alignment horizontal="center" vertical="center"/>
    </xf>
    <xf numFmtId="0" fontId="29" fillId="0" borderId="0" xfId="6" applyFont="1" applyBorder="1"/>
    <xf numFmtId="164" fontId="29" fillId="0" borderId="4" xfId="0" applyFont="1" applyFill="1" applyBorder="1" applyAlignment="1" applyProtection="1">
      <alignment horizontal="left" vertical="center"/>
    </xf>
    <xf numFmtId="164" fontId="29" fillId="0" borderId="35" xfId="0" applyFont="1" applyFill="1" applyBorder="1" applyAlignment="1" applyProtection="1">
      <alignment horizontal="left" vertical="center"/>
    </xf>
    <xf numFmtId="164" fontId="29" fillId="0" borderId="5" xfId="0" applyFont="1" applyFill="1" applyBorder="1" applyAlignment="1">
      <alignment vertical="center"/>
    </xf>
    <xf numFmtId="1" fontId="29" fillId="0" borderId="4" xfId="0" applyNumberFormat="1" applyFont="1" applyFill="1" applyBorder="1" applyAlignment="1" applyProtection="1">
      <alignment horizontal="center" vertical="center"/>
    </xf>
    <xf numFmtId="164" fontId="29" fillId="0" borderId="7" xfId="0" applyFont="1" applyBorder="1" applyAlignment="1" applyProtection="1">
      <alignment horizontal="left" vertical="center"/>
    </xf>
    <xf numFmtId="164" fontId="29" fillId="0" borderId="4" xfId="0" applyFont="1" applyFill="1" applyBorder="1" applyAlignment="1">
      <alignment horizontal="center" vertical="center"/>
    </xf>
    <xf numFmtId="9" fontId="30" fillId="0" borderId="7" xfId="0" applyNumberFormat="1" applyFont="1" applyBorder="1" applyAlignment="1" applyProtection="1">
      <alignment vertical="center"/>
      <protection locked="0"/>
    </xf>
    <xf numFmtId="164" fontId="29" fillId="0" borderId="5" xfId="0" applyFont="1" applyFill="1" applyBorder="1" applyAlignment="1" applyProtection="1">
      <alignment horizontal="left" vertical="center"/>
    </xf>
    <xf numFmtId="1" fontId="29" fillId="0" borderId="4" xfId="0" applyNumberFormat="1" applyFont="1" applyFill="1" applyBorder="1" applyAlignment="1">
      <alignment horizontal="center" vertical="center"/>
    </xf>
    <xf numFmtId="9" fontId="29" fillId="0" borderId="7" xfId="0" applyNumberFormat="1" applyFont="1" applyBorder="1" applyAlignment="1" applyProtection="1">
      <alignment vertical="center"/>
    </xf>
    <xf numFmtId="9" fontId="29" fillId="0" borderId="7" xfId="0" applyNumberFormat="1" applyFont="1" applyBorder="1" applyAlignment="1" applyProtection="1">
      <alignment horizontal="left" vertical="center"/>
    </xf>
    <xf numFmtId="165" fontId="29" fillId="0" borderId="4" xfId="0" applyNumberFormat="1" applyFont="1" applyFill="1" applyBorder="1" applyAlignment="1" applyProtection="1">
      <alignment horizontal="center" vertical="center"/>
      <protection locked="0"/>
    </xf>
    <xf numFmtId="0" fontId="29" fillId="0" borderId="7" xfId="6" applyFont="1" applyFill="1" applyBorder="1" applyAlignment="1">
      <alignment vertical="center"/>
    </xf>
    <xf numFmtId="164" fontId="29" fillId="0" borderId="7" xfId="0" applyFont="1" applyFill="1" applyBorder="1" applyAlignment="1" applyProtection="1">
      <alignment horizontal="left" vertical="center"/>
    </xf>
    <xf numFmtId="164" fontId="29" fillId="0" borderId="7" xfId="0" applyFont="1" applyFill="1" applyBorder="1" applyAlignment="1" applyProtection="1">
      <alignment vertical="center" wrapText="1"/>
    </xf>
    <xf numFmtId="164" fontId="29" fillId="0" borderId="23" xfId="0" applyFont="1" applyBorder="1" applyAlignment="1" applyProtection="1">
      <alignment horizontal="center" vertical="center"/>
    </xf>
    <xf numFmtId="164" fontId="29" fillId="0" borderId="0" xfId="0" applyFont="1" applyBorder="1" applyAlignment="1" applyProtection="1">
      <alignment horizontal="left" vertical="center"/>
    </xf>
    <xf numFmtId="164" fontId="29" fillId="0" borderId="0" xfId="0" applyFont="1" applyFill="1" applyBorder="1" applyAlignment="1" applyProtection="1">
      <alignment horizontal="left" vertical="center"/>
    </xf>
    <xf numFmtId="164" fontId="29" fillId="0" borderId="0" xfId="0" applyFont="1" applyFill="1" applyBorder="1" applyAlignment="1">
      <alignment vertical="center"/>
    </xf>
    <xf numFmtId="1" fontId="29" fillId="0" borderId="11" xfId="0" applyNumberFormat="1" applyFont="1" applyFill="1" applyBorder="1" applyAlignment="1" applyProtection="1">
      <alignment horizontal="center" vertical="center"/>
    </xf>
    <xf numFmtId="1" fontId="29" fillId="0" borderId="2" xfId="0" applyNumberFormat="1" applyFont="1" applyFill="1" applyBorder="1" applyAlignment="1" applyProtection="1">
      <alignment horizontal="center" vertical="center"/>
    </xf>
    <xf numFmtId="164" fontId="30" fillId="0" borderId="24" xfId="0" quotePrefix="1" applyFont="1" applyBorder="1" applyAlignment="1" applyProtection="1">
      <alignment horizontal="center" vertical="center"/>
      <protection locked="0"/>
    </xf>
    <xf numFmtId="9" fontId="29" fillId="0" borderId="13" xfId="0" applyNumberFormat="1" applyFont="1" applyBorder="1" applyAlignment="1" applyProtection="1">
      <alignment horizontal="left" vertical="center"/>
    </xf>
    <xf numFmtId="164" fontId="29" fillId="0" borderId="13" xfId="0" applyFont="1" applyFill="1" applyBorder="1" applyAlignment="1">
      <alignment vertical="center"/>
    </xf>
    <xf numFmtId="166" fontId="34" fillId="0" borderId="13" xfId="0" applyNumberFormat="1" applyFont="1" applyFill="1" applyBorder="1" applyAlignment="1" applyProtection="1">
      <alignment horizontal="center" vertical="center"/>
      <protection locked="0"/>
    </xf>
    <xf numFmtId="164" fontId="29" fillId="0" borderId="13" xfId="0" applyFont="1" applyFill="1" applyBorder="1" applyAlignment="1">
      <alignment horizontal="center" vertical="center"/>
    </xf>
    <xf numFmtId="0" fontId="29" fillId="0" borderId="0" xfId="6" applyFont="1" applyFill="1" applyBorder="1"/>
    <xf numFmtId="5" fontId="29" fillId="0" borderId="14" xfId="0" applyNumberFormat="1" applyFont="1" applyFill="1" applyBorder="1" applyAlignment="1" applyProtection="1">
      <alignment horizontal="center" vertical="center"/>
    </xf>
    <xf numFmtId="1" fontId="29" fillId="0" borderId="15" xfId="0" applyNumberFormat="1" applyFont="1" applyFill="1" applyBorder="1" applyAlignment="1" applyProtection="1">
      <alignment horizontal="left" vertical="center"/>
    </xf>
    <xf numFmtId="9" fontId="29" fillId="0" borderId="26" xfId="0" applyNumberFormat="1" applyFont="1" applyBorder="1" applyAlignment="1" applyProtection="1">
      <alignment vertical="center"/>
    </xf>
    <xf numFmtId="164" fontId="29" fillId="0" borderId="27" xfId="0" applyFont="1" applyFill="1" applyBorder="1" applyAlignment="1">
      <alignment vertical="center"/>
    </xf>
    <xf numFmtId="164" fontId="29" fillId="0" borderId="27" xfId="0" applyFont="1" applyFill="1" applyBorder="1" applyAlignment="1" applyProtection="1">
      <alignment horizontal="left" vertical="center"/>
    </xf>
    <xf numFmtId="166" fontId="34" fillId="0" borderId="27" xfId="0" applyNumberFormat="1" applyFont="1" applyFill="1" applyBorder="1" applyAlignment="1" applyProtection="1">
      <alignment horizontal="center" vertical="center"/>
      <protection locked="0"/>
    </xf>
    <xf numFmtId="166" fontId="29" fillId="0" borderId="27" xfId="0" applyNumberFormat="1" applyFont="1" applyFill="1" applyBorder="1" applyAlignment="1" applyProtection="1">
      <alignment horizontal="center" vertical="center"/>
    </xf>
    <xf numFmtId="1" fontId="29" fillId="0" borderId="28" xfId="0" applyNumberFormat="1" applyFont="1" applyFill="1" applyBorder="1" applyAlignment="1" applyProtection="1">
      <alignment horizontal="center" vertical="center"/>
    </xf>
    <xf numFmtId="3" fontId="29" fillId="0" borderId="0" xfId="6" applyNumberFormat="1" applyFont="1" applyBorder="1"/>
    <xf numFmtId="164" fontId="29" fillId="0" borderId="8" xfId="0" applyFont="1" applyBorder="1" applyAlignment="1" applyProtection="1">
      <alignment horizontal="center" vertical="center"/>
    </xf>
    <xf numFmtId="165" fontId="34" fillId="0" borderId="8" xfId="0" applyNumberFormat="1" applyFont="1" applyBorder="1" applyAlignment="1" applyProtection="1">
      <alignment vertical="center"/>
      <protection locked="0"/>
    </xf>
    <xf numFmtId="164" fontId="35" fillId="0" borderId="0" xfId="0" applyFont="1" applyFill="1"/>
    <xf numFmtId="167" fontId="29" fillId="0" borderId="4" xfId="0" applyNumberFormat="1" applyFont="1" applyFill="1" applyBorder="1"/>
    <xf numFmtId="0" fontId="0" fillId="0" borderId="4" xfId="0" applyNumberFormat="1" applyFill="1" applyBorder="1"/>
    <xf numFmtId="170" fontId="0" fillId="0" borderId="4" xfId="0" applyNumberFormat="1" applyFill="1" applyBorder="1"/>
    <xf numFmtId="172" fontId="0" fillId="0" borderId="4" xfId="0" applyNumberFormat="1" applyFill="1" applyBorder="1"/>
    <xf numFmtId="0" fontId="7" fillId="0" borderId="0" xfId="3" applyFill="1"/>
    <xf numFmtId="0" fontId="36" fillId="0" borderId="4" xfId="0" applyNumberFormat="1" applyFont="1" applyFill="1" applyBorder="1"/>
    <xf numFmtId="0" fontId="37" fillId="0" borderId="0" xfId="0" applyNumberFormat="1" applyFont="1" applyFill="1" applyBorder="1" applyAlignment="1">
      <alignment horizontal="left" vertical="center"/>
    </xf>
    <xf numFmtId="43" fontId="0" fillId="0" borderId="0" xfId="1" applyFont="1" applyProtection="1"/>
    <xf numFmtId="0" fontId="12" fillId="0" borderId="0" xfId="9" applyFont="1"/>
    <xf numFmtId="0" fontId="7" fillId="0" borderId="0" xfId="9"/>
    <xf numFmtId="0" fontId="7" fillId="0" borderId="0" xfId="9" applyAlignment="1">
      <alignment horizontal="right"/>
    </xf>
    <xf numFmtId="6" fontId="7" fillId="0" borderId="0" xfId="9" applyNumberFormat="1"/>
    <xf numFmtId="0" fontId="7" fillId="0" borderId="0" xfId="9" applyFont="1"/>
    <xf numFmtId="8" fontId="7" fillId="0" borderId="0" xfId="9" applyNumberFormat="1"/>
    <xf numFmtId="0" fontId="12" fillId="0" borderId="3" xfId="9" applyFont="1" applyBorder="1"/>
    <xf numFmtId="0" fontId="7" fillId="0" borderId="3" xfId="9" applyBorder="1"/>
    <xf numFmtId="8" fontId="7" fillId="0" borderId="3" xfId="9" applyNumberFormat="1" applyBorder="1"/>
    <xf numFmtId="0" fontId="28" fillId="0" borderId="0" xfId="9" applyFont="1"/>
    <xf numFmtId="0" fontId="29" fillId="0" borderId="0" xfId="9" applyFont="1"/>
    <xf numFmtId="168" fontId="30" fillId="0" borderId="0" xfId="9" quotePrefix="1" applyNumberFormat="1" applyFont="1" applyFill="1" applyBorder="1" applyAlignment="1" applyProtection="1">
      <alignment vertical="top" wrapText="1"/>
    </xf>
    <xf numFmtId="0" fontId="7" fillId="0" borderId="3" xfId="9" applyFont="1" applyBorder="1"/>
    <xf numFmtId="8" fontId="12" fillId="0" borderId="3" xfId="9" applyNumberFormat="1" applyFont="1" applyBorder="1"/>
    <xf numFmtId="0" fontId="12" fillId="2" borderId="4" xfId="9" applyFont="1" applyFill="1" applyBorder="1" applyAlignment="1">
      <alignment vertical="center" wrapText="1"/>
    </xf>
    <xf numFmtId="0" fontId="7" fillId="0" borderId="4" xfId="9" applyBorder="1"/>
    <xf numFmtId="8" fontId="7" fillId="0" borderId="4" xfId="9" applyNumberFormat="1" applyBorder="1"/>
    <xf numFmtId="8" fontId="38" fillId="0" borderId="4" xfId="9" applyNumberFormat="1" applyFont="1" applyBorder="1"/>
    <xf numFmtId="6" fontId="0" fillId="0" borderId="0" xfId="0" applyNumberFormat="1"/>
    <xf numFmtId="0" fontId="0" fillId="0" borderId="0" xfId="0" applyNumberFormat="1" applyAlignment="1">
      <alignment vertical="top"/>
    </xf>
    <xf numFmtId="6" fontId="0" fillId="0" borderId="4" xfId="0" applyNumberFormat="1" applyBorder="1"/>
    <xf numFmtId="6" fontId="7" fillId="0" borderId="4" xfId="0" applyNumberFormat="1" applyFont="1" applyBorder="1"/>
    <xf numFmtId="0" fontId="7" fillId="0" borderId="4" xfId="0" applyNumberFormat="1" applyFont="1" applyBorder="1"/>
    <xf numFmtId="6" fontId="7" fillId="0" borderId="0" xfId="0" applyNumberFormat="1" applyFont="1" applyBorder="1"/>
    <xf numFmtId="2" fontId="0" fillId="0" borderId="0" xfId="0" applyNumberFormat="1" applyBorder="1"/>
    <xf numFmtId="0" fontId="7" fillId="0" borderId="4" xfId="0" applyNumberFormat="1" applyFont="1" applyBorder="1" applyAlignment="1">
      <alignment wrapText="1"/>
    </xf>
    <xf numFmtId="0" fontId="0" fillId="0" borderId="4" xfId="0" applyNumberFormat="1" applyBorder="1" applyAlignment="1">
      <alignment wrapText="1"/>
    </xf>
    <xf numFmtId="0" fontId="0" fillId="0" borderId="59" xfId="0" applyNumberFormat="1" applyBorder="1"/>
    <xf numFmtId="0" fontId="0" fillId="0" borderId="57" xfId="0" applyNumberFormat="1" applyBorder="1"/>
    <xf numFmtId="0" fontId="0" fillId="0" borderId="40" xfId="0" applyNumberFormat="1" applyBorder="1"/>
    <xf numFmtId="0" fontId="0" fillId="0" borderId="41" xfId="0" applyNumberFormat="1" applyBorder="1"/>
    <xf numFmtId="0" fontId="0" fillId="0" borderId="54" xfId="0" applyNumberFormat="1" applyBorder="1"/>
    <xf numFmtId="0" fontId="0" fillId="0" borderId="55" xfId="0" applyNumberFormat="1" applyBorder="1"/>
    <xf numFmtId="0" fontId="0" fillId="0" borderId="59" xfId="0" pivotButton="1" applyNumberFormat="1" applyBorder="1"/>
    <xf numFmtId="167" fontId="31" fillId="0" borderId="4" xfId="2" quotePrefix="1" applyNumberFormat="1" applyFont="1" applyFill="1" applyBorder="1" applyAlignment="1" applyProtection="1">
      <alignment vertical="top" wrapText="1"/>
    </xf>
    <xf numFmtId="1" fontId="21" fillId="0" borderId="4" xfId="1" applyNumberFormat="1" applyFont="1" applyFill="1" applyBorder="1" applyAlignment="1" applyProtection="1">
      <alignment horizontal="center" vertical="center"/>
      <protection locked="0"/>
    </xf>
    <xf numFmtId="164" fontId="11" fillId="0" borderId="13" xfId="0" applyFont="1" applyFill="1" applyBorder="1" applyAlignment="1">
      <alignment vertical="center"/>
    </xf>
    <xf numFmtId="164" fontId="11" fillId="0" borderId="31" xfId="0" applyFont="1" applyFill="1" applyBorder="1" applyAlignment="1">
      <alignment vertical="center"/>
    </xf>
    <xf numFmtId="164" fontId="11" fillId="0" borderId="7" xfId="0" applyFont="1" applyFill="1" applyBorder="1" applyAlignment="1">
      <alignment vertical="center"/>
    </xf>
    <xf numFmtId="164" fontId="21" fillId="4" borderId="57" xfId="0" applyFont="1" applyFill="1" applyBorder="1" applyAlignment="1" applyProtection="1">
      <alignment horizontal="center" vertical="center"/>
      <protection locked="0"/>
    </xf>
    <xf numFmtId="164" fontId="21" fillId="0" borderId="57" xfId="0" applyFont="1" applyFill="1" applyBorder="1" applyAlignment="1" applyProtection="1">
      <alignment horizontal="center" vertical="center"/>
    </xf>
    <xf numFmtId="164" fontId="21" fillId="0" borderId="61" xfId="0" applyFont="1" applyFill="1" applyBorder="1" applyAlignment="1" applyProtection="1">
      <alignment horizontal="center" vertical="center"/>
    </xf>
    <xf numFmtId="166" fontId="21" fillId="0" borderId="75" xfId="0" applyNumberFormat="1" applyFont="1" applyFill="1" applyBorder="1" applyAlignment="1" applyProtection="1">
      <alignment horizontal="center" vertical="center"/>
      <protection locked="0"/>
    </xf>
    <xf numFmtId="37" fontId="21" fillId="0" borderId="57" xfId="0" applyNumberFormat="1" applyFont="1" applyFill="1" applyBorder="1" applyAlignment="1" applyProtection="1">
      <alignment horizontal="center" vertical="center"/>
    </xf>
    <xf numFmtId="37" fontId="21" fillId="0" borderId="58" xfId="0" applyNumberFormat="1" applyFont="1" applyFill="1" applyBorder="1" applyAlignment="1" applyProtection="1">
      <alignment horizontal="center" vertical="center"/>
    </xf>
    <xf numFmtId="164" fontId="21" fillId="4" borderId="72" xfId="0" applyFont="1" applyFill="1" applyBorder="1" applyAlignment="1">
      <alignment horizontal="center"/>
    </xf>
    <xf numFmtId="1" fontId="21" fillId="4" borderId="4" xfId="0" applyNumberFormat="1" applyFont="1" applyFill="1" applyBorder="1" applyAlignment="1" applyProtection="1">
      <alignment horizontal="center" vertical="center"/>
      <protection locked="0"/>
    </xf>
    <xf numFmtId="164" fontId="11" fillId="0" borderId="37" xfId="0" applyFont="1" applyFill="1" applyBorder="1" applyAlignment="1" applyProtection="1">
      <alignment horizontal="center"/>
    </xf>
    <xf numFmtId="164" fontId="11" fillId="0" borderId="36" xfId="0" applyFont="1" applyFill="1" applyBorder="1" applyAlignment="1" applyProtection="1">
      <alignment horizontal="center"/>
    </xf>
    <xf numFmtId="164" fontId="11" fillId="0" borderId="38" xfId="0" applyFont="1" applyFill="1" applyBorder="1" applyAlignment="1" applyProtection="1">
      <alignment horizontal="center"/>
    </xf>
    <xf numFmtId="164" fontId="11" fillId="0" borderId="44" xfId="0" applyFont="1" applyFill="1" applyBorder="1" applyAlignment="1" applyProtection="1">
      <alignment horizontal="center"/>
    </xf>
    <xf numFmtId="164" fontId="11" fillId="0" borderId="45" xfId="0" applyFont="1" applyFill="1" applyBorder="1" applyAlignment="1" applyProtection="1">
      <alignment horizontal="center"/>
    </xf>
    <xf numFmtId="164" fontId="11" fillId="0" borderId="46" xfId="0" applyFont="1" applyFill="1" applyBorder="1" applyAlignment="1" applyProtection="1">
      <alignment horizontal="center"/>
    </xf>
    <xf numFmtId="174" fontId="35" fillId="0" borderId="0" xfId="0" applyNumberFormat="1" applyFont="1" applyFill="1" applyAlignment="1">
      <alignment horizontal="left"/>
    </xf>
    <xf numFmtId="0" fontId="6" fillId="0" borderId="0" xfId="10"/>
    <xf numFmtId="7" fontId="6" fillId="0" borderId="0" xfId="10" applyNumberFormat="1"/>
    <xf numFmtId="0" fontId="6" fillId="0" borderId="4" xfId="10" applyBorder="1" applyAlignment="1">
      <alignment horizontal="center" vertical="center"/>
    </xf>
    <xf numFmtId="0" fontId="6" fillId="0" borderId="4" xfId="10" applyBorder="1"/>
    <xf numFmtId="5" fontId="6" fillId="0" borderId="4" xfId="10" applyNumberFormat="1" applyBorder="1"/>
    <xf numFmtId="7" fontId="6" fillId="0" borderId="4" xfId="10" applyNumberFormat="1" applyBorder="1"/>
    <xf numFmtId="0" fontId="39" fillId="0" borderId="4" xfId="10" applyFont="1" applyBorder="1"/>
    <xf numFmtId="5" fontId="39" fillId="0" borderId="4" xfId="10" applyNumberFormat="1" applyFont="1" applyBorder="1"/>
    <xf numFmtId="7" fontId="39" fillId="0" borderId="4" xfId="10" applyNumberFormat="1" applyFont="1" applyBorder="1"/>
    <xf numFmtId="0" fontId="39" fillId="0" borderId="0" xfId="10" applyFont="1"/>
    <xf numFmtId="0" fontId="37" fillId="0" borderId="4" xfId="0" applyNumberFormat="1" applyFont="1" applyBorder="1" applyAlignment="1">
      <alignment horizontal="left" vertical="center"/>
    </xf>
    <xf numFmtId="173" fontId="37" fillId="0" borderId="4" xfId="1" applyNumberFormat="1" applyFont="1" applyBorder="1" applyAlignment="1">
      <alignment horizontal="left" vertical="center"/>
    </xf>
    <xf numFmtId="173" fontId="37" fillId="0" borderId="4" xfId="1" applyNumberFormat="1" applyFont="1" applyBorder="1"/>
    <xf numFmtId="0" fontId="37" fillId="0" borderId="4" xfId="0" applyNumberFormat="1" applyFont="1" applyFill="1" applyBorder="1" applyAlignment="1">
      <alignment horizontal="left" vertical="center"/>
    </xf>
    <xf numFmtId="0" fontId="40" fillId="0" borderId="0" xfId="0" applyNumberFormat="1" applyFont="1"/>
    <xf numFmtId="0" fontId="41" fillId="0" borderId="0" xfId="0" applyNumberFormat="1" applyFont="1"/>
    <xf numFmtId="0" fontId="42" fillId="0" borderId="0" xfId="0" applyNumberFormat="1" applyFont="1"/>
    <xf numFmtId="0" fontId="42" fillId="0" borderId="0" xfId="9" applyFont="1"/>
    <xf numFmtId="164" fontId="40" fillId="0" borderId="0" xfId="0" applyFont="1"/>
    <xf numFmtId="0" fontId="42" fillId="0" borderId="0" xfId="4" applyFont="1" applyBorder="1"/>
    <xf numFmtId="0" fontId="43" fillId="6" borderId="4" xfId="0" quotePrefix="1" applyNumberFormat="1" applyFont="1" applyFill="1" applyBorder="1" applyAlignment="1">
      <alignment horizontal="center" vertical="center" wrapText="1"/>
    </xf>
    <xf numFmtId="0" fontId="43" fillId="6" borderId="4" xfId="0" applyNumberFormat="1" applyFont="1" applyFill="1" applyBorder="1" applyAlignment="1">
      <alignment horizontal="center" vertical="center" wrapText="1"/>
    </xf>
    <xf numFmtId="43" fontId="43" fillId="6" borderId="4" xfId="1" applyFont="1" applyFill="1" applyBorder="1" applyAlignment="1">
      <alignment horizontal="center" vertical="center" wrapText="1"/>
    </xf>
    <xf numFmtId="5" fontId="6" fillId="0" borderId="0" xfId="10" applyNumberFormat="1"/>
    <xf numFmtId="0" fontId="5" fillId="0" borderId="0" xfId="10" applyFont="1"/>
    <xf numFmtId="43" fontId="6" fillId="0" borderId="0" xfId="1" applyFont="1"/>
    <xf numFmtId="43" fontId="0" fillId="0" borderId="0" xfId="1" applyFont="1"/>
    <xf numFmtId="0" fontId="4" fillId="0" borderId="0" xfId="10" applyFont="1"/>
    <xf numFmtId="0" fontId="5" fillId="0" borderId="4" xfId="10" applyFont="1" applyBorder="1"/>
    <xf numFmtId="0" fontId="6" fillId="0" borderId="0" xfId="10" applyAlignment="1">
      <alignment horizontal="right"/>
    </xf>
    <xf numFmtId="14" fontId="35" fillId="0" borderId="0" xfId="0" applyNumberFormat="1" applyFont="1" applyFill="1" applyAlignment="1">
      <alignment horizontal="left"/>
    </xf>
    <xf numFmtId="0" fontId="12" fillId="0" borderId="4" xfId="0" applyNumberFormat="1" applyFont="1" applyBorder="1"/>
    <xf numFmtId="0" fontId="0" fillId="0" borderId="4" xfId="0" applyNumberFormat="1" applyBorder="1" applyAlignment="1">
      <alignment vertical="top"/>
    </xf>
    <xf numFmtId="0" fontId="4" fillId="0" borderId="4" xfId="10" applyFont="1" applyBorder="1"/>
    <xf numFmtId="7" fontId="4" fillId="0" borderId="4" xfId="10" applyNumberFormat="1" applyFont="1" applyBorder="1"/>
    <xf numFmtId="46" fontId="45" fillId="0" borderId="0" xfId="0" quotePrefix="1" applyNumberFormat="1" applyFont="1"/>
    <xf numFmtId="0" fontId="45" fillId="0" borderId="0" xfId="0" applyNumberFormat="1" applyFont="1"/>
    <xf numFmtId="0" fontId="45" fillId="0" borderId="0" xfId="11" applyFont="1"/>
    <xf numFmtId="0" fontId="46" fillId="0" borderId="0" xfId="11" applyFont="1" applyBorder="1" applyAlignment="1">
      <alignment vertical="top"/>
    </xf>
    <xf numFmtId="164" fontId="11" fillId="0" borderId="5" xfId="0" applyFont="1" applyFill="1" applyBorder="1" applyAlignment="1" applyProtection="1">
      <alignment horizontal="left" vertical="center"/>
    </xf>
    <xf numFmtId="164" fontId="11" fillId="0" borderId="39" xfId="0" applyFont="1" applyFill="1" applyBorder="1" applyAlignment="1" applyProtection="1">
      <alignment horizontal="center"/>
    </xf>
    <xf numFmtId="164" fontId="21" fillId="0" borderId="43" xfId="0" applyFont="1" applyFill="1" applyBorder="1" applyAlignment="1" applyProtection="1">
      <alignment horizontal="center"/>
    </xf>
    <xf numFmtId="164" fontId="21" fillId="0" borderId="43" xfId="0" applyFont="1" applyFill="1" applyBorder="1" applyAlignment="1">
      <alignment horizontal="center"/>
    </xf>
    <xf numFmtId="164" fontId="21" fillId="0" borderId="47" xfId="0" applyFont="1" applyFill="1" applyBorder="1" applyAlignment="1">
      <alignment horizontal="center"/>
    </xf>
    <xf numFmtId="9" fontId="21" fillId="0" borderId="8" xfId="0" applyNumberFormat="1" applyFont="1" applyFill="1" applyBorder="1" applyAlignment="1" applyProtection="1">
      <alignment vertical="center"/>
      <protection locked="0"/>
    </xf>
    <xf numFmtId="164" fontId="48" fillId="0" borderId="17" xfId="0" applyFont="1" applyFill="1" applyBorder="1" applyAlignment="1">
      <alignment vertical="center"/>
    </xf>
    <xf numFmtId="165" fontId="48" fillId="0" borderId="4" xfId="0" applyNumberFormat="1" applyFont="1" applyFill="1" applyBorder="1" applyAlignment="1" applyProtection="1">
      <alignment vertical="center"/>
      <protection locked="0"/>
    </xf>
    <xf numFmtId="164" fontId="48" fillId="0" borderId="4" xfId="0" applyFont="1" applyFill="1" applyBorder="1" applyAlignment="1">
      <alignment vertical="center"/>
    </xf>
    <xf numFmtId="164" fontId="48" fillId="0" borderId="4" xfId="0" applyFont="1" applyFill="1" applyBorder="1" applyAlignment="1" applyProtection="1">
      <alignment horizontal="center" vertical="center"/>
      <protection locked="0"/>
    </xf>
    <xf numFmtId="164" fontId="48" fillId="0" borderId="4" xfId="0" applyFont="1" applyFill="1" applyBorder="1" applyAlignment="1" applyProtection="1">
      <alignment horizontal="center" vertical="center"/>
    </xf>
    <xf numFmtId="164" fontId="48" fillId="0" borderId="0" xfId="0" applyFont="1" applyFill="1" applyBorder="1"/>
    <xf numFmtId="164" fontId="48" fillId="0" borderId="0" xfId="0" applyFont="1" applyFill="1"/>
    <xf numFmtId="164" fontId="48" fillId="0" borderId="34" xfId="0" applyFont="1" applyFill="1" applyBorder="1" applyAlignment="1">
      <alignment vertical="center"/>
    </xf>
    <xf numFmtId="164" fontId="48" fillId="0" borderId="0" xfId="0" applyFont="1" applyFill="1" applyBorder="1" applyAlignment="1">
      <alignment vertical="center"/>
    </xf>
    <xf numFmtId="164" fontId="48" fillId="0" borderId="59" xfId="0" applyFont="1" applyFill="1" applyBorder="1" applyAlignment="1">
      <alignment horizontal="center"/>
    </xf>
    <xf numFmtId="164" fontId="19" fillId="0" borderId="84" xfId="0" applyFont="1" applyFill="1" applyBorder="1" applyAlignment="1">
      <alignment vertical="center"/>
    </xf>
    <xf numFmtId="164" fontId="19" fillId="0" borderId="84" xfId="0" applyFont="1" applyFill="1" applyBorder="1" applyAlignment="1">
      <alignment horizontal="center" vertical="center"/>
    </xf>
    <xf numFmtId="164" fontId="19" fillId="0" borderId="7" xfId="0" applyFont="1" applyFill="1" applyBorder="1" applyAlignment="1">
      <alignment vertical="center"/>
    </xf>
    <xf numFmtId="164" fontId="19" fillId="0" borderId="7" xfId="0" applyFont="1" applyFill="1" applyBorder="1" applyAlignment="1">
      <alignment horizontal="center" vertical="center"/>
    </xf>
    <xf numFmtId="164" fontId="19" fillId="0" borderId="7" xfId="0" applyFont="1" applyFill="1" applyBorder="1" applyAlignment="1">
      <alignment horizontal="left" vertical="center"/>
    </xf>
    <xf numFmtId="164" fontId="19" fillId="0" borderId="86" xfId="0" applyFont="1" applyFill="1" applyBorder="1" applyAlignment="1">
      <alignment vertical="center"/>
    </xf>
    <xf numFmtId="164" fontId="19" fillId="0" borderId="86" xfId="0" applyFont="1" applyFill="1" applyBorder="1" applyAlignment="1">
      <alignment horizontal="center" vertical="center"/>
    </xf>
    <xf numFmtId="164" fontId="19" fillId="0" borderId="86" xfId="0" applyFont="1" applyFill="1" applyBorder="1" applyAlignment="1">
      <alignment horizontal="left" vertical="center"/>
    </xf>
    <xf numFmtId="3" fontId="19" fillId="0" borderId="86" xfId="0" applyNumberFormat="1" applyFont="1" applyFill="1" applyBorder="1" applyAlignment="1">
      <alignment horizontal="center" vertical="center"/>
    </xf>
    <xf numFmtId="164" fontId="50" fillId="0" borderId="80" xfId="0" applyFont="1" applyBorder="1"/>
    <xf numFmtId="164" fontId="50" fillId="0" borderId="8" xfId="0" applyFont="1" applyBorder="1"/>
    <xf numFmtId="164" fontId="50" fillId="0" borderId="12" xfId="0" applyFont="1" applyBorder="1"/>
    <xf numFmtId="164" fontId="21" fillId="4" borderId="7" xfId="0" applyFont="1" applyFill="1" applyBorder="1" applyAlignment="1" applyProtection="1">
      <alignment horizontal="left" vertical="center"/>
    </xf>
    <xf numFmtId="164" fontId="21" fillId="4" borderId="5" xfId="0" applyFont="1" applyFill="1" applyBorder="1" applyAlignment="1" applyProtection="1">
      <alignment vertical="center" wrapText="1"/>
    </xf>
    <xf numFmtId="164" fontId="29" fillId="0" borderId="79" xfId="0" applyFont="1" applyFill="1" applyBorder="1" applyAlignment="1">
      <alignment horizontal="center"/>
    </xf>
    <xf numFmtId="164" fontId="29" fillId="0" borderId="21" xfId="0" applyFont="1" applyFill="1" applyBorder="1" applyAlignment="1">
      <alignment horizontal="center"/>
    </xf>
    <xf numFmtId="0" fontId="51" fillId="0" borderId="16" xfId="0" applyNumberFormat="1" applyFont="1" applyFill="1" applyBorder="1" applyAlignment="1">
      <alignment horizontal="center" wrapText="1"/>
    </xf>
    <xf numFmtId="164" fontId="28" fillId="0" borderId="22" xfId="0" applyFont="1" applyFill="1" applyBorder="1" applyAlignment="1">
      <alignment horizontal="center"/>
    </xf>
    <xf numFmtId="0" fontId="51" fillId="0" borderId="4" xfId="0" applyNumberFormat="1" applyFont="1" applyFill="1" applyBorder="1" applyAlignment="1">
      <alignment horizontal="center" wrapText="1"/>
    </xf>
    <xf numFmtId="164" fontId="28" fillId="0" borderId="25" xfId="0" applyFont="1" applyFill="1" applyBorder="1" applyAlignment="1">
      <alignment horizontal="center" wrapText="1"/>
    </xf>
    <xf numFmtId="164" fontId="29" fillId="0" borderId="35" xfId="0" applyFont="1" applyBorder="1" applyAlignment="1">
      <alignment vertical="center"/>
    </xf>
    <xf numFmtId="164" fontId="29" fillId="0" borderId="7" xfId="0" applyFont="1" applyBorder="1" applyAlignment="1">
      <alignment vertical="center"/>
    </xf>
    <xf numFmtId="164" fontId="29" fillId="0" borderId="65" xfId="0" applyFont="1" applyBorder="1" applyAlignment="1">
      <alignment vertical="center"/>
    </xf>
    <xf numFmtId="0" fontId="29" fillId="0" borderId="35" xfId="0" applyNumberFormat="1" applyFont="1" applyFill="1" applyBorder="1" applyAlignment="1" applyProtection="1">
      <alignment vertical="center"/>
      <protection locked="0"/>
    </xf>
    <xf numFmtId="0" fontId="29" fillId="0" borderId="7" xfId="0" applyNumberFormat="1" applyFont="1" applyFill="1" applyBorder="1" applyAlignment="1" applyProtection="1">
      <alignment vertical="center"/>
      <protection locked="0"/>
    </xf>
    <xf numFmtId="1" fontId="29" fillId="0" borderId="27" xfId="0" applyNumberFormat="1" applyFont="1" applyFill="1" applyBorder="1" applyAlignment="1" applyProtection="1">
      <alignment horizontal="center" vertical="center"/>
    </xf>
    <xf numFmtId="0" fontId="29" fillId="0" borderId="7" xfId="0" applyNumberFormat="1" applyFont="1" applyBorder="1" applyAlignment="1">
      <alignment vertical="center"/>
    </xf>
    <xf numFmtId="0" fontId="29" fillId="0" borderId="4" xfId="0" applyNumberFormat="1" applyFont="1" applyBorder="1" applyAlignment="1" applyProtection="1">
      <alignment horizontal="center" vertical="center"/>
    </xf>
    <xf numFmtId="0" fontId="29" fillId="0" borderId="4" xfId="0" applyNumberFormat="1" applyFont="1" applyFill="1" applyBorder="1" applyAlignment="1" applyProtection="1">
      <alignment horizontal="center" vertical="center"/>
    </xf>
    <xf numFmtId="0" fontId="29" fillId="0" borderId="4" xfId="0" applyNumberFormat="1" applyFont="1" applyFill="1" applyBorder="1" applyAlignment="1">
      <alignment horizontal="center" vertical="center"/>
    </xf>
    <xf numFmtId="0" fontId="29" fillId="0" borderId="40" xfId="0" applyNumberFormat="1" applyFont="1" applyFill="1" applyBorder="1" applyAlignment="1" applyProtection="1">
      <alignment horizontal="center" vertical="center"/>
    </xf>
    <xf numFmtId="164" fontId="29" fillId="0" borderId="4" xfId="0" applyFont="1" applyFill="1" applyBorder="1" applyAlignment="1">
      <alignment horizontal="center" vertical="center"/>
    </xf>
    <xf numFmtId="1" fontId="29" fillId="0" borderId="87" xfId="0" applyNumberFormat="1" applyFont="1" applyFill="1" applyBorder="1" applyAlignment="1" applyProtection="1">
      <alignment horizontal="center" vertical="center"/>
    </xf>
    <xf numFmtId="1" fontId="29" fillId="0" borderId="4" xfId="0" applyNumberFormat="1" applyFont="1" applyBorder="1" applyAlignment="1" applyProtection="1">
      <alignment horizontal="center" vertical="center"/>
    </xf>
    <xf numFmtId="1" fontId="29" fillId="0" borderId="4" xfId="0" applyNumberFormat="1" applyFont="1" applyFill="1" applyBorder="1" applyAlignment="1" applyProtection="1">
      <alignment horizontal="center" vertical="center"/>
    </xf>
    <xf numFmtId="164" fontId="29" fillId="0" borderId="4" xfId="0" applyFont="1" applyFill="1" applyBorder="1" applyAlignment="1">
      <alignment horizontal="center" vertical="center"/>
    </xf>
    <xf numFmtId="164" fontId="7" fillId="0" borderId="4" xfId="0" applyFont="1" applyFill="1" applyBorder="1" applyAlignment="1">
      <alignment horizontal="center" vertical="center"/>
    </xf>
    <xf numFmtId="166" fontId="7" fillId="0" borderId="4" xfId="0" applyNumberFormat="1" applyFont="1" applyFill="1" applyBorder="1" applyAlignment="1" applyProtection="1">
      <alignment horizontal="center" vertical="center"/>
      <protection locked="0"/>
    </xf>
    <xf numFmtId="1" fontId="7" fillId="0" borderId="87" xfId="0" applyNumberFormat="1" applyFont="1" applyFill="1" applyBorder="1" applyAlignment="1" applyProtection="1">
      <alignment horizontal="center" vertical="center"/>
    </xf>
    <xf numFmtId="164" fontId="24" fillId="0" borderId="0" xfId="0" applyFont="1" applyFill="1" applyAlignment="1" applyProtection="1"/>
    <xf numFmtId="164" fontId="24" fillId="0" borderId="0" xfId="0" applyFont="1" applyBorder="1" applyAlignment="1" applyProtection="1"/>
    <xf numFmtId="3" fontId="11" fillId="0" borderId="0" xfId="0" applyNumberFormat="1" applyFont="1" applyFill="1" applyBorder="1" applyAlignment="1">
      <alignment horizontal="center" vertical="center"/>
    </xf>
    <xf numFmtId="164" fontId="11" fillId="0" borderId="5" xfId="0" applyFont="1" applyFill="1" applyBorder="1" applyAlignment="1" applyProtection="1">
      <alignment vertical="center" wrapText="1"/>
    </xf>
    <xf numFmtId="0" fontId="21" fillId="4" borderId="4" xfId="1" applyNumberFormat="1" applyFont="1" applyFill="1" applyBorder="1" applyAlignment="1" applyProtection="1">
      <alignment horizontal="center" vertical="center"/>
      <protection locked="0"/>
    </xf>
    <xf numFmtId="0" fontId="21" fillId="0" borderId="4" xfId="0" applyNumberFormat="1" applyFont="1" applyFill="1" applyBorder="1" applyAlignment="1" applyProtection="1">
      <alignment horizontal="center" vertical="center"/>
    </xf>
    <xf numFmtId="39" fontId="21" fillId="0" borderId="4" xfId="0" applyNumberFormat="1" applyFont="1" applyFill="1" applyBorder="1" applyAlignment="1" applyProtection="1">
      <alignment horizontal="center" vertical="center"/>
    </xf>
    <xf numFmtId="164" fontId="11" fillId="0" borderId="0" xfId="0" applyFont="1" applyFill="1" applyAlignment="1">
      <alignment vertical="center" wrapText="1"/>
    </xf>
    <xf numFmtId="164" fontId="11" fillId="4" borderId="5" xfId="0" applyFont="1" applyFill="1" applyBorder="1" applyAlignment="1" applyProtection="1">
      <alignment horizontal="left" vertical="center"/>
    </xf>
    <xf numFmtId="164" fontId="47" fillId="0" borderId="0" xfId="0" applyFont="1" applyFill="1" applyAlignment="1">
      <alignment horizontal="right" vertical="top"/>
    </xf>
    <xf numFmtId="164" fontId="47" fillId="0" borderId="0" xfId="0" applyFont="1" applyFill="1" applyBorder="1" applyAlignment="1">
      <alignment horizontal="right" vertical="top"/>
    </xf>
    <xf numFmtId="164" fontId="11" fillId="0" borderId="4" xfId="0" applyFont="1" applyFill="1" applyBorder="1" applyAlignment="1" applyProtection="1">
      <alignment vertical="center" wrapText="1"/>
    </xf>
    <xf numFmtId="164" fontId="56" fillId="0" borderId="91" xfId="0" applyFont="1" applyBorder="1" applyAlignment="1">
      <alignment vertical="top" wrapText="1"/>
    </xf>
    <xf numFmtId="164" fontId="56" fillId="0" borderId="92" xfId="0" applyFont="1" applyBorder="1" applyAlignment="1">
      <alignment horizontal="center" vertical="top" wrapText="1"/>
    </xf>
    <xf numFmtId="164" fontId="56" fillId="0" borderId="93" xfId="0" applyFont="1" applyBorder="1" applyAlignment="1">
      <alignment vertical="top" wrapText="1"/>
    </xf>
    <xf numFmtId="164" fontId="0" fillId="0" borderId="93" xfId="0" applyBorder="1" applyAlignment="1">
      <alignment vertical="top" wrapText="1"/>
    </xf>
    <xf numFmtId="164" fontId="56" fillId="0" borderId="4" xfId="0" applyFont="1" applyBorder="1" applyAlignment="1">
      <alignment vertical="top" wrapText="1"/>
    </xf>
    <xf numFmtId="164" fontId="55" fillId="0" borderId="99" xfId="0" applyFont="1" applyBorder="1" applyAlignment="1">
      <alignment vertical="top" wrapText="1"/>
    </xf>
    <xf numFmtId="164" fontId="56" fillId="0" borderId="100" xfId="0" applyFont="1" applyBorder="1" applyAlignment="1">
      <alignment vertical="top" wrapText="1"/>
    </xf>
    <xf numFmtId="164" fontId="56" fillId="0" borderId="97" xfId="0" applyFont="1" applyBorder="1" applyAlignment="1">
      <alignment vertical="top" wrapText="1"/>
    </xf>
    <xf numFmtId="164" fontId="56" fillId="0" borderId="101" xfId="0" applyFont="1" applyBorder="1" applyAlignment="1">
      <alignment vertical="top" wrapText="1"/>
    </xf>
    <xf numFmtId="164" fontId="56" fillId="0" borderId="102" xfId="0" applyFont="1" applyBorder="1" applyAlignment="1">
      <alignment vertical="top" wrapText="1"/>
    </xf>
    <xf numFmtId="164" fontId="60" fillId="0" borderId="0" xfId="0" applyFont="1"/>
    <xf numFmtId="167" fontId="56" fillId="0" borderId="4" xfId="0" applyNumberFormat="1" applyFont="1" applyBorder="1" applyAlignment="1">
      <alignment vertical="top" wrapText="1"/>
    </xf>
    <xf numFmtId="164" fontId="62" fillId="0" borderId="0" xfId="0" applyFont="1"/>
    <xf numFmtId="164" fontId="54" fillId="0" borderId="0" xfId="0" applyFont="1"/>
    <xf numFmtId="164" fontId="63" fillId="0" borderId="0" xfId="0" applyFont="1"/>
    <xf numFmtId="167" fontId="56" fillId="0" borderId="103" xfId="0" applyNumberFormat="1" applyFont="1" applyBorder="1" applyAlignment="1">
      <alignment vertical="top" wrapText="1"/>
    </xf>
    <xf numFmtId="167" fontId="56" fillId="0" borderId="98" xfId="0" applyNumberFormat="1" applyFont="1" applyBorder="1" applyAlignment="1">
      <alignment wrapText="1"/>
    </xf>
    <xf numFmtId="167" fontId="59" fillId="0" borderId="98" xfId="0" applyNumberFormat="1" applyFont="1" applyBorder="1" applyAlignment="1">
      <alignment wrapText="1"/>
    </xf>
    <xf numFmtId="167" fontId="56" fillId="0" borderId="98" xfId="0" applyNumberFormat="1" applyFont="1" applyBorder="1" applyAlignment="1">
      <alignment vertical="top" wrapText="1"/>
    </xf>
    <xf numFmtId="167" fontId="56" fillId="0" borderId="102" xfId="0" applyNumberFormat="1" applyFont="1" applyBorder="1" applyAlignment="1">
      <alignment vertical="top" wrapText="1"/>
    </xf>
    <xf numFmtId="164" fontId="63" fillId="0" borderId="0" xfId="0" applyFont="1" applyFill="1"/>
    <xf numFmtId="164" fontId="56" fillId="0" borderId="4" xfId="0" applyFont="1" applyFill="1" applyBorder="1" applyAlignment="1">
      <alignment vertical="top" wrapText="1"/>
    </xf>
    <xf numFmtId="164" fontId="47" fillId="0" borderId="0" xfId="0" applyFont="1" applyBorder="1" applyAlignment="1">
      <alignment horizontal="right"/>
    </xf>
    <xf numFmtId="164" fontId="47" fillId="0" borderId="0" xfId="0" applyFont="1" applyAlignment="1">
      <alignment horizontal="right"/>
    </xf>
    <xf numFmtId="3" fontId="19" fillId="0" borderId="7" xfId="0" applyNumberFormat="1" applyFont="1" applyFill="1" applyBorder="1" applyAlignment="1">
      <alignment horizontal="center" vertical="center"/>
    </xf>
    <xf numFmtId="9" fontId="11" fillId="0" borderId="31" xfId="0" applyNumberFormat="1" applyFont="1" applyFill="1" applyBorder="1" applyAlignment="1" applyProtection="1">
      <alignment vertical="center"/>
    </xf>
    <xf numFmtId="3" fontId="19" fillId="0" borderId="73" xfId="0" applyNumberFormat="1" applyFont="1" applyFill="1" applyBorder="1" applyAlignment="1">
      <alignment horizontal="right" vertical="center"/>
    </xf>
    <xf numFmtId="9" fontId="28" fillId="0" borderId="27" xfId="0" applyNumberFormat="1" applyFont="1" applyBorder="1" applyAlignment="1" applyProtection="1">
      <alignment vertical="center"/>
    </xf>
    <xf numFmtId="0" fontId="33" fillId="0" borderId="0" xfId="6" applyFont="1" applyAlignment="1">
      <alignment horizontal="right"/>
    </xf>
    <xf numFmtId="37" fontId="21" fillId="0" borderId="5" xfId="0" applyNumberFormat="1" applyFont="1" applyFill="1" applyBorder="1" applyAlignment="1" applyProtection="1">
      <alignment horizontal="center" vertical="center"/>
    </xf>
    <xf numFmtId="0" fontId="21" fillId="0" borderId="5" xfId="0" applyNumberFormat="1" applyFont="1" applyFill="1" applyBorder="1" applyAlignment="1" applyProtection="1">
      <alignment horizontal="center" vertical="center"/>
    </xf>
    <xf numFmtId="3" fontId="21" fillId="0" borderId="5" xfId="0" applyNumberFormat="1" applyFont="1" applyFill="1" applyBorder="1" applyAlignment="1" applyProtection="1">
      <alignment horizontal="center" vertical="center"/>
    </xf>
    <xf numFmtId="165" fontId="21" fillId="0" borderId="5" xfId="0" applyNumberFormat="1" applyFont="1" applyFill="1" applyBorder="1" applyAlignment="1" applyProtection="1">
      <alignment horizontal="center" vertical="center"/>
    </xf>
    <xf numFmtId="164" fontId="48" fillId="0" borderId="87" xfId="0" applyFont="1" applyFill="1" applyBorder="1" applyAlignment="1" applyProtection="1">
      <alignment horizontal="center" vertical="center"/>
    </xf>
    <xf numFmtId="164" fontId="66" fillId="7" borderId="4" xfId="0" applyFont="1" applyFill="1" applyBorder="1" applyAlignment="1">
      <alignment horizontal="center" vertical="center"/>
    </xf>
    <xf numFmtId="164" fontId="67" fillId="0" borderId="0" xfId="0" applyFont="1" applyFill="1"/>
    <xf numFmtId="164" fontId="11" fillId="0" borderId="40" xfId="0" applyFont="1" applyFill="1" applyBorder="1" applyAlignment="1" applyProtection="1">
      <alignment horizontal="center"/>
    </xf>
    <xf numFmtId="164" fontId="11" fillId="0" borderId="43" xfId="0" applyFont="1" applyFill="1" applyBorder="1" applyAlignment="1" applyProtection="1">
      <alignment horizontal="center"/>
    </xf>
    <xf numFmtId="3" fontId="19" fillId="0" borderId="85" xfId="0" applyNumberFormat="1" applyFont="1" applyFill="1" applyBorder="1" applyAlignment="1" applyProtection="1">
      <alignment horizontal="right" vertical="center"/>
    </xf>
    <xf numFmtId="3" fontId="19" fillId="0" borderId="74" xfId="0" applyNumberFormat="1" applyFont="1" applyBorder="1" applyAlignment="1">
      <alignment horizontal="right" vertical="center"/>
    </xf>
    <xf numFmtId="164" fontId="47" fillId="0" borderId="0" xfId="0" applyFont="1" applyBorder="1" applyAlignment="1">
      <alignment horizontal="right" vertical="top"/>
    </xf>
    <xf numFmtId="165" fontId="21" fillId="0" borderId="53" xfId="0" applyNumberFormat="1" applyFont="1" applyFill="1" applyBorder="1" applyAlignment="1" applyProtection="1">
      <alignment horizontal="right" vertical="center"/>
    </xf>
    <xf numFmtId="165" fontId="21" fillId="0" borderId="60" xfId="0" applyNumberFormat="1" applyFont="1" applyFill="1" applyBorder="1" applyAlignment="1" applyProtection="1">
      <alignment horizontal="right" vertical="center"/>
    </xf>
    <xf numFmtId="165" fontId="21" fillId="0" borderId="6" xfId="0" applyNumberFormat="1" applyFont="1" applyFill="1" applyBorder="1" applyAlignment="1" applyProtection="1">
      <alignment horizontal="right" vertical="center"/>
    </xf>
    <xf numFmtId="5" fontId="21" fillId="0" borderId="6" xfId="0" applyNumberFormat="1" applyFont="1" applyFill="1" applyBorder="1" applyAlignment="1" applyProtection="1">
      <alignment horizontal="right" vertical="center"/>
    </xf>
    <xf numFmtId="7" fontId="21" fillId="0" borderId="6" xfId="0" applyNumberFormat="1" applyFont="1" applyFill="1" applyBorder="1" applyAlignment="1" applyProtection="1">
      <alignment horizontal="right" vertical="center"/>
    </xf>
    <xf numFmtId="167" fontId="48" fillId="0" borderId="6" xfId="0" applyNumberFormat="1" applyFont="1" applyFill="1" applyBorder="1" applyAlignment="1" applyProtection="1">
      <alignment horizontal="right" vertical="center"/>
    </xf>
    <xf numFmtId="5" fontId="21" fillId="0" borderId="81" xfId="0" applyNumberFormat="1" applyFont="1" applyFill="1" applyBorder="1" applyAlignment="1" applyProtection="1">
      <alignment horizontal="right" vertical="center"/>
    </xf>
    <xf numFmtId="5" fontId="21" fillId="0" borderId="43" xfId="0" applyNumberFormat="1" applyFont="1" applyFill="1" applyBorder="1" applyAlignment="1" applyProtection="1">
      <alignment horizontal="right" vertical="center"/>
    </xf>
    <xf numFmtId="3" fontId="48" fillId="0" borderId="82" xfId="0" applyNumberFormat="1" applyFont="1" applyFill="1" applyBorder="1" applyAlignment="1" applyProtection="1">
      <alignment horizontal="right" vertical="center"/>
    </xf>
    <xf numFmtId="164" fontId="11" fillId="0" borderId="42" xfId="0" applyFont="1" applyFill="1" applyBorder="1" applyAlignment="1" applyProtection="1">
      <alignment horizontal="center"/>
    </xf>
    <xf numFmtId="5" fontId="29" fillId="0" borderId="6" xfId="0" applyNumberFormat="1" applyFont="1" applyBorder="1" applyAlignment="1">
      <alignment horizontal="right" vertical="center"/>
    </xf>
    <xf numFmtId="5" fontId="29" fillId="0" borderId="6" xfId="0" applyNumberFormat="1" applyFont="1" applyFill="1" applyBorder="1" applyAlignment="1">
      <alignment horizontal="right" vertical="center"/>
    </xf>
    <xf numFmtId="7" fontId="29" fillId="0" borderId="6" xfId="0" applyNumberFormat="1" applyFont="1" applyBorder="1" applyAlignment="1">
      <alignment horizontal="right" vertical="center"/>
    </xf>
    <xf numFmtId="0" fontId="29" fillId="0" borderId="65" xfId="0" applyNumberFormat="1" applyFont="1" applyFill="1" applyBorder="1" applyAlignment="1" applyProtection="1">
      <alignment horizontal="right" vertical="center"/>
      <protection locked="0"/>
    </xf>
    <xf numFmtId="5" fontId="29" fillId="0" borderId="25" xfId="0" applyNumberFormat="1" applyFont="1" applyFill="1" applyBorder="1" applyAlignment="1">
      <alignment horizontal="right" vertical="center"/>
    </xf>
    <xf numFmtId="5" fontId="29" fillId="0" borderId="18" xfId="0" applyNumberFormat="1" applyFont="1" applyFill="1" applyBorder="1" applyAlignment="1">
      <alignment horizontal="right" vertical="center"/>
    </xf>
    <xf numFmtId="164" fontId="69" fillId="0" borderId="0" xfId="0" applyFont="1"/>
    <xf numFmtId="0" fontId="36" fillId="0" borderId="0" xfId="6" applyFont="1"/>
    <xf numFmtId="164" fontId="11" fillId="0" borderId="0" xfId="0" applyFont="1" applyFill="1" applyAlignment="1">
      <alignment horizontal="left" wrapText="1"/>
    </xf>
    <xf numFmtId="164" fontId="21" fillId="0" borderId="0" xfId="0" applyFont="1" applyFill="1" applyAlignment="1">
      <alignment horizontal="left" wrapText="1"/>
    </xf>
    <xf numFmtId="164" fontId="21" fillId="0" borderId="19" xfId="0" applyFont="1" applyFill="1" applyBorder="1" applyAlignment="1" applyProtection="1">
      <alignment horizontal="center" vertical="center"/>
    </xf>
    <xf numFmtId="164" fontId="21" fillId="0" borderId="20" xfId="0" applyFont="1" applyFill="1" applyBorder="1" applyAlignment="1" applyProtection="1">
      <alignment horizontal="center" vertical="center"/>
    </xf>
    <xf numFmtId="164" fontId="21" fillId="0" borderId="104" xfId="0" applyFont="1" applyFill="1" applyBorder="1" applyAlignment="1" applyProtection="1">
      <alignment horizontal="center" vertical="center"/>
    </xf>
    <xf numFmtId="164" fontId="21" fillId="0" borderId="34" xfId="0" applyFont="1" applyFill="1" applyBorder="1" applyAlignment="1" applyProtection="1">
      <alignment horizontal="center" vertical="center"/>
    </xf>
    <xf numFmtId="164" fontId="21" fillId="0" borderId="0" xfId="0" applyFont="1" applyFill="1" applyBorder="1" applyAlignment="1" applyProtection="1">
      <alignment horizontal="center" vertical="center"/>
    </xf>
    <xf numFmtId="164" fontId="21" fillId="0" borderId="105" xfId="0" applyFont="1" applyFill="1" applyBorder="1" applyAlignment="1" applyProtection="1">
      <alignment horizontal="center" vertical="center"/>
    </xf>
    <xf numFmtId="164" fontId="21" fillId="0" borderId="33" xfId="0" applyFont="1" applyFill="1" applyBorder="1" applyAlignment="1" applyProtection="1">
      <alignment horizontal="center" vertical="center"/>
    </xf>
    <xf numFmtId="164" fontId="21" fillId="0" borderId="32" xfId="0" applyFont="1" applyFill="1" applyBorder="1" applyAlignment="1" applyProtection="1">
      <alignment horizontal="center" vertical="center"/>
    </xf>
    <xf numFmtId="164" fontId="21" fillId="0" borderId="106" xfId="0" applyFont="1" applyFill="1" applyBorder="1" applyAlignment="1" applyProtection="1">
      <alignment horizontal="center" vertical="center"/>
    </xf>
    <xf numFmtId="164" fontId="11" fillId="0" borderId="0" xfId="0" applyFont="1" applyFill="1" applyAlignment="1">
      <alignment horizontal="left"/>
    </xf>
    <xf numFmtId="164" fontId="21" fillId="0" borderId="0" xfId="0" applyFont="1" applyFill="1" applyAlignment="1">
      <alignment horizontal="left"/>
    </xf>
    <xf numFmtId="164" fontId="11" fillId="0" borderId="0" xfId="0" applyFont="1" applyFill="1" applyAlignment="1">
      <alignment horizontal="left" vertical="center" wrapText="1"/>
    </xf>
    <xf numFmtId="164" fontId="21" fillId="0" borderId="0" xfId="0" applyFont="1" applyFill="1" applyBorder="1" applyAlignment="1">
      <alignment horizontal="left" vertical="center"/>
    </xf>
    <xf numFmtId="37" fontId="48" fillId="0" borderId="35" xfId="0" applyNumberFormat="1" applyFont="1" applyFill="1" applyBorder="1" applyAlignment="1" applyProtection="1">
      <alignment horizontal="center" vertical="center"/>
    </xf>
    <xf numFmtId="37" fontId="48" fillId="0" borderId="7" xfId="0" applyNumberFormat="1" applyFont="1" applyFill="1" applyBorder="1" applyAlignment="1" applyProtection="1">
      <alignment horizontal="center" vertical="center"/>
    </xf>
    <xf numFmtId="37" fontId="48" fillId="0" borderId="5" xfId="0" applyNumberFormat="1" applyFont="1" applyFill="1" applyBorder="1" applyAlignment="1" applyProtection="1">
      <alignment horizontal="center" vertical="center"/>
    </xf>
    <xf numFmtId="3" fontId="48" fillId="0" borderId="59" xfId="0" applyNumberFormat="1" applyFont="1" applyFill="1" applyBorder="1" applyAlignment="1">
      <alignment horizontal="center"/>
    </xf>
    <xf numFmtId="3" fontId="48" fillId="0" borderId="29" xfId="0" applyNumberFormat="1" applyFont="1" applyFill="1" applyBorder="1" applyAlignment="1">
      <alignment horizontal="center"/>
    </xf>
    <xf numFmtId="3" fontId="48" fillId="0" borderId="83" xfId="0" applyNumberFormat="1" applyFont="1" applyFill="1" applyBorder="1" applyAlignment="1">
      <alignment horizontal="center"/>
    </xf>
    <xf numFmtId="3" fontId="19" fillId="0" borderId="84" xfId="0" applyNumberFormat="1" applyFont="1" applyFill="1" applyBorder="1" applyAlignment="1">
      <alignment horizontal="center" vertical="center"/>
    </xf>
    <xf numFmtId="164" fontId="11" fillId="0" borderId="0" xfId="0" applyFont="1" applyFill="1" applyAlignment="1">
      <alignment horizontal="left" vertical="top" wrapText="1"/>
    </xf>
    <xf numFmtId="164" fontId="11" fillId="0" borderId="0" xfId="0" applyFont="1" applyBorder="1" applyAlignment="1">
      <alignment horizontal="left" wrapText="1"/>
    </xf>
    <xf numFmtId="1" fontId="29" fillId="0" borderId="88" xfId="0" applyNumberFormat="1" applyFont="1" applyFill="1" applyBorder="1" applyAlignment="1" applyProtection="1">
      <alignment horizontal="center" vertical="center"/>
    </xf>
    <xf numFmtId="1" fontId="29" fillId="0" borderId="89" xfId="0" applyNumberFormat="1" applyFont="1" applyFill="1" applyBorder="1" applyAlignment="1" applyProtection="1">
      <alignment horizontal="center" vertical="center"/>
    </xf>
    <xf numFmtId="1" fontId="29" fillId="0" borderId="90" xfId="0" applyNumberFormat="1" applyFont="1" applyFill="1" applyBorder="1" applyAlignment="1" applyProtection="1">
      <alignment horizontal="center" vertical="center"/>
    </xf>
    <xf numFmtId="164" fontId="29" fillId="0" borderId="5" xfId="0" applyFont="1" applyFill="1" applyBorder="1" applyAlignment="1" applyProtection="1">
      <alignment horizontal="left" vertical="center" wrapText="1"/>
    </xf>
    <xf numFmtId="164" fontId="29" fillId="0" borderId="4" xfId="0" applyFont="1" applyFill="1" applyBorder="1" applyAlignment="1">
      <alignment vertical="center" wrapText="1"/>
    </xf>
    <xf numFmtId="0" fontId="51" fillId="0" borderId="16" xfId="0" applyNumberFormat="1" applyFont="1" applyFill="1" applyBorder="1" applyAlignment="1">
      <alignment horizontal="center" wrapText="1"/>
    </xf>
    <xf numFmtId="0" fontId="51" fillId="0" borderId="4" xfId="0" applyNumberFormat="1" applyFont="1" applyFill="1" applyBorder="1" applyAlignment="1">
      <alignment horizontal="center" wrapText="1"/>
    </xf>
    <xf numFmtId="164" fontId="28" fillId="0" borderId="19" xfId="0" applyFont="1" applyFill="1" applyBorder="1" applyAlignment="1" applyProtection="1">
      <alignment horizontal="center" vertical="center"/>
    </xf>
    <xf numFmtId="164" fontId="28" fillId="0" borderId="20" xfId="0" applyFont="1" applyFill="1" applyBorder="1" applyAlignment="1" applyProtection="1">
      <alignment horizontal="center" vertical="center"/>
    </xf>
    <xf numFmtId="164" fontId="28" fillId="0" borderId="10" xfId="0" applyFont="1" applyFill="1" applyBorder="1" applyAlignment="1" applyProtection="1">
      <alignment horizontal="center" vertical="center"/>
    </xf>
    <xf numFmtId="164" fontId="28" fillId="0" borderId="3" xfId="0" applyFont="1" applyFill="1" applyBorder="1" applyAlignment="1" applyProtection="1">
      <alignment horizontal="center" vertical="center"/>
    </xf>
    <xf numFmtId="0" fontId="6" fillId="0" borderId="4" xfId="10" applyBorder="1" applyAlignment="1">
      <alignment horizontal="center"/>
    </xf>
    <xf numFmtId="0" fontId="6" fillId="0" borderId="4" xfId="10" applyBorder="1" applyAlignment="1">
      <alignment horizontal="center" vertical="center" wrapText="1"/>
    </xf>
    <xf numFmtId="0" fontId="6" fillId="0" borderId="4" xfId="10" applyBorder="1" applyAlignment="1">
      <alignment horizontal="center" vertical="center"/>
    </xf>
    <xf numFmtId="0" fontId="11" fillId="0" borderId="0" xfId="0" applyNumberFormat="1" applyFont="1" applyAlignment="1">
      <alignment horizontal="left" wrapText="1"/>
    </xf>
    <xf numFmtId="0" fontId="32" fillId="0" borderId="0" xfId="0" applyNumberFormat="1" applyFont="1" applyAlignment="1">
      <alignment horizontal="left" wrapText="1"/>
    </xf>
    <xf numFmtId="0" fontId="7" fillId="0" borderId="0" xfId="9" applyAlignment="1">
      <alignment horizontal="left" vertical="top" wrapText="1"/>
    </xf>
    <xf numFmtId="0" fontId="12" fillId="0" borderId="4" xfId="0" applyNumberFormat="1" applyFont="1" applyBorder="1" applyAlignment="1">
      <alignment horizontal="center" vertical="center"/>
    </xf>
    <xf numFmtId="164" fontId="13" fillId="0" borderId="3" xfId="8" applyFont="1" applyFill="1" applyBorder="1" applyAlignment="1">
      <alignment horizontal="left" wrapText="1"/>
    </xf>
    <xf numFmtId="167" fontId="56" fillId="0" borderId="98" xfId="0" applyNumberFormat="1" applyFont="1" applyBorder="1" applyAlignment="1">
      <alignment wrapText="1"/>
    </xf>
    <xf numFmtId="164" fontId="57" fillId="0" borderId="97" xfId="0" applyFont="1" applyBorder="1" applyAlignment="1">
      <alignment horizontal="center" vertical="top" wrapText="1"/>
    </xf>
    <xf numFmtId="164" fontId="57" fillId="0" borderId="4" xfId="0" applyFont="1" applyBorder="1" applyAlignment="1">
      <alignment horizontal="center" vertical="top" wrapText="1"/>
    </xf>
    <xf numFmtId="164" fontId="57" fillId="0" borderId="98" xfId="0" applyFont="1" applyBorder="1" applyAlignment="1">
      <alignment horizontal="center" vertical="top" wrapText="1"/>
    </xf>
    <xf numFmtId="164" fontId="56" fillId="0" borderId="97" xfId="0" applyFont="1" applyBorder="1" applyAlignment="1">
      <alignment vertical="top" wrapText="1"/>
    </xf>
    <xf numFmtId="167" fontId="56" fillId="0" borderId="4" xfId="0" applyNumberFormat="1" applyFont="1" applyBorder="1" applyAlignment="1">
      <alignment vertical="top" wrapText="1"/>
    </xf>
    <xf numFmtId="164" fontId="56" fillId="0" borderId="4" xfId="0" applyFont="1" applyBorder="1" applyAlignment="1">
      <alignment vertical="top" wrapText="1"/>
    </xf>
    <xf numFmtId="167" fontId="59" fillId="0" borderId="98" xfId="0" applyNumberFormat="1" applyFont="1" applyBorder="1" applyAlignment="1">
      <alignment wrapText="1"/>
    </xf>
    <xf numFmtId="164" fontId="54" fillId="0" borderId="94" xfId="0" applyFont="1" applyBorder="1" applyAlignment="1">
      <alignment vertical="top" wrapText="1"/>
    </xf>
    <xf numFmtId="164" fontId="54" fillId="0" borderId="95" xfId="0" applyFont="1" applyBorder="1" applyAlignment="1">
      <alignment vertical="top" wrapText="1"/>
    </xf>
    <xf numFmtId="164" fontId="54" fillId="0" borderId="96" xfId="0" applyFont="1" applyBorder="1" applyAlignment="1">
      <alignment vertical="top" wrapText="1"/>
    </xf>
    <xf numFmtId="164" fontId="55" fillId="0" borderId="97" xfId="0" applyFont="1" applyBorder="1" applyAlignment="1">
      <alignment horizontal="center" vertical="top" wrapText="1"/>
    </xf>
    <xf numFmtId="164" fontId="55" fillId="0" borderId="4" xfId="0" applyFont="1" applyBorder="1" applyAlignment="1">
      <alignment horizontal="center" vertical="top" wrapText="1"/>
    </xf>
    <xf numFmtId="164" fontId="55" fillId="0" borderId="98" xfId="0" applyFont="1" applyBorder="1" applyAlignment="1">
      <alignment horizontal="center" vertical="top" wrapText="1"/>
    </xf>
  </cellXfs>
  <cellStyles count="14">
    <cellStyle name="Comma" xfId="1" builtinId="3"/>
    <cellStyle name="Currency" xfId="2" builtinId="4"/>
    <cellStyle name="Normal" xfId="0" builtinId="0"/>
    <cellStyle name="Normal 2" xfId="9" xr:uid="{00000000-0005-0000-0000-000003000000}"/>
    <cellStyle name="Normal 3" xfId="10" xr:uid="{00000000-0005-0000-0000-000004000000}"/>
    <cellStyle name="Normal 3 2" xfId="12" xr:uid="{00000000-0005-0000-0000-000005000000}"/>
    <cellStyle name="Normal 4" xfId="11" xr:uid="{00000000-0005-0000-0000-000006000000}"/>
    <cellStyle name="Normal 5" xfId="13" xr:uid="{00000000-0005-0000-0000-000007000000}"/>
    <cellStyle name="Normal_Cost Analysis - Testing and Monitoring - 20101104 (QA 20101110)" xfId="3" xr:uid="{00000000-0005-0000-0000-000008000000}"/>
    <cellStyle name="Normal_HMIWI EG SS" xfId="4" xr:uid="{00000000-0005-0000-0000-000009000000}"/>
    <cellStyle name="Normal_ICR Cost Inputs" xfId="5" xr:uid="{00000000-0005-0000-0000-00000A000000}"/>
    <cellStyle name="Normal_Sheet1" xfId="6" xr:uid="{00000000-0005-0000-0000-00000B000000}"/>
    <cellStyle name="Normal_Sheet2" xfId="7" xr:uid="{00000000-0005-0000-0000-00000C000000}"/>
    <cellStyle name="Normal_SSI Burden Estimate BML 060710" xfId="8" xr:uid="{00000000-0005-0000-0000-00000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pageSetUpPr fitToPage="1"/>
  </sheetPr>
  <dimension ref="A1:AD97"/>
  <sheetViews>
    <sheetView showGridLines="0" tabSelected="1" zoomScale="86" zoomScaleNormal="86" zoomScaleSheetLayoutView="85" workbookViewId="0">
      <pane ySplit="12" topLeftCell="A13" activePane="bottomLeft" state="frozenSplit"/>
      <selection activeCell="D2" sqref="D2"/>
      <selection pane="bottomLeft" activeCell="G6" sqref="G6"/>
    </sheetView>
  </sheetViews>
  <sheetFormatPr defaultColWidth="9.83203125" defaultRowHeight="11.25" x14ac:dyDescent="0.2"/>
  <cols>
    <col min="1" max="3" width="3.6640625" style="39" customWidth="1"/>
    <col min="4" max="4" width="51.6640625" style="39" customWidth="1"/>
    <col min="5" max="5" width="12.33203125" style="97" customWidth="1"/>
    <col min="6" max="6" width="12.5" style="97" bestFit="1" customWidth="1"/>
    <col min="7" max="7" width="11.83203125" style="97" bestFit="1" customWidth="1"/>
    <col min="8" max="8" width="12.1640625" style="97" customWidth="1"/>
    <col min="9" max="9" width="11.83203125" style="97" bestFit="1" customWidth="1"/>
    <col min="10" max="10" width="8.83203125" style="97" bestFit="1" customWidth="1"/>
    <col min="11" max="11" width="11.33203125" style="97" bestFit="1" customWidth="1"/>
    <col min="12" max="12" width="16.5" style="97" customWidth="1"/>
    <col min="13" max="13" width="14.1640625" style="97" bestFit="1" customWidth="1"/>
    <col min="14" max="14" width="10.33203125" style="97" bestFit="1" customWidth="1"/>
    <col min="15" max="15" width="5.1640625" style="97" bestFit="1" customWidth="1"/>
    <col min="16" max="16" width="10.6640625" style="97" customWidth="1"/>
    <col min="17" max="16384" width="9.83203125" style="39"/>
  </cols>
  <sheetData>
    <row r="1" spans="1:30" ht="14.45" customHeight="1" x14ac:dyDescent="0.25">
      <c r="D1" s="235"/>
      <c r="I1" s="335">
        <v>117.92</v>
      </c>
      <c r="J1" s="335">
        <v>147.4</v>
      </c>
      <c r="K1" s="335">
        <v>57.02</v>
      </c>
      <c r="L1" s="336" t="s">
        <v>406</v>
      </c>
    </row>
    <row r="2" spans="1:30" ht="9.9499999999999993" customHeight="1" x14ac:dyDescent="0.2">
      <c r="D2" s="297"/>
    </row>
    <row r="3" spans="1:30" ht="11.45" customHeight="1" x14ac:dyDescent="0.2">
      <c r="D3" s="328"/>
    </row>
    <row r="4" spans="1:30" ht="9.6" customHeight="1" x14ac:dyDescent="0.2"/>
    <row r="5" spans="1:30" ht="14.45" customHeight="1" x14ac:dyDescent="0.25">
      <c r="A5" s="392" t="s">
        <v>159</v>
      </c>
      <c r="B5" s="392"/>
      <c r="C5" s="392"/>
      <c r="D5" s="392"/>
      <c r="E5" s="392"/>
      <c r="F5" s="392"/>
      <c r="G5" s="392"/>
      <c r="H5" s="392"/>
      <c r="I5" s="392"/>
      <c r="J5" s="392"/>
      <c r="K5" s="392"/>
      <c r="L5" s="392"/>
      <c r="M5" s="392"/>
      <c r="N5" s="392"/>
      <c r="O5" s="392"/>
      <c r="P5" s="392"/>
      <c r="R5" s="41"/>
      <c r="S5" s="41"/>
      <c r="T5" s="41"/>
      <c r="U5" s="41"/>
      <c r="V5" s="41"/>
      <c r="W5" s="41"/>
      <c r="X5" s="41"/>
      <c r="Y5" s="41"/>
      <c r="Z5" s="41"/>
      <c r="AA5" s="41"/>
      <c r="AB5" s="41"/>
      <c r="AC5" s="41"/>
      <c r="AD5" s="41"/>
    </row>
    <row r="6" spans="1:30" ht="20.100000000000001" customHeight="1" thickBot="1" x14ac:dyDescent="0.3">
      <c r="A6" s="392" t="s">
        <v>280</v>
      </c>
      <c r="B6" s="392"/>
      <c r="C6" s="392"/>
      <c r="D6" s="392"/>
      <c r="E6" s="392"/>
      <c r="F6" s="392"/>
      <c r="G6" s="392"/>
      <c r="H6" s="392"/>
      <c r="I6" s="392"/>
      <c r="J6" s="392"/>
      <c r="K6" s="392"/>
      <c r="L6" s="392"/>
      <c r="M6" s="392"/>
      <c r="N6" s="392"/>
      <c r="O6" s="392"/>
      <c r="P6" s="392"/>
    </row>
    <row r="7" spans="1:30" ht="10.9" customHeight="1" x14ac:dyDescent="0.2">
      <c r="A7" s="465" t="s">
        <v>13</v>
      </c>
      <c r="B7" s="466"/>
      <c r="C7" s="466"/>
      <c r="D7" s="467"/>
      <c r="E7" s="42" t="s">
        <v>34</v>
      </c>
      <c r="F7" s="291" t="s">
        <v>0</v>
      </c>
      <c r="G7" s="291" t="s">
        <v>1</v>
      </c>
      <c r="H7" s="292" t="s">
        <v>2</v>
      </c>
      <c r="I7" s="292" t="s">
        <v>3</v>
      </c>
      <c r="J7" s="292" t="s">
        <v>4</v>
      </c>
      <c r="K7" s="293" t="s">
        <v>35</v>
      </c>
      <c r="L7" s="338" t="s">
        <v>220</v>
      </c>
      <c r="M7" s="39"/>
      <c r="N7" s="39"/>
      <c r="O7" s="39"/>
      <c r="P7" s="39"/>
    </row>
    <row r="8" spans="1:30" ht="10.9" customHeight="1" x14ac:dyDescent="0.2">
      <c r="A8" s="468"/>
      <c r="B8" s="469"/>
      <c r="C8" s="469"/>
      <c r="D8" s="470"/>
      <c r="E8" s="43" t="s">
        <v>42</v>
      </c>
      <c r="F8" s="44" t="s">
        <v>36</v>
      </c>
      <c r="G8" s="44" t="s">
        <v>9</v>
      </c>
      <c r="H8" s="43" t="s">
        <v>36</v>
      </c>
      <c r="I8" s="43" t="s">
        <v>37</v>
      </c>
      <c r="J8" s="43" t="s">
        <v>6</v>
      </c>
      <c r="K8" s="45" t="s">
        <v>7</v>
      </c>
      <c r="L8" s="339" t="s">
        <v>38</v>
      </c>
      <c r="M8" s="39"/>
      <c r="N8" s="39"/>
      <c r="O8" s="39"/>
      <c r="P8" s="39"/>
    </row>
    <row r="9" spans="1:30" ht="10.9" customHeight="1" x14ac:dyDescent="0.2">
      <c r="A9" s="468"/>
      <c r="B9" s="469"/>
      <c r="C9" s="469"/>
      <c r="D9" s="470"/>
      <c r="E9" s="43" t="s">
        <v>52</v>
      </c>
      <c r="F9" s="44" t="s">
        <v>8</v>
      </c>
      <c r="G9" s="44" t="s">
        <v>10</v>
      </c>
      <c r="H9" s="43" t="s">
        <v>39</v>
      </c>
      <c r="I9" s="43" t="s">
        <v>9</v>
      </c>
      <c r="J9" s="43" t="s">
        <v>9</v>
      </c>
      <c r="K9" s="45" t="s">
        <v>9</v>
      </c>
      <c r="L9" s="339" t="s">
        <v>40</v>
      </c>
      <c r="M9" s="39"/>
      <c r="N9" s="39"/>
      <c r="O9" s="39"/>
      <c r="P9" s="39"/>
    </row>
    <row r="10" spans="1:30" ht="10.9" customHeight="1" x14ac:dyDescent="0.2">
      <c r="A10" s="468"/>
      <c r="B10" s="469"/>
      <c r="C10" s="469"/>
      <c r="D10" s="470"/>
      <c r="E10" s="43" t="s">
        <v>12</v>
      </c>
      <c r="F10" s="44" t="s">
        <v>10</v>
      </c>
      <c r="G10" s="44" t="s">
        <v>42</v>
      </c>
      <c r="H10" s="440" t="s">
        <v>399</v>
      </c>
      <c r="I10" s="440" t="s">
        <v>11</v>
      </c>
      <c r="J10" s="440" t="s">
        <v>11</v>
      </c>
      <c r="K10" s="454" t="s">
        <v>11</v>
      </c>
      <c r="L10" s="441" t="s">
        <v>400</v>
      </c>
      <c r="M10" s="39"/>
      <c r="N10" s="39"/>
      <c r="O10" s="39"/>
      <c r="P10" s="39"/>
    </row>
    <row r="11" spans="1:30" ht="10.9" customHeight="1" x14ac:dyDescent="0.2">
      <c r="A11" s="468"/>
      <c r="B11" s="469"/>
      <c r="C11" s="469"/>
      <c r="D11" s="470"/>
      <c r="E11" s="43" t="s">
        <v>41</v>
      </c>
      <c r="F11" s="44" t="s">
        <v>42</v>
      </c>
      <c r="G11" s="44" t="s">
        <v>11</v>
      </c>
      <c r="H11" s="142"/>
      <c r="I11" s="46"/>
      <c r="J11" s="46"/>
      <c r="K11" s="47"/>
      <c r="L11" s="340"/>
      <c r="M11" s="39"/>
      <c r="N11" s="39"/>
      <c r="O11" s="39"/>
      <c r="P11" s="39"/>
    </row>
    <row r="12" spans="1:30" ht="10.9" customHeight="1" thickBot="1" x14ac:dyDescent="0.25">
      <c r="A12" s="471"/>
      <c r="B12" s="472"/>
      <c r="C12" s="472"/>
      <c r="D12" s="473"/>
      <c r="E12" s="48" t="s">
        <v>43</v>
      </c>
      <c r="F12" s="49" t="s">
        <v>11</v>
      </c>
      <c r="G12" s="295" t="s">
        <v>221</v>
      </c>
      <c r="H12" s="48"/>
      <c r="I12" s="294" t="s">
        <v>224</v>
      </c>
      <c r="J12" s="294" t="s">
        <v>222</v>
      </c>
      <c r="K12" s="296" t="s">
        <v>223</v>
      </c>
      <c r="L12" s="341"/>
      <c r="M12" s="39"/>
      <c r="N12" s="39"/>
      <c r="O12" s="39"/>
      <c r="P12" s="39"/>
    </row>
    <row r="13" spans="1:30" ht="15" customHeight="1" x14ac:dyDescent="0.2">
      <c r="A13" s="50" t="s">
        <v>14</v>
      </c>
      <c r="B13" s="51" t="s">
        <v>15</v>
      </c>
      <c r="C13" s="52"/>
      <c r="D13" s="52"/>
      <c r="E13" s="53" t="s">
        <v>95</v>
      </c>
      <c r="F13" s="54"/>
      <c r="G13" s="55">
        <f>E13*$F13</f>
        <v>0</v>
      </c>
      <c r="H13" s="56">
        <v>55</v>
      </c>
      <c r="I13" s="57"/>
      <c r="J13" s="57"/>
      <c r="K13" s="58"/>
      <c r="L13" s="445">
        <f>I13*33+J13*49+K13*15</f>
        <v>0</v>
      </c>
      <c r="M13" s="39"/>
      <c r="N13" s="39"/>
      <c r="O13" s="39"/>
      <c r="P13" s="39"/>
    </row>
    <row r="14" spans="1:30" ht="15" customHeight="1" x14ac:dyDescent="0.2">
      <c r="A14" s="61" t="s">
        <v>17</v>
      </c>
      <c r="B14" s="27" t="s">
        <v>44</v>
      </c>
      <c r="C14" s="64"/>
      <c r="D14" s="64"/>
      <c r="E14" s="111" t="s">
        <v>95</v>
      </c>
      <c r="F14" s="62"/>
      <c r="G14" s="63">
        <f>E14*$F14</f>
        <v>0</v>
      </c>
      <c r="H14" s="112"/>
      <c r="I14" s="113"/>
      <c r="J14" s="113"/>
      <c r="K14" s="114">
        <f t="shared" ref="K14:K18" si="0">I14*0.1</f>
        <v>0</v>
      </c>
      <c r="L14" s="446">
        <f>I14*33+J14*49+K14*15</f>
        <v>0</v>
      </c>
      <c r="M14" s="39"/>
      <c r="N14" s="39"/>
      <c r="O14" s="39"/>
      <c r="P14" s="39"/>
    </row>
    <row r="15" spans="1:30" ht="15" customHeight="1" x14ac:dyDescent="0.2">
      <c r="A15" s="138" t="s">
        <v>19</v>
      </c>
      <c r="B15" s="101" t="s">
        <v>45</v>
      </c>
      <c r="C15" s="98"/>
      <c r="D15" s="98"/>
      <c r="E15" s="116"/>
      <c r="F15" s="108"/>
      <c r="G15" s="117">
        <f>E15*$F15</f>
        <v>0</v>
      </c>
      <c r="H15" s="118"/>
      <c r="I15" s="117">
        <f t="shared" ref="I15:I18" si="1">G15*H15</f>
        <v>0</v>
      </c>
      <c r="J15" s="117">
        <f t="shared" ref="J15:J18" si="2">I15*0.05</f>
        <v>0</v>
      </c>
      <c r="K15" s="117">
        <f t="shared" si="0"/>
        <v>0</v>
      </c>
      <c r="L15" s="447">
        <f>I15*33+J15*49+K15*15</f>
        <v>0</v>
      </c>
      <c r="M15" s="39"/>
      <c r="N15" s="39"/>
      <c r="O15" s="39"/>
      <c r="P15" s="39"/>
    </row>
    <row r="16" spans="1:30" ht="15" customHeight="1" x14ac:dyDescent="0.2">
      <c r="A16" s="138"/>
      <c r="B16" s="102" t="s">
        <v>21</v>
      </c>
      <c r="C16" s="337" t="s">
        <v>347</v>
      </c>
      <c r="D16" s="98"/>
      <c r="E16" s="116">
        <f>2*4*40</f>
        <v>320</v>
      </c>
      <c r="F16" s="115">
        <v>1</v>
      </c>
      <c r="G16" s="115">
        <f>E16*$F16</f>
        <v>320</v>
      </c>
      <c r="H16" s="119">
        <v>15</v>
      </c>
      <c r="I16" s="120">
        <f t="shared" si="1"/>
        <v>4800</v>
      </c>
      <c r="J16" s="120">
        <f t="shared" si="2"/>
        <v>240</v>
      </c>
      <c r="K16" s="120">
        <f t="shared" si="0"/>
        <v>480</v>
      </c>
      <c r="L16" s="448">
        <f>I16*I$1+J16*J$1+K16*K$1</f>
        <v>628761.59999999998</v>
      </c>
      <c r="M16" s="439" t="s">
        <v>346</v>
      </c>
      <c r="N16" s="39"/>
      <c r="O16" s="39"/>
      <c r="P16" s="39"/>
    </row>
    <row r="17" spans="1:16" ht="15" customHeight="1" x14ac:dyDescent="0.2">
      <c r="A17" s="139"/>
      <c r="B17" s="102" t="s">
        <v>23</v>
      </c>
      <c r="C17" s="101" t="s">
        <v>20</v>
      </c>
      <c r="D17" s="98"/>
      <c r="E17" s="116"/>
      <c r="F17" s="108"/>
      <c r="G17" s="108"/>
      <c r="H17" s="119"/>
      <c r="I17" s="117">
        <f t="shared" si="1"/>
        <v>0</v>
      </c>
      <c r="J17" s="117">
        <f t="shared" si="2"/>
        <v>0</v>
      </c>
      <c r="K17" s="117">
        <f t="shared" si="0"/>
        <v>0</v>
      </c>
      <c r="L17" s="448"/>
      <c r="M17" s="39"/>
      <c r="N17" s="39"/>
      <c r="O17" s="39"/>
      <c r="P17" s="65"/>
    </row>
    <row r="18" spans="1:16" ht="15" customHeight="1" x14ac:dyDescent="0.2">
      <c r="A18" s="139"/>
      <c r="B18" s="105"/>
      <c r="C18" s="104" t="s">
        <v>137</v>
      </c>
      <c r="D18" s="100"/>
      <c r="E18" s="116"/>
      <c r="F18" s="108"/>
      <c r="G18" s="108"/>
      <c r="H18" s="119"/>
      <c r="I18" s="117">
        <f t="shared" si="1"/>
        <v>0</v>
      </c>
      <c r="J18" s="117">
        <f t="shared" si="2"/>
        <v>0</v>
      </c>
      <c r="K18" s="117">
        <f t="shared" si="0"/>
        <v>0</v>
      </c>
      <c r="L18" s="448"/>
      <c r="M18" s="39"/>
      <c r="N18" s="39"/>
      <c r="O18" s="39"/>
      <c r="P18" s="67"/>
    </row>
    <row r="19" spans="1:16" ht="15" customHeight="1" x14ac:dyDescent="0.2">
      <c r="A19" s="139"/>
      <c r="B19" s="105"/>
      <c r="C19" s="365"/>
      <c r="D19" s="175" t="s">
        <v>348</v>
      </c>
      <c r="E19" s="109">
        <v>120</v>
      </c>
      <c r="F19" s="115">
        <v>1</v>
      </c>
      <c r="G19" s="115">
        <f t="shared" ref="G19:G24" si="3">E19*$F19</f>
        <v>120</v>
      </c>
      <c r="H19" s="121">
        <v>0</v>
      </c>
      <c r="I19" s="120">
        <f>G19*H19</f>
        <v>0</v>
      </c>
      <c r="J19" s="120">
        <f>I19*0.05</f>
        <v>0</v>
      </c>
      <c r="K19" s="120">
        <f>I19*0.1</f>
        <v>0</v>
      </c>
      <c r="L19" s="448">
        <f t="shared" ref="L19:L24" si="4">I19*I$1+J19*J$1+K19*K$1</f>
        <v>0</v>
      </c>
      <c r="M19" s="39"/>
      <c r="N19" s="39"/>
      <c r="O19" s="39"/>
      <c r="P19" s="67"/>
    </row>
    <row r="20" spans="1:16" ht="15" customHeight="1" x14ac:dyDescent="0.2">
      <c r="A20" s="139"/>
      <c r="B20" s="105"/>
      <c r="C20" s="365"/>
      <c r="D20" s="395" t="s">
        <v>349</v>
      </c>
      <c r="E20" s="109">
        <f>9*4</f>
        <v>36</v>
      </c>
      <c r="F20" s="115">
        <v>1</v>
      </c>
      <c r="G20" s="115">
        <f t="shared" si="3"/>
        <v>36</v>
      </c>
      <c r="H20" s="119">
        <v>0</v>
      </c>
      <c r="I20" s="120">
        <f t="shared" ref="I20:I31" si="5">G20*H20</f>
        <v>0</v>
      </c>
      <c r="J20" s="120">
        <f t="shared" ref="J20:J31" si="6">I20*0.05</f>
        <v>0</v>
      </c>
      <c r="K20" s="120">
        <f t="shared" ref="K20:K24" si="7">I20*0.1</f>
        <v>0</v>
      </c>
      <c r="L20" s="448">
        <f t="shared" si="4"/>
        <v>0</v>
      </c>
      <c r="M20" s="39"/>
      <c r="N20" s="39"/>
      <c r="O20" s="39"/>
      <c r="P20" s="67"/>
    </row>
    <row r="21" spans="1:16" ht="15" customHeight="1" x14ac:dyDescent="0.2">
      <c r="A21" s="139"/>
      <c r="B21" s="105"/>
      <c r="C21" s="365"/>
      <c r="D21" s="395" t="s">
        <v>350</v>
      </c>
      <c r="E21" s="109">
        <f>4*2</f>
        <v>8</v>
      </c>
      <c r="F21" s="115">
        <v>1</v>
      </c>
      <c r="G21" s="115">
        <f t="shared" si="3"/>
        <v>8</v>
      </c>
      <c r="H21" s="119">
        <v>0</v>
      </c>
      <c r="I21" s="120">
        <f t="shared" si="5"/>
        <v>0</v>
      </c>
      <c r="J21" s="120">
        <f t="shared" si="6"/>
        <v>0</v>
      </c>
      <c r="K21" s="120">
        <f t="shared" si="7"/>
        <v>0</v>
      </c>
      <c r="L21" s="448">
        <f t="shared" si="4"/>
        <v>0</v>
      </c>
      <c r="M21" s="39"/>
      <c r="N21" s="39"/>
      <c r="O21" s="39"/>
      <c r="P21" s="67"/>
    </row>
    <row r="22" spans="1:16" ht="15" customHeight="1" x14ac:dyDescent="0.2">
      <c r="A22" s="139"/>
      <c r="B22" s="105"/>
      <c r="C22" s="365"/>
      <c r="D22" s="395" t="s">
        <v>351</v>
      </c>
      <c r="E22" s="109">
        <f>5*2*4</f>
        <v>40</v>
      </c>
      <c r="F22" s="115">
        <v>1</v>
      </c>
      <c r="G22" s="115">
        <f t="shared" si="3"/>
        <v>40</v>
      </c>
      <c r="H22" s="119">
        <v>0</v>
      </c>
      <c r="I22" s="120">
        <f t="shared" ref="I22" si="8">G22*H22</f>
        <v>0</v>
      </c>
      <c r="J22" s="120">
        <f t="shared" ref="J22" si="9">I22*0.05</f>
        <v>0</v>
      </c>
      <c r="K22" s="120">
        <f t="shared" ref="K22" si="10">I22*0.1</f>
        <v>0</v>
      </c>
      <c r="L22" s="448">
        <f t="shared" si="4"/>
        <v>0</v>
      </c>
      <c r="M22" s="39"/>
      <c r="N22" s="39"/>
      <c r="O22" s="39"/>
      <c r="P22" s="67"/>
    </row>
    <row r="23" spans="1:16" ht="15" customHeight="1" x14ac:dyDescent="0.2">
      <c r="A23" s="139"/>
      <c r="B23" s="105"/>
      <c r="C23" s="365"/>
      <c r="D23" s="395" t="s">
        <v>352</v>
      </c>
      <c r="E23" s="396">
        <f>4*1*2</f>
        <v>8</v>
      </c>
      <c r="F23" s="115">
        <v>1</v>
      </c>
      <c r="G23" s="115">
        <f t="shared" si="3"/>
        <v>8</v>
      </c>
      <c r="H23" s="119">
        <v>0</v>
      </c>
      <c r="I23" s="120">
        <f t="shared" si="5"/>
        <v>0</v>
      </c>
      <c r="J23" s="120">
        <f t="shared" si="6"/>
        <v>0</v>
      </c>
      <c r="K23" s="120">
        <f t="shared" si="7"/>
        <v>0</v>
      </c>
      <c r="L23" s="448">
        <f t="shared" si="4"/>
        <v>0</v>
      </c>
      <c r="M23" s="39"/>
      <c r="N23" s="39"/>
      <c r="O23" s="39"/>
      <c r="P23" s="67"/>
    </row>
    <row r="24" spans="1:16" ht="15" customHeight="1" x14ac:dyDescent="0.2">
      <c r="A24" s="139"/>
      <c r="B24" s="105"/>
      <c r="C24" s="365"/>
      <c r="D24" s="395" t="s">
        <v>353</v>
      </c>
      <c r="E24" s="290">
        <v>850</v>
      </c>
      <c r="F24" s="115">
        <v>1</v>
      </c>
      <c r="G24" s="115">
        <f t="shared" si="3"/>
        <v>850</v>
      </c>
      <c r="H24" s="119">
        <v>0</v>
      </c>
      <c r="I24" s="120">
        <f t="shared" si="5"/>
        <v>0</v>
      </c>
      <c r="J24" s="120">
        <f t="shared" si="6"/>
        <v>0</v>
      </c>
      <c r="K24" s="120">
        <f t="shared" si="7"/>
        <v>0</v>
      </c>
      <c r="L24" s="448">
        <f t="shared" si="4"/>
        <v>0</v>
      </c>
      <c r="M24" s="39"/>
      <c r="N24" s="39"/>
      <c r="O24" s="39"/>
      <c r="P24" s="67"/>
    </row>
    <row r="25" spans="1:16" ht="15" customHeight="1" x14ac:dyDescent="0.2">
      <c r="A25" s="139"/>
      <c r="B25" s="105"/>
      <c r="C25" s="365" t="s">
        <v>138</v>
      </c>
      <c r="D25" s="366"/>
      <c r="E25" s="116"/>
      <c r="F25" s="115"/>
      <c r="G25" s="115"/>
      <c r="H25" s="121"/>
      <c r="I25" s="120"/>
      <c r="J25" s="120"/>
      <c r="K25" s="120"/>
      <c r="L25" s="448"/>
      <c r="M25" s="39"/>
      <c r="N25" s="39"/>
      <c r="O25" s="39"/>
      <c r="P25" s="67"/>
    </row>
    <row r="26" spans="1:16" ht="15" customHeight="1" x14ac:dyDescent="0.2">
      <c r="A26" s="139"/>
      <c r="B26" s="105"/>
      <c r="C26" s="365"/>
      <c r="D26" s="175" t="s">
        <v>354</v>
      </c>
      <c r="E26" s="116">
        <v>17.100000000000001</v>
      </c>
      <c r="F26" s="115">
        <v>350</v>
      </c>
      <c r="G26" s="115">
        <f t="shared" ref="G26:G30" si="11">E26*$F26</f>
        <v>5985.0000000000009</v>
      </c>
      <c r="H26" s="438">
        <v>13</v>
      </c>
      <c r="I26" s="433">
        <f t="shared" si="5"/>
        <v>77805.000000000015</v>
      </c>
      <c r="J26" s="120">
        <f t="shared" si="6"/>
        <v>3890.2500000000009</v>
      </c>
      <c r="K26" s="120">
        <f t="shared" ref="K26:K31" si="12">I26*0.1</f>
        <v>7780.5000000000018</v>
      </c>
      <c r="L26" s="449">
        <f t="shared" ref="L26:L31" si="13">I26*I$1+J26*J$1+K26*K$1</f>
        <v>10191832.560000001</v>
      </c>
      <c r="M26" s="39"/>
      <c r="N26" s="39"/>
      <c r="O26" s="39"/>
      <c r="P26" s="67"/>
    </row>
    <row r="27" spans="1:16" ht="15" customHeight="1" x14ac:dyDescent="0.2">
      <c r="A27" s="139"/>
      <c r="B27" s="105"/>
      <c r="C27" s="365"/>
      <c r="D27" s="395" t="s">
        <v>355</v>
      </c>
      <c r="E27" s="116">
        <f>9*4</f>
        <v>36</v>
      </c>
      <c r="F27" s="115">
        <v>350</v>
      </c>
      <c r="G27" s="115">
        <f t="shared" si="11"/>
        <v>12600</v>
      </c>
      <c r="H27" s="438">
        <v>15</v>
      </c>
      <c r="I27" s="433">
        <f t="shared" si="5"/>
        <v>189000</v>
      </c>
      <c r="J27" s="120">
        <f t="shared" si="6"/>
        <v>9450</v>
      </c>
      <c r="K27" s="120">
        <f t="shared" si="12"/>
        <v>18900</v>
      </c>
      <c r="L27" s="448">
        <f t="shared" si="13"/>
        <v>24757488</v>
      </c>
      <c r="M27" s="439" t="s">
        <v>387</v>
      </c>
      <c r="N27" s="39"/>
      <c r="O27" s="39"/>
      <c r="P27" s="67"/>
    </row>
    <row r="28" spans="1:16" ht="15" customHeight="1" x14ac:dyDescent="0.2">
      <c r="A28" s="139"/>
      <c r="B28" s="105"/>
      <c r="C28" s="365"/>
      <c r="D28" s="395" t="s">
        <v>356</v>
      </c>
      <c r="E28" s="116">
        <f>4*2</f>
        <v>8</v>
      </c>
      <c r="F28" s="115">
        <v>12</v>
      </c>
      <c r="G28" s="115">
        <f t="shared" si="11"/>
        <v>96</v>
      </c>
      <c r="H28" s="438">
        <v>14</v>
      </c>
      <c r="I28" s="433">
        <f>G28*H28</f>
        <v>1344</v>
      </c>
      <c r="J28" s="120">
        <f t="shared" si="6"/>
        <v>67.2</v>
      </c>
      <c r="K28" s="120">
        <f t="shared" si="12"/>
        <v>134.4</v>
      </c>
      <c r="L28" s="449">
        <f t="shared" si="13"/>
        <v>176053.24800000002</v>
      </c>
      <c r="M28" s="39"/>
      <c r="N28" s="39"/>
      <c r="O28" s="39"/>
      <c r="P28" s="67"/>
    </row>
    <row r="29" spans="1:16" ht="15" customHeight="1" x14ac:dyDescent="0.2">
      <c r="A29" s="139"/>
      <c r="B29" s="105"/>
      <c r="C29" s="365"/>
      <c r="D29" s="395" t="s">
        <v>357</v>
      </c>
      <c r="E29" s="109">
        <f>5*2*4</f>
        <v>40</v>
      </c>
      <c r="F29" s="115">
        <v>1</v>
      </c>
      <c r="G29" s="115">
        <f t="shared" si="11"/>
        <v>40</v>
      </c>
      <c r="H29" s="438">
        <v>15</v>
      </c>
      <c r="I29" s="433">
        <f t="shared" si="5"/>
        <v>600</v>
      </c>
      <c r="J29" s="120">
        <f t="shared" si="6"/>
        <v>30</v>
      </c>
      <c r="K29" s="120">
        <f t="shared" si="12"/>
        <v>60</v>
      </c>
      <c r="L29" s="449">
        <f t="shared" si="13"/>
        <v>78595.199999999997</v>
      </c>
      <c r="M29" s="439" t="s">
        <v>387</v>
      </c>
      <c r="N29" s="39"/>
      <c r="O29" s="39"/>
      <c r="P29" s="67"/>
    </row>
    <row r="30" spans="1:16" ht="15" customHeight="1" x14ac:dyDescent="0.2">
      <c r="A30" s="139"/>
      <c r="B30" s="105"/>
      <c r="C30" s="365"/>
      <c r="D30" s="395" t="s">
        <v>358</v>
      </c>
      <c r="E30" s="396">
        <f>4*1*2</f>
        <v>8</v>
      </c>
      <c r="F30" s="115">
        <v>12</v>
      </c>
      <c r="G30" s="115">
        <f t="shared" si="11"/>
        <v>96</v>
      </c>
      <c r="H30" s="438">
        <v>14</v>
      </c>
      <c r="I30" s="433">
        <f t="shared" si="5"/>
        <v>1344</v>
      </c>
      <c r="J30" s="120">
        <f t="shared" si="6"/>
        <v>67.2</v>
      </c>
      <c r="K30" s="120">
        <f t="shared" si="12"/>
        <v>134.4</v>
      </c>
      <c r="L30" s="449">
        <f t="shared" si="13"/>
        <v>176053.24800000002</v>
      </c>
      <c r="M30" s="39"/>
      <c r="N30" s="39"/>
      <c r="O30" s="39"/>
      <c r="P30" s="67"/>
    </row>
    <row r="31" spans="1:16" ht="15" customHeight="1" x14ac:dyDescent="0.2">
      <c r="A31" s="139"/>
      <c r="B31" s="105"/>
      <c r="C31" s="365"/>
      <c r="D31" s="395" t="s">
        <v>359</v>
      </c>
      <c r="E31" s="279">
        <v>43</v>
      </c>
      <c r="F31" s="115">
        <v>12</v>
      </c>
      <c r="G31" s="115">
        <f>E31*$F31</f>
        <v>516</v>
      </c>
      <c r="H31" s="438">
        <v>15</v>
      </c>
      <c r="I31" s="433">
        <f t="shared" si="5"/>
        <v>7740</v>
      </c>
      <c r="J31" s="120">
        <f t="shared" si="6"/>
        <v>387</v>
      </c>
      <c r="K31" s="120">
        <f t="shared" si="12"/>
        <v>774</v>
      </c>
      <c r="L31" s="449">
        <f t="shared" si="13"/>
        <v>1013878.0800000001</v>
      </c>
      <c r="M31" s="439" t="s">
        <v>387</v>
      </c>
      <c r="N31" s="39"/>
      <c r="O31" s="39"/>
      <c r="P31" s="67"/>
    </row>
    <row r="32" spans="1:16" ht="15" customHeight="1" x14ac:dyDescent="0.2">
      <c r="A32" s="139"/>
      <c r="B32" s="106"/>
      <c r="C32" s="365" t="s">
        <v>135</v>
      </c>
      <c r="D32" s="103"/>
      <c r="E32" s="116"/>
      <c r="F32" s="108"/>
      <c r="G32" s="108"/>
      <c r="H32" s="438"/>
      <c r="I32" s="433"/>
      <c r="J32" s="120"/>
      <c r="K32" s="120"/>
      <c r="L32" s="448"/>
      <c r="M32" s="39"/>
      <c r="N32" s="39"/>
      <c r="O32" s="39"/>
      <c r="P32" s="39"/>
    </row>
    <row r="33" spans="1:16" ht="15" customHeight="1" x14ac:dyDescent="0.2">
      <c r="A33" s="139"/>
      <c r="B33" s="106"/>
      <c r="C33" s="365"/>
      <c r="D33" s="175" t="s">
        <v>360</v>
      </c>
      <c r="E33" s="116">
        <v>8</v>
      </c>
      <c r="F33" s="108">
        <v>1</v>
      </c>
      <c r="G33" s="108">
        <f>E33*$F33</f>
        <v>8</v>
      </c>
      <c r="H33" s="438">
        <v>0</v>
      </c>
      <c r="I33" s="433">
        <f t="shared" ref="I33" si="14">G33*H33</f>
        <v>0</v>
      </c>
      <c r="J33" s="120">
        <f t="shared" ref="J33" si="15">I33*0.05</f>
        <v>0</v>
      </c>
      <c r="K33" s="120">
        <f t="shared" ref="K33" si="16">I33*0.1</f>
        <v>0</v>
      </c>
      <c r="L33" s="448">
        <f>I33*I$1+J33*J$1+K33*K$1</f>
        <v>0</v>
      </c>
      <c r="M33" s="39"/>
      <c r="N33" s="39"/>
      <c r="O33" s="39"/>
      <c r="P33" s="39"/>
    </row>
    <row r="34" spans="1:16" ht="15" customHeight="1" x14ac:dyDescent="0.2">
      <c r="A34" s="139"/>
      <c r="B34" s="106"/>
      <c r="C34" s="104" t="s">
        <v>129</v>
      </c>
      <c r="D34" s="98"/>
      <c r="E34" s="116"/>
      <c r="F34" s="108"/>
      <c r="G34" s="108"/>
      <c r="H34" s="438"/>
      <c r="I34" s="433"/>
      <c r="J34" s="120"/>
      <c r="K34" s="120"/>
      <c r="L34" s="448"/>
      <c r="M34" s="39"/>
      <c r="N34" s="39"/>
      <c r="O34" s="39"/>
      <c r="P34" s="39"/>
    </row>
    <row r="35" spans="1:16" ht="15" customHeight="1" x14ac:dyDescent="0.2">
      <c r="A35" s="139"/>
      <c r="B35" s="106"/>
      <c r="C35" s="107"/>
      <c r="D35" s="175" t="s">
        <v>361</v>
      </c>
      <c r="E35" s="116">
        <f>500+24</f>
        <v>524</v>
      </c>
      <c r="F35" s="108">
        <v>1</v>
      </c>
      <c r="G35" s="108">
        <f>E35*$F35</f>
        <v>524</v>
      </c>
      <c r="H35" s="438">
        <v>0</v>
      </c>
      <c r="I35" s="433">
        <f t="shared" ref="I35:I36" si="17">G35*H35</f>
        <v>0</v>
      </c>
      <c r="J35" s="120">
        <f t="shared" ref="J35:J36" si="18">I35*0.05</f>
        <v>0</v>
      </c>
      <c r="K35" s="120">
        <f t="shared" ref="K35:K36" si="19">I35*0.1</f>
        <v>0</v>
      </c>
      <c r="L35" s="448">
        <f>I35*I$1+J35*J$1+K35*K$1</f>
        <v>0</v>
      </c>
      <c r="M35" s="39"/>
      <c r="N35" s="39"/>
      <c r="O35" s="39"/>
      <c r="P35" s="39"/>
    </row>
    <row r="36" spans="1:16" ht="15" customHeight="1" x14ac:dyDescent="0.2">
      <c r="A36" s="139"/>
      <c r="B36" s="106"/>
      <c r="C36" s="107"/>
      <c r="D36" s="175" t="s">
        <v>362</v>
      </c>
      <c r="E36" s="116">
        <v>24</v>
      </c>
      <c r="F36" s="108">
        <v>1</v>
      </c>
      <c r="G36" s="108">
        <f>E36*$F36</f>
        <v>24</v>
      </c>
      <c r="H36" s="438">
        <v>5</v>
      </c>
      <c r="I36" s="434">
        <f t="shared" si="17"/>
        <v>120</v>
      </c>
      <c r="J36" s="398">
        <f t="shared" si="18"/>
        <v>6</v>
      </c>
      <c r="K36" s="398">
        <f t="shared" si="19"/>
        <v>12</v>
      </c>
      <c r="L36" s="449">
        <f>I36*I$1+J36*J$1+K36*K$1</f>
        <v>15719.039999999999</v>
      </c>
      <c r="M36" s="39"/>
      <c r="N36" s="39"/>
      <c r="O36" s="39"/>
      <c r="P36" s="39"/>
    </row>
    <row r="37" spans="1:16" ht="15" customHeight="1" x14ac:dyDescent="0.2">
      <c r="A37" s="139"/>
      <c r="B37" s="106"/>
      <c r="C37" s="400" t="s">
        <v>296</v>
      </c>
      <c r="D37" s="175"/>
      <c r="E37" s="116"/>
      <c r="F37" s="108"/>
      <c r="G37" s="108"/>
      <c r="H37" s="438"/>
      <c r="I37" s="434"/>
      <c r="J37" s="398"/>
      <c r="K37" s="398"/>
      <c r="L37" s="449"/>
      <c r="M37" s="39"/>
      <c r="N37" s="39"/>
      <c r="O37" s="39"/>
      <c r="P37" s="39"/>
    </row>
    <row r="38" spans="1:16" ht="15" customHeight="1" x14ac:dyDescent="0.2">
      <c r="A38" s="139"/>
      <c r="B38" s="106"/>
      <c r="C38" s="107"/>
      <c r="D38" s="403" t="s">
        <v>363</v>
      </c>
      <c r="E38" s="116">
        <v>1.5</v>
      </c>
      <c r="F38" s="108">
        <v>1</v>
      </c>
      <c r="G38" s="108">
        <f t="shared" ref="G38:G43" si="20">E38*$F38</f>
        <v>1.5</v>
      </c>
      <c r="H38" s="438">
        <v>0</v>
      </c>
      <c r="I38" s="434">
        <f t="shared" ref="I38:I43" si="21">G38*H38</f>
        <v>0</v>
      </c>
      <c r="J38" s="397">
        <f t="shared" ref="J38:J43" si="22">I38*0.05</f>
        <v>0</v>
      </c>
      <c r="K38" s="397">
        <f t="shared" ref="K38:K43" si="23">I38*0.1</f>
        <v>0</v>
      </c>
      <c r="L38" s="448">
        <f t="shared" ref="L38:L43" si="24">I38*I$1+J38*J$1+K38*K$1</f>
        <v>0</v>
      </c>
      <c r="M38" s="39"/>
      <c r="N38" s="39"/>
      <c r="O38" s="39"/>
      <c r="P38" s="39"/>
    </row>
    <row r="39" spans="1:16" ht="15" customHeight="1" x14ac:dyDescent="0.2">
      <c r="A39" s="139"/>
      <c r="B39" s="106"/>
      <c r="C39" s="107"/>
      <c r="D39" s="403" t="s">
        <v>364</v>
      </c>
      <c r="E39" s="116">
        <v>1.5</v>
      </c>
      <c r="F39" s="108">
        <v>350</v>
      </c>
      <c r="G39" s="108">
        <f t="shared" si="20"/>
        <v>525</v>
      </c>
      <c r="H39" s="438">
        <v>15</v>
      </c>
      <c r="I39" s="435">
        <f t="shared" si="21"/>
        <v>7875</v>
      </c>
      <c r="J39" s="397">
        <f t="shared" si="22"/>
        <v>393.75</v>
      </c>
      <c r="K39" s="397">
        <f t="shared" si="23"/>
        <v>787.5</v>
      </c>
      <c r="L39" s="448">
        <f t="shared" si="24"/>
        <v>1031562</v>
      </c>
      <c r="M39" s="39"/>
      <c r="N39" s="39"/>
      <c r="O39" s="39"/>
      <c r="P39" s="39"/>
    </row>
    <row r="40" spans="1:16" ht="15" customHeight="1" x14ac:dyDescent="0.2">
      <c r="A40" s="139"/>
      <c r="B40" s="106"/>
      <c r="C40" s="107"/>
      <c r="D40" s="403" t="s">
        <v>365</v>
      </c>
      <c r="E40" s="116">
        <v>24</v>
      </c>
      <c r="F40" s="108">
        <v>1</v>
      </c>
      <c r="G40" s="108">
        <f t="shared" si="20"/>
        <v>24</v>
      </c>
      <c r="H40" s="438">
        <v>0</v>
      </c>
      <c r="I40" s="434">
        <f t="shared" si="21"/>
        <v>0</v>
      </c>
      <c r="J40" s="397">
        <f t="shared" si="22"/>
        <v>0</v>
      </c>
      <c r="K40" s="397">
        <f t="shared" si="23"/>
        <v>0</v>
      </c>
      <c r="L40" s="448">
        <f t="shared" si="24"/>
        <v>0</v>
      </c>
      <c r="M40" s="39"/>
      <c r="N40" s="39"/>
      <c r="O40" s="39"/>
      <c r="P40" s="39"/>
    </row>
    <row r="41" spans="1:16" ht="15" customHeight="1" x14ac:dyDescent="0.2">
      <c r="A41" s="139"/>
      <c r="B41" s="106"/>
      <c r="C41" s="107"/>
      <c r="D41" s="403" t="s">
        <v>366</v>
      </c>
      <c r="E41" s="116">
        <v>40</v>
      </c>
      <c r="F41" s="108">
        <v>1</v>
      </c>
      <c r="G41" s="108">
        <f t="shared" si="20"/>
        <v>40</v>
      </c>
      <c r="H41" s="438">
        <v>0</v>
      </c>
      <c r="I41" s="434">
        <f t="shared" si="21"/>
        <v>0</v>
      </c>
      <c r="J41" s="397">
        <f t="shared" si="22"/>
        <v>0</v>
      </c>
      <c r="K41" s="397">
        <f t="shared" si="23"/>
        <v>0</v>
      </c>
      <c r="L41" s="448">
        <f t="shared" si="24"/>
        <v>0</v>
      </c>
      <c r="M41" s="39"/>
      <c r="N41" s="39"/>
      <c r="O41" s="39"/>
      <c r="P41" s="39"/>
    </row>
    <row r="42" spans="1:16" ht="15" customHeight="1" x14ac:dyDescent="0.2">
      <c r="A42" s="139"/>
      <c r="B42" s="106"/>
      <c r="C42" s="107"/>
      <c r="D42" s="403" t="s">
        <v>367</v>
      </c>
      <c r="E42" s="116">
        <v>40</v>
      </c>
      <c r="F42" s="108">
        <v>1</v>
      </c>
      <c r="G42" s="108">
        <f t="shared" si="20"/>
        <v>40</v>
      </c>
      <c r="H42" s="438">
        <v>0</v>
      </c>
      <c r="I42" s="434">
        <f t="shared" si="21"/>
        <v>0</v>
      </c>
      <c r="J42" s="397">
        <f t="shared" si="22"/>
        <v>0</v>
      </c>
      <c r="K42" s="397">
        <f t="shared" si="23"/>
        <v>0</v>
      </c>
      <c r="L42" s="448">
        <f t="shared" si="24"/>
        <v>0</v>
      </c>
      <c r="M42" s="39"/>
      <c r="N42" s="39"/>
      <c r="O42" s="39"/>
      <c r="P42" s="39"/>
    </row>
    <row r="43" spans="1:16" ht="15" customHeight="1" x14ac:dyDescent="0.2">
      <c r="A43" s="139"/>
      <c r="B43" s="106"/>
      <c r="C43" s="107"/>
      <c r="D43" s="403" t="s">
        <v>368</v>
      </c>
      <c r="E43" s="116">
        <v>1</v>
      </c>
      <c r="F43" s="108">
        <v>12</v>
      </c>
      <c r="G43" s="108">
        <f t="shared" si="20"/>
        <v>12</v>
      </c>
      <c r="H43" s="438">
        <v>15</v>
      </c>
      <c r="I43" s="434">
        <f t="shared" si="21"/>
        <v>180</v>
      </c>
      <c r="J43" s="397">
        <f t="shared" si="22"/>
        <v>9</v>
      </c>
      <c r="K43" s="397">
        <f t="shared" si="23"/>
        <v>18</v>
      </c>
      <c r="L43" s="449">
        <f t="shared" si="24"/>
        <v>23578.559999999998</v>
      </c>
      <c r="M43" s="39"/>
      <c r="N43" s="39"/>
      <c r="O43" s="39"/>
      <c r="P43" s="39"/>
    </row>
    <row r="44" spans="1:16" ht="15" customHeight="1" x14ac:dyDescent="0.2">
      <c r="A44" s="139"/>
      <c r="B44" s="30" t="s">
        <v>24</v>
      </c>
      <c r="C44" s="101" t="s">
        <v>25</v>
      </c>
      <c r="D44" s="98"/>
      <c r="E44" s="116" t="s">
        <v>96</v>
      </c>
      <c r="F44" s="108"/>
      <c r="G44" s="108"/>
      <c r="H44" s="438"/>
      <c r="I44" s="433"/>
      <c r="J44" s="120"/>
      <c r="K44" s="120"/>
      <c r="L44" s="448"/>
      <c r="M44" s="39"/>
      <c r="N44" s="39"/>
      <c r="O44" s="39"/>
      <c r="P44" s="39"/>
    </row>
    <row r="45" spans="1:16" ht="15" customHeight="1" x14ac:dyDescent="0.2">
      <c r="A45" s="139"/>
      <c r="B45" s="30" t="s">
        <v>26</v>
      </c>
      <c r="C45" s="101" t="s">
        <v>27</v>
      </c>
      <c r="D45" s="98"/>
      <c r="E45" s="109" t="s">
        <v>97</v>
      </c>
      <c r="F45" s="115"/>
      <c r="G45" s="115"/>
      <c r="H45" s="438"/>
      <c r="I45" s="433"/>
      <c r="J45" s="120"/>
      <c r="K45" s="120"/>
      <c r="L45" s="448"/>
      <c r="M45" s="39"/>
      <c r="N45" s="39"/>
      <c r="O45" s="39"/>
      <c r="P45" s="39"/>
    </row>
    <row r="46" spans="1:16" ht="15" customHeight="1" x14ac:dyDescent="0.2">
      <c r="A46" s="139"/>
      <c r="B46" s="30" t="s">
        <v>28</v>
      </c>
      <c r="C46" s="101" t="s">
        <v>47</v>
      </c>
      <c r="D46" s="98"/>
      <c r="E46" s="116"/>
      <c r="F46" s="108"/>
      <c r="G46" s="117"/>
      <c r="H46" s="438"/>
      <c r="I46" s="436">
        <f t="shared" ref="I46:I52" si="25">G46*H46</f>
        <v>0</v>
      </c>
      <c r="J46" s="117">
        <f t="shared" ref="J46:J52" si="26">I46*0.05</f>
        <v>0</v>
      </c>
      <c r="K46" s="117">
        <f t="shared" ref="K46:K52" si="27">I46*0.1</f>
        <v>0</v>
      </c>
      <c r="L46" s="448"/>
      <c r="M46" s="39"/>
      <c r="N46" s="39"/>
      <c r="O46" s="39"/>
      <c r="P46" s="39"/>
    </row>
    <row r="47" spans="1:16" ht="15" customHeight="1" x14ac:dyDescent="0.2">
      <c r="A47" s="139"/>
      <c r="B47" s="30"/>
      <c r="C47" s="175" t="s">
        <v>369</v>
      </c>
      <c r="D47" s="98"/>
      <c r="E47" s="116">
        <v>5</v>
      </c>
      <c r="F47" s="108">
        <v>1</v>
      </c>
      <c r="G47" s="108">
        <f t="shared" ref="G47:G52" si="28">E47*$F47</f>
        <v>5</v>
      </c>
      <c r="H47" s="438">
        <v>0</v>
      </c>
      <c r="I47" s="433">
        <f t="shared" si="25"/>
        <v>0</v>
      </c>
      <c r="J47" s="120">
        <f t="shared" si="26"/>
        <v>0</v>
      </c>
      <c r="K47" s="120">
        <f t="shared" si="27"/>
        <v>0</v>
      </c>
      <c r="L47" s="448">
        <f t="shared" ref="L47:L52" si="29">I47*I$1+J47*J$1+K47*K$1</f>
        <v>0</v>
      </c>
      <c r="M47" s="39"/>
      <c r="N47" s="39"/>
      <c r="O47" s="39"/>
      <c r="P47" s="39"/>
    </row>
    <row r="48" spans="1:16" ht="15" customHeight="1" x14ac:dyDescent="0.2">
      <c r="A48" s="139"/>
      <c r="B48" s="30"/>
      <c r="C48" s="175" t="s">
        <v>370</v>
      </c>
      <c r="D48" s="99"/>
      <c r="E48" s="116">
        <v>5</v>
      </c>
      <c r="F48" s="108">
        <v>1</v>
      </c>
      <c r="G48" s="108">
        <f t="shared" si="28"/>
        <v>5</v>
      </c>
      <c r="H48" s="438">
        <v>0</v>
      </c>
      <c r="I48" s="433">
        <f t="shared" si="25"/>
        <v>0</v>
      </c>
      <c r="J48" s="120">
        <f t="shared" si="26"/>
        <v>0</v>
      </c>
      <c r="K48" s="120">
        <f t="shared" si="27"/>
        <v>0</v>
      </c>
      <c r="L48" s="448">
        <f t="shared" si="29"/>
        <v>0</v>
      </c>
      <c r="M48" s="39"/>
      <c r="N48" s="39"/>
      <c r="O48" s="39"/>
      <c r="P48" s="39"/>
    </row>
    <row r="49" spans="1:16" ht="15" customHeight="1" x14ac:dyDescent="0.2">
      <c r="A49" s="139"/>
      <c r="B49" s="30"/>
      <c r="C49" s="175" t="s">
        <v>371</v>
      </c>
      <c r="D49" s="99"/>
      <c r="E49" s="116">
        <v>10</v>
      </c>
      <c r="F49" s="108">
        <v>1</v>
      </c>
      <c r="G49" s="108">
        <f t="shared" si="28"/>
        <v>10</v>
      </c>
      <c r="H49" s="438">
        <v>0</v>
      </c>
      <c r="I49" s="433">
        <f t="shared" si="25"/>
        <v>0</v>
      </c>
      <c r="J49" s="120">
        <f t="shared" si="26"/>
        <v>0</v>
      </c>
      <c r="K49" s="120">
        <f t="shared" si="27"/>
        <v>0</v>
      </c>
      <c r="L49" s="448">
        <f t="shared" si="29"/>
        <v>0</v>
      </c>
      <c r="M49" s="39"/>
      <c r="N49" s="39"/>
      <c r="O49" s="39"/>
      <c r="P49" s="39"/>
    </row>
    <row r="50" spans="1:16" ht="15" customHeight="1" x14ac:dyDescent="0.2">
      <c r="A50" s="139"/>
      <c r="B50" s="30"/>
      <c r="C50" s="175" t="s">
        <v>372</v>
      </c>
      <c r="D50" s="98"/>
      <c r="E50" s="116">
        <v>20</v>
      </c>
      <c r="F50" s="108">
        <v>1</v>
      </c>
      <c r="G50" s="108">
        <f t="shared" si="28"/>
        <v>20</v>
      </c>
      <c r="H50" s="438">
        <v>0</v>
      </c>
      <c r="I50" s="433">
        <f t="shared" si="25"/>
        <v>0</v>
      </c>
      <c r="J50" s="120">
        <f t="shared" si="26"/>
        <v>0</v>
      </c>
      <c r="K50" s="120">
        <f t="shared" si="27"/>
        <v>0</v>
      </c>
      <c r="L50" s="448">
        <f t="shared" si="29"/>
        <v>0</v>
      </c>
      <c r="M50" s="39"/>
      <c r="N50" s="39"/>
      <c r="O50" s="39"/>
      <c r="P50" s="39"/>
    </row>
    <row r="51" spans="1:16" ht="15" customHeight="1" x14ac:dyDescent="0.2">
      <c r="A51" s="139"/>
      <c r="B51" s="30"/>
      <c r="C51" s="175" t="s">
        <v>373</v>
      </c>
      <c r="D51" s="98"/>
      <c r="E51" s="116">
        <v>40</v>
      </c>
      <c r="F51" s="108">
        <v>2</v>
      </c>
      <c r="G51" s="108">
        <f t="shared" si="28"/>
        <v>80</v>
      </c>
      <c r="H51" s="438">
        <v>15</v>
      </c>
      <c r="I51" s="433">
        <f t="shared" si="25"/>
        <v>1200</v>
      </c>
      <c r="J51" s="120">
        <f t="shared" si="26"/>
        <v>60</v>
      </c>
      <c r="K51" s="120">
        <f t="shared" si="27"/>
        <v>120</v>
      </c>
      <c r="L51" s="449">
        <f t="shared" si="29"/>
        <v>157190.39999999999</v>
      </c>
      <c r="M51" s="39"/>
      <c r="N51" s="39"/>
      <c r="O51" s="39"/>
      <c r="P51" s="39"/>
    </row>
    <row r="52" spans="1:16" ht="15" customHeight="1" x14ac:dyDescent="0.2">
      <c r="A52" s="139"/>
      <c r="B52" s="30"/>
      <c r="C52" s="175" t="s">
        <v>374</v>
      </c>
      <c r="D52" s="98"/>
      <c r="E52" s="116">
        <v>5</v>
      </c>
      <c r="F52" s="108">
        <v>1</v>
      </c>
      <c r="G52" s="108">
        <f t="shared" si="28"/>
        <v>5</v>
      </c>
      <c r="H52" s="438">
        <v>15</v>
      </c>
      <c r="I52" s="433">
        <f t="shared" si="25"/>
        <v>75</v>
      </c>
      <c r="J52" s="120">
        <f t="shared" si="26"/>
        <v>3.75</v>
      </c>
      <c r="K52" s="120">
        <f t="shared" si="27"/>
        <v>7.5</v>
      </c>
      <c r="L52" s="449">
        <f t="shared" si="29"/>
        <v>9824.4</v>
      </c>
      <c r="M52" s="39"/>
      <c r="N52" s="39"/>
      <c r="O52" s="39"/>
      <c r="P52" s="39"/>
    </row>
    <row r="53" spans="1:16" s="348" customFormat="1" ht="15" customHeight="1" x14ac:dyDescent="0.15">
      <c r="A53" s="343" t="s">
        <v>375</v>
      </c>
      <c r="B53" s="344"/>
      <c r="C53" s="344"/>
      <c r="D53" s="345"/>
      <c r="E53" s="346"/>
      <c r="F53" s="347"/>
      <c r="G53" s="347"/>
      <c r="H53" s="437"/>
      <c r="I53" s="478">
        <f>SUM(I13:K52)</f>
        <v>335895.45000000007</v>
      </c>
      <c r="J53" s="479"/>
      <c r="K53" s="480"/>
      <c r="L53" s="450">
        <f>SUM(L13:L52)</f>
        <v>38260536.336000003</v>
      </c>
    </row>
    <row r="54" spans="1:16" ht="15" customHeight="1" x14ac:dyDescent="0.2">
      <c r="A54" s="140" t="s">
        <v>53</v>
      </c>
      <c r="B54" s="31"/>
      <c r="C54" s="141"/>
      <c r="D54" s="28"/>
      <c r="E54" s="74" t="s">
        <v>22</v>
      </c>
      <c r="F54" s="70" t="s">
        <v>22</v>
      </c>
      <c r="G54" s="70" t="s">
        <v>22</v>
      </c>
      <c r="H54" s="71" t="s">
        <v>22</v>
      </c>
      <c r="I54" s="72" t="s">
        <v>22</v>
      </c>
      <c r="J54" s="72" t="s">
        <v>22</v>
      </c>
      <c r="K54" s="73" t="s">
        <v>22</v>
      </c>
      <c r="L54" s="451"/>
      <c r="M54" s="39"/>
      <c r="N54" s="39"/>
      <c r="O54" s="39"/>
      <c r="P54" s="39"/>
    </row>
    <row r="55" spans="1:16" ht="15" customHeight="1" x14ac:dyDescent="0.2">
      <c r="A55" s="66"/>
      <c r="B55" s="429" t="s">
        <v>331</v>
      </c>
      <c r="C55" s="32"/>
      <c r="D55" s="33"/>
      <c r="E55" s="76" t="s">
        <v>98</v>
      </c>
      <c r="F55" s="70" t="s">
        <v>22</v>
      </c>
      <c r="G55" s="70" t="s">
        <v>22</v>
      </c>
      <c r="H55" s="71" t="s">
        <v>22</v>
      </c>
      <c r="I55" s="72" t="s">
        <v>22</v>
      </c>
      <c r="J55" s="72" t="s">
        <v>22</v>
      </c>
      <c r="K55" s="73" t="s">
        <v>22</v>
      </c>
      <c r="L55" s="448"/>
      <c r="M55" s="39"/>
      <c r="N55" s="39"/>
      <c r="O55" s="39"/>
      <c r="P55" s="39"/>
    </row>
    <row r="56" spans="1:16" ht="15" customHeight="1" x14ac:dyDescent="0.2">
      <c r="A56" s="77"/>
      <c r="B56" s="34" t="s">
        <v>100</v>
      </c>
      <c r="C56" s="32"/>
      <c r="D56" s="33"/>
      <c r="E56" s="59" t="s">
        <v>95</v>
      </c>
      <c r="F56" s="60"/>
      <c r="G56" s="60"/>
      <c r="H56" s="78"/>
      <c r="I56" s="79"/>
      <c r="J56" s="79"/>
      <c r="K56" s="80"/>
      <c r="L56" s="448"/>
      <c r="M56" s="39"/>
      <c r="N56" s="39"/>
      <c r="O56" s="39"/>
      <c r="P56" s="39"/>
    </row>
    <row r="57" spans="1:16" ht="15" customHeight="1" x14ac:dyDescent="0.2">
      <c r="A57" s="81"/>
      <c r="B57" s="35" t="s">
        <v>130</v>
      </c>
      <c r="C57" s="27"/>
      <c r="D57" s="64"/>
      <c r="E57" s="90" t="s">
        <v>95</v>
      </c>
      <c r="F57" s="60"/>
      <c r="G57" s="60"/>
      <c r="H57" s="78"/>
      <c r="I57" s="79"/>
      <c r="J57" s="79"/>
      <c r="K57" s="80"/>
      <c r="L57" s="448"/>
      <c r="M57" s="39"/>
      <c r="N57" s="39"/>
      <c r="O57" s="39"/>
      <c r="P57" s="39"/>
    </row>
    <row r="58" spans="1:16" ht="15" customHeight="1" x14ac:dyDescent="0.2">
      <c r="A58" s="81"/>
      <c r="B58" s="36" t="s">
        <v>131</v>
      </c>
      <c r="C58" s="27"/>
      <c r="D58" s="64"/>
      <c r="E58" s="68"/>
      <c r="F58" s="60"/>
      <c r="G58" s="60"/>
      <c r="H58" s="78"/>
      <c r="I58" s="79"/>
      <c r="J58" s="79"/>
      <c r="K58" s="80"/>
      <c r="L58" s="448"/>
      <c r="M58" s="39"/>
      <c r="N58" s="39"/>
      <c r="O58" s="39"/>
      <c r="P58" s="39"/>
    </row>
    <row r="59" spans="1:16" ht="15" customHeight="1" x14ac:dyDescent="0.2">
      <c r="A59" s="81"/>
      <c r="B59" s="36"/>
      <c r="C59" s="176" t="s">
        <v>376</v>
      </c>
      <c r="D59" s="64"/>
      <c r="E59" s="69">
        <v>10</v>
      </c>
      <c r="F59" s="82">
        <v>1</v>
      </c>
      <c r="G59" s="83">
        <f t="shared" ref="G59:G65" si="30">E59*$F59</f>
        <v>10</v>
      </c>
      <c r="H59" s="121">
        <v>15</v>
      </c>
      <c r="I59" s="79">
        <f t="shared" ref="I59:I65" si="31">G59*H59</f>
        <v>150</v>
      </c>
      <c r="J59" s="79">
        <f t="shared" ref="J59:J65" si="32">I59*0.05</f>
        <v>7.5</v>
      </c>
      <c r="K59" s="80">
        <f t="shared" ref="K59:K65" si="33">I59*0.1</f>
        <v>15</v>
      </c>
      <c r="L59" s="449">
        <f t="shared" ref="L59:L65" si="34">I59*I$1+J59*J$1+K59*K$1</f>
        <v>19648.8</v>
      </c>
      <c r="M59" s="439" t="s">
        <v>387</v>
      </c>
      <c r="N59" s="39"/>
      <c r="O59" s="39"/>
      <c r="P59" s="39"/>
    </row>
    <row r="60" spans="1:16" ht="15" customHeight="1" x14ac:dyDescent="0.2">
      <c r="A60" s="84"/>
      <c r="B60" s="37"/>
      <c r="C60" s="176" t="s">
        <v>377</v>
      </c>
      <c r="D60" s="64"/>
      <c r="E60" s="68">
        <v>15</v>
      </c>
      <c r="F60" s="82">
        <v>1</v>
      </c>
      <c r="G60" s="83">
        <f t="shared" si="30"/>
        <v>15</v>
      </c>
      <c r="H60" s="121">
        <v>15</v>
      </c>
      <c r="I60" s="79">
        <f>G60*H60</f>
        <v>225</v>
      </c>
      <c r="J60" s="79">
        <f t="shared" si="32"/>
        <v>11.25</v>
      </c>
      <c r="K60" s="80">
        <f t="shared" si="33"/>
        <v>22.5</v>
      </c>
      <c r="L60" s="449">
        <f>I60*I$1+J60*J$1+K60*K$1</f>
        <v>29473.200000000001</v>
      </c>
      <c r="M60" s="439" t="s">
        <v>387</v>
      </c>
      <c r="N60" s="39"/>
      <c r="O60" s="39"/>
      <c r="P60" s="39"/>
    </row>
    <row r="61" spans="1:16" ht="15" customHeight="1" x14ac:dyDescent="0.2">
      <c r="A61" s="85"/>
      <c r="B61" s="38"/>
      <c r="C61" s="176" t="s">
        <v>378</v>
      </c>
      <c r="D61" s="64"/>
      <c r="E61" s="68">
        <v>15</v>
      </c>
      <c r="F61" s="82">
        <v>1</v>
      </c>
      <c r="G61" s="83">
        <f t="shared" si="30"/>
        <v>15</v>
      </c>
      <c r="H61" s="121">
        <v>15</v>
      </c>
      <c r="I61" s="79">
        <f t="shared" si="31"/>
        <v>225</v>
      </c>
      <c r="J61" s="79">
        <f t="shared" si="32"/>
        <v>11.25</v>
      </c>
      <c r="K61" s="80">
        <f t="shared" si="33"/>
        <v>22.5</v>
      </c>
      <c r="L61" s="449">
        <f t="shared" si="34"/>
        <v>29473.200000000001</v>
      </c>
      <c r="M61" s="439" t="s">
        <v>387</v>
      </c>
      <c r="N61" s="39"/>
      <c r="O61" s="39"/>
      <c r="P61" s="39"/>
    </row>
    <row r="62" spans="1:16" ht="15" customHeight="1" x14ac:dyDescent="0.2">
      <c r="A62" s="85"/>
      <c r="B62" s="35"/>
      <c r="C62" s="176" t="s">
        <v>379</v>
      </c>
      <c r="D62" s="64"/>
      <c r="E62" s="69">
        <v>10</v>
      </c>
      <c r="F62" s="82">
        <v>1</v>
      </c>
      <c r="G62" s="83">
        <f t="shared" si="30"/>
        <v>10</v>
      </c>
      <c r="H62" s="121">
        <v>15</v>
      </c>
      <c r="I62" s="79">
        <f t="shared" si="31"/>
        <v>150</v>
      </c>
      <c r="J62" s="79">
        <f t="shared" si="32"/>
        <v>7.5</v>
      </c>
      <c r="K62" s="80">
        <f t="shared" si="33"/>
        <v>15</v>
      </c>
      <c r="L62" s="449">
        <f t="shared" si="34"/>
        <v>19648.8</v>
      </c>
      <c r="M62" s="439" t="s">
        <v>387</v>
      </c>
      <c r="N62" s="39"/>
      <c r="O62" s="39"/>
      <c r="P62" s="39"/>
    </row>
    <row r="63" spans="1:16" ht="15" customHeight="1" x14ac:dyDescent="0.2">
      <c r="A63" s="85"/>
      <c r="B63" s="35"/>
      <c r="C63" s="280" t="s">
        <v>380</v>
      </c>
      <c r="D63" s="75"/>
      <c r="E63" s="86">
        <v>25</v>
      </c>
      <c r="F63" s="82">
        <v>1</v>
      </c>
      <c r="G63" s="83">
        <f t="shared" si="30"/>
        <v>25</v>
      </c>
      <c r="H63" s="121">
        <v>15</v>
      </c>
      <c r="I63" s="79">
        <f t="shared" si="31"/>
        <v>375</v>
      </c>
      <c r="J63" s="79">
        <f t="shared" si="32"/>
        <v>18.75</v>
      </c>
      <c r="K63" s="80">
        <f t="shared" si="33"/>
        <v>37.5</v>
      </c>
      <c r="L63" s="449">
        <f t="shared" si="34"/>
        <v>49122</v>
      </c>
      <c r="M63" s="439" t="s">
        <v>387</v>
      </c>
      <c r="N63" s="39"/>
      <c r="O63" s="39"/>
      <c r="P63" s="39"/>
    </row>
    <row r="64" spans="1:16" ht="15" customHeight="1" x14ac:dyDescent="0.2">
      <c r="A64" s="87"/>
      <c r="B64" s="33"/>
      <c r="C64" s="281" t="s">
        <v>381</v>
      </c>
      <c r="D64" s="88"/>
      <c r="E64" s="283">
        <v>10</v>
      </c>
      <c r="F64" s="284">
        <v>1</v>
      </c>
      <c r="G64" s="285">
        <f t="shared" si="30"/>
        <v>10</v>
      </c>
      <c r="H64" s="286">
        <v>15</v>
      </c>
      <c r="I64" s="287">
        <f t="shared" si="31"/>
        <v>150</v>
      </c>
      <c r="J64" s="287">
        <f t="shared" si="32"/>
        <v>7.5</v>
      </c>
      <c r="K64" s="288">
        <f t="shared" si="33"/>
        <v>15</v>
      </c>
      <c r="L64" s="449">
        <f t="shared" si="34"/>
        <v>19648.8</v>
      </c>
      <c r="M64" s="439" t="s">
        <v>387</v>
      </c>
      <c r="N64" s="39"/>
      <c r="O64" s="39"/>
      <c r="P64" s="39"/>
    </row>
    <row r="65" spans="1:16" ht="15" customHeight="1" x14ac:dyDescent="0.2">
      <c r="A65" s="342"/>
      <c r="B65" s="105"/>
      <c r="C65" s="282" t="s">
        <v>382</v>
      </c>
      <c r="D65" s="105"/>
      <c r="E65" s="109">
        <v>10</v>
      </c>
      <c r="F65" s="284">
        <v>1</v>
      </c>
      <c r="G65" s="285">
        <f t="shared" si="30"/>
        <v>10</v>
      </c>
      <c r="H65" s="286">
        <v>15</v>
      </c>
      <c r="I65" s="287">
        <f t="shared" si="31"/>
        <v>150</v>
      </c>
      <c r="J65" s="287">
        <f t="shared" si="32"/>
        <v>7.5</v>
      </c>
      <c r="K65" s="288">
        <f t="shared" si="33"/>
        <v>15</v>
      </c>
      <c r="L65" s="449">
        <f t="shared" si="34"/>
        <v>19648.8</v>
      </c>
      <c r="M65" s="439" t="s">
        <v>387</v>
      </c>
      <c r="N65" s="39"/>
      <c r="O65" s="39"/>
      <c r="P65" s="39"/>
    </row>
    <row r="66" spans="1:16" ht="15" customHeight="1" x14ac:dyDescent="0.2">
      <c r="A66" s="85"/>
      <c r="B66" s="38" t="s">
        <v>132</v>
      </c>
      <c r="C66" s="29"/>
      <c r="D66" s="29"/>
      <c r="E66" s="109" t="s">
        <v>96</v>
      </c>
      <c r="F66" s="115"/>
      <c r="G66" s="115"/>
      <c r="H66" s="115"/>
      <c r="I66" s="120"/>
      <c r="J66" s="120"/>
      <c r="K66" s="120" t="s">
        <v>22</v>
      </c>
      <c r="L66" s="448"/>
      <c r="M66" s="39"/>
      <c r="N66" s="39"/>
      <c r="O66" s="39"/>
      <c r="P66" s="39"/>
    </row>
    <row r="67" spans="1:16" ht="15" customHeight="1" x14ac:dyDescent="0.2">
      <c r="A67" s="89"/>
      <c r="B67" s="33" t="s">
        <v>133</v>
      </c>
      <c r="C67" s="33"/>
      <c r="D67" s="88"/>
      <c r="E67" s="289" t="s">
        <v>95</v>
      </c>
      <c r="F67" s="174"/>
      <c r="G67" s="174"/>
      <c r="H67" s="174"/>
      <c r="I67" s="174"/>
      <c r="J67" s="174"/>
      <c r="K67" s="174"/>
      <c r="L67" s="452"/>
      <c r="M67" s="39"/>
      <c r="N67" s="39"/>
      <c r="O67" s="39"/>
      <c r="P67" s="39"/>
    </row>
    <row r="68" spans="1:16" s="349" customFormat="1" ht="15" customHeight="1" thickBot="1" x14ac:dyDescent="0.2">
      <c r="A68" s="350" t="s">
        <v>334</v>
      </c>
      <c r="B68" s="351"/>
      <c r="C68" s="351"/>
      <c r="D68" s="351"/>
      <c r="E68" s="352"/>
      <c r="F68" s="352"/>
      <c r="G68" s="352"/>
      <c r="H68" s="352"/>
      <c r="I68" s="481">
        <f>SUM(I54:K67)</f>
        <v>1638.75</v>
      </c>
      <c r="J68" s="482"/>
      <c r="K68" s="483"/>
      <c r="L68" s="453">
        <f>ROUND(SUM(L54:L67),-3)</f>
        <v>187000</v>
      </c>
      <c r="N68" s="349">
        <f>(15*2)+15</f>
        <v>45</v>
      </c>
    </row>
    <row r="69" spans="1:16" s="40" customFormat="1" ht="15" customHeight="1" x14ac:dyDescent="0.2">
      <c r="A69" s="362" t="s">
        <v>385</v>
      </c>
      <c r="B69" s="353"/>
      <c r="C69" s="353"/>
      <c r="D69" s="353"/>
      <c r="E69" s="354"/>
      <c r="F69" s="354"/>
      <c r="G69" s="354"/>
      <c r="H69" s="354"/>
      <c r="I69" s="484">
        <f>ROUND(I68+I53,-3)</f>
        <v>338000</v>
      </c>
      <c r="J69" s="484"/>
      <c r="K69" s="484"/>
      <c r="L69" s="442">
        <f>ROUND(L68+L53,-5)</f>
        <v>38400000</v>
      </c>
      <c r="N69" s="394">
        <f>I69/N68</f>
        <v>7511.1111111111113</v>
      </c>
      <c r="O69" s="394" t="s">
        <v>292</v>
      </c>
    </row>
    <row r="70" spans="1:16" s="40" customFormat="1" ht="15" customHeight="1" x14ac:dyDescent="0.2">
      <c r="A70" s="363" t="s">
        <v>398</v>
      </c>
      <c r="B70" s="355"/>
      <c r="C70" s="355"/>
      <c r="D70" s="355"/>
      <c r="E70" s="356"/>
      <c r="F70" s="356"/>
      <c r="G70" s="357"/>
      <c r="H70" s="356"/>
      <c r="I70" s="428"/>
      <c r="J70" s="428"/>
      <c r="K70" s="428"/>
      <c r="L70" s="443">
        <f>ROUND('CAP&amp;O&amp;M'!H29,-4)</f>
        <v>7060000</v>
      </c>
      <c r="M70" s="93"/>
    </row>
    <row r="71" spans="1:16" s="40" customFormat="1" ht="15" customHeight="1" thickBot="1" x14ac:dyDescent="0.25">
      <c r="A71" s="364" t="s">
        <v>386</v>
      </c>
      <c r="B71" s="358"/>
      <c r="C71" s="358"/>
      <c r="D71" s="358"/>
      <c r="E71" s="359"/>
      <c r="F71" s="359"/>
      <c r="G71" s="360"/>
      <c r="H71" s="359"/>
      <c r="I71" s="361"/>
      <c r="J71" s="361"/>
      <c r="K71" s="361"/>
      <c r="L71" s="430">
        <f>ROUND(L69+L70,-5)</f>
        <v>45500000</v>
      </c>
      <c r="M71" s="93"/>
    </row>
    <row r="72" spans="1:16" s="40" customFormat="1" ht="15" customHeight="1" x14ac:dyDescent="0.2">
      <c r="A72" s="26"/>
      <c r="B72" s="26"/>
      <c r="C72" s="26"/>
      <c r="D72" s="26"/>
      <c r="E72" s="91"/>
      <c r="F72" s="91"/>
      <c r="G72" s="477"/>
      <c r="H72" s="477"/>
      <c r="I72" s="477"/>
      <c r="J72" s="477"/>
      <c r="K72" s="94"/>
      <c r="L72" s="94"/>
      <c r="M72" s="93"/>
    </row>
    <row r="73" spans="1:16" s="40" customFormat="1" ht="15" customHeight="1" x14ac:dyDescent="0.2">
      <c r="A73" s="26"/>
      <c r="C73" s="26"/>
      <c r="D73" s="26"/>
      <c r="E73" s="91"/>
      <c r="F73" s="91"/>
      <c r="G73" s="91"/>
      <c r="H73" s="91"/>
      <c r="I73" s="92"/>
      <c r="L73" s="92"/>
      <c r="M73" s="93"/>
    </row>
    <row r="74" spans="1:16" ht="15" customHeight="1" x14ac:dyDescent="0.2">
      <c r="A74" s="39" t="s">
        <v>54</v>
      </c>
      <c r="B74" s="40"/>
      <c r="D74" s="95"/>
      <c r="E74" s="96"/>
      <c r="F74" s="96"/>
      <c r="G74" s="40"/>
      <c r="H74" s="40"/>
    </row>
    <row r="75" spans="1:16" ht="11.45" customHeight="1" x14ac:dyDescent="0.2">
      <c r="A75" s="401" t="s">
        <v>49</v>
      </c>
      <c r="B75" s="463" t="s">
        <v>388</v>
      </c>
      <c r="C75" s="463"/>
      <c r="D75" s="463"/>
      <c r="E75" s="463"/>
      <c r="F75" s="463"/>
      <c r="G75" s="463"/>
      <c r="H75" s="463"/>
      <c r="I75" s="463"/>
      <c r="J75" s="463"/>
      <c r="K75" s="463"/>
      <c r="L75" s="463"/>
    </row>
    <row r="76" spans="1:16" ht="31.5" customHeight="1" x14ac:dyDescent="0.2">
      <c r="A76" s="401" t="s">
        <v>50</v>
      </c>
      <c r="B76" s="463" t="s">
        <v>389</v>
      </c>
      <c r="C76" s="463"/>
      <c r="D76" s="463"/>
      <c r="E76" s="463"/>
      <c r="F76" s="463"/>
      <c r="G76" s="463"/>
      <c r="H76" s="463"/>
      <c r="I76" s="463"/>
      <c r="J76" s="463"/>
      <c r="K76" s="463"/>
      <c r="L76" s="463"/>
    </row>
    <row r="77" spans="1:16" ht="15" customHeight="1" x14ac:dyDescent="0.2">
      <c r="A77" s="401" t="s">
        <v>18</v>
      </c>
      <c r="B77" s="464" t="s">
        <v>51</v>
      </c>
      <c r="C77" s="464"/>
      <c r="D77" s="464"/>
      <c r="E77" s="464"/>
      <c r="F77" s="464"/>
      <c r="G77" s="464"/>
      <c r="H77" s="464"/>
      <c r="I77" s="464"/>
      <c r="J77" s="464"/>
      <c r="K77" s="464"/>
      <c r="L77" s="464"/>
    </row>
    <row r="78" spans="1:16" ht="15" customHeight="1" x14ac:dyDescent="0.2">
      <c r="A78" s="401" t="s">
        <v>48</v>
      </c>
      <c r="B78" s="464" t="s">
        <v>76</v>
      </c>
      <c r="C78" s="464"/>
      <c r="D78" s="464"/>
      <c r="E78" s="464"/>
      <c r="F78" s="464"/>
      <c r="G78" s="464"/>
      <c r="H78" s="464"/>
      <c r="I78" s="464"/>
      <c r="J78" s="464"/>
      <c r="K78" s="464"/>
      <c r="L78" s="464"/>
    </row>
    <row r="79" spans="1:16" ht="15" customHeight="1" x14ac:dyDescent="0.2">
      <c r="A79" s="401" t="s">
        <v>46</v>
      </c>
      <c r="B79" s="463" t="s">
        <v>390</v>
      </c>
      <c r="C79" s="463"/>
      <c r="D79" s="463"/>
      <c r="E79" s="463"/>
      <c r="F79" s="463"/>
      <c r="G79" s="463"/>
      <c r="H79" s="463"/>
      <c r="I79" s="463"/>
      <c r="J79" s="463"/>
      <c r="K79" s="463"/>
      <c r="L79" s="463"/>
    </row>
    <row r="80" spans="1:16" ht="55.5" customHeight="1" x14ac:dyDescent="0.2">
      <c r="A80" s="401" t="s">
        <v>30</v>
      </c>
      <c r="B80" s="485" t="s">
        <v>405</v>
      </c>
      <c r="C80" s="485"/>
      <c r="D80" s="485"/>
      <c r="E80" s="485"/>
      <c r="F80" s="485"/>
      <c r="G80" s="485"/>
      <c r="H80" s="485"/>
      <c r="I80" s="485"/>
      <c r="J80" s="485"/>
      <c r="K80" s="485"/>
      <c r="L80" s="485"/>
    </row>
    <row r="81" spans="1:16" ht="24.75" customHeight="1" x14ac:dyDescent="0.2">
      <c r="A81" s="401" t="s">
        <v>164</v>
      </c>
      <c r="B81" s="485" t="s">
        <v>294</v>
      </c>
      <c r="C81" s="485"/>
      <c r="D81" s="485"/>
      <c r="E81" s="485"/>
      <c r="F81" s="485"/>
      <c r="G81" s="485"/>
      <c r="H81" s="485"/>
      <c r="I81" s="485"/>
      <c r="J81" s="485"/>
      <c r="K81" s="485"/>
      <c r="L81" s="485"/>
    </row>
    <row r="82" spans="1:16" ht="18.95" customHeight="1" x14ac:dyDescent="0.2">
      <c r="A82" s="401" t="s">
        <v>219</v>
      </c>
      <c r="B82" s="485" t="s">
        <v>339</v>
      </c>
      <c r="C82" s="485"/>
      <c r="D82" s="485"/>
      <c r="E82" s="485"/>
      <c r="F82" s="485"/>
      <c r="G82" s="485"/>
      <c r="H82" s="485"/>
      <c r="I82" s="485"/>
      <c r="J82" s="485"/>
      <c r="K82" s="485"/>
      <c r="L82" s="485"/>
    </row>
    <row r="83" spans="1:16" ht="20.45" customHeight="1" x14ac:dyDescent="0.2">
      <c r="A83" s="401" t="s">
        <v>73</v>
      </c>
      <c r="B83" s="463" t="s">
        <v>404</v>
      </c>
      <c r="C83" s="463"/>
      <c r="D83" s="463"/>
      <c r="E83" s="463"/>
      <c r="F83" s="463"/>
      <c r="G83" s="463"/>
      <c r="H83" s="463"/>
      <c r="I83" s="463"/>
      <c r="J83" s="463"/>
      <c r="K83" s="463"/>
      <c r="L83" s="463"/>
    </row>
    <row r="84" spans="1:16" ht="19.5" customHeight="1" x14ac:dyDescent="0.2">
      <c r="A84" s="401" t="s">
        <v>94</v>
      </c>
      <c r="B84" s="476" t="s">
        <v>403</v>
      </c>
      <c r="C84" s="476"/>
      <c r="D84" s="476"/>
      <c r="E84" s="476"/>
      <c r="F84" s="476"/>
      <c r="G84" s="476"/>
      <c r="H84" s="476"/>
      <c r="I84" s="476"/>
      <c r="J84" s="476"/>
      <c r="K84" s="476"/>
      <c r="L84" s="476"/>
      <c r="M84" s="399"/>
      <c r="N84" s="399"/>
      <c r="O84" s="399"/>
      <c r="P84" s="399"/>
    </row>
    <row r="85" spans="1:16" ht="15" customHeight="1" x14ac:dyDescent="0.2">
      <c r="A85" s="401"/>
      <c r="B85" s="476"/>
      <c r="C85" s="476"/>
      <c r="D85" s="476"/>
      <c r="E85" s="476"/>
      <c r="F85" s="476"/>
      <c r="G85" s="476"/>
      <c r="H85" s="476"/>
      <c r="I85" s="476"/>
      <c r="J85" s="476"/>
      <c r="K85" s="476"/>
      <c r="L85" s="476"/>
      <c r="M85" s="399"/>
      <c r="N85" s="399"/>
      <c r="O85" s="399"/>
      <c r="P85" s="399"/>
    </row>
    <row r="86" spans="1:16" ht="19.5" customHeight="1" x14ac:dyDescent="0.2">
      <c r="A86" s="401" t="s">
        <v>225</v>
      </c>
      <c r="B86" s="463" t="s">
        <v>401</v>
      </c>
      <c r="C86" s="463"/>
      <c r="D86" s="463"/>
      <c r="E86" s="463"/>
      <c r="F86" s="463"/>
      <c r="G86" s="463"/>
      <c r="H86" s="463"/>
      <c r="I86" s="463"/>
      <c r="J86" s="463"/>
      <c r="K86" s="463"/>
      <c r="L86" s="463"/>
    </row>
    <row r="87" spans="1:16" ht="15" customHeight="1" x14ac:dyDescent="0.2">
      <c r="A87" s="401" t="s">
        <v>293</v>
      </c>
      <c r="B87" s="463" t="s">
        <v>295</v>
      </c>
      <c r="C87" s="464"/>
      <c r="D87" s="464"/>
      <c r="E87" s="464"/>
      <c r="F87" s="464"/>
      <c r="G87" s="464"/>
      <c r="H87" s="464"/>
      <c r="I87" s="464"/>
      <c r="J87" s="464"/>
      <c r="K87" s="464"/>
      <c r="L87" s="464"/>
    </row>
    <row r="88" spans="1:16" x14ac:dyDescent="0.2">
      <c r="A88" s="401" t="s">
        <v>298</v>
      </c>
      <c r="B88" s="474" t="s">
        <v>226</v>
      </c>
      <c r="C88" s="474"/>
      <c r="D88" s="474"/>
      <c r="E88" s="474"/>
      <c r="F88" s="474"/>
      <c r="G88" s="474"/>
      <c r="H88" s="474"/>
      <c r="I88" s="474"/>
      <c r="J88" s="474"/>
      <c r="K88" s="474"/>
      <c r="L88" s="474"/>
    </row>
    <row r="89" spans="1:16" ht="15" customHeight="1" x14ac:dyDescent="0.2">
      <c r="A89" s="402" t="s">
        <v>299</v>
      </c>
      <c r="B89" s="474" t="s">
        <v>338</v>
      </c>
      <c r="C89" s="475"/>
      <c r="D89" s="475"/>
      <c r="E89" s="475"/>
      <c r="F89" s="475"/>
      <c r="G89" s="475"/>
      <c r="H89" s="475"/>
      <c r="I89" s="475"/>
      <c r="J89" s="475"/>
      <c r="K89" s="475"/>
      <c r="L89" s="475"/>
      <c r="M89" s="39"/>
      <c r="N89" s="39"/>
      <c r="O89" s="39"/>
      <c r="P89" s="39"/>
    </row>
    <row r="90" spans="1:16" x14ac:dyDescent="0.2">
      <c r="A90" s="401" t="s">
        <v>300</v>
      </c>
      <c r="B90" s="463" t="s">
        <v>402</v>
      </c>
      <c r="C90" s="463"/>
      <c r="D90" s="463"/>
      <c r="E90" s="463"/>
      <c r="F90" s="463"/>
      <c r="G90" s="463"/>
      <c r="H90" s="463"/>
      <c r="I90" s="463"/>
      <c r="J90" s="463"/>
      <c r="K90" s="463"/>
      <c r="L90" s="463"/>
    </row>
    <row r="91" spans="1:16" ht="18.600000000000001" customHeight="1" x14ac:dyDescent="0.2">
      <c r="A91" s="401" t="s">
        <v>302</v>
      </c>
      <c r="B91" s="464" t="s">
        <v>297</v>
      </c>
      <c r="C91" s="464"/>
      <c r="D91" s="464"/>
      <c r="E91" s="464"/>
      <c r="F91" s="464"/>
      <c r="G91" s="464"/>
      <c r="H91" s="464"/>
      <c r="I91" s="464"/>
      <c r="J91" s="464"/>
      <c r="K91" s="464"/>
      <c r="L91" s="464"/>
    </row>
    <row r="92" spans="1:16" x14ac:dyDescent="0.2">
      <c r="A92" s="401" t="s">
        <v>332</v>
      </c>
      <c r="B92" s="463" t="s">
        <v>301</v>
      </c>
      <c r="C92" s="463"/>
      <c r="D92" s="463"/>
      <c r="E92" s="463"/>
      <c r="F92" s="463"/>
      <c r="G92" s="463"/>
      <c r="H92" s="463"/>
      <c r="I92" s="463"/>
      <c r="J92" s="463"/>
      <c r="K92" s="463"/>
      <c r="L92" s="463"/>
    </row>
    <row r="93" spans="1:16" x14ac:dyDescent="0.2">
      <c r="A93" s="401" t="s">
        <v>383</v>
      </c>
      <c r="B93" s="463" t="s">
        <v>303</v>
      </c>
      <c r="C93" s="463"/>
      <c r="D93" s="463"/>
      <c r="E93" s="463"/>
      <c r="F93" s="463"/>
      <c r="G93" s="463"/>
      <c r="H93" s="463"/>
      <c r="I93" s="463"/>
      <c r="J93" s="463"/>
      <c r="K93" s="463"/>
      <c r="L93" s="463"/>
    </row>
    <row r="94" spans="1:16" x14ac:dyDescent="0.2">
      <c r="A94" s="401" t="s">
        <v>384</v>
      </c>
      <c r="B94" s="39" t="s">
        <v>333</v>
      </c>
      <c r="F94" s="93"/>
      <c r="G94" s="93"/>
    </row>
    <row r="95" spans="1:16" x14ac:dyDescent="0.2">
      <c r="F95" s="93"/>
      <c r="G95" s="93"/>
    </row>
    <row r="96" spans="1:16" ht="10.15" customHeight="1" x14ac:dyDescent="0.2">
      <c r="F96" s="93"/>
      <c r="G96" s="93"/>
    </row>
    <row r="97" spans="6:7" x14ac:dyDescent="0.2">
      <c r="F97" s="93"/>
      <c r="G97" s="93"/>
    </row>
  </sheetData>
  <mergeCells count="23">
    <mergeCell ref="B93:L93"/>
    <mergeCell ref="A7:D12"/>
    <mergeCell ref="B89:L89"/>
    <mergeCell ref="B88:L88"/>
    <mergeCell ref="B87:L87"/>
    <mergeCell ref="B86:L86"/>
    <mergeCell ref="B84:L85"/>
    <mergeCell ref="G72:J72"/>
    <mergeCell ref="I53:K53"/>
    <mergeCell ref="I68:K68"/>
    <mergeCell ref="I69:K69"/>
    <mergeCell ref="B80:L80"/>
    <mergeCell ref="B77:L77"/>
    <mergeCell ref="B81:L81"/>
    <mergeCell ref="B82:L82"/>
    <mergeCell ref="B83:L83"/>
    <mergeCell ref="B76:L76"/>
    <mergeCell ref="B75:L75"/>
    <mergeCell ref="B90:L90"/>
    <mergeCell ref="B91:L91"/>
    <mergeCell ref="B92:L92"/>
    <mergeCell ref="B79:L79"/>
    <mergeCell ref="B78:L78"/>
  </mergeCells>
  <printOptions horizontalCentered="1" gridLinesSet="0"/>
  <pageMargins left="0.5" right="0.5" top="0.5" bottom="0.5" header="0.5" footer="0.19"/>
  <pageSetup scale="4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46"/>
  <sheetViews>
    <sheetView showGridLines="0" zoomScaleNormal="100" zoomScaleSheetLayoutView="100" workbookViewId="0">
      <selection activeCell="N19" sqref="N19"/>
    </sheetView>
  </sheetViews>
  <sheetFormatPr defaultColWidth="9.1640625" defaultRowHeight="12.75" x14ac:dyDescent="0.2"/>
  <cols>
    <col min="1" max="3" width="3.6640625" style="178" customWidth="1"/>
    <col min="4" max="4" width="36.1640625" style="178" customWidth="1"/>
    <col min="5" max="5" width="7.1640625" style="178" customWidth="1"/>
    <col min="6" max="6" width="12.83203125" style="178" customWidth="1"/>
    <col min="7" max="7" width="13.33203125" style="178" customWidth="1"/>
    <col min="8" max="8" width="13.6640625" style="178" customWidth="1"/>
    <col min="9" max="9" width="17.5" style="178" customWidth="1"/>
    <col min="10" max="10" width="17.1640625" style="178" customWidth="1"/>
    <col min="11" max="11" width="14.1640625" style="178" customWidth="1"/>
    <col min="12" max="12" width="15.6640625" style="178" customWidth="1"/>
    <col min="13" max="13" width="12.83203125" style="178" customWidth="1"/>
    <col min="14" max="16384" width="9.1640625" style="178"/>
  </cols>
  <sheetData>
    <row r="1" spans="1:14" ht="15.75" x14ac:dyDescent="0.25">
      <c r="A1" s="393" t="s">
        <v>407</v>
      </c>
      <c r="B1" s="393"/>
      <c r="C1" s="393"/>
      <c r="D1" s="393"/>
      <c r="E1" s="393"/>
      <c r="F1" s="393"/>
      <c r="G1" s="393"/>
      <c r="H1" s="393"/>
      <c r="I1" s="393"/>
      <c r="J1" s="393"/>
      <c r="K1" s="393"/>
      <c r="L1" s="393"/>
      <c r="M1" s="177"/>
      <c r="N1" s="177"/>
    </row>
    <row r="2" spans="1:14" ht="15.75" thickBot="1" x14ac:dyDescent="0.3">
      <c r="D2" s="235"/>
      <c r="I2" s="333" t="s">
        <v>335</v>
      </c>
      <c r="J2" s="334">
        <v>48.75</v>
      </c>
      <c r="K2" s="334">
        <v>65.709999999999994</v>
      </c>
      <c r="L2" s="334">
        <v>26.38</v>
      </c>
      <c r="M2" s="334"/>
      <c r="N2" s="334" t="s">
        <v>279</v>
      </c>
    </row>
    <row r="3" spans="1:14" x14ac:dyDescent="0.2">
      <c r="A3" s="494" t="s">
        <v>13</v>
      </c>
      <c r="B3" s="495"/>
      <c r="C3" s="495"/>
      <c r="D3" s="495"/>
      <c r="E3" s="495"/>
      <c r="F3" s="367" t="s">
        <v>34</v>
      </c>
      <c r="G3" s="368" t="s">
        <v>0</v>
      </c>
      <c r="H3" s="369" t="s">
        <v>281</v>
      </c>
      <c r="I3" s="369" t="s">
        <v>282</v>
      </c>
      <c r="J3" s="492" t="s">
        <v>283</v>
      </c>
      <c r="K3" s="492" t="s">
        <v>284</v>
      </c>
      <c r="L3" s="492" t="s">
        <v>285</v>
      </c>
      <c r="M3" s="370" t="s">
        <v>286</v>
      </c>
    </row>
    <row r="4" spans="1:14" ht="48" x14ac:dyDescent="0.2">
      <c r="A4" s="496"/>
      <c r="B4" s="497"/>
      <c r="C4" s="497"/>
      <c r="D4" s="497"/>
      <c r="E4" s="497"/>
      <c r="F4" s="371" t="s">
        <v>287</v>
      </c>
      <c r="G4" s="371" t="s">
        <v>288</v>
      </c>
      <c r="H4" s="371" t="s">
        <v>289</v>
      </c>
      <c r="I4" s="371" t="s">
        <v>391</v>
      </c>
      <c r="J4" s="493"/>
      <c r="K4" s="493"/>
      <c r="L4" s="493"/>
      <c r="M4" s="372" t="s">
        <v>392</v>
      </c>
    </row>
    <row r="5" spans="1:14" s="187" customFormat="1" ht="15.75" customHeight="1" x14ac:dyDescent="0.2">
      <c r="A5" s="233" t="s">
        <v>14</v>
      </c>
      <c r="B5" s="188" t="s">
        <v>15</v>
      </c>
      <c r="C5" s="189"/>
      <c r="D5" s="190"/>
      <c r="E5" s="191"/>
      <c r="F5" s="373" t="s">
        <v>16</v>
      </c>
      <c r="G5" s="379"/>
      <c r="H5" s="374"/>
      <c r="I5" s="374"/>
      <c r="J5" s="374"/>
      <c r="K5" s="374"/>
      <c r="L5" s="374"/>
      <c r="M5" s="375"/>
    </row>
    <row r="6" spans="1:14" s="196" customFormat="1" ht="15.75" customHeight="1" x14ac:dyDescent="0.2">
      <c r="A6" s="233" t="s">
        <v>17</v>
      </c>
      <c r="B6" s="188" t="s">
        <v>337</v>
      </c>
      <c r="C6" s="192"/>
      <c r="D6" s="193"/>
      <c r="E6" s="194"/>
      <c r="F6" s="386">
        <v>15</v>
      </c>
      <c r="G6" s="380">
        <v>1</v>
      </c>
      <c r="H6" s="195">
        <f>F6*G6</f>
        <v>15</v>
      </c>
      <c r="I6" s="195">
        <v>0</v>
      </c>
      <c r="J6" s="205">
        <f>(I6*H6)</f>
        <v>0</v>
      </c>
      <c r="K6" s="195">
        <f>J6*0.05</f>
        <v>0</v>
      </c>
      <c r="L6" s="195">
        <f>J6*0.1</f>
        <v>0</v>
      </c>
      <c r="M6" s="455">
        <f>(J6*J$2+K6*K$2+L6*L$2)</f>
        <v>0</v>
      </c>
    </row>
    <row r="7" spans="1:14" s="196" customFormat="1" ht="15.75" customHeight="1" x14ac:dyDescent="0.2">
      <c r="A7" s="233" t="s">
        <v>19</v>
      </c>
      <c r="B7" s="188" t="s">
        <v>20</v>
      </c>
      <c r="C7" s="197"/>
      <c r="D7" s="198"/>
      <c r="E7" s="199"/>
      <c r="F7" s="387"/>
      <c r="G7" s="381"/>
      <c r="H7" s="200"/>
      <c r="I7" s="200"/>
      <c r="J7" s="200"/>
      <c r="K7" s="200"/>
      <c r="L7" s="200"/>
      <c r="M7" s="456"/>
    </row>
    <row r="8" spans="1:14" s="187" customFormat="1" ht="15.75" customHeight="1" x14ac:dyDescent="0.2">
      <c r="A8" s="234">
        <v>0.08</v>
      </c>
      <c r="B8" s="201" t="s">
        <v>21</v>
      </c>
      <c r="C8" s="490" t="s">
        <v>394</v>
      </c>
      <c r="D8" s="491"/>
      <c r="E8" s="491"/>
      <c r="F8" s="388">
        <v>48</v>
      </c>
      <c r="G8" s="381">
        <v>1</v>
      </c>
      <c r="H8" s="386">
        <f>F8*G8</f>
        <v>48</v>
      </c>
      <c r="I8" s="202">
        <v>0</v>
      </c>
      <c r="J8" s="205">
        <f>(I8*H8)</f>
        <v>0</v>
      </c>
      <c r="K8" s="200">
        <f>J8*0.05</f>
        <v>0</v>
      </c>
      <c r="L8" s="200">
        <f>J8*0.1</f>
        <v>0</v>
      </c>
      <c r="M8" s="455">
        <f>(J8*J$2+K8*K$2+L8*L$2)</f>
        <v>0</v>
      </c>
    </row>
    <row r="9" spans="1:14" s="187" customFormat="1" ht="15.75" customHeight="1" x14ac:dyDescent="0.2">
      <c r="A9" s="234">
        <f>0.1*0.1</f>
        <v>1.0000000000000002E-2</v>
      </c>
      <c r="B9" s="203" t="s">
        <v>23</v>
      </c>
      <c r="C9" s="204" t="s">
        <v>290</v>
      </c>
      <c r="D9" s="198"/>
      <c r="E9" s="199"/>
      <c r="F9" s="388">
        <v>24</v>
      </c>
      <c r="G9" s="382">
        <v>1</v>
      </c>
      <c r="H9" s="386">
        <f>F9*G9</f>
        <v>24</v>
      </c>
      <c r="I9" s="202">
        <f>0.1*I17</f>
        <v>1.5</v>
      </c>
      <c r="J9" s="205">
        <f>(I9*H9)</f>
        <v>36</v>
      </c>
      <c r="K9" s="205">
        <f>J9*0.05</f>
        <v>1.8</v>
      </c>
      <c r="L9" s="205">
        <f>J9*0.1</f>
        <v>3.6</v>
      </c>
      <c r="M9" s="457">
        <f>(J9*J$2+K9*K$2+L9*L$2)</f>
        <v>1968.2460000000001</v>
      </c>
    </row>
    <row r="10" spans="1:14" s="187" customFormat="1" ht="15.75" customHeight="1" x14ac:dyDescent="0.2">
      <c r="A10" s="234"/>
      <c r="B10" s="206" t="s">
        <v>24</v>
      </c>
      <c r="C10" s="204" t="s">
        <v>25</v>
      </c>
      <c r="D10" s="198"/>
      <c r="E10" s="199"/>
      <c r="F10" s="376" t="s">
        <v>16</v>
      </c>
      <c r="G10" s="377"/>
      <c r="H10" s="377"/>
      <c r="I10" s="377"/>
      <c r="J10" s="377"/>
      <c r="K10" s="377"/>
      <c r="L10" s="377"/>
      <c r="M10" s="458"/>
    </row>
    <row r="11" spans="1:14" s="187" customFormat="1" ht="15.75" customHeight="1" x14ac:dyDescent="0.2">
      <c r="A11" s="234"/>
      <c r="B11" s="206" t="s">
        <v>26</v>
      </c>
      <c r="C11" s="204" t="s">
        <v>27</v>
      </c>
      <c r="D11" s="198"/>
      <c r="E11" s="199"/>
      <c r="F11" s="376" t="s">
        <v>16</v>
      </c>
      <c r="G11" s="377"/>
      <c r="H11" s="377"/>
      <c r="I11" s="377"/>
      <c r="J11" s="377"/>
      <c r="K11" s="377"/>
      <c r="L11" s="377"/>
      <c r="M11" s="458"/>
    </row>
    <row r="12" spans="1:14" s="187" customFormat="1" ht="15.75" customHeight="1" x14ac:dyDescent="0.2">
      <c r="A12" s="234"/>
      <c r="B12" s="207" t="s">
        <v>28</v>
      </c>
      <c r="C12" s="204" t="s">
        <v>29</v>
      </c>
      <c r="D12" s="198"/>
      <c r="E12" s="199"/>
      <c r="F12" s="208"/>
      <c r="G12" s="381"/>
      <c r="H12" s="202"/>
      <c r="I12" s="389"/>
      <c r="J12" s="205"/>
      <c r="K12" s="205"/>
      <c r="L12" s="205"/>
      <c r="M12" s="456"/>
    </row>
    <row r="13" spans="1:14" s="187" customFormat="1" ht="15.75" customHeight="1" x14ac:dyDescent="0.2">
      <c r="A13" s="234"/>
      <c r="B13" s="207"/>
      <c r="C13" s="209" t="s">
        <v>83</v>
      </c>
      <c r="D13" s="210" t="s">
        <v>139</v>
      </c>
      <c r="E13" s="199"/>
      <c r="F13" s="384">
        <v>3</v>
      </c>
      <c r="G13" s="381">
        <v>1</v>
      </c>
      <c r="H13" s="386">
        <f t="shared" ref="H13:H18" si="0">F13*G13</f>
        <v>3</v>
      </c>
      <c r="I13" s="390">
        <v>0</v>
      </c>
      <c r="J13" s="205">
        <f>H13*I13</f>
        <v>0</v>
      </c>
      <c r="K13" s="205">
        <f>J13*0.05</f>
        <v>0</v>
      </c>
      <c r="L13" s="205">
        <f>J13*0.1</f>
        <v>0</v>
      </c>
      <c r="M13" s="455">
        <f t="shared" ref="M13:M19" si="1">(J13*J$2+K13*K$2+L13*L$2)</f>
        <v>0</v>
      </c>
    </row>
    <row r="14" spans="1:14" s="187" customFormat="1" ht="15.75" customHeight="1" x14ac:dyDescent="0.2">
      <c r="A14" s="234"/>
      <c r="B14" s="207"/>
      <c r="C14" s="209" t="s">
        <v>84</v>
      </c>
      <c r="D14" s="210" t="s">
        <v>160</v>
      </c>
      <c r="E14" s="199"/>
      <c r="F14" s="384">
        <v>5</v>
      </c>
      <c r="G14" s="381">
        <v>1</v>
      </c>
      <c r="H14" s="386">
        <f t="shared" si="0"/>
        <v>5</v>
      </c>
      <c r="I14" s="390">
        <v>0</v>
      </c>
      <c r="J14" s="205">
        <f t="shared" ref="J14:J17" si="2">H14*I14</f>
        <v>0</v>
      </c>
      <c r="K14" s="205">
        <f>J14*0.05</f>
        <v>0</v>
      </c>
      <c r="L14" s="205">
        <f>J14*0.1</f>
        <v>0</v>
      </c>
      <c r="M14" s="455">
        <f t="shared" si="1"/>
        <v>0</v>
      </c>
    </row>
    <row r="15" spans="1:14" s="187" customFormat="1" ht="15.75" customHeight="1" x14ac:dyDescent="0.2">
      <c r="A15" s="234"/>
      <c r="B15" s="207"/>
      <c r="C15" s="209" t="s">
        <v>74</v>
      </c>
      <c r="D15" s="210" t="s">
        <v>140</v>
      </c>
      <c r="E15" s="199"/>
      <c r="F15" s="384">
        <v>10</v>
      </c>
      <c r="G15" s="381">
        <v>1</v>
      </c>
      <c r="H15" s="386">
        <f t="shared" si="0"/>
        <v>10</v>
      </c>
      <c r="I15" s="390">
        <v>0</v>
      </c>
      <c r="J15" s="205">
        <f t="shared" si="2"/>
        <v>0</v>
      </c>
      <c r="K15" s="205">
        <f>J15*0.05</f>
        <v>0</v>
      </c>
      <c r="L15" s="205">
        <f>J15*0.1</f>
        <v>0</v>
      </c>
      <c r="M15" s="455">
        <f t="shared" si="1"/>
        <v>0</v>
      </c>
    </row>
    <row r="16" spans="1:14" s="187" customFormat="1" ht="15.75" customHeight="1" x14ac:dyDescent="0.2">
      <c r="A16" s="234">
        <v>0.01</v>
      </c>
      <c r="B16" s="206"/>
      <c r="C16" s="211" t="s">
        <v>75</v>
      </c>
      <c r="D16" s="210" t="s">
        <v>136</v>
      </c>
      <c r="E16" s="204"/>
      <c r="F16" s="384">
        <v>40</v>
      </c>
      <c r="G16" s="381">
        <v>1</v>
      </c>
      <c r="H16" s="386">
        <f>F16*G16</f>
        <v>40</v>
      </c>
      <c r="I16" s="390">
        <v>0</v>
      </c>
      <c r="J16" s="205">
        <f t="shared" si="2"/>
        <v>0</v>
      </c>
      <c r="K16" s="205">
        <f>J16*0.05</f>
        <v>0</v>
      </c>
      <c r="L16" s="205">
        <f>J16*0.1</f>
        <v>0</v>
      </c>
      <c r="M16" s="455">
        <f t="shared" si="1"/>
        <v>0</v>
      </c>
    </row>
    <row r="17" spans="1:14" s="187" customFormat="1" ht="15.75" customHeight="1" x14ac:dyDescent="0.2">
      <c r="A17" s="234"/>
      <c r="B17" s="206"/>
      <c r="C17" s="211" t="s">
        <v>161</v>
      </c>
      <c r="D17" s="210" t="s">
        <v>141</v>
      </c>
      <c r="E17" s="204"/>
      <c r="F17" s="384">
        <v>20</v>
      </c>
      <c r="G17" s="381">
        <v>2</v>
      </c>
      <c r="H17" s="386">
        <f t="shared" si="0"/>
        <v>40</v>
      </c>
      <c r="I17" s="390">
        <v>15</v>
      </c>
      <c r="J17" s="205">
        <f t="shared" si="2"/>
        <v>600</v>
      </c>
      <c r="K17" s="205">
        <f>J17*0.05</f>
        <v>30</v>
      </c>
      <c r="L17" s="205">
        <f>J17*0.1</f>
        <v>60</v>
      </c>
      <c r="M17" s="457">
        <f t="shared" si="1"/>
        <v>32804.1</v>
      </c>
      <c r="N17" s="462" t="s">
        <v>409</v>
      </c>
    </row>
    <row r="18" spans="1:14" s="187" customFormat="1" ht="15.75" customHeight="1" x14ac:dyDescent="0.2">
      <c r="A18" s="234"/>
      <c r="B18" s="206"/>
      <c r="C18" s="209" t="s">
        <v>162</v>
      </c>
      <c r="D18" s="210" t="s">
        <v>163</v>
      </c>
      <c r="E18" s="204"/>
      <c r="F18" s="384">
        <v>3</v>
      </c>
      <c r="G18" s="381">
        <v>1</v>
      </c>
      <c r="H18" s="386">
        <f t="shared" si="0"/>
        <v>3</v>
      </c>
      <c r="I18" s="390">
        <v>15</v>
      </c>
      <c r="J18" s="205">
        <f>H18*I18</f>
        <v>45</v>
      </c>
      <c r="K18" s="205">
        <f t="shared" ref="K18" si="3">J18*0.05</f>
        <v>2.25</v>
      </c>
      <c r="L18" s="205">
        <f t="shared" ref="L18" si="4">J18*0.1</f>
        <v>4.5</v>
      </c>
      <c r="M18" s="457">
        <f t="shared" si="1"/>
        <v>2460.3074999999999</v>
      </c>
      <c r="N18" s="462" t="s">
        <v>409</v>
      </c>
    </row>
    <row r="19" spans="1:14" s="196" customFormat="1" ht="15.75" customHeight="1" x14ac:dyDescent="0.2">
      <c r="A19" s="212"/>
      <c r="B19" s="213" t="s">
        <v>31</v>
      </c>
      <c r="C19" s="214" t="s">
        <v>395</v>
      </c>
      <c r="D19" s="214"/>
      <c r="E19" s="215"/>
      <c r="F19" s="385">
        <v>4</v>
      </c>
      <c r="G19" s="383">
        <v>1</v>
      </c>
      <c r="H19" s="386">
        <f>F19*G19</f>
        <v>4</v>
      </c>
      <c r="I19" s="391">
        <v>8</v>
      </c>
      <c r="J19" s="216">
        <f>H19*I19</f>
        <v>32</v>
      </c>
      <c r="K19" s="217">
        <f>J19*0.05</f>
        <v>1.6</v>
      </c>
      <c r="L19" s="217">
        <f>J19*0.1</f>
        <v>3.2</v>
      </c>
      <c r="M19" s="457">
        <f t="shared" si="1"/>
        <v>1749.5519999999999</v>
      </c>
    </row>
    <row r="20" spans="1:14" s="187" customFormat="1" ht="15.75" customHeight="1" x14ac:dyDescent="0.2">
      <c r="A20" s="218" t="s">
        <v>142</v>
      </c>
      <c r="B20" s="219" t="s">
        <v>32</v>
      </c>
      <c r="C20" s="220"/>
      <c r="D20" s="220"/>
      <c r="E20" s="220"/>
      <c r="F20" s="221"/>
      <c r="G20" s="222"/>
      <c r="H20" s="223"/>
      <c r="I20" s="223"/>
      <c r="J20" s="223"/>
      <c r="K20" s="224" t="s">
        <v>228</v>
      </c>
      <c r="L20" s="225" t="s">
        <v>33</v>
      </c>
      <c r="M20" s="459">
        <f>IF(ISTEXT(K20),0,F8*K20)</f>
        <v>0</v>
      </c>
    </row>
    <row r="21" spans="1:14" s="196" customFormat="1" ht="15.75" customHeight="1" thickBot="1" x14ac:dyDescent="0.25">
      <c r="A21" s="226"/>
      <c r="B21" s="431" t="s">
        <v>396</v>
      </c>
      <c r="C21" s="227"/>
      <c r="D21" s="227"/>
      <c r="E21" s="228"/>
      <c r="F21" s="229"/>
      <c r="G21" s="230"/>
      <c r="H21" s="231"/>
      <c r="I21" s="378"/>
      <c r="J21" s="487">
        <f>SUM(J6:L19)</f>
        <v>819.95</v>
      </c>
      <c r="K21" s="488"/>
      <c r="L21" s="489"/>
      <c r="M21" s="460">
        <f>ROUND(SUM(M6:M20),-2)</f>
        <v>39000</v>
      </c>
      <c r="N21" s="232"/>
    </row>
    <row r="22" spans="1:14" s="184" customFormat="1" ht="15.75" customHeight="1" x14ac:dyDescent="0.2">
      <c r="A22" s="179"/>
      <c r="B22" s="179"/>
      <c r="C22" s="179"/>
      <c r="D22" s="179"/>
      <c r="E22" s="180"/>
      <c r="F22" s="180"/>
      <c r="G22" s="181"/>
      <c r="H22" s="181"/>
      <c r="I22" s="182"/>
      <c r="J22" s="182"/>
      <c r="K22" s="182"/>
      <c r="L22" s="182"/>
      <c r="M22" s="183"/>
      <c r="N22" s="181"/>
    </row>
    <row r="23" spans="1:14" s="184" customFormat="1" ht="15.75" customHeight="1" x14ac:dyDescent="0.2">
      <c r="A23" s="179" t="s">
        <v>54</v>
      </c>
      <c r="B23" s="179"/>
      <c r="C23" s="179"/>
      <c r="D23" s="179"/>
      <c r="E23" s="185"/>
      <c r="F23" s="180"/>
      <c r="G23" s="181"/>
      <c r="H23" s="181"/>
      <c r="I23" s="182"/>
      <c r="J23" s="182"/>
      <c r="K23" s="182"/>
      <c r="L23" s="182"/>
      <c r="M23" s="183"/>
      <c r="N23" s="181"/>
    </row>
    <row r="24" spans="1:14" s="184" customFormat="1" ht="15.75" customHeight="1" x14ac:dyDescent="0.2">
      <c r="A24" s="426" t="s">
        <v>49</v>
      </c>
      <c r="B24" s="179" t="s">
        <v>388</v>
      </c>
      <c r="D24" s="181"/>
      <c r="E24" s="181"/>
      <c r="F24" s="181"/>
      <c r="G24" s="182"/>
      <c r="H24" s="182"/>
      <c r="I24" s="182" t="s">
        <v>22</v>
      </c>
      <c r="J24" s="182"/>
      <c r="K24" s="183"/>
      <c r="L24" s="182"/>
      <c r="M24" s="183"/>
      <c r="N24" s="181"/>
    </row>
    <row r="25" spans="1:14" s="184" customFormat="1" ht="32.450000000000003" customHeight="1" x14ac:dyDescent="0.2">
      <c r="A25" s="444" t="s">
        <v>50</v>
      </c>
      <c r="B25" s="486" t="s">
        <v>393</v>
      </c>
      <c r="C25" s="486"/>
      <c r="D25" s="486"/>
      <c r="E25" s="486"/>
      <c r="F25" s="486"/>
      <c r="G25" s="486"/>
      <c r="H25" s="486"/>
      <c r="I25" s="486"/>
      <c r="J25" s="486"/>
      <c r="K25" s="486"/>
      <c r="L25" s="182"/>
      <c r="M25" s="183"/>
      <c r="N25" s="181"/>
    </row>
    <row r="26" spans="1:14" s="184" customFormat="1" ht="15.75" customHeight="1" x14ac:dyDescent="0.2">
      <c r="A26" s="426" t="s">
        <v>18</v>
      </c>
      <c r="B26" s="179" t="s">
        <v>227</v>
      </c>
      <c r="C26" s="179"/>
      <c r="D26" s="179"/>
      <c r="E26" s="180"/>
      <c r="F26" s="180"/>
      <c r="G26" s="181"/>
      <c r="H26" s="181"/>
      <c r="I26" s="182"/>
      <c r="J26" s="182"/>
      <c r="K26" s="182"/>
      <c r="L26" s="182"/>
      <c r="M26" s="183"/>
      <c r="N26" s="181"/>
    </row>
    <row r="27" spans="1:14" s="184" customFormat="1" ht="15.75" customHeight="1" x14ac:dyDescent="0.2">
      <c r="A27" s="427" t="s">
        <v>48</v>
      </c>
      <c r="B27" s="179" t="s">
        <v>340</v>
      </c>
      <c r="C27" s="179"/>
      <c r="D27" s="179"/>
      <c r="E27" s="180"/>
      <c r="F27" s="180"/>
      <c r="G27" s="181"/>
      <c r="H27" s="181"/>
      <c r="I27" s="182"/>
      <c r="J27" s="182"/>
      <c r="K27" s="182"/>
      <c r="L27" s="182"/>
      <c r="M27" s="183"/>
      <c r="N27" s="181"/>
    </row>
    <row r="28" spans="1:14" s="184" customFormat="1" ht="15.75" customHeight="1" x14ac:dyDescent="0.2">
      <c r="A28" s="427" t="s">
        <v>46</v>
      </c>
      <c r="B28" s="184" t="s">
        <v>291</v>
      </c>
      <c r="C28" s="179"/>
      <c r="D28" s="179"/>
      <c r="E28" s="180"/>
      <c r="F28" s="180"/>
      <c r="G28" s="181"/>
      <c r="H28" s="181"/>
      <c r="I28" s="182"/>
      <c r="J28" s="182"/>
      <c r="K28" s="182"/>
      <c r="L28" s="182"/>
      <c r="M28" s="183"/>
      <c r="N28" s="181"/>
    </row>
    <row r="29" spans="1:14" ht="15.75" customHeight="1" x14ac:dyDescent="0.2">
      <c r="A29" s="432" t="s">
        <v>397</v>
      </c>
      <c r="B29" s="184" t="s">
        <v>336</v>
      </c>
    </row>
    <row r="30" spans="1:14" x14ac:dyDescent="0.2">
      <c r="D30" s="178" t="s">
        <v>22</v>
      </c>
    </row>
    <row r="32" spans="1:14" x14ac:dyDescent="0.2">
      <c r="A32"/>
      <c r="B32"/>
      <c r="C32"/>
      <c r="D32"/>
      <c r="E32"/>
      <c r="F32"/>
    </row>
    <row r="33" spans="1:11" x14ac:dyDescent="0.2">
      <c r="A33"/>
      <c r="B33"/>
      <c r="C33"/>
      <c r="D33"/>
      <c r="E33"/>
      <c r="F33"/>
      <c r="G33" s="184"/>
      <c r="H33" s="184"/>
      <c r="J33" s="137"/>
      <c r="K33" s="179"/>
    </row>
    <row r="34" spans="1:11" x14ac:dyDescent="0.2">
      <c r="A34"/>
      <c r="B34"/>
      <c r="C34"/>
      <c r="D34"/>
      <c r="E34"/>
      <c r="F34"/>
      <c r="G34" s="184"/>
      <c r="H34" s="184"/>
      <c r="J34" s="179"/>
      <c r="K34" s="179"/>
    </row>
    <row r="35" spans="1:11" x14ac:dyDescent="0.2">
      <c r="A35"/>
      <c r="B35"/>
      <c r="C35"/>
      <c r="D35"/>
      <c r="E35"/>
      <c r="F35"/>
      <c r="J35" s="179"/>
      <c r="K35" s="186"/>
    </row>
    <row r="36" spans="1:11" x14ac:dyDescent="0.2">
      <c r="A36"/>
      <c r="B36"/>
      <c r="C36"/>
      <c r="D36"/>
      <c r="E36"/>
      <c r="F36"/>
      <c r="J36" s="179"/>
      <c r="K36" s="186"/>
    </row>
    <row r="37" spans="1:11" x14ac:dyDescent="0.2">
      <c r="A37"/>
      <c r="B37"/>
      <c r="C37"/>
      <c r="D37"/>
      <c r="E37"/>
      <c r="F37"/>
      <c r="J37" s="179"/>
      <c r="K37" s="186"/>
    </row>
    <row r="38" spans="1:11" x14ac:dyDescent="0.2">
      <c r="A38"/>
      <c r="B38"/>
      <c r="C38"/>
      <c r="D38"/>
      <c r="E38"/>
      <c r="F38"/>
      <c r="J38" s="179"/>
      <c r="K38" s="179"/>
    </row>
    <row r="39" spans="1:11" x14ac:dyDescent="0.2">
      <c r="A39"/>
      <c r="B39"/>
      <c r="C39"/>
      <c r="D39"/>
      <c r="E39"/>
      <c r="F39"/>
    </row>
    <row r="40" spans="1:11" x14ac:dyDescent="0.2">
      <c r="A40"/>
      <c r="B40"/>
      <c r="C40"/>
      <c r="D40"/>
      <c r="E40"/>
      <c r="F40"/>
    </row>
    <row r="41" spans="1:11" x14ac:dyDescent="0.2">
      <c r="A41"/>
      <c r="B41"/>
      <c r="C41"/>
      <c r="D41"/>
      <c r="E41"/>
      <c r="F41"/>
    </row>
    <row r="42" spans="1:11" x14ac:dyDescent="0.2">
      <c r="A42"/>
      <c r="B42"/>
      <c r="C42"/>
      <c r="D42"/>
      <c r="E42"/>
      <c r="F42"/>
    </row>
    <row r="43" spans="1:11" x14ac:dyDescent="0.2">
      <c r="A43"/>
      <c r="B43"/>
      <c r="C43"/>
      <c r="D43"/>
      <c r="E43"/>
      <c r="F43"/>
    </row>
    <row r="44" spans="1:11" x14ac:dyDescent="0.2">
      <c r="A44"/>
      <c r="B44"/>
      <c r="C44"/>
      <c r="D44"/>
      <c r="E44"/>
      <c r="F44"/>
    </row>
    <row r="45" spans="1:11" x14ac:dyDescent="0.2">
      <c r="A45"/>
      <c r="B45"/>
      <c r="C45"/>
      <c r="D45"/>
      <c r="E45"/>
      <c r="F45"/>
    </row>
    <row r="46" spans="1:11" x14ac:dyDescent="0.2">
      <c r="A46"/>
      <c r="B46"/>
      <c r="C46"/>
      <c r="D46"/>
      <c r="E46"/>
      <c r="F46"/>
    </row>
  </sheetData>
  <mergeCells count="7">
    <mergeCell ref="B25:K25"/>
    <mergeCell ref="J21:L21"/>
    <mergeCell ref="C8:E8"/>
    <mergeCell ref="J3:J4"/>
    <mergeCell ref="K3:K4"/>
    <mergeCell ref="L3:L4"/>
    <mergeCell ref="A3:E4"/>
  </mergeCells>
  <printOptions horizontalCentered="1"/>
  <pageMargins left="0.75" right="0.75" top="1" bottom="1" header="0.25" footer="0.25"/>
  <pageSetup scale="88"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Q43"/>
  <sheetViews>
    <sheetView view="pageBreakPreview" zoomScaleNormal="100" zoomScaleSheetLayoutView="100" workbookViewId="0">
      <selection activeCell="J29" sqref="J29"/>
    </sheetView>
  </sheetViews>
  <sheetFormatPr defaultColWidth="9.33203125" defaultRowHeight="15" x14ac:dyDescent="0.25"/>
  <cols>
    <col min="1" max="1" width="9.33203125" style="298"/>
    <col min="2" max="2" width="25.83203125" style="298" bestFit="1" customWidth="1"/>
    <col min="3" max="3" width="16.33203125" style="298" bestFit="1" customWidth="1"/>
    <col min="4" max="4" width="29.83203125" style="298" customWidth="1"/>
    <col min="5" max="5" width="18.6640625" style="298" bestFit="1" customWidth="1"/>
    <col min="6" max="7" width="19.83203125" style="298" bestFit="1" customWidth="1"/>
    <col min="8" max="8" width="19.1640625" style="298" customWidth="1"/>
    <col min="9" max="9" width="9.6640625" style="298" bestFit="1" customWidth="1"/>
    <col min="10" max="11" width="11.5" style="298" bestFit="1" customWidth="1"/>
    <col min="12" max="16384" width="9.33203125" style="298"/>
  </cols>
  <sheetData>
    <row r="1" spans="1:17" x14ac:dyDescent="0.25">
      <c r="B1" s="235" t="s">
        <v>277</v>
      </c>
    </row>
    <row r="2" spans="1:17" x14ac:dyDescent="0.25">
      <c r="B2" s="297">
        <v>40948</v>
      </c>
    </row>
    <row r="3" spans="1:17" x14ac:dyDescent="0.25">
      <c r="B3" s="328"/>
    </row>
    <row r="5" spans="1:17" x14ac:dyDescent="0.25">
      <c r="A5" s="307" t="s">
        <v>257</v>
      </c>
    </row>
    <row r="7" spans="1:17" x14ac:dyDescent="0.25">
      <c r="B7" s="298" t="s">
        <v>258</v>
      </c>
    </row>
    <row r="8" spans="1:17" x14ac:dyDescent="0.25">
      <c r="B8" s="298" t="s">
        <v>259</v>
      </c>
    </row>
    <row r="9" spans="1:17" x14ac:dyDescent="0.25">
      <c r="B9" s="298" t="s">
        <v>260</v>
      </c>
    </row>
    <row r="10" spans="1:17" x14ac:dyDescent="0.25">
      <c r="B10" s="298" t="s">
        <v>261</v>
      </c>
    </row>
    <row r="13" spans="1:17" x14ac:dyDescent="0.25">
      <c r="B13" s="498" t="s">
        <v>239</v>
      </c>
      <c r="C13" s="498"/>
      <c r="D13" s="498"/>
      <c r="E13" s="498"/>
      <c r="F13" s="498"/>
      <c r="G13" s="498"/>
      <c r="H13" s="498"/>
    </row>
    <row r="14" spans="1:17" x14ac:dyDescent="0.25">
      <c r="B14" s="499" t="s">
        <v>256</v>
      </c>
      <c r="C14" s="499" t="s">
        <v>240</v>
      </c>
      <c r="D14" s="499" t="s">
        <v>242</v>
      </c>
      <c r="E14" s="500" t="s">
        <v>241</v>
      </c>
      <c r="F14" s="500"/>
      <c r="G14" s="500"/>
      <c r="H14" s="499" t="s">
        <v>249</v>
      </c>
      <c r="K14"/>
      <c r="L14"/>
      <c r="M14"/>
      <c r="N14"/>
      <c r="O14"/>
      <c r="P14"/>
      <c r="Q14"/>
    </row>
    <row r="15" spans="1:17" x14ac:dyDescent="0.25">
      <c r="B15" s="499"/>
      <c r="C15" s="499"/>
      <c r="D15" s="499"/>
      <c r="E15" s="300" t="s">
        <v>238</v>
      </c>
      <c r="F15" s="300" t="s">
        <v>237</v>
      </c>
      <c r="G15" s="300" t="s">
        <v>236</v>
      </c>
      <c r="H15" s="499"/>
      <c r="J15" s="321"/>
      <c r="K15"/>
      <c r="L15"/>
      <c r="M15"/>
      <c r="N15"/>
      <c r="O15"/>
      <c r="P15"/>
      <c r="Q15"/>
    </row>
    <row r="16" spans="1:17" x14ac:dyDescent="0.25">
      <c r="B16" s="301" t="s">
        <v>235</v>
      </c>
      <c r="C16" s="302" t="e">
        <f>SUM(#REF!)/7+#REF!+SUM(#REF!)/7</f>
        <v>#REF!</v>
      </c>
      <c r="D16" s="331" t="s">
        <v>248</v>
      </c>
      <c r="E16" s="302" t="e">
        <f>#REF!+#REF!</f>
        <v>#REF!</v>
      </c>
      <c r="F16" s="303" t="e">
        <f>#REF!+SUM(#REF!)/7+#REF!</f>
        <v>#REF!</v>
      </c>
      <c r="G16" s="303">
        <f>Industry!$L$27+SUM(Industry!$L$51:$L$52)/7+Industry!$L$60</f>
        <v>24810820.457142856</v>
      </c>
      <c r="H16" s="301" t="s">
        <v>253</v>
      </c>
      <c r="J16" s="299"/>
      <c r="K16"/>
      <c r="L16"/>
      <c r="M16"/>
      <c r="N16"/>
      <c r="O16"/>
      <c r="P16"/>
      <c r="Q16"/>
    </row>
    <row r="17" spans="2:17" x14ac:dyDescent="0.25">
      <c r="B17" s="301" t="s">
        <v>234</v>
      </c>
      <c r="C17" s="302" t="e">
        <f>SUM(#REF!)/7+#REF!+#REF!+SUM(#REF!)/7</f>
        <v>#REF!</v>
      </c>
      <c r="D17" s="303" t="s">
        <v>247</v>
      </c>
      <c r="E17" s="302" t="e">
        <f>#REF!+#REF!</f>
        <v>#REF!</v>
      </c>
      <c r="F17" s="303" t="e">
        <f>#REF!+SUM(#REF!)/7+#REF!</f>
        <v>#REF!</v>
      </c>
      <c r="G17" s="303">
        <f>Industry!$L$26+SUM(Industry!$L$51:$L$52)/7+Industry!$L$59</f>
        <v>10235340.617142858</v>
      </c>
      <c r="H17" s="301" t="s">
        <v>253</v>
      </c>
      <c r="J17" s="321"/>
      <c r="K17"/>
      <c r="L17"/>
      <c r="M17"/>
      <c r="N17"/>
      <c r="O17"/>
      <c r="P17"/>
      <c r="Q17"/>
    </row>
    <row r="18" spans="2:17" x14ac:dyDescent="0.25">
      <c r="B18" s="301" t="s">
        <v>233</v>
      </c>
      <c r="C18" s="302" t="e">
        <f>SUM(#REF!)/7+#REF!+SUM(#REF!)/7</f>
        <v>#REF!</v>
      </c>
      <c r="D18" s="332" t="s">
        <v>248</v>
      </c>
      <c r="E18" s="302" t="e">
        <f>#REF!+#REF!+#REF!</f>
        <v>#REF!</v>
      </c>
      <c r="F18" s="303" t="e">
        <f>#REF!+#REF!+SUM(#REF!)/7+#REF!</f>
        <v>#REF!</v>
      </c>
      <c r="G18" s="303">
        <f>Industry!$L$28+Industry!$L$29+SUM(Industry!$L$51:$L$52)/7+Industry!$L$61</f>
        <v>307980.90514285717</v>
      </c>
      <c r="H18" s="301" t="s">
        <v>253</v>
      </c>
      <c r="K18"/>
      <c r="L18"/>
      <c r="M18"/>
      <c r="N18"/>
      <c r="O18"/>
      <c r="P18"/>
      <c r="Q18"/>
    </row>
    <row r="19" spans="2:17" x14ac:dyDescent="0.25">
      <c r="B19" s="301" t="s">
        <v>232</v>
      </c>
      <c r="C19" s="302" t="e">
        <f>SUM(#REF!)/7+#REF!+SUM(#REF!)/7</f>
        <v>#REF!</v>
      </c>
      <c r="D19" s="303" t="s">
        <v>248</v>
      </c>
      <c r="E19" s="302" t="e">
        <f>#REF!+#REF!+#REF!</f>
        <v>#REF!</v>
      </c>
      <c r="F19" s="303" t="e">
        <f>#REF!+#REF!+SUM(#REF!)/7+#REF!</f>
        <v>#REF!</v>
      </c>
      <c r="G19" s="303">
        <f>Industry!$L$31+Industry!$L$36+SUM(Industry!$L$51:$L$52)/7+Industry!$L$63</f>
        <v>1102578.3771428573</v>
      </c>
      <c r="H19" s="301" t="s">
        <v>254</v>
      </c>
      <c r="K19"/>
      <c r="L19"/>
      <c r="M19"/>
      <c r="N19"/>
      <c r="O19"/>
      <c r="P19"/>
      <c r="Q19"/>
    </row>
    <row r="20" spans="2:17" x14ac:dyDescent="0.25">
      <c r="B20" s="301" t="s">
        <v>231</v>
      </c>
      <c r="C20" s="302" t="e">
        <f>SUM(#REF!)/7+SUM(#REF!)/7</f>
        <v>#REF!</v>
      </c>
      <c r="D20" s="303" t="s">
        <v>78</v>
      </c>
      <c r="E20" s="302" t="e">
        <f>#REF!</f>
        <v>#REF!</v>
      </c>
      <c r="F20" s="303" t="e">
        <f>SUM(#REF!)/7+#REF!</f>
        <v>#REF!</v>
      </c>
      <c r="G20" s="303">
        <f>SUM(Industry!$L$51:$L$52)/7+Industry!$L$62</f>
        <v>43508.057142857142</v>
      </c>
      <c r="H20" s="301" t="s">
        <v>253</v>
      </c>
      <c r="K20"/>
      <c r="L20"/>
      <c r="M20"/>
      <c r="N20"/>
      <c r="O20"/>
      <c r="P20"/>
      <c r="Q20"/>
    </row>
    <row r="21" spans="2:17" x14ac:dyDescent="0.25">
      <c r="B21" s="301" t="s">
        <v>230</v>
      </c>
      <c r="C21" s="302" t="e">
        <f>SUM(#REF!)/7+#REF!+SUM(#REF!)/7</f>
        <v>#REF!</v>
      </c>
      <c r="D21" s="303" t="s">
        <v>248</v>
      </c>
      <c r="E21" s="302" t="e">
        <f>#REF!+#REF!</f>
        <v>#REF!</v>
      </c>
      <c r="F21" s="303" t="e">
        <f>#REF!+SUM(#REF!)/7+#REF!</f>
        <v>#REF!</v>
      </c>
      <c r="G21" s="303">
        <f>Industry!$L$30+SUM(Industry!$L$51:$L$52)/7+Industry!$L$64</f>
        <v>219561.30514285716</v>
      </c>
      <c r="H21" s="301" t="s">
        <v>253</v>
      </c>
      <c r="I21" s="321"/>
      <c r="J21" s="323"/>
      <c r="K21" s="324"/>
      <c r="L21"/>
      <c r="M21"/>
      <c r="N21"/>
      <c r="O21"/>
      <c r="P21"/>
      <c r="Q21"/>
    </row>
    <row r="22" spans="2:17" x14ac:dyDescent="0.25">
      <c r="B22" s="301" t="s">
        <v>229</v>
      </c>
      <c r="C22" s="302" t="e">
        <f>SUM(#REF!)/7+SUM(#REF!)/7</f>
        <v>#REF!</v>
      </c>
      <c r="D22" s="303" t="s">
        <v>78</v>
      </c>
      <c r="E22" s="302" t="e">
        <f>#REF!</f>
        <v>#REF!</v>
      </c>
      <c r="F22" s="303" t="e">
        <f>SUM(#REF!)/7+#REF!</f>
        <v>#REF!</v>
      </c>
      <c r="G22" s="303">
        <f>SUM(Industry!$L$51:$L$52)/7+Industry!$L$65</f>
        <v>43508.057142857142</v>
      </c>
      <c r="H22" s="301" t="s">
        <v>253</v>
      </c>
      <c r="K22"/>
      <c r="L22"/>
      <c r="M22"/>
      <c r="N22"/>
      <c r="O22"/>
      <c r="P22"/>
      <c r="Q22"/>
    </row>
    <row r="23" spans="2:17" x14ac:dyDescent="0.25">
      <c r="B23" s="304" t="s">
        <v>38</v>
      </c>
      <c r="C23" s="305" t="e">
        <f>SUM(C16:C22)</f>
        <v>#REF!</v>
      </c>
      <c r="D23" s="306"/>
      <c r="E23" s="306" t="e">
        <f>SUM(E16:E22)</f>
        <v>#REF!</v>
      </c>
      <c r="F23" s="306" t="e">
        <f>SUM(F16:F22)</f>
        <v>#REF!</v>
      </c>
      <c r="G23" s="306">
        <f>SUM(G16:G22)</f>
        <v>36763297.775999993</v>
      </c>
      <c r="H23" s="301"/>
      <c r="K23"/>
      <c r="L23"/>
      <c r="M23"/>
      <c r="N23"/>
      <c r="O23"/>
      <c r="P23"/>
      <c r="Q23"/>
    </row>
    <row r="24" spans="2:17" x14ac:dyDescent="0.25">
      <c r="B24" s="327" t="s">
        <v>49</v>
      </c>
      <c r="C24" s="299" t="s">
        <v>243</v>
      </c>
      <c r="K24"/>
      <c r="L24"/>
      <c r="M24"/>
      <c r="N24"/>
      <c r="O24"/>
      <c r="P24"/>
      <c r="Q24"/>
    </row>
    <row r="25" spans="2:17" x14ac:dyDescent="0.25">
      <c r="B25" s="327" t="s">
        <v>50</v>
      </c>
      <c r="C25" s="298" t="s">
        <v>244</v>
      </c>
      <c r="K25"/>
      <c r="L25"/>
      <c r="M25"/>
      <c r="N25"/>
      <c r="O25"/>
      <c r="P25"/>
      <c r="Q25"/>
    </row>
    <row r="26" spans="2:17" x14ac:dyDescent="0.25">
      <c r="B26" s="327" t="s">
        <v>18</v>
      </c>
      <c r="C26" s="298" t="s">
        <v>245</v>
      </c>
      <c r="K26"/>
      <c r="L26"/>
      <c r="M26"/>
      <c r="N26"/>
      <c r="O26"/>
      <c r="P26"/>
      <c r="Q26"/>
    </row>
    <row r="27" spans="2:17" x14ac:dyDescent="0.25">
      <c r="B27" s="327" t="s">
        <v>48</v>
      </c>
      <c r="C27" s="298" t="s">
        <v>246</v>
      </c>
      <c r="K27"/>
      <c r="L27"/>
      <c r="M27"/>
      <c r="N27"/>
      <c r="O27"/>
      <c r="P27"/>
      <c r="Q27"/>
    </row>
    <row r="28" spans="2:17" x14ac:dyDescent="0.25">
      <c r="B28" s="327" t="s">
        <v>46</v>
      </c>
      <c r="C28" s="298" t="s">
        <v>250</v>
      </c>
      <c r="K28"/>
      <c r="L28"/>
      <c r="M28"/>
      <c r="N28"/>
      <c r="O28"/>
      <c r="P28"/>
      <c r="Q28"/>
    </row>
    <row r="29" spans="2:17" x14ac:dyDescent="0.25">
      <c r="B29" s="327" t="s">
        <v>30</v>
      </c>
      <c r="C29" s="298" t="s">
        <v>255</v>
      </c>
      <c r="K29"/>
      <c r="L29"/>
      <c r="M29"/>
      <c r="N29"/>
      <c r="O29"/>
      <c r="P29"/>
      <c r="Q29"/>
    </row>
    <row r="30" spans="2:17" x14ac:dyDescent="0.25">
      <c r="B30" s="327" t="s">
        <v>164</v>
      </c>
      <c r="C30" s="298" t="s">
        <v>251</v>
      </c>
      <c r="K30"/>
      <c r="L30"/>
      <c r="M30"/>
      <c r="N30"/>
      <c r="O30"/>
      <c r="P30"/>
      <c r="Q30"/>
    </row>
    <row r="31" spans="2:17" x14ac:dyDescent="0.25">
      <c r="B31" s="327" t="s">
        <v>219</v>
      </c>
      <c r="C31" s="298" t="s">
        <v>252</v>
      </c>
      <c r="M31"/>
      <c r="N31"/>
      <c r="O31"/>
      <c r="P31"/>
      <c r="Q31"/>
    </row>
    <row r="34" spans="1:8" x14ac:dyDescent="0.25">
      <c r="B34" s="307" t="s">
        <v>275</v>
      </c>
      <c r="C34" s="321"/>
      <c r="D34" s="299"/>
    </row>
    <row r="35" spans="1:8" x14ac:dyDescent="0.25">
      <c r="A35" s="322"/>
      <c r="B35" s="301" t="s">
        <v>232</v>
      </c>
      <c r="C35" s="302" t="e">
        <f>(SUM(#REF!)/7)/15+#REF!/13+(SUM(#REF!)/7)/15</f>
        <v>#REF!</v>
      </c>
      <c r="D35" s="302" t="e">
        <f>#REF!/13+#REF!/15+#REF!/15</f>
        <v>#REF!</v>
      </c>
      <c r="E35" s="303" t="e">
        <f>#REF!/13+#REF!/15+(SUM(#REF!)/7)/15+#REF!/15</f>
        <v>#REF!</v>
      </c>
      <c r="F35" s="303">
        <f>Industry!$L$31/13+Industry!$L$36/15+(SUM(Industry!$L$51:$L$52)/7)/15+Industry!$L$63/15</f>
        <v>83903.974681318694</v>
      </c>
      <c r="G35" s="322" t="s">
        <v>273</v>
      </c>
      <c r="H35"/>
    </row>
    <row r="36" spans="1:8" x14ac:dyDescent="0.25">
      <c r="A36" s="322"/>
      <c r="B36" s="301" t="s">
        <v>232</v>
      </c>
      <c r="C36" s="302" t="e">
        <f>(SUM(#REF!)/7)/15+(SUM(#REF!)/7)/15</f>
        <v>#REF!</v>
      </c>
      <c r="D36" s="302" t="e">
        <f>#REF!/15+#REF!/15</f>
        <v>#REF!</v>
      </c>
      <c r="E36" s="303" t="e">
        <f>#REF!/15+(SUM(#REF!)/7)/15+#REF!/15</f>
        <v>#REF!</v>
      </c>
      <c r="F36" s="303">
        <f>Industry!$L$36/15+(SUM(Industry!$L$51:$L$52)/7)/15+Industry!$L$63/15</f>
        <v>5913.3531428571432</v>
      </c>
      <c r="G36" s="325" t="s">
        <v>276</v>
      </c>
      <c r="H36"/>
    </row>
    <row r="37" spans="1:8" x14ac:dyDescent="0.25">
      <c r="A37" s="322"/>
      <c r="B37" s="326" t="s">
        <v>232</v>
      </c>
      <c r="C37" s="302" t="e">
        <f>C35-C36</f>
        <v>#REF!</v>
      </c>
      <c r="D37" s="302" t="e">
        <f>D35-D36</f>
        <v>#REF!</v>
      </c>
      <c r="E37" s="302" t="e">
        <f>E35-E36</f>
        <v>#REF!</v>
      </c>
      <c r="F37" s="302">
        <f>F35-F36</f>
        <v>77990.62153846155</v>
      </c>
      <c r="G37" s="325" t="s">
        <v>274</v>
      </c>
      <c r="H37"/>
    </row>
    <row r="38" spans="1:8" x14ac:dyDescent="0.25">
      <c r="C38"/>
      <c r="D38"/>
      <c r="E38"/>
      <c r="F38"/>
      <c r="G38"/>
    </row>
    <row r="39" spans="1:8" x14ac:dyDescent="0.25">
      <c r="C39"/>
      <c r="D39"/>
      <c r="E39"/>
      <c r="F39"/>
      <c r="G39"/>
    </row>
    <row r="40" spans="1:8" x14ac:dyDescent="0.25">
      <c r="C40"/>
      <c r="D40"/>
      <c r="E40"/>
      <c r="F40"/>
      <c r="G40"/>
    </row>
    <row r="41" spans="1:8" x14ac:dyDescent="0.25">
      <c r="C41"/>
      <c r="D41"/>
      <c r="E41"/>
      <c r="F41"/>
      <c r="G41"/>
    </row>
    <row r="42" spans="1:8" x14ac:dyDescent="0.25">
      <c r="C42"/>
      <c r="D42"/>
      <c r="E42"/>
      <c r="F42"/>
      <c r="G42"/>
    </row>
    <row r="43" spans="1:8" x14ac:dyDescent="0.25">
      <c r="C43"/>
      <c r="D43"/>
      <c r="E43"/>
      <c r="F43"/>
      <c r="G43"/>
    </row>
  </sheetData>
  <mergeCells count="6">
    <mergeCell ref="B13:H13"/>
    <mergeCell ref="C14:C15"/>
    <mergeCell ref="E14:G14"/>
    <mergeCell ref="D14:D15"/>
    <mergeCell ref="H14:H15"/>
    <mergeCell ref="B14:B15"/>
  </mergeCells>
  <pageMargins left="0.7" right="0.7" top="0.75" bottom="0.75" header="0.3" footer="0.3"/>
  <pageSetup scale="5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sheetPr>
  <dimension ref="A1:H61"/>
  <sheetViews>
    <sheetView topLeftCell="A16" zoomScaleNormal="100" workbookViewId="0">
      <selection activeCell="J29" sqref="J29"/>
    </sheetView>
  </sheetViews>
  <sheetFormatPr defaultColWidth="10.6640625" defaultRowHeight="12.75" x14ac:dyDescent="0.2"/>
  <cols>
    <col min="1" max="1" width="3.1640625" style="144" customWidth="1"/>
    <col min="2" max="2" width="60.1640625" style="144" bestFit="1" customWidth="1"/>
    <col min="3" max="3" width="39.83203125" style="144" customWidth="1"/>
    <col min="4" max="4" width="14.1640625" style="144" customWidth="1"/>
    <col min="5" max="5" width="15.6640625" style="144" customWidth="1"/>
    <col min="6" max="6" width="26.5" style="144" customWidth="1"/>
    <col min="7" max="7" width="39.5" style="144" bestFit="1" customWidth="1"/>
    <col min="8" max="8" width="16.83203125" style="144" bestFit="1" customWidth="1"/>
    <col min="9" max="9" width="13" style="110" bestFit="1" customWidth="1"/>
    <col min="10" max="10" width="11.83203125" style="110" bestFit="1" customWidth="1"/>
    <col min="11" max="16384" width="10.6640625" style="110"/>
  </cols>
  <sheetData>
    <row r="1" spans="1:8" ht="20.25" x14ac:dyDescent="0.3">
      <c r="A1" s="314" t="s">
        <v>146</v>
      </c>
      <c r="B1" s="313"/>
    </row>
    <row r="2" spans="1:8" x14ac:dyDescent="0.2">
      <c r="A2" s="146" t="s">
        <v>55</v>
      </c>
      <c r="B2" s="146"/>
      <c r="C2" s="147" t="s">
        <v>56</v>
      </c>
      <c r="D2" s="147" t="s">
        <v>60</v>
      </c>
      <c r="E2" s="147" t="s">
        <v>147</v>
      </c>
      <c r="F2" s="147" t="s">
        <v>148</v>
      </c>
      <c r="G2" s="147" t="s">
        <v>149</v>
      </c>
      <c r="H2" s="147" t="s">
        <v>150</v>
      </c>
    </row>
    <row r="3" spans="1:8" x14ac:dyDescent="0.2">
      <c r="A3" s="148"/>
      <c r="B3" s="148"/>
      <c r="C3" s="148"/>
      <c r="D3" s="149"/>
      <c r="E3" s="150"/>
      <c r="F3" s="150"/>
      <c r="G3" s="150"/>
      <c r="H3" s="150"/>
    </row>
    <row r="4" spans="1:8" x14ac:dyDescent="0.2">
      <c r="A4" s="151" t="s">
        <v>57</v>
      </c>
      <c r="B4" s="148"/>
      <c r="C4" s="148"/>
      <c r="D4" s="149"/>
      <c r="E4" s="150"/>
      <c r="F4" s="150"/>
      <c r="G4" s="150"/>
      <c r="H4" s="150"/>
    </row>
    <row r="5" spans="1:8" x14ac:dyDescent="0.2">
      <c r="A5" s="152"/>
      <c r="B5" s="152" t="s">
        <v>101</v>
      </c>
      <c r="C5" s="148"/>
      <c r="D5" s="149"/>
      <c r="E5" s="150"/>
      <c r="F5" s="150"/>
      <c r="G5" s="150"/>
      <c r="H5" s="150"/>
    </row>
    <row r="6" spans="1:8" x14ac:dyDescent="0.2">
      <c r="A6" s="152"/>
      <c r="B6" s="153" t="s">
        <v>102</v>
      </c>
      <c r="C6" s="153"/>
      <c r="D6" s="153">
        <v>539.1</v>
      </c>
      <c r="E6" s="150"/>
      <c r="F6" s="150"/>
      <c r="G6" s="150"/>
      <c r="H6" s="150"/>
    </row>
    <row r="7" spans="1:8" x14ac:dyDescent="0.2">
      <c r="A7" s="152"/>
      <c r="B7" s="154" t="s">
        <v>103</v>
      </c>
      <c r="C7" s="153"/>
      <c r="D7" s="153">
        <v>521.9</v>
      </c>
      <c r="E7" s="150"/>
      <c r="F7" s="150"/>
      <c r="G7" s="150"/>
      <c r="H7" s="150"/>
    </row>
    <row r="8" spans="1:8" x14ac:dyDescent="0.2">
      <c r="A8" s="148"/>
      <c r="B8" s="153" t="s">
        <v>104</v>
      </c>
      <c r="C8" s="153"/>
      <c r="D8" s="153">
        <v>358.2</v>
      </c>
      <c r="E8" s="150"/>
      <c r="F8" s="150"/>
      <c r="G8" s="150"/>
      <c r="H8" s="150"/>
    </row>
    <row r="9" spans="1:8" x14ac:dyDescent="0.2">
      <c r="A9" s="148"/>
      <c r="B9" s="148"/>
      <c r="C9" s="148"/>
      <c r="D9" s="149"/>
      <c r="E9" s="150"/>
      <c r="F9" s="150"/>
      <c r="G9" s="150"/>
      <c r="H9" s="150"/>
    </row>
    <row r="10" spans="1:8" x14ac:dyDescent="0.2">
      <c r="A10" s="152" t="s">
        <v>61</v>
      </c>
      <c r="B10" s="152"/>
      <c r="C10" s="152"/>
      <c r="D10" s="152"/>
      <c r="E10" s="150"/>
      <c r="F10" s="150"/>
      <c r="G10" s="150"/>
      <c r="H10" s="150"/>
    </row>
    <row r="11" spans="1:8" x14ac:dyDescent="0.2">
      <c r="A11" s="152"/>
      <c r="B11" s="152" t="s">
        <v>105</v>
      </c>
      <c r="C11" s="152" t="s">
        <v>106</v>
      </c>
      <c r="D11" s="155">
        <v>0</v>
      </c>
      <c r="E11" s="150">
        <v>1</v>
      </c>
      <c r="F11" s="156">
        <f>D11/E11</f>
        <v>0</v>
      </c>
      <c r="G11" s="157">
        <f>D11*$D$18</f>
        <v>0</v>
      </c>
      <c r="H11" s="157">
        <f>F11+G11</f>
        <v>0</v>
      </c>
    </row>
    <row r="12" spans="1:8" x14ac:dyDescent="0.2">
      <c r="A12" s="152"/>
      <c r="B12" s="152" t="s">
        <v>107</v>
      </c>
      <c r="C12" s="158" t="s">
        <v>108</v>
      </c>
      <c r="D12" s="159">
        <f>ROUND(5000*D6/D8,-3)</f>
        <v>8000</v>
      </c>
      <c r="E12" s="150">
        <v>1</v>
      </c>
      <c r="F12" s="160"/>
      <c r="G12" s="161">
        <f>D12*$D$18</f>
        <v>755.14340594604562</v>
      </c>
      <c r="H12" s="161">
        <f>F12+G12</f>
        <v>755.14340594604562</v>
      </c>
    </row>
    <row r="13" spans="1:8" x14ac:dyDescent="0.2">
      <c r="A13" s="152"/>
      <c r="B13" s="152" t="s">
        <v>109</v>
      </c>
      <c r="C13" s="158" t="s">
        <v>110</v>
      </c>
      <c r="D13" s="159">
        <f>ROUND(21000*D6/D8,-3)-5000</f>
        <v>27000</v>
      </c>
      <c r="E13" s="150">
        <v>1</v>
      </c>
      <c r="F13" s="160">
        <f>D13/E13</f>
        <v>27000</v>
      </c>
      <c r="G13" s="161">
        <f>D13*$D$18</f>
        <v>2548.6089950679038</v>
      </c>
      <c r="H13" s="161">
        <f>F13+G13</f>
        <v>29548.608995067905</v>
      </c>
    </row>
    <row r="14" spans="1:8" x14ac:dyDescent="0.2">
      <c r="A14" s="152"/>
      <c r="B14" s="152" t="s">
        <v>151</v>
      </c>
      <c r="C14" s="162" t="s">
        <v>152</v>
      </c>
      <c r="D14" s="159">
        <f>6000*D6/D7</f>
        <v>6197.7390304656064</v>
      </c>
      <c r="E14" s="150">
        <v>1</v>
      </c>
      <c r="F14" s="160">
        <f>D14/E14</f>
        <v>6197.7390304656064</v>
      </c>
      <c r="G14" s="161">
        <f>D14*$D$18</f>
        <v>585.02272007881754</v>
      </c>
      <c r="H14" s="161">
        <f>F14+G14</f>
        <v>6782.7617505444241</v>
      </c>
    </row>
    <row r="15" spans="1:8" x14ac:dyDescent="0.2">
      <c r="A15" s="152"/>
      <c r="B15" s="151" t="s">
        <v>182</v>
      </c>
      <c r="C15" s="158"/>
      <c r="D15" s="159">
        <v>10000</v>
      </c>
      <c r="E15" s="150">
        <v>1</v>
      </c>
      <c r="F15" s="160">
        <f>D15/E15</f>
        <v>10000</v>
      </c>
      <c r="G15" s="161">
        <f>D15*$D$18</f>
        <v>943.92925743255694</v>
      </c>
      <c r="H15" s="161">
        <f>F15+G15</f>
        <v>10943.929257432557</v>
      </c>
    </row>
    <row r="16" spans="1:8" s="240" customFormat="1" x14ac:dyDescent="0.2">
      <c r="A16" s="151"/>
      <c r="B16" s="241"/>
      <c r="C16" s="236"/>
      <c r="D16" s="236"/>
      <c r="E16" s="237"/>
      <c r="F16" s="238"/>
      <c r="G16" s="239"/>
      <c r="H16" s="239"/>
    </row>
    <row r="17" spans="1:8" x14ac:dyDescent="0.2">
      <c r="A17" s="150"/>
      <c r="B17" s="152"/>
      <c r="C17" s="152"/>
      <c r="D17" s="152"/>
      <c r="E17" s="150"/>
      <c r="F17" s="150"/>
      <c r="G17" s="150"/>
      <c r="H17" s="150"/>
    </row>
    <row r="18" spans="1:8" x14ac:dyDescent="0.2">
      <c r="A18" s="152" t="s">
        <v>153</v>
      </c>
      <c r="B18" s="152" t="s">
        <v>111</v>
      </c>
      <c r="C18" s="152" t="s">
        <v>112</v>
      </c>
      <c r="D18" s="163">
        <f>(0.07*(1+0.07)^20)/((1+0.07)^20-1)</f>
        <v>9.4392925743255696E-2</v>
      </c>
      <c r="E18" s="150"/>
      <c r="F18" s="150"/>
      <c r="G18" s="150"/>
      <c r="H18" s="150"/>
    </row>
    <row r="19" spans="1:8" x14ac:dyDescent="0.2">
      <c r="A19" s="152"/>
      <c r="B19" s="148"/>
      <c r="C19" s="152"/>
      <c r="D19" s="164"/>
      <c r="E19" s="150"/>
      <c r="F19" s="150"/>
      <c r="G19" s="150"/>
      <c r="H19" s="150"/>
    </row>
    <row r="20" spans="1:8" x14ac:dyDescent="0.2">
      <c r="A20" s="152" t="s">
        <v>154</v>
      </c>
      <c r="B20" s="148"/>
      <c r="C20" s="152"/>
      <c r="D20" s="164"/>
      <c r="E20" s="150"/>
      <c r="F20" s="150"/>
      <c r="G20" s="150"/>
      <c r="H20" s="150"/>
    </row>
    <row r="21" spans="1:8" x14ac:dyDescent="0.2">
      <c r="A21" s="152"/>
      <c r="B21" s="152" t="s">
        <v>155</v>
      </c>
      <c r="C21" s="152"/>
      <c r="D21" s="164"/>
      <c r="E21" s="150"/>
      <c r="F21" s="150"/>
      <c r="G21" s="150"/>
      <c r="H21" s="165">
        <f>SUM(H11:H12,H14:H16)</f>
        <v>18481.834413923025</v>
      </c>
    </row>
    <row r="22" spans="1:8" x14ac:dyDescent="0.2">
      <c r="A22" s="152"/>
      <c r="B22" s="152" t="s">
        <v>156</v>
      </c>
      <c r="C22" s="152"/>
      <c r="D22" s="164"/>
      <c r="E22" s="150"/>
      <c r="F22" s="150"/>
      <c r="G22" s="150"/>
      <c r="H22" s="165">
        <f>H13</f>
        <v>29548.608995067905</v>
      </c>
    </row>
    <row r="23" spans="1:8" x14ac:dyDescent="0.2">
      <c r="A23" s="152"/>
      <c r="B23" s="148" t="s">
        <v>157</v>
      </c>
      <c r="C23" s="152"/>
      <c r="D23" s="278">
        <f>SUM(D12:D15)</f>
        <v>51197.739030465607</v>
      </c>
      <c r="E23" s="150"/>
      <c r="F23" s="150"/>
      <c r="G23" s="150"/>
      <c r="H23" s="173">
        <f>ROUND(SUM(H21:H22),0)</f>
        <v>48030</v>
      </c>
    </row>
    <row r="24" spans="1:8" x14ac:dyDescent="0.2">
      <c r="A24" s="166" t="s">
        <v>158</v>
      </c>
      <c r="B24" s="166"/>
      <c r="C24" s="166"/>
      <c r="D24" s="166"/>
      <c r="F24" s="167"/>
    </row>
    <row r="25" spans="1:8" x14ac:dyDescent="0.2">
      <c r="A25" s="166"/>
      <c r="B25" s="166"/>
      <c r="C25" s="166"/>
      <c r="D25" s="166"/>
      <c r="F25" s="167"/>
    </row>
    <row r="26" spans="1:8" x14ac:dyDescent="0.2">
      <c r="A26" s="166"/>
      <c r="B26" s="166"/>
      <c r="C26" s="166"/>
      <c r="D26" s="166"/>
      <c r="F26" s="167"/>
    </row>
    <row r="27" spans="1:8" x14ac:dyDescent="0.2">
      <c r="A27" s="168" t="s">
        <v>62</v>
      </c>
      <c r="B27" s="169"/>
      <c r="C27" s="169"/>
    </row>
    <row r="28" spans="1:8" x14ac:dyDescent="0.2">
      <c r="A28" s="501" t="s">
        <v>113</v>
      </c>
      <c r="B28" s="501"/>
      <c r="C28" s="501"/>
      <c r="D28" s="501"/>
    </row>
    <row r="29" spans="1:8" x14ac:dyDescent="0.2">
      <c r="A29" s="501" t="s">
        <v>114</v>
      </c>
      <c r="B29" s="501"/>
      <c r="C29" s="501"/>
      <c r="D29" s="501"/>
    </row>
    <row r="30" spans="1:8" s="144" customFormat="1" x14ac:dyDescent="0.2">
      <c r="A30" s="502" t="s">
        <v>59</v>
      </c>
      <c r="B30" s="502"/>
      <c r="C30" s="502"/>
      <c r="D30" s="502"/>
      <c r="E30" s="170"/>
      <c r="F30" s="170"/>
      <c r="G30" s="170"/>
      <c r="H30" s="170"/>
    </row>
    <row r="31" spans="1:8" s="144" customFormat="1" ht="11.25" x14ac:dyDescent="0.2">
      <c r="A31" s="501" t="s">
        <v>115</v>
      </c>
      <c r="B31" s="501"/>
      <c r="C31" s="501"/>
      <c r="D31" s="501"/>
      <c r="E31" s="171"/>
    </row>
    <row r="32" spans="1:8" s="144" customFormat="1" ht="11.25" x14ac:dyDescent="0.2">
      <c r="A32" s="501" t="s">
        <v>116</v>
      </c>
      <c r="B32" s="501"/>
      <c r="C32" s="501"/>
      <c r="D32" s="501"/>
    </row>
    <row r="33" spans="1:4" s="144" customFormat="1" ht="11.25" x14ac:dyDescent="0.2">
      <c r="A33" s="501" t="s">
        <v>117</v>
      </c>
      <c r="B33" s="501"/>
      <c r="C33" s="501"/>
      <c r="D33" s="501"/>
    </row>
    <row r="34" spans="1:4" s="144" customFormat="1" ht="11.25" x14ac:dyDescent="0.2">
      <c r="A34" s="501" t="s">
        <v>118</v>
      </c>
      <c r="B34" s="501"/>
      <c r="C34" s="501"/>
      <c r="D34" s="501"/>
    </row>
    <row r="35" spans="1:4" s="144" customFormat="1" ht="11.25" x14ac:dyDescent="0.2">
      <c r="A35" s="501"/>
      <c r="B35" s="501"/>
      <c r="C35" s="501"/>
      <c r="D35" s="501"/>
    </row>
    <row r="36" spans="1:4" s="144" customFormat="1" ht="10.5" x14ac:dyDescent="0.15">
      <c r="A36" s="172"/>
      <c r="D36" s="171"/>
    </row>
    <row r="37" spans="1:4" s="144" customFormat="1" ht="10.5" x14ac:dyDescent="0.15">
      <c r="A37" s="172"/>
      <c r="D37" s="171"/>
    </row>
    <row r="38" spans="1:4" s="144" customFormat="1" ht="10.5" x14ac:dyDescent="0.15">
      <c r="A38" s="172"/>
      <c r="D38" s="171"/>
    </row>
    <row r="39" spans="1:4" s="144" customFormat="1" ht="10.5" x14ac:dyDescent="0.15">
      <c r="A39" s="172"/>
      <c r="D39" s="171"/>
    </row>
    <row r="40" spans="1:4" s="144" customFormat="1" ht="10.5" x14ac:dyDescent="0.15">
      <c r="A40" s="172"/>
      <c r="D40" s="171"/>
    </row>
    <row r="41" spans="1:4" s="144" customFormat="1" ht="10.5" x14ac:dyDescent="0.15">
      <c r="A41" s="172"/>
      <c r="D41" s="171"/>
    </row>
    <row r="42" spans="1:4" s="144" customFormat="1" ht="10.5" x14ac:dyDescent="0.15">
      <c r="A42" s="172"/>
      <c r="D42" s="171"/>
    </row>
    <row r="43" spans="1:4" s="144" customFormat="1" ht="10.5" x14ac:dyDescent="0.15">
      <c r="A43" s="172"/>
      <c r="D43" s="171"/>
    </row>
    <row r="44" spans="1:4" s="144" customFormat="1" ht="10.5" x14ac:dyDescent="0.15">
      <c r="A44" s="172"/>
      <c r="D44" s="171"/>
    </row>
    <row r="45" spans="1:4" s="144" customFormat="1" ht="10.5" x14ac:dyDescent="0.15">
      <c r="A45" s="172"/>
      <c r="D45" s="171"/>
    </row>
    <row r="46" spans="1:4" s="144" customFormat="1" ht="10.5" x14ac:dyDescent="0.15">
      <c r="A46" s="172"/>
      <c r="D46" s="171"/>
    </row>
    <row r="47" spans="1:4" s="144" customFormat="1" ht="10.5" x14ac:dyDescent="0.15">
      <c r="A47" s="172"/>
      <c r="D47" s="171"/>
    </row>
    <row r="48" spans="1:4" s="144" customFormat="1" ht="10.5" x14ac:dyDescent="0.15">
      <c r="A48" s="172"/>
      <c r="D48" s="171"/>
    </row>
    <row r="49" spans="1:8" s="144" customFormat="1" ht="10.5" x14ac:dyDescent="0.15">
      <c r="A49" s="172"/>
      <c r="D49" s="171"/>
    </row>
    <row r="50" spans="1:8" s="144" customFormat="1" ht="10.5" x14ac:dyDescent="0.15">
      <c r="A50" s="172"/>
      <c r="D50" s="171"/>
    </row>
    <row r="51" spans="1:8" s="144" customFormat="1" ht="10.5" x14ac:dyDescent="0.15">
      <c r="A51" s="172"/>
      <c r="D51" s="171"/>
    </row>
    <row r="52" spans="1:8" s="144" customFormat="1" ht="10.5" x14ac:dyDescent="0.15">
      <c r="A52" s="172"/>
      <c r="D52" s="171"/>
    </row>
    <row r="53" spans="1:8" s="144" customFormat="1" ht="10.5" x14ac:dyDescent="0.15">
      <c r="A53" s="172"/>
      <c r="D53" s="171"/>
    </row>
    <row r="54" spans="1:8" s="144" customFormat="1" ht="10.5" x14ac:dyDescent="0.15">
      <c r="A54" s="172"/>
      <c r="D54" s="171"/>
    </row>
    <row r="55" spans="1:8" s="144" customFormat="1" ht="11.25" customHeight="1" x14ac:dyDescent="0.15">
      <c r="A55" s="172"/>
      <c r="D55" s="171"/>
    </row>
    <row r="56" spans="1:8" s="144" customFormat="1" ht="22.5" customHeight="1" x14ac:dyDescent="0.15">
      <c r="A56" s="172"/>
      <c r="D56" s="171"/>
    </row>
    <row r="57" spans="1:8" s="170" customFormat="1" ht="12.75" customHeight="1" x14ac:dyDescent="0.2">
      <c r="A57" s="172"/>
      <c r="B57" s="144"/>
      <c r="C57" s="144"/>
      <c r="D57" s="171"/>
      <c r="E57" s="144"/>
      <c r="F57" s="144"/>
      <c r="G57" s="144"/>
      <c r="H57" s="144"/>
    </row>
    <row r="58" spans="1:8" s="144" customFormat="1" ht="22.5" customHeight="1" x14ac:dyDescent="0.15">
      <c r="A58" s="172"/>
      <c r="D58" s="171"/>
    </row>
    <row r="59" spans="1:8" s="144" customFormat="1" ht="22.5" customHeight="1" x14ac:dyDescent="0.15">
      <c r="A59" s="172"/>
      <c r="D59" s="171"/>
    </row>
    <row r="60" spans="1:8" s="144" customFormat="1" ht="22.5" customHeight="1" x14ac:dyDescent="0.15">
      <c r="A60" s="172"/>
      <c r="D60" s="171"/>
    </row>
    <row r="61" spans="1:8" s="144" customFormat="1" ht="11.25" customHeight="1" x14ac:dyDescent="0.15">
      <c r="A61" s="172"/>
      <c r="D61" s="171"/>
    </row>
  </sheetData>
  <mergeCells count="8">
    <mergeCell ref="A33:D33"/>
    <mergeCell ref="A34:D34"/>
    <mergeCell ref="A35:D35"/>
    <mergeCell ref="A28:D28"/>
    <mergeCell ref="A29:D29"/>
    <mergeCell ref="A30:D30"/>
    <mergeCell ref="A31:D31"/>
    <mergeCell ref="A32:D32"/>
  </mergeCells>
  <phoneticPr fontId="11" type="noConversion"/>
  <printOptions horizontalCentered="1"/>
  <pageMargins left="0.75" right="0.5" top="1" bottom="0.75" header="0.5" footer="0.5"/>
  <pageSetup scale="70" orientation="portrait" r:id="rId1"/>
  <headerFooter alignWithMargins="0">
    <oddHeader>&amp;C&amp;"Arial,Bold"Table 6d. Stack Testing Costs</oddHeader>
    <oddFooter>&amp;C&amp;P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rgb="FFFF0000"/>
  </sheetPr>
  <dimension ref="A1:F50"/>
  <sheetViews>
    <sheetView topLeftCell="A4" workbookViewId="0">
      <selection activeCell="J29" sqref="J29"/>
    </sheetView>
  </sheetViews>
  <sheetFormatPr defaultColWidth="10.6640625" defaultRowHeight="12.75" x14ac:dyDescent="0.2"/>
  <cols>
    <col min="1" max="1" width="39" style="110" customWidth="1"/>
    <col min="2" max="2" width="10.6640625" style="110" customWidth="1"/>
    <col min="3" max="3" width="33.1640625" style="110" customWidth="1"/>
    <col min="4" max="4" width="36.83203125" style="110" bestFit="1" customWidth="1"/>
    <col min="5" max="5" width="12.83203125" style="110" bestFit="1" customWidth="1"/>
    <col min="6" max="6" width="14" style="110" customWidth="1"/>
    <col min="7" max="16384" width="10.6640625" style="110"/>
  </cols>
  <sheetData>
    <row r="1" spans="1:6" ht="20.25" x14ac:dyDescent="0.3">
      <c r="A1" s="315" t="s">
        <v>119</v>
      </c>
      <c r="B1" s="245"/>
      <c r="C1" s="245"/>
      <c r="D1" s="245"/>
      <c r="E1" s="245"/>
      <c r="F1" s="245"/>
    </row>
    <row r="2" spans="1:6" x14ac:dyDescent="0.2">
      <c r="A2" s="245"/>
      <c r="B2" s="245"/>
      <c r="C2" s="245"/>
      <c r="D2" s="245"/>
      <c r="E2" s="244"/>
      <c r="F2" s="245"/>
    </row>
    <row r="3" spans="1:6" x14ac:dyDescent="0.2">
      <c r="A3" s="244"/>
      <c r="B3" s="246" t="s">
        <v>184</v>
      </c>
      <c r="C3" s="246" t="s">
        <v>185</v>
      </c>
      <c r="D3" s="246" t="s">
        <v>70</v>
      </c>
      <c r="E3" s="245"/>
      <c r="F3" s="245"/>
    </row>
    <row r="4" spans="1:6" x14ac:dyDescent="0.2">
      <c r="A4" s="244" t="s">
        <v>186</v>
      </c>
      <c r="B4" s="247">
        <v>201</v>
      </c>
      <c r="C4" s="247">
        <v>400</v>
      </c>
      <c r="D4" s="247">
        <f>AVERAGE(B4:C4)</f>
        <v>300.5</v>
      </c>
      <c r="E4" s="245"/>
      <c r="F4" s="245"/>
    </row>
    <row r="5" spans="1:6" x14ac:dyDescent="0.2">
      <c r="A5" s="245"/>
      <c r="B5" s="245"/>
      <c r="C5" s="245"/>
      <c r="D5" s="245"/>
      <c r="E5" s="245"/>
      <c r="F5" s="245"/>
    </row>
    <row r="6" spans="1:6" x14ac:dyDescent="0.2">
      <c r="A6" s="244" t="s">
        <v>120</v>
      </c>
      <c r="B6" s="245"/>
      <c r="C6" s="245"/>
      <c r="D6" s="245"/>
      <c r="E6" s="245"/>
      <c r="F6" s="245"/>
    </row>
    <row r="7" spans="1:6" x14ac:dyDescent="0.2">
      <c r="A7" s="245"/>
      <c r="B7" s="245"/>
      <c r="C7" s="245"/>
      <c r="D7" s="245"/>
      <c r="E7" s="245"/>
      <c r="F7" s="245"/>
    </row>
    <row r="8" spans="1:6" ht="14.25" x14ac:dyDescent="0.2">
      <c r="A8" s="245">
        <v>3</v>
      </c>
      <c r="B8" s="248" t="s">
        <v>145</v>
      </c>
      <c r="C8" s="245"/>
      <c r="D8" s="245"/>
      <c r="E8" s="249">
        <f>A8*D4*2</f>
        <v>1803</v>
      </c>
      <c r="F8" s="245"/>
    </row>
    <row r="9" spans="1:6" x14ac:dyDescent="0.2">
      <c r="A9" s="245"/>
      <c r="B9" s="245"/>
      <c r="C9" s="245"/>
      <c r="D9" s="245"/>
      <c r="E9" s="245"/>
      <c r="F9" s="245"/>
    </row>
    <row r="10" spans="1:6" x14ac:dyDescent="0.2">
      <c r="A10" s="250" t="s">
        <v>121</v>
      </c>
      <c r="B10" s="251"/>
      <c r="C10" s="251"/>
      <c r="D10" s="251"/>
      <c r="E10" s="252">
        <f>SUM(E8:E8)</f>
        <v>1803</v>
      </c>
      <c r="F10" s="245"/>
    </row>
    <row r="11" spans="1:6" x14ac:dyDescent="0.2">
      <c r="A11" s="245"/>
      <c r="B11" s="245"/>
      <c r="C11" s="245"/>
      <c r="D11" s="245"/>
      <c r="E11" s="245"/>
      <c r="F11" s="245"/>
    </row>
    <row r="12" spans="1:6" x14ac:dyDescent="0.2">
      <c r="A12" s="253" t="s">
        <v>111</v>
      </c>
      <c r="B12" s="254" t="s">
        <v>112</v>
      </c>
      <c r="C12" s="245"/>
      <c r="D12" s="245"/>
      <c r="E12" s="255">
        <f>(0.07*(1+0.07)^20)/((1+0.07)^20-1)</f>
        <v>9.4392925743255696E-2</v>
      </c>
      <c r="F12" s="245"/>
    </row>
    <row r="13" spans="1:6" x14ac:dyDescent="0.2">
      <c r="A13" s="245"/>
      <c r="B13" s="245"/>
      <c r="C13" s="245"/>
      <c r="D13" s="245"/>
      <c r="E13" s="245"/>
      <c r="F13" s="245"/>
    </row>
    <row r="14" spans="1:6" x14ac:dyDescent="0.2">
      <c r="A14" s="251" t="s">
        <v>122</v>
      </c>
      <c r="B14" s="256" t="s">
        <v>187</v>
      </c>
      <c r="C14" s="251"/>
      <c r="D14" s="251"/>
      <c r="E14" s="257">
        <f>E10*E12</f>
        <v>170.19044511509003</v>
      </c>
      <c r="F14" s="245"/>
    </row>
    <row r="15" spans="1:6" x14ac:dyDescent="0.2">
      <c r="A15" s="245"/>
      <c r="B15" s="245"/>
      <c r="C15" s="245"/>
      <c r="D15" s="245"/>
      <c r="E15" s="245"/>
      <c r="F15" s="245"/>
    </row>
    <row r="16" spans="1:6" x14ac:dyDescent="0.2">
      <c r="A16" s="245"/>
      <c r="B16" s="245"/>
      <c r="C16" s="245"/>
      <c r="D16" s="245"/>
      <c r="E16" s="245"/>
      <c r="F16" s="245"/>
    </row>
    <row r="17" spans="1:6" x14ac:dyDescent="0.2">
      <c r="A17" s="244" t="s">
        <v>123</v>
      </c>
      <c r="B17" s="245"/>
      <c r="C17" s="245"/>
      <c r="D17" s="245"/>
      <c r="E17" s="245"/>
      <c r="F17" s="245"/>
    </row>
    <row r="18" spans="1:6" x14ac:dyDescent="0.2">
      <c r="A18" s="245"/>
      <c r="B18" s="245"/>
      <c r="C18" s="245"/>
      <c r="D18" s="245"/>
      <c r="E18" s="245"/>
      <c r="F18" s="245"/>
    </row>
    <row r="19" spans="1:6" ht="14.25" x14ac:dyDescent="0.2">
      <c r="A19" s="245">
        <v>1</v>
      </c>
      <c r="B19" s="248" t="s">
        <v>143</v>
      </c>
      <c r="C19" s="245"/>
      <c r="D19" s="245"/>
      <c r="E19" s="249">
        <f>A19*D4*2</f>
        <v>601</v>
      </c>
      <c r="F19" s="245"/>
    </row>
    <row r="20" spans="1:6" x14ac:dyDescent="0.2">
      <c r="A20" s="245"/>
      <c r="B20" s="245"/>
      <c r="C20" s="245"/>
      <c r="D20" s="245"/>
      <c r="E20" s="245"/>
      <c r="F20" s="245"/>
    </row>
    <row r="21" spans="1:6" x14ac:dyDescent="0.2">
      <c r="A21" s="245"/>
      <c r="B21" s="245"/>
      <c r="C21" s="245"/>
      <c r="D21" s="245"/>
      <c r="E21" s="245"/>
      <c r="F21" s="245"/>
    </row>
    <row r="22" spans="1:6" x14ac:dyDescent="0.2">
      <c r="A22" s="245"/>
      <c r="B22" s="245"/>
      <c r="C22" s="245"/>
      <c r="D22" s="245"/>
      <c r="E22" s="245"/>
      <c r="F22" s="245"/>
    </row>
    <row r="23" spans="1:6" x14ac:dyDescent="0.2">
      <c r="A23" s="245"/>
      <c r="B23" s="245"/>
      <c r="C23" s="245"/>
      <c r="D23" s="245"/>
      <c r="E23" s="245"/>
      <c r="F23" s="245"/>
    </row>
    <row r="24" spans="1:6" ht="38.25" x14ac:dyDescent="0.2">
      <c r="A24" s="258" t="s">
        <v>124</v>
      </c>
      <c r="B24" s="258" t="s">
        <v>125</v>
      </c>
      <c r="C24" s="258" t="s">
        <v>188</v>
      </c>
      <c r="D24" s="258" t="s">
        <v>189</v>
      </c>
      <c r="E24" s="258" t="s">
        <v>126</v>
      </c>
      <c r="F24" s="258" t="s">
        <v>126</v>
      </c>
    </row>
    <row r="25" spans="1:6" x14ac:dyDescent="0.2">
      <c r="A25" s="150" t="s">
        <v>183</v>
      </c>
      <c r="B25" s="259" t="s">
        <v>190</v>
      </c>
      <c r="C25" s="260">
        <f>E$10</f>
        <v>1803</v>
      </c>
      <c r="D25" s="260">
        <v>0</v>
      </c>
      <c r="E25" s="260">
        <f t="shared" ref="E25:E42" si="0">E$19*12</f>
        <v>7212</v>
      </c>
      <c r="F25" s="261">
        <f t="shared" ref="F25:F42" si="1">SUM(D25:E25)</f>
        <v>7212</v>
      </c>
    </row>
    <row r="26" spans="1:6" x14ac:dyDescent="0.2">
      <c r="A26" s="150" t="s">
        <v>172</v>
      </c>
      <c r="B26" s="259" t="s">
        <v>190</v>
      </c>
      <c r="C26" s="260">
        <f>E$10</f>
        <v>1803</v>
      </c>
      <c r="D26" s="260">
        <v>0</v>
      </c>
      <c r="E26" s="260">
        <f t="shared" si="0"/>
        <v>7212</v>
      </c>
      <c r="F26" s="261">
        <f t="shared" si="1"/>
        <v>7212</v>
      </c>
    </row>
    <row r="27" spans="1:6" x14ac:dyDescent="0.2">
      <c r="A27" s="150" t="s">
        <v>166</v>
      </c>
      <c r="B27" s="259" t="s">
        <v>190</v>
      </c>
      <c r="C27" s="260">
        <f>E$10</f>
        <v>1803</v>
      </c>
      <c r="D27" s="260">
        <v>0</v>
      </c>
      <c r="E27" s="260">
        <f t="shared" si="0"/>
        <v>7212</v>
      </c>
      <c r="F27" s="261">
        <f t="shared" si="1"/>
        <v>7212</v>
      </c>
    </row>
    <row r="28" spans="1:6" x14ac:dyDescent="0.2">
      <c r="A28" s="150" t="s">
        <v>165</v>
      </c>
      <c r="B28" s="259" t="s">
        <v>191</v>
      </c>
      <c r="C28" s="260">
        <f t="shared" ref="C28:C42" si="2">E$10</f>
        <v>1803</v>
      </c>
      <c r="D28" s="260">
        <v>0</v>
      </c>
      <c r="E28" s="260">
        <f t="shared" si="0"/>
        <v>7212</v>
      </c>
      <c r="F28" s="261">
        <f t="shared" si="1"/>
        <v>7212</v>
      </c>
    </row>
    <row r="29" spans="1:6" x14ac:dyDescent="0.2">
      <c r="A29" s="150" t="s">
        <v>172</v>
      </c>
      <c r="B29" s="259" t="s">
        <v>191</v>
      </c>
      <c r="C29" s="260">
        <f t="shared" si="2"/>
        <v>1803</v>
      </c>
      <c r="D29" s="260">
        <v>0</v>
      </c>
      <c r="E29" s="260">
        <f t="shared" si="0"/>
        <v>7212</v>
      </c>
      <c r="F29" s="261">
        <f t="shared" si="1"/>
        <v>7212</v>
      </c>
    </row>
    <row r="30" spans="1:6" x14ac:dyDescent="0.2">
      <c r="A30" s="150" t="s">
        <v>167</v>
      </c>
      <c r="B30" s="259" t="s">
        <v>191</v>
      </c>
      <c r="C30" s="260">
        <f t="shared" si="2"/>
        <v>1803</v>
      </c>
      <c r="D30" s="260">
        <v>0</v>
      </c>
      <c r="E30" s="260">
        <f t="shared" si="0"/>
        <v>7212</v>
      </c>
      <c r="F30" s="261">
        <f t="shared" si="1"/>
        <v>7212</v>
      </c>
    </row>
    <row r="31" spans="1:6" x14ac:dyDescent="0.2">
      <c r="A31" s="150" t="s">
        <v>175</v>
      </c>
      <c r="B31" s="259" t="s">
        <v>191</v>
      </c>
      <c r="C31" s="260">
        <f t="shared" si="2"/>
        <v>1803</v>
      </c>
      <c r="D31" s="260">
        <v>0</v>
      </c>
      <c r="E31" s="260">
        <f t="shared" si="0"/>
        <v>7212</v>
      </c>
      <c r="F31" s="261">
        <f t="shared" si="1"/>
        <v>7212</v>
      </c>
    </row>
    <row r="32" spans="1:6" x14ac:dyDescent="0.2">
      <c r="A32" s="150" t="s">
        <v>174</v>
      </c>
      <c r="B32" s="259" t="s">
        <v>191</v>
      </c>
      <c r="C32" s="260">
        <f t="shared" si="2"/>
        <v>1803</v>
      </c>
      <c r="D32" s="260">
        <v>0</v>
      </c>
      <c r="E32" s="260">
        <f t="shared" si="0"/>
        <v>7212</v>
      </c>
      <c r="F32" s="261">
        <f t="shared" si="1"/>
        <v>7212</v>
      </c>
    </row>
    <row r="33" spans="1:6" x14ac:dyDescent="0.2">
      <c r="A33" s="259" t="s">
        <v>169</v>
      </c>
      <c r="B33" s="259" t="s">
        <v>191</v>
      </c>
      <c r="C33" s="260">
        <f t="shared" si="2"/>
        <v>1803</v>
      </c>
      <c r="D33" s="260">
        <v>0</v>
      </c>
      <c r="E33" s="260">
        <f t="shared" si="0"/>
        <v>7212</v>
      </c>
      <c r="F33" s="261">
        <f t="shared" si="1"/>
        <v>7212</v>
      </c>
    </row>
    <row r="34" spans="1:6" x14ac:dyDescent="0.2">
      <c r="A34" s="259" t="s">
        <v>170</v>
      </c>
      <c r="B34" s="259" t="s">
        <v>191</v>
      </c>
      <c r="C34" s="260">
        <f t="shared" si="2"/>
        <v>1803</v>
      </c>
      <c r="D34" s="260">
        <v>0</v>
      </c>
      <c r="E34" s="260">
        <f t="shared" si="0"/>
        <v>7212</v>
      </c>
      <c r="F34" s="261">
        <f t="shared" si="1"/>
        <v>7212</v>
      </c>
    </row>
    <row r="35" spans="1:6" x14ac:dyDescent="0.2">
      <c r="A35" s="259" t="s">
        <v>173</v>
      </c>
      <c r="B35" s="259" t="s">
        <v>191</v>
      </c>
      <c r="C35" s="260">
        <f t="shared" si="2"/>
        <v>1803</v>
      </c>
      <c r="D35" s="260">
        <v>0</v>
      </c>
      <c r="E35" s="260">
        <f t="shared" si="0"/>
        <v>7212</v>
      </c>
      <c r="F35" s="261">
        <f t="shared" si="1"/>
        <v>7212</v>
      </c>
    </row>
    <row r="36" spans="1:6" x14ac:dyDescent="0.2">
      <c r="A36" s="259" t="s">
        <v>171</v>
      </c>
      <c r="B36" s="259" t="s">
        <v>191</v>
      </c>
      <c r="C36" s="260">
        <f t="shared" si="2"/>
        <v>1803</v>
      </c>
      <c r="D36" s="260">
        <v>0</v>
      </c>
      <c r="E36" s="260">
        <f t="shared" si="0"/>
        <v>7212</v>
      </c>
      <c r="F36" s="261">
        <f t="shared" si="1"/>
        <v>7212</v>
      </c>
    </row>
    <row r="37" spans="1:6" x14ac:dyDescent="0.2">
      <c r="A37" s="259" t="s">
        <v>177</v>
      </c>
      <c r="B37" s="259" t="s">
        <v>191</v>
      </c>
      <c r="C37" s="260">
        <f t="shared" si="2"/>
        <v>1803</v>
      </c>
      <c r="D37" s="260">
        <v>0</v>
      </c>
      <c r="E37" s="260">
        <f t="shared" si="0"/>
        <v>7212</v>
      </c>
      <c r="F37" s="261">
        <f t="shared" si="1"/>
        <v>7212</v>
      </c>
    </row>
    <row r="38" spans="1:6" x14ac:dyDescent="0.2">
      <c r="A38" s="259" t="s">
        <v>168</v>
      </c>
      <c r="B38" s="259" t="s">
        <v>191</v>
      </c>
      <c r="C38" s="260">
        <f t="shared" si="2"/>
        <v>1803</v>
      </c>
      <c r="D38" s="260">
        <v>0</v>
      </c>
      <c r="E38" s="260">
        <f t="shared" si="0"/>
        <v>7212</v>
      </c>
      <c r="F38" s="261">
        <f t="shared" si="1"/>
        <v>7212</v>
      </c>
    </row>
    <row r="39" spans="1:6" x14ac:dyDescent="0.2">
      <c r="A39" s="259" t="s">
        <v>178</v>
      </c>
      <c r="B39" s="259" t="s">
        <v>191</v>
      </c>
      <c r="C39" s="260">
        <f t="shared" si="2"/>
        <v>1803</v>
      </c>
      <c r="D39" s="260">
        <v>0</v>
      </c>
      <c r="E39" s="260">
        <f t="shared" si="0"/>
        <v>7212</v>
      </c>
      <c r="F39" s="261">
        <f t="shared" si="1"/>
        <v>7212</v>
      </c>
    </row>
    <row r="40" spans="1:6" x14ac:dyDescent="0.2">
      <c r="A40" s="259" t="s">
        <v>176</v>
      </c>
      <c r="B40" s="259" t="s">
        <v>192</v>
      </c>
      <c r="C40" s="260">
        <f t="shared" si="2"/>
        <v>1803</v>
      </c>
      <c r="D40" s="260">
        <v>0</v>
      </c>
      <c r="E40" s="260">
        <f t="shared" si="0"/>
        <v>7212</v>
      </c>
      <c r="F40" s="261">
        <f t="shared" si="1"/>
        <v>7212</v>
      </c>
    </row>
    <row r="41" spans="1:6" x14ac:dyDescent="0.2">
      <c r="A41" s="259" t="s">
        <v>166</v>
      </c>
      <c r="B41" s="259" t="s">
        <v>193</v>
      </c>
      <c r="C41" s="260">
        <f t="shared" si="2"/>
        <v>1803</v>
      </c>
      <c r="D41" s="260">
        <v>0</v>
      </c>
      <c r="E41" s="260">
        <f t="shared" si="0"/>
        <v>7212</v>
      </c>
      <c r="F41" s="261">
        <f t="shared" si="1"/>
        <v>7212</v>
      </c>
    </row>
    <row r="42" spans="1:6" x14ac:dyDescent="0.2">
      <c r="A42" s="259" t="s">
        <v>172</v>
      </c>
      <c r="B42" s="259" t="s">
        <v>194</v>
      </c>
      <c r="C42" s="260">
        <f t="shared" si="2"/>
        <v>1803</v>
      </c>
      <c r="D42" s="260">
        <v>0</v>
      </c>
      <c r="E42" s="260">
        <f t="shared" si="0"/>
        <v>7212</v>
      </c>
      <c r="F42" s="261">
        <f t="shared" si="1"/>
        <v>7212</v>
      </c>
    </row>
    <row r="43" spans="1:6" x14ac:dyDescent="0.2">
      <c r="A43" s="503" t="s">
        <v>195</v>
      </c>
      <c r="B43" s="503"/>
      <c r="C43" s="503"/>
      <c r="D43" s="503"/>
      <c r="E43" s="503"/>
      <c r="F43" s="245"/>
    </row>
    <row r="44" spans="1:6" x14ac:dyDescent="0.2">
      <c r="A44" s="245" t="s">
        <v>144</v>
      </c>
      <c r="B44" s="245"/>
      <c r="C44" s="245"/>
      <c r="D44" s="245"/>
      <c r="E44" s="245"/>
      <c r="F44" s="245"/>
    </row>
    <row r="45" spans="1:6" x14ac:dyDescent="0.2">
      <c r="A45" s="245"/>
      <c r="B45" s="245"/>
      <c r="C45" s="245"/>
      <c r="D45" s="245"/>
      <c r="E45" s="245"/>
      <c r="F45" s="245"/>
    </row>
    <row r="46" spans="1:6" x14ac:dyDescent="0.2">
      <c r="A46" s="245"/>
      <c r="B46" s="245"/>
      <c r="C46" s="245"/>
      <c r="D46" s="245"/>
      <c r="E46" s="245"/>
      <c r="F46" s="245"/>
    </row>
    <row r="47" spans="1:6" x14ac:dyDescent="0.2">
      <c r="A47" s="245"/>
      <c r="B47" s="245"/>
      <c r="C47" s="245"/>
      <c r="D47" s="245"/>
      <c r="E47" s="245"/>
      <c r="F47" s="245"/>
    </row>
    <row r="48" spans="1:6" x14ac:dyDescent="0.2">
      <c r="A48" s="245"/>
      <c r="B48" s="245"/>
      <c r="C48" s="245"/>
      <c r="D48" s="245"/>
      <c r="E48" s="245"/>
      <c r="F48" s="245"/>
    </row>
    <row r="49" spans="1:6" x14ac:dyDescent="0.2">
      <c r="A49" s="245"/>
      <c r="B49" s="245"/>
      <c r="C49" s="245"/>
      <c r="D49" s="245"/>
      <c r="E49" s="245"/>
      <c r="F49" s="245"/>
    </row>
    <row r="50" spans="1:6" x14ac:dyDescent="0.2">
      <c r="A50" s="245"/>
      <c r="B50" s="245"/>
      <c r="C50" s="245"/>
      <c r="D50" s="245"/>
      <c r="E50" s="245"/>
      <c r="F50" s="245"/>
    </row>
  </sheetData>
  <mergeCells count="1">
    <mergeCell ref="A43:E43"/>
  </mergeCells>
  <phoneticPr fontId="11" type="noConversion"/>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rgb="FFFF0000"/>
  </sheetPr>
  <dimension ref="A1:N45"/>
  <sheetViews>
    <sheetView workbookViewId="0">
      <selection activeCell="J29" sqref="J29"/>
    </sheetView>
  </sheetViews>
  <sheetFormatPr defaultColWidth="10.6640625" defaultRowHeight="12.75" x14ac:dyDescent="0.2"/>
  <cols>
    <col min="1" max="1" width="33" style="110" customWidth="1"/>
    <col min="2" max="2" width="43.1640625" style="110" customWidth="1"/>
    <col min="3" max="3" width="35.5" style="110" customWidth="1"/>
    <col min="4" max="4" width="51.83203125" style="110" customWidth="1"/>
    <col min="5" max="5" width="11.33203125" style="110" bestFit="1" customWidth="1"/>
    <col min="6" max="6" width="15" style="110" customWidth="1"/>
    <col min="7" max="7" width="10.6640625" style="110" customWidth="1"/>
    <col min="8" max="8" width="11.33203125" style="110" bestFit="1" customWidth="1"/>
    <col min="9" max="12" width="10.6640625" style="110"/>
    <col min="13" max="13" width="15.33203125" style="110" customWidth="1"/>
    <col min="14" max="14" width="13.5" style="110" customWidth="1"/>
    <col min="15" max="16384" width="10.6640625" style="110"/>
  </cols>
  <sheetData>
    <row r="1" spans="1:14" ht="19.5" x14ac:dyDescent="0.3">
      <c r="A1" s="312" t="s">
        <v>262</v>
      </c>
      <c r="B1" s="144"/>
      <c r="C1" s="144"/>
      <c r="D1" s="144"/>
      <c r="E1" s="144"/>
      <c r="F1" s="144"/>
      <c r="G1" s="144"/>
      <c r="H1" s="144"/>
      <c r="I1" s="144"/>
      <c r="J1" s="144"/>
      <c r="K1" s="144"/>
      <c r="L1" s="144"/>
      <c r="M1" s="144"/>
      <c r="N1" s="144"/>
    </row>
    <row r="2" spans="1:14" x14ac:dyDescent="0.2">
      <c r="A2" s="144"/>
      <c r="B2" s="144"/>
      <c r="C2" s="144"/>
      <c r="D2" s="144"/>
      <c r="E2" s="144"/>
      <c r="F2" s="144"/>
      <c r="G2" s="144"/>
      <c r="H2" s="144"/>
      <c r="I2" s="144"/>
      <c r="J2" s="144"/>
      <c r="K2" s="144"/>
      <c r="L2" s="144"/>
      <c r="M2" s="144"/>
      <c r="N2" s="144"/>
    </row>
    <row r="3" spans="1:14" x14ac:dyDescent="0.2">
      <c r="A3" s="329" t="s">
        <v>128</v>
      </c>
      <c r="B3" s="150" t="s">
        <v>184</v>
      </c>
      <c r="C3" s="150" t="s">
        <v>185</v>
      </c>
      <c r="D3" s="150" t="s">
        <v>70</v>
      </c>
      <c r="E3" s="144"/>
      <c r="F3" s="144"/>
      <c r="G3" s="144"/>
      <c r="H3" s="144"/>
      <c r="I3" s="144"/>
      <c r="J3" s="144"/>
      <c r="K3" s="144"/>
      <c r="L3" s="144"/>
      <c r="M3" s="144"/>
      <c r="N3" s="144"/>
    </row>
    <row r="4" spans="1:14" x14ac:dyDescent="0.2">
      <c r="A4" s="329" t="s">
        <v>196</v>
      </c>
      <c r="B4" s="264">
        <v>201</v>
      </c>
      <c r="C4" s="264">
        <v>400</v>
      </c>
      <c r="D4" s="264">
        <f>AVERAGE(B4:C4)</f>
        <v>300.5</v>
      </c>
      <c r="E4" s="330" t="s">
        <v>127</v>
      </c>
      <c r="F4" s="263"/>
      <c r="G4" s="263"/>
      <c r="H4" s="144"/>
      <c r="I4" s="144"/>
      <c r="J4" s="144"/>
      <c r="K4" s="144"/>
      <c r="L4" s="144"/>
      <c r="M4" s="144"/>
      <c r="N4" s="144"/>
    </row>
    <row r="5" spans="1:14" x14ac:dyDescent="0.2">
      <c r="A5" s="329" t="s">
        <v>197</v>
      </c>
      <c r="B5" s="264"/>
      <c r="C5" s="264"/>
      <c r="D5" s="264">
        <v>190</v>
      </c>
      <c r="E5" s="150" t="s">
        <v>198</v>
      </c>
      <c r="F5" s="263"/>
      <c r="G5" s="263"/>
      <c r="H5" s="144"/>
      <c r="I5" s="144"/>
      <c r="J5" s="144"/>
      <c r="K5" s="144"/>
      <c r="L5" s="144"/>
      <c r="M5" s="144"/>
      <c r="N5" s="144"/>
    </row>
    <row r="6" spans="1:14" x14ac:dyDescent="0.2">
      <c r="A6" s="329" t="s">
        <v>199</v>
      </c>
      <c r="B6" s="265"/>
      <c r="C6" s="265"/>
      <c r="D6" s="265">
        <v>0</v>
      </c>
      <c r="E6" s="266" t="s">
        <v>200</v>
      </c>
      <c r="F6" s="143"/>
      <c r="G6" s="143"/>
      <c r="H6" s="143"/>
      <c r="I6" s="143"/>
      <c r="J6" s="143"/>
      <c r="K6" s="143"/>
      <c r="L6" s="143"/>
      <c r="M6" s="143"/>
      <c r="N6" s="143"/>
    </row>
    <row r="7" spans="1:14" x14ac:dyDescent="0.2">
      <c r="A7" s="145"/>
      <c r="B7" s="262"/>
      <c r="C7" s="262"/>
      <c r="D7" s="262"/>
      <c r="E7" s="144"/>
      <c r="F7" s="144"/>
      <c r="G7" s="144"/>
      <c r="H7" s="144"/>
      <c r="I7" s="144"/>
      <c r="J7" s="144"/>
      <c r="K7" s="144"/>
      <c r="L7" s="144"/>
      <c r="M7" s="144"/>
      <c r="N7" s="144"/>
    </row>
    <row r="8" spans="1:14" x14ac:dyDescent="0.2">
      <c r="A8" s="145"/>
      <c r="B8" s="267"/>
      <c r="C8" s="268"/>
      <c r="D8" s="262"/>
      <c r="E8" s="144"/>
      <c r="F8" s="144"/>
      <c r="G8" s="144"/>
      <c r="H8" s="144"/>
      <c r="I8" s="144"/>
      <c r="J8" s="144"/>
      <c r="K8" s="144"/>
      <c r="L8" s="144"/>
      <c r="M8" s="144"/>
      <c r="N8" s="144"/>
    </row>
    <row r="9" spans="1:14" ht="12.75" customHeight="1" x14ac:dyDescent="0.2">
      <c r="A9" s="144"/>
      <c r="B9" s="504" t="s">
        <v>201</v>
      </c>
      <c r="C9" s="504"/>
      <c r="D9"/>
      <c r="E9"/>
      <c r="F9"/>
      <c r="G9"/>
      <c r="H9"/>
      <c r="I9"/>
      <c r="J9"/>
      <c r="K9"/>
      <c r="L9"/>
      <c r="M9"/>
      <c r="N9"/>
    </row>
    <row r="10" spans="1:14" x14ac:dyDescent="0.2">
      <c r="A10" s="144"/>
      <c r="B10" s="504"/>
      <c r="C10" s="504"/>
      <c r="D10"/>
      <c r="E10"/>
      <c r="F10"/>
      <c r="G10"/>
      <c r="H10"/>
      <c r="I10"/>
      <c r="J10"/>
      <c r="K10"/>
      <c r="L10"/>
      <c r="M10"/>
      <c r="N10"/>
    </row>
    <row r="11" spans="1:14" ht="25.5" x14ac:dyDescent="0.2">
      <c r="A11" s="150"/>
      <c r="B11" s="269" t="s">
        <v>202</v>
      </c>
      <c r="C11" s="270" t="s">
        <v>203</v>
      </c>
      <c r="D11"/>
      <c r="E11"/>
      <c r="F11"/>
      <c r="G11"/>
      <c r="H11"/>
      <c r="I11"/>
      <c r="J11"/>
      <c r="K11"/>
      <c r="L11"/>
      <c r="M11"/>
      <c r="N11"/>
    </row>
    <row r="12" spans="1:14" x14ac:dyDescent="0.2">
      <c r="A12" s="150" t="s">
        <v>172</v>
      </c>
      <c r="B12" s="150">
        <f>B38</f>
        <v>6</v>
      </c>
      <c r="C12" s="150">
        <f t="shared" ref="C12:C26" si="0">IF(B12="",B$27,B12)</f>
        <v>6</v>
      </c>
      <c r="D12"/>
      <c r="E12"/>
      <c r="F12"/>
      <c r="G12"/>
      <c r="H12"/>
      <c r="I12"/>
      <c r="J12"/>
      <c r="K12"/>
      <c r="L12"/>
      <c r="M12"/>
      <c r="N12"/>
    </row>
    <row r="13" spans="1:14" x14ac:dyDescent="0.2">
      <c r="A13" s="150" t="s">
        <v>183</v>
      </c>
      <c r="B13" s="150"/>
      <c r="C13" s="150">
        <f t="shared" si="0"/>
        <v>3</v>
      </c>
      <c r="D13"/>
      <c r="E13"/>
      <c r="F13"/>
      <c r="G13"/>
      <c r="H13"/>
      <c r="I13"/>
      <c r="J13"/>
      <c r="K13"/>
      <c r="L13"/>
      <c r="M13"/>
      <c r="N13"/>
    </row>
    <row r="14" spans="1:14" x14ac:dyDescent="0.2">
      <c r="A14" s="150" t="s">
        <v>166</v>
      </c>
      <c r="B14" s="150"/>
      <c r="C14" s="150">
        <f t="shared" si="0"/>
        <v>3</v>
      </c>
      <c r="D14"/>
      <c r="E14"/>
      <c r="F14"/>
      <c r="G14"/>
      <c r="H14"/>
      <c r="I14"/>
      <c r="J14"/>
      <c r="K14"/>
      <c r="L14"/>
      <c r="M14"/>
      <c r="N14"/>
    </row>
    <row r="15" spans="1:14" x14ac:dyDescent="0.2">
      <c r="A15" s="150" t="s">
        <v>176</v>
      </c>
      <c r="B15" s="150"/>
      <c r="C15" s="150">
        <f t="shared" si="0"/>
        <v>3</v>
      </c>
      <c r="D15"/>
      <c r="E15"/>
      <c r="F15"/>
      <c r="G15"/>
      <c r="H15"/>
      <c r="I15"/>
      <c r="J15"/>
      <c r="K15"/>
      <c r="L15"/>
      <c r="M15"/>
      <c r="N15"/>
    </row>
    <row r="16" spans="1:14" x14ac:dyDescent="0.2">
      <c r="A16" s="150" t="s">
        <v>165</v>
      </c>
      <c r="B16" s="150">
        <f>B33</f>
        <v>1</v>
      </c>
      <c r="C16" s="150">
        <f t="shared" si="0"/>
        <v>1</v>
      </c>
      <c r="D16"/>
      <c r="E16"/>
      <c r="F16"/>
      <c r="G16"/>
      <c r="H16"/>
      <c r="I16"/>
      <c r="J16"/>
      <c r="K16"/>
      <c r="L16"/>
      <c r="M16"/>
      <c r="N16"/>
    </row>
    <row r="17" spans="1:14" x14ac:dyDescent="0.2">
      <c r="A17" s="150" t="s">
        <v>167</v>
      </c>
      <c r="B17" s="150"/>
      <c r="C17" s="150">
        <f t="shared" si="0"/>
        <v>3</v>
      </c>
      <c r="D17"/>
      <c r="E17"/>
      <c r="F17"/>
      <c r="G17"/>
      <c r="H17"/>
      <c r="I17"/>
      <c r="J17"/>
      <c r="K17"/>
      <c r="L17"/>
      <c r="M17"/>
      <c r="N17"/>
    </row>
    <row r="18" spans="1:14" x14ac:dyDescent="0.2">
      <c r="A18" s="150" t="s">
        <v>168</v>
      </c>
      <c r="B18" s="150">
        <f>B34</f>
        <v>1</v>
      </c>
      <c r="C18" s="150">
        <f t="shared" si="0"/>
        <v>1</v>
      </c>
      <c r="D18"/>
      <c r="E18"/>
      <c r="F18"/>
      <c r="G18"/>
      <c r="H18"/>
      <c r="I18"/>
      <c r="J18"/>
      <c r="K18"/>
      <c r="L18"/>
      <c r="M18"/>
      <c r="N18"/>
    </row>
    <row r="19" spans="1:14" x14ac:dyDescent="0.2">
      <c r="A19" s="150" t="s">
        <v>169</v>
      </c>
      <c r="B19" s="150"/>
      <c r="C19" s="150">
        <f t="shared" si="0"/>
        <v>3</v>
      </c>
      <c r="D19"/>
      <c r="E19"/>
      <c r="F19"/>
      <c r="G19"/>
      <c r="H19"/>
      <c r="I19"/>
      <c r="J19"/>
      <c r="K19"/>
      <c r="L19"/>
      <c r="M19"/>
      <c r="N19"/>
    </row>
    <row r="20" spans="1:14" x14ac:dyDescent="0.2">
      <c r="A20" s="150" t="s">
        <v>170</v>
      </c>
      <c r="B20" s="150">
        <f>B37</f>
        <v>7</v>
      </c>
      <c r="C20" s="150">
        <f t="shared" si="0"/>
        <v>7</v>
      </c>
      <c r="D20"/>
      <c r="E20"/>
      <c r="F20"/>
      <c r="G20"/>
      <c r="H20"/>
      <c r="I20"/>
      <c r="J20"/>
      <c r="K20"/>
      <c r="L20"/>
      <c r="M20"/>
      <c r="N20"/>
    </row>
    <row r="21" spans="1:14" x14ac:dyDescent="0.2">
      <c r="A21" s="150" t="s">
        <v>171</v>
      </c>
      <c r="B21" s="150"/>
      <c r="C21" s="150">
        <f t="shared" si="0"/>
        <v>3</v>
      </c>
      <c r="D21"/>
      <c r="E21"/>
      <c r="F21"/>
      <c r="G21"/>
      <c r="H21"/>
      <c r="I21"/>
      <c r="J21"/>
      <c r="K21"/>
      <c r="L21"/>
      <c r="M21"/>
      <c r="N21"/>
    </row>
    <row r="22" spans="1:14" x14ac:dyDescent="0.2">
      <c r="A22" s="150" t="s">
        <v>173</v>
      </c>
      <c r="B22" s="150">
        <f>B39</f>
        <v>3</v>
      </c>
      <c r="C22" s="150">
        <f t="shared" si="0"/>
        <v>3</v>
      </c>
      <c r="D22"/>
      <c r="E22"/>
      <c r="F22"/>
      <c r="G22"/>
      <c r="H22"/>
      <c r="I22"/>
      <c r="J22"/>
      <c r="K22"/>
      <c r="L22"/>
      <c r="M22"/>
      <c r="N22"/>
    </row>
    <row r="23" spans="1:14" x14ac:dyDescent="0.2">
      <c r="A23" s="150" t="s">
        <v>174</v>
      </c>
      <c r="B23" s="150">
        <f>B40</f>
        <v>1</v>
      </c>
      <c r="C23" s="150">
        <f t="shared" si="0"/>
        <v>1</v>
      </c>
      <c r="D23"/>
      <c r="E23"/>
      <c r="F23"/>
      <c r="G23"/>
      <c r="H23"/>
      <c r="I23"/>
      <c r="J23"/>
      <c r="K23"/>
      <c r="L23"/>
      <c r="M23"/>
      <c r="N23"/>
    </row>
    <row r="24" spans="1:14" x14ac:dyDescent="0.2">
      <c r="A24" s="150" t="s">
        <v>175</v>
      </c>
      <c r="B24" s="150">
        <f>B41</f>
        <v>2</v>
      </c>
      <c r="C24" s="150">
        <f t="shared" si="0"/>
        <v>2</v>
      </c>
      <c r="D24"/>
      <c r="E24"/>
      <c r="F24"/>
      <c r="G24"/>
      <c r="H24"/>
      <c r="I24"/>
      <c r="J24"/>
      <c r="K24"/>
      <c r="L24"/>
      <c r="M24"/>
      <c r="N24"/>
    </row>
    <row r="25" spans="1:14" x14ac:dyDescent="0.2">
      <c r="A25" s="150" t="s">
        <v>177</v>
      </c>
      <c r="B25" s="150">
        <f>B43</f>
        <v>1</v>
      </c>
      <c r="C25" s="150">
        <f t="shared" si="0"/>
        <v>1</v>
      </c>
      <c r="D25"/>
      <c r="E25"/>
      <c r="F25"/>
      <c r="G25"/>
      <c r="H25"/>
      <c r="I25"/>
      <c r="J25"/>
      <c r="K25"/>
      <c r="L25"/>
      <c r="M25"/>
      <c r="N25"/>
    </row>
    <row r="26" spans="1:14" x14ac:dyDescent="0.2">
      <c r="A26" s="150" t="s">
        <v>178</v>
      </c>
      <c r="B26" s="150">
        <f>B44</f>
        <v>2</v>
      </c>
      <c r="C26" s="150">
        <f t="shared" si="0"/>
        <v>2</v>
      </c>
      <c r="D26"/>
      <c r="E26"/>
      <c r="F26"/>
      <c r="G26"/>
      <c r="H26"/>
      <c r="I26"/>
      <c r="J26"/>
      <c r="K26"/>
      <c r="L26"/>
      <c r="M26"/>
      <c r="N26"/>
    </row>
    <row r="27" spans="1:14" x14ac:dyDescent="0.2">
      <c r="A27" s="237" t="s">
        <v>70</v>
      </c>
      <c r="B27" s="150">
        <f>ROUNDUP(AVERAGE(B22:B26,B20:B20,B18,B16,B12:B12),0)</f>
        <v>3</v>
      </c>
      <c r="C27"/>
      <c r="D27"/>
      <c r="E27"/>
      <c r="F27"/>
      <c r="G27"/>
      <c r="H27"/>
      <c r="I27"/>
      <c r="J27"/>
      <c r="K27"/>
      <c r="L27"/>
      <c r="M27"/>
      <c r="N27"/>
    </row>
    <row r="28" spans="1:14" x14ac:dyDescent="0.2">
      <c r="A28" s="144"/>
      <c r="B28" s="144"/>
      <c r="C28" s="144"/>
      <c r="D28" s="144"/>
      <c r="E28" s="144"/>
      <c r="F28" s="144"/>
      <c r="G28" s="144"/>
      <c r="H28" s="144"/>
      <c r="I28" s="144"/>
      <c r="J28" s="144"/>
      <c r="K28" s="144"/>
      <c r="L28"/>
      <c r="M28"/>
      <c r="N28"/>
    </row>
    <row r="29" spans="1:14" x14ac:dyDescent="0.2">
      <c r="A29" s="144"/>
      <c r="B29" s="144" t="s">
        <v>278</v>
      </c>
      <c r="C29" s="144">
        <f>42+15</f>
        <v>57</v>
      </c>
      <c r="D29" s="144"/>
      <c r="E29" s="144"/>
      <c r="F29" s="144"/>
      <c r="G29" s="144"/>
      <c r="H29" s="144"/>
      <c r="I29" s="144"/>
      <c r="J29" s="144"/>
      <c r="K29" s="144"/>
      <c r="L29"/>
      <c r="M29"/>
      <c r="N29"/>
    </row>
    <row r="30" spans="1:14" x14ac:dyDescent="0.2">
      <c r="A30" s="144"/>
      <c r="B30" s="144"/>
      <c r="C30" s="144"/>
      <c r="D30"/>
      <c r="E30" s="144"/>
      <c r="F30" s="144"/>
      <c r="G30" s="144"/>
      <c r="H30" s="144"/>
      <c r="I30" s="144"/>
      <c r="J30" s="144"/>
      <c r="K30" s="144"/>
      <c r="L30"/>
      <c r="M30"/>
      <c r="N30"/>
    </row>
    <row r="31" spans="1:14" x14ac:dyDescent="0.2">
      <c r="A31" s="277" t="s">
        <v>204</v>
      </c>
      <c r="B31" s="272"/>
      <c r="C31" s="144"/>
      <c r="D31"/>
      <c r="E31" s="144"/>
      <c r="F31" s="144"/>
      <c r="G31" s="144"/>
      <c r="H31" s="144"/>
      <c r="I31" s="144"/>
      <c r="J31" s="144"/>
      <c r="K31" s="144"/>
      <c r="L31"/>
      <c r="M31"/>
      <c r="N31"/>
    </row>
    <row r="32" spans="1:14" x14ac:dyDescent="0.2">
      <c r="A32" s="277" t="s">
        <v>205</v>
      </c>
      <c r="B32" s="272" t="s">
        <v>38</v>
      </c>
      <c r="C32" s="144"/>
      <c r="D32" s="144"/>
      <c r="E32" s="144"/>
      <c r="F32" s="144"/>
      <c r="G32" s="144"/>
      <c r="H32" s="144"/>
      <c r="I32" s="144"/>
      <c r="J32" s="144"/>
      <c r="K32" s="144"/>
      <c r="L32"/>
      <c r="M32"/>
      <c r="N32"/>
    </row>
    <row r="33" spans="1:14" x14ac:dyDescent="0.2">
      <c r="A33" s="271" t="s">
        <v>206</v>
      </c>
      <c r="B33" s="272">
        <v>1</v>
      </c>
      <c r="C33" s="144"/>
      <c r="D33" s="144"/>
      <c r="E33" s="144"/>
      <c r="F33" s="144"/>
      <c r="G33" s="144"/>
      <c r="H33" s="144"/>
      <c r="I33" s="144"/>
      <c r="J33" s="144"/>
      <c r="K33" s="144"/>
      <c r="L33"/>
      <c r="M33"/>
      <c r="N33"/>
    </row>
    <row r="34" spans="1:14" x14ac:dyDescent="0.2">
      <c r="A34" s="273" t="s">
        <v>207</v>
      </c>
      <c r="B34" s="274">
        <v>1</v>
      </c>
      <c r="C34" s="144"/>
      <c r="D34" s="144"/>
      <c r="E34" s="144"/>
      <c r="F34" s="144"/>
      <c r="G34" s="144"/>
      <c r="H34" s="144"/>
      <c r="I34" s="144"/>
      <c r="J34" s="144"/>
      <c r="K34" s="144"/>
      <c r="L34" s="144"/>
      <c r="M34" s="144"/>
      <c r="N34" s="144"/>
    </row>
    <row r="35" spans="1:14" x14ac:dyDescent="0.2">
      <c r="A35" s="273" t="s">
        <v>208</v>
      </c>
      <c r="B35" s="274">
        <v>1</v>
      </c>
      <c r="C35" s="144"/>
      <c r="D35" s="144"/>
      <c r="E35" s="144"/>
      <c r="F35" s="144"/>
      <c r="G35" s="144"/>
      <c r="H35" s="144"/>
      <c r="I35" s="144"/>
      <c r="J35" s="144"/>
      <c r="K35" s="144"/>
      <c r="L35" s="144"/>
      <c r="M35" s="144"/>
      <c r="N35" s="144"/>
    </row>
    <row r="36" spans="1:14" x14ac:dyDescent="0.2">
      <c r="A36" s="273" t="s">
        <v>209</v>
      </c>
      <c r="B36" s="274">
        <v>1</v>
      </c>
      <c r="C36" s="144"/>
      <c r="D36" s="144"/>
      <c r="E36" s="144"/>
      <c r="F36" s="144"/>
      <c r="G36" s="144"/>
      <c r="H36" s="144"/>
      <c r="I36" s="144"/>
      <c r="J36" s="144"/>
      <c r="K36" s="144"/>
      <c r="L36" s="144"/>
      <c r="M36" s="144"/>
      <c r="N36" s="144"/>
    </row>
    <row r="37" spans="1:14" x14ac:dyDescent="0.2">
      <c r="A37" s="273" t="s">
        <v>210</v>
      </c>
      <c r="B37" s="274">
        <v>7</v>
      </c>
      <c r="C37" s="144"/>
      <c r="D37" s="144"/>
      <c r="E37" s="144"/>
      <c r="F37" s="144"/>
      <c r="G37" s="144"/>
      <c r="H37" s="144"/>
      <c r="I37" s="144"/>
      <c r="J37" s="144"/>
      <c r="K37" s="144"/>
      <c r="L37" s="144"/>
      <c r="M37" s="144"/>
      <c r="N37" s="144"/>
    </row>
    <row r="38" spans="1:14" x14ac:dyDescent="0.2">
      <c r="A38" s="273" t="s">
        <v>211</v>
      </c>
      <c r="B38" s="274">
        <v>6</v>
      </c>
      <c r="C38" s="144"/>
      <c r="D38" s="144"/>
      <c r="E38" s="144"/>
      <c r="F38" s="144"/>
      <c r="G38" s="144"/>
      <c r="H38" s="144"/>
      <c r="I38" s="144"/>
      <c r="J38" s="144"/>
      <c r="K38" s="144"/>
      <c r="L38" s="144"/>
      <c r="M38" s="144"/>
      <c r="N38" s="144"/>
    </row>
    <row r="39" spans="1:14" x14ac:dyDescent="0.2">
      <c r="A39" s="273" t="s">
        <v>212</v>
      </c>
      <c r="B39" s="274">
        <v>3</v>
      </c>
      <c r="C39" s="144"/>
      <c r="D39" s="144"/>
      <c r="E39" s="144"/>
      <c r="F39" s="144"/>
      <c r="G39" s="144"/>
      <c r="H39" s="144"/>
      <c r="I39" s="144"/>
      <c r="J39" s="144"/>
      <c r="K39" s="144"/>
      <c r="L39" s="144"/>
      <c r="M39" s="144"/>
      <c r="N39" s="144"/>
    </row>
    <row r="40" spans="1:14" x14ac:dyDescent="0.2">
      <c r="A40" s="273" t="s">
        <v>213</v>
      </c>
      <c r="B40" s="274">
        <v>1</v>
      </c>
      <c r="C40" s="144"/>
      <c r="D40" s="144"/>
      <c r="E40" s="144"/>
      <c r="F40" s="144"/>
      <c r="G40" s="144"/>
      <c r="H40" s="144"/>
      <c r="I40" s="144"/>
      <c r="J40" s="144"/>
      <c r="K40" s="144"/>
      <c r="L40" s="144"/>
      <c r="M40" s="144"/>
      <c r="N40" s="144"/>
    </row>
    <row r="41" spans="1:14" x14ac:dyDescent="0.2">
      <c r="A41" s="273" t="s">
        <v>214</v>
      </c>
      <c r="B41" s="274">
        <v>2</v>
      </c>
      <c r="C41" s="144"/>
      <c r="D41" s="144"/>
      <c r="E41" s="144"/>
      <c r="F41" s="144"/>
      <c r="G41" s="144"/>
      <c r="H41" s="144"/>
      <c r="I41" s="144"/>
      <c r="J41" s="144"/>
      <c r="K41" s="144"/>
      <c r="L41" s="144"/>
      <c r="M41" s="144"/>
      <c r="N41" s="144"/>
    </row>
    <row r="42" spans="1:14" x14ac:dyDescent="0.2">
      <c r="A42" s="273" t="s">
        <v>215</v>
      </c>
      <c r="B42" s="274">
        <v>6</v>
      </c>
      <c r="C42" s="144"/>
      <c r="D42" s="144"/>
      <c r="E42" s="144"/>
      <c r="F42" s="144"/>
      <c r="G42" s="144"/>
      <c r="H42" s="144"/>
      <c r="I42" s="144"/>
      <c r="J42" s="144"/>
      <c r="K42" s="144"/>
      <c r="L42" s="144"/>
      <c r="M42" s="144"/>
      <c r="N42" s="144"/>
    </row>
    <row r="43" spans="1:14" x14ac:dyDescent="0.2">
      <c r="A43" s="273" t="s">
        <v>216</v>
      </c>
      <c r="B43" s="274">
        <v>1</v>
      </c>
      <c r="C43" s="144"/>
      <c r="D43" s="144"/>
      <c r="E43" s="144"/>
      <c r="F43" s="144"/>
      <c r="G43" s="144"/>
      <c r="H43" s="144"/>
      <c r="I43" s="144"/>
      <c r="J43" s="144"/>
      <c r="K43" s="144"/>
      <c r="L43" s="144"/>
      <c r="M43" s="144"/>
      <c r="N43" s="144"/>
    </row>
    <row r="44" spans="1:14" x14ac:dyDescent="0.2">
      <c r="A44" s="273" t="s">
        <v>217</v>
      </c>
      <c r="B44" s="274">
        <v>2</v>
      </c>
      <c r="C44" s="144"/>
      <c r="D44" s="144"/>
      <c r="E44" s="144"/>
      <c r="F44" s="144"/>
      <c r="G44" s="144"/>
      <c r="H44" s="144"/>
      <c r="I44" s="144"/>
      <c r="J44" s="144"/>
      <c r="K44" s="144"/>
      <c r="L44" s="144"/>
      <c r="M44" s="144"/>
      <c r="N44" s="144"/>
    </row>
    <row r="45" spans="1:14" x14ac:dyDescent="0.2">
      <c r="A45" s="275" t="s">
        <v>218</v>
      </c>
      <c r="B45" s="276">
        <v>32</v>
      </c>
      <c r="C45" s="144"/>
      <c r="D45" s="144"/>
      <c r="E45" s="144"/>
      <c r="F45" s="144"/>
      <c r="G45" s="144"/>
      <c r="H45" s="144"/>
      <c r="I45" s="144"/>
      <c r="J45" s="144"/>
      <c r="K45" s="144"/>
      <c r="L45" s="144"/>
      <c r="M45" s="144"/>
      <c r="N45" s="144"/>
    </row>
  </sheetData>
  <mergeCells count="1">
    <mergeCell ref="B9:C10"/>
  </mergeCells>
  <phoneticPr fontId="11"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FF0000"/>
  </sheetPr>
  <dimension ref="A1:J19"/>
  <sheetViews>
    <sheetView workbookViewId="0">
      <selection activeCell="J29" sqref="J29"/>
    </sheetView>
  </sheetViews>
  <sheetFormatPr defaultRowHeight="10.5" x14ac:dyDescent="0.15"/>
  <cols>
    <col min="1" max="1" width="25" customWidth="1"/>
    <col min="2" max="10" width="16.83203125" customWidth="1"/>
    <col min="11" max="11" width="10.5" bestFit="1" customWidth="1"/>
    <col min="12" max="13" width="9.5" bestFit="1" customWidth="1"/>
  </cols>
  <sheetData>
    <row r="1" spans="1:10" ht="19.5" x14ac:dyDescent="0.3">
      <c r="A1" s="316" t="s">
        <v>181</v>
      </c>
    </row>
    <row r="2" spans="1:10" ht="63.75" x14ac:dyDescent="0.15">
      <c r="A2" s="318" t="s">
        <v>124</v>
      </c>
      <c r="B2" s="319" t="s">
        <v>264</v>
      </c>
      <c r="C2" s="320" t="s">
        <v>265</v>
      </c>
      <c r="D2" s="319" t="s">
        <v>266</v>
      </c>
      <c r="E2" s="320" t="s">
        <v>267</v>
      </c>
      <c r="F2" s="320" t="s">
        <v>268</v>
      </c>
      <c r="G2" s="320" t="s">
        <v>269</v>
      </c>
      <c r="H2" s="320" t="s">
        <v>270</v>
      </c>
      <c r="I2" s="320" t="s">
        <v>271</v>
      </c>
      <c r="J2" s="320" t="s">
        <v>272</v>
      </c>
    </row>
    <row r="3" spans="1:10" ht="11.25" x14ac:dyDescent="0.2">
      <c r="A3" s="150" t="s">
        <v>165</v>
      </c>
      <c r="B3" s="308" t="s">
        <v>179</v>
      </c>
      <c r="C3" s="309">
        <v>188913</v>
      </c>
      <c r="D3" s="309">
        <v>77797.502752356988</v>
      </c>
      <c r="E3" s="310">
        <v>266710.50275235699</v>
      </c>
      <c r="F3" s="309">
        <v>11174.863541469867</v>
      </c>
      <c r="G3" s="309">
        <v>7030.1908296908168</v>
      </c>
      <c r="H3" s="310">
        <v>18205.054371160684</v>
      </c>
      <c r="I3" s="310">
        <v>26897</v>
      </c>
      <c r="J3" s="310">
        <v>45102.054371160681</v>
      </c>
    </row>
    <row r="4" spans="1:10" ht="11.25" x14ac:dyDescent="0.2">
      <c r="A4" s="150" t="s">
        <v>166</v>
      </c>
      <c r="B4" s="311" t="s">
        <v>180</v>
      </c>
      <c r="C4" s="309">
        <v>188913</v>
      </c>
      <c r="D4" s="309"/>
      <c r="E4" s="310">
        <v>188913</v>
      </c>
      <c r="F4" s="309"/>
      <c r="G4" s="309"/>
      <c r="H4" s="310">
        <v>0</v>
      </c>
      <c r="I4" s="310">
        <v>26897</v>
      </c>
      <c r="J4" s="310">
        <v>26897</v>
      </c>
    </row>
    <row r="5" spans="1:10" ht="11.25" x14ac:dyDescent="0.2">
      <c r="A5" s="150" t="s">
        <v>167</v>
      </c>
      <c r="B5" s="308" t="s">
        <v>179</v>
      </c>
      <c r="C5" s="309">
        <v>188913</v>
      </c>
      <c r="D5" s="309">
        <v>77797.502752356988</v>
      </c>
      <c r="E5" s="310">
        <v>266710.50275235699</v>
      </c>
      <c r="F5" s="309">
        <v>11174.863541469867</v>
      </c>
      <c r="G5" s="309">
        <v>7030.1908296908168</v>
      </c>
      <c r="H5" s="310">
        <v>18205.054371160684</v>
      </c>
      <c r="I5" s="310">
        <v>26897</v>
      </c>
      <c r="J5" s="310">
        <v>45102.054371160681</v>
      </c>
    </row>
    <row r="6" spans="1:10" ht="11.25" x14ac:dyDescent="0.2">
      <c r="A6" s="150" t="s">
        <v>168</v>
      </c>
      <c r="B6" s="308" t="s">
        <v>179</v>
      </c>
      <c r="C6" s="309">
        <v>188913</v>
      </c>
      <c r="D6" s="309">
        <v>77797.502752356988</v>
      </c>
      <c r="E6" s="310">
        <v>266710.50275235699</v>
      </c>
      <c r="F6" s="309">
        <v>11174.863541469867</v>
      </c>
      <c r="G6" s="309">
        <v>7030.1908296908168</v>
      </c>
      <c r="H6" s="310">
        <v>18205.054371160684</v>
      </c>
      <c r="I6" s="310">
        <v>26897</v>
      </c>
      <c r="J6" s="310">
        <v>45102.054371160681</v>
      </c>
    </row>
    <row r="7" spans="1:10" ht="11.25" x14ac:dyDescent="0.2">
      <c r="A7" s="150" t="s">
        <v>169</v>
      </c>
      <c r="B7" s="311" t="s">
        <v>180</v>
      </c>
      <c r="C7" s="309">
        <v>188913</v>
      </c>
      <c r="D7" s="309"/>
      <c r="E7" s="310">
        <v>188913</v>
      </c>
      <c r="F7" s="309"/>
      <c r="G7" s="309"/>
      <c r="H7" s="310">
        <v>0</v>
      </c>
      <c r="I7" s="310">
        <v>26897</v>
      </c>
      <c r="J7" s="310">
        <v>26897</v>
      </c>
    </row>
    <row r="8" spans="1:10" ht="11.25" x14ac:dyDescent="0.2">
      <c r="A8" s="150" t="s">
        <v>170</v>
      </c>
      <c r="B8" s="308" t="s">
        <v>179</v>
      </c>
      <c r="C8" s="309">
        <v>188913</v>
      </c>
      <c r="D8" s="309">
        <v>77797.502752356988</v>
      </c>
      <c r="E8" s="310">
        <v>266710.50275235699</v>
      </c>
      <c r="F8" s="309">
        <v>11174.863541469867</v>
      </c>
      <c r="G8" s="309">
        <v>7030.1908296908168</v>
      </c>
      <c r="H8" s="310">
        <v>18205.054371160684</v>
      </c>
      <c r="I8" s="310">
        <v>26897</v>
      </c>
      <c r="J8" s="310">
        <v>45102.054371160681</v>
      </c>
    </row>
    <row r="9" spans="1:10" ht="11.25" x14ac:dyDescent="0.2">
      <c r="A9" s="150" t="s">
        <v>171</v>
      </c>
      <c r="B9" s="308" t="s">
        <v>179</v>
      </c>
      <c r="C9" s="309">
        <v>188913</v>
      </c>
      <c r="D9" s="309">
        <v>77797.502752356988</v>
      </c>
      <c r="E9" s="310">
        <v>266710.50275235699</v>
      </c>
      <c r="F9" s="309">
        <v>11174.863541469867</v>
      </c>
      <c r="G9" s="309">
        <v>7030.1908296908168</v>
      </c>
      <c r="H9" s="310">
        <v>18205.054371160684</v>
      </c>
      <c r="I9" s="310">
        <v>26897</v>
      </c>
      <c r="J9" s="310">
        <v>45102.054371160681</v>
      </c>
    </row>
    <row r="10" spans="1:10" ht="11.25" x14ac:dyDescent="0.2">
      <c r="A10" s="150" t="s">
        <v>172</v>
      </c>
      <c r="B10" s="311" t="s">
        <v>179</v>
      </c>
      <c r="C10" s="309">
        <v>188913</v>
      </c>
      <c r="D10" s="309">
        <v>77797.502752356988</v>
      </c>
      <c r="E10" s="310">
        <v>266710.50275235699</v>
      </c>
      <c r="F10" s="309">
        <v>11174.863541469867</v>
      </c>
      <c r="G10" s="309">
        <v>7030.1908296908168</v>
      </c>
      <c r="H10" s="310">
        <v>18205.054371160684</v>
      </c>
      <c r="I10" s="310">
        <v>26897</v>
      </c>
      <c r="J10" s="310">
        <v>45102.054371160681</v>
      </c>
    </row>
    <row r="11" spans="1:10" ht="11.25" x14ac:dyDescent="0.2">
      <c r="A11" s="150" t="s">
        <v>183</v>
      </c>
      <c r="B11" s="311" t="s">
        <v>179</v>
      </c>
      <c r="C11" s="309">
        <v>188913</v>
      </c>
      <c r="D11" s="309">
        <v>77797.502752356988</v>
      </c>
      <c r="E11" s="310">
        <v>266710.50275235699</v>
      </c>
      <c r="F11" s="309">
        <v>11174.863541469867</v>
      </c>
      <c r="G11" s="309">
        <v>7030.1908296908168</v>
      </c>
      <c r="H11" s="310">
        <v>18205.054371160684</v>
      </c>
      <c r="I11" s="310">
        <v>26897</v>
      </c>
      <c r="J11" s="310">
        <v>45102.054371160681</v>
      </c>
    </row>
    <row r="12" spans="1:10" ht="11.25" x14ac:dyDescent="0.2">
      <c r="A12" s="150" t="s">
        <v>173</v>
      </c>
      <c r="B12" s="308" t="s">
        <v>179</v>
      </c>
      <c r="C12" s="309">
        <v>188913</v>
      </c>
      <c r="D12" s="309">
        <v>77797.502752356988</v>
      </c>
      <c r="E12" s="310">
        <v>266710.50275235699</v>
      </c>
      <c r="F12" s="309">
        <v>11174.863541469867</v>
      </c>
      <c r="G12" s="309">
        <v>7030.1908296908168</v>
      </c>
      <c r="H12" s="310">
        <v>18205.054371160684</v>
      </c>
      <c r="I12" s="310">
        <v>26897</v>
      </c>
      <c r="J12" s="310">
        <v>45102.054371160681</v>
      </c>
    </row>
    <row r="13" spans="1:10" ht="11.25" x14ac:dyDescent="0.2">
      <c r="A13" s="150" t="s">
        <v>174</v>
      </c>
      <c r="B13" s="311" t="s">
        <v>179</v>
      </c>
      <c r="C13" s="309">
        <v>188913</v>
      </c>
      <c r="D13" s="309">
        <v>77797.502752356988</v>
      </c>
      <c r="E13" s="310">
        <v>266710.50275235699</v>
      </c>
      <c r="F13" s="309">
        <v>11174.863541469867</v>
      </c>
      <c r="G13" s="309">
        <v>7030.1908296908168</v>
      </c>
      <c r="H13" s="310">
        <v>18205.054371160684</v>
      </c>
      <c r="I13" s="310">
        <v>26897</v>
      </c>
      <c r="J13" s="310">
        <v>26897</v>
      </c>
    </row>
    <row r="14" spans="1:10" ht="11.25" x14ac:dyDescent="0.2">
      <c r="A14" s="150" t="s">
        <v>175</v>
      </c>
      <c r="B14" s="308" t="s">
        <v>179</v>
      </c>
      <c r="C14" s="309">
        <v>188913</v>
      </c>
      <c r="D14" s="309">
        <v>77797.502752356988</v>
      </c>
      <c r="E14" s="310">
        <v>266710.50275235699</v>
      </c>
      <c r="F14" s="309">
        <v>11174.863541469867</v>
      </c>
      <c r="G14" s="309">
        <v>7030.1908296908168</v>
      </c>
      <c r="H14" s="310">
        <v>18205.054371160684</v>
      </c>
      <c r="I14" s="310">
        <v>26897</v>
      </c>
      <c r="J14" s="310">
        <v>45102.054371160681</v>
      </c>
    </row>
    <row r="15" spans="1:10" ht="11.25" x14ac:dyDescent="0.2">
      <c r="A15" s="150" t="s">
        <v>176</v>
      </c>
      <c r="B15" s="308" t="s">
        <v>179</v>
      </c>
      <c r="C15" s="309">
        <v>188913</v>
      </c>
      <c r="D15" s="309">
        <v>77797.502752356988</v>
      </c>
      <c r="E15" s="310">
        <v>266710.50275235699</v>
      </c>
      <c r="F15" s="309">
        <v>11174.863541469867</v>
      </c>
      <c r="G15" s="309">
        <v>7030.1908296908168</v>
      </c>
      <c r="H15" s="310">
        <v>18205.054371160684</v>
      </c>
      <c r="I15" s="310">
        <v>26897</v>
      </c>
      <c r="J15" s="310">
        <v>45102.054371160681</v>
      </c>
    </row>
    <row r="16" spans="1:10" ht="11.25" x14ac:dyDescent="0.2">
      <c r="A16" s="150" t="s">
        <v>177</v>
      </c>
      <c r="B16" s="308" t="s">
        <v>179</v>
      </c>
      <c r="C16" s="309">
        <v>188913</v>
      </c>
      <c r="D16" s="309">
        <v>77797.502752356988</v>
      </c>
      <c r="E16" s="310">
        <v>266710.50275235699</v>
      </c>
      <c r="F16" s="309">
        <v>11174.863541469867</v>
      </c>
      <c r="G16" s="309">
        <v>7030.1908296908168</v>
      </c>
      <c r="H16" s="310">
        <v>18205.054371160684</v>
      </c>
      <c r="I16" s="310">
        <v>26897</v>
      </c>
      <c r="J16" s="310">
        <v>45102.054371160681</v>
      </c>
    </row>
    <row r="17" spans="1:10" ht="11.25" x14ac:dyDescent="0.2">
      <c r="A17" s="150" t="s">
        <v>178</v>
      </c>
      <c r="B17" s="308" t="s">
        <v>179</v>
      </c>
      <c r="C17" s="309">
        <v>188913</v>
      </c>
      <c r="D17" s="309">
        <v>77797.502752356988</v>
      </c>
      <c r="E17" s="310">
        <v>266710.50275235699</v>
      </c>
      <c r="F17" s="309">
        <v>11174.863541469867</v>
      </c>
      <c r="G17" s="309">
        <v>7030.1908296908168</v>
      </c>
      <c r="H17" s="310">
        <v>18205.054371160684</v>
      </c>
      <c r="I17" s="310">
        <v>26897</v>
      </c>
      <c r="J17" s="310">
        <v>45102.054371160681</v>
      </c>
    </row>
    <row r="19" spans="1:10" ht="11.25" x14ac:dyDescent="0.15">
      <c r="B19" s="242"/>
      <c r="G19" s="243"/>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theme="2" tint="-0.499984740745262"/>
    <pageSetUpPr fitToPage="1"/>
  </sheetPr>
  <dimension ref="A1:K41"/>
  <sheetViews>
    <sheetView zoomScale="85" workbookViewId="0">
      <selection activeCell="J29" sqref="J29"/>
    </sheetView>
  </sheetViews>
  <sheetFormatPr defaultColWidth="12" defaultRowHeight="12.75" x14ac:dyDescent="0.2"/>
  <cols>
    <col min="1" max="1" width="3.1640625" style="1" customWidth="1"/>
    <col min="2" max="2" width="65.33203125" style="1" customWidth="1"/>
    <col min="3" max="3" width="13.6640625" style="1" customWidth="1"/>
    <col min="4" max="4" width="17" style="1" customWidth="1"/>
    <col min="5" max="5" width="26" style="1" customWidth="1"/>
    <col min="6" max="6" width="15.83203125" style="1" customWidth="1"/>
    <col min="7" max="7" width="15" style="1" customWidth="1"/>
    <col min="8" max="8" width="14.6640625" style="1" customWidth="1"/>
    <col min="9" max="9" width="11.6640625" style="1" customWidth="1"/>
    <col min="10" max="10" width="12" style="1" customWidth="1"/>
    <col min="11" max="11" width="10.6640625" style="1" customWidth="1"/>
    <col min="12" max="12" width="20" style="1" customWidth="1"/>
    <col min="13" max="13" width="40.6640625" style="1" customWidth="1"/>
    <col min="14" max="14" width="13.1640625" style="1" customWidth="1"/>
    <col min="15" max="15" width="12" style="1" customWidth="1"/>
    <col min="16" max="16" width="15.1640625" style="1" customWidth="1"/>
    <col min="17" max="17" width="13.33203125" style="1" customWidth="1"/>
    <col min="18" max="16384" width="12" style="1"/>
  </cols>
  <sheetData>
    <row r="1" spans="1:11" ht="20.25" x14ac:dyDescent="0.3">
      <c r="A1" s="317" t="s">
        <v>263</v>
      </c>
    </row>
    <row r="7" spans="1:11" x14ac:dyDescent="0.2">
      <c r="A7" s="4"/>
      <c r="B7" s="2" t="s">
        <v>63</v>
      </c>
      <c r="C7" s="3"/>
      <c r="D7" s="3"/>
      <c r="E7" s="3"/>
      <c r="F7"/>
      <c r="G7"/>
      <c r="H7"/>
      <c r="I7"/>
      <c r="K7" s="11"/>
    </row>
    <row r="8" spans="1:11" x14ac:dyDescent="0.2">
      <c r="A8" s="4"/>
      <c r="B8" s="2" t="s">
        <v>64</v>
      </c>
      <c r="C8" s="3">
        <v>11</v>
      </c>
      <c r="D8" s="3">
        <v>1</v>
      </c>
      <c r="E8" s="3">
        <f>C8*D8</f>
        <v>11</v>
      </c>
      <c r="F8"/>
      <c r="G8"/>
      <c r="H8"/>
      <c r="I8"/>
      <c r="K8" s="11"/>
    </row>
    <row r="9" spans="1:11" x14ac:dyDescent="0.2">
      <c r="B9" s="12"/>
    </row>
    <row r="10" spans="1:11" x14ac:dyDescent="0.2">
      <c r="A10" s="22" t="s">
        <v>58</v>
      </c>
    </row>
    <row r="11" spans="1:11" x14ac:dyDescent="0.2">
      <c r="A11" s="5" t="s">
        <v>65</v>
      </c>
      <c r="B11" s="6"/>
    </row>
    <row r="12" spans="1:11" x14ac:dyDescent="0.2">
      <c r="A12" s="5" t="s">
        <v>79</v>
      </c>
    </row>
    <row r="13" spans="1:11" x14ac:dyDescent="0.2">
      <c r="A13" s="5"/>
    </row>
    <row r="14" spans="1:11" x14ac:dyDescent="0.2">
      <c r="A14" s="7" t="s">
        <v>59</v>
      </c>
    </row>
    <row r="15" spans="1:11" x14ac:dyDescent="0.2">
      <c r="A15" s="8" t="s">
        <v>66</v>
      </c>
    </row>
    <row r="16" spans="1:11" x14ac:dyDescent="0.2">
      <c r="A16" s="9" t="s">
        <v>67</v>
      </c>
    </row>
    <row r="17" spans="1:10" x14ac:dyDescent="0.2">
      <c r="B17" s="9"/>
      <c r="C17" s="9"/>
      <c r="D17" s="9"/>
      <c r="E17" s="9"/>
      <c r="F17" s="9"/>
      <c r="G17" s="9"/>
    </row>
    <row r="18" spans="1:10" x14ac:dyDescent="0.2">
      <c r="G18" s="9"/>
    </row>
    <row r="19" spans="1:10" x14ac:dyDescent="0.2">
      <c r="G19" s="9"/>
    </row>
    <row r="21" spans="1:10" ht="48" customHeight="1" x14ac:dyDescent="0.2">
      <c r="B21" s="505" t="s">
        <v>134</v>
      </c>
      <c r="C21" s="505"/>
      <c r="D21" s="505"/>
      <c r="E21" s="505"/>
      <c r="F21" s="14"/>
      <c r="G21" s="14"/>
      <c r="H21" s="14"/>
      <c r="I21" s="14"/>
    </row>
    <row r="22" spans="1:10" ht="33.75" x14ac:dyDescent="0.2">
      <c r="B22" s="122" t="s">
        <v>85</v>
      </c>
      <c r="C22" s="123" t="s">
        <v>77</v>
      </c>
      <c r="D22" s="123" t="s">
        <v>86</v>
      </c>
      <c r="E22" s="123" t="s">
        <v>87</v>
      </c>
      <c r="F22" s="15"/>
      <c r="G22" s="14"/>
      <c r="H22" s="14"/>
      <c r="I22" s="14"/>
    </row>
    <row r="23" spans="1:10" ht="17.25" customHeight="1" x14ac:dyDescent="0.2">
      <c r="B23" s="124" t="s">
        <v>99</v>
      </c>
      <c r="C23" s="125" t="s">
        <v>88</v>
      </c>
      <c r="D23" s="126">
        <v>54.52</v>
      </c>
      <c r="E23" s="23">
        <f>D23+1.1*D23</f>
        <v>114.49200000000002</v>
      </c>
      <c r="F23" s="15"/>
      <c r="G23" s="14"/>
      <c r="H23" s="14"/>
      <c r="I23" s="14"/>
    </row>
    <row r="24" spans="1:10" ht="19.5" customHeight="1" x14ac:dyDescent="0.2">
      <c r="B24" s="124" t="s">
        <v>37</v>
      </c>
      <c r="C24" s="125" t="s">
        <v>89</v>
      </c>
      <c r="D24" s="126">
        <v>46.76</v>
      </c>
      <c r="E24" s="23">
        <f>D24+1.1*D24</f>
        <v>98.195999999999998</v>
      </c>
      <c r="F24" s="15"/>
      <c r="G24" s="14"/>
      <c r="H24" s="14"/>
      <c r="I24" s="14"/>
    </row>
    <row r="25" spans="1:10" ht="15.75" customHeight="1" x14ac:dyDescent="0.2">
      <c r="B25" s="124" t="s">
        <v>7</v>
      </c>
      <c r="C25" s="125" t="s">
        <v>90</v>
      </c>
      <c r="D25" s="126">
        <v>23.11</v>
      </c>
      <c r="E25" s="23">
        <f>D25+1.1*D25</f>
        <v>48.531000000000006</v>
      </c>
      <c r="F25" s="15"/>
      <c r="G25" s="14"/>
      <c r="H25" s="14"/>
      <c r="I25" s="14"/>
    </row>
    <row r="26" spans="1:10" x14ac:dyDescent="0.2">
      <c r="B26" s="127" t="s">
        <v>91</v>
      </c>
      <c r="C26" s="128"/>
      <c r="D26" s="129"/>
      <c r="E26" s="23">
        <f>E24+0.1*E25+0.05*E23</f>
        <v>108.77369999999999</v>
      </c>
      <c r="F26" s="15"/>
      <c r="G26" s="14"/>
      <c r="H26" s="14"/>
      <c r="I26" s="14"/>
    </row>
    <row r="27" spans="1:10" x14ac:dyDescent="0.2">
      <c r="B27" s="127" t="s">
        <v>92</v>
      </c>
      <c r="C27" s="128"/>
      <c r="D27" s="129"/>
      <c r="E27" s="23">
        <v>80</v>
      </c>
      <c r="F27" s="15"/>
      <c r="G27" s="14"/>
      <c r="H27" s="14"/>
      <c r="I27" s="14"/>
    </row>
    <row r="28" spans="1:10" x14ac:dyDescent="0.2">
      <c r="B28" s="16"/>
      <c r="C28" s="17"/>
      <c r="D28" s="18"/>
      <c r="E28" s="19"/>
      <c r="F28" s="20"/>
      <c r="G28" s="15"/>
      <c r="H28" s="14"/>
      <c r="I28" s="14"/>
      <c r="J28" s="14"/>
    </row>
    <row r="29" spans="1:10" x14ac:dyDescent="0.2">
      <c r="B29" s="21" t="s">
        <v>93</v>
      </c>
      <c r="C29" s="17"/>
      <c r="D29" s="18"/>
      <c r="E29" s="19"/>
      <c r="F29" s="20"/>
      <c r="G29" s="15"/>
      <c r="H29" s="14"/>
      <c r="I29" s="14"/>
      <c r="J29" s="14"/>
    </row>
    <row r="30" spans="1:10" x14ac:dyDescent="0.2">
      <c r="B30" s="16"/>
      <c r="C30" s="17"/>
      <c r="D30" s="18"/>
      <c r="E30" s="19"/>
      <c r="F30" s="20"/>
      <c r="G30" s="15"/>
      <c r="H30" s="14"/>
      <c r="I30" s="14"/>
      <c r="J30" s="14"/>
    </row>
    <row r="31" spans="1:10" x14ac:dyDescent="0.2">
      <c r="B31" s="12"/>
      <c r="C31" s="12"/>
      <c r="D31" s="12"/>
      <c r="E31" s="12"/>
      <c r="F31" s="12"/>
      <c r="G31" s="12"/>
    </row>
    <row r="32" spans="1:10" x14ac:dyDescent="0.2">
      <c r="A32" s="10"/>
      <c r="B32" s="12"/>
      <c r="C32" s="12"/>
      <c r="D32" s="12"/>
      <c r="E32" s="12"/>
      <c r="F32" s="12"/>
      <c r="G32" s="12"/>
    </row>
    <row r="33" spans="2:7" ht="13.5" thickBot="1" x14ac:dyDescent="0.25">
      <c r="B33" s="130" t="s">
        <v>5</v>
      </c>
      <c r="C33" s="12"/>
      <c r="D33" s="12"/>
      <c r="E33" s="12"/>
      <c r="F33" s="12"/>
      <c r="G33" s="12"/>
    </row>
    <row r="34" spans="2:7" ht="39" thickBot="1" x14ac:dyDescent="0.25">
      <c r="B34" s="131"/>
      <c r="C34" s="132" t="s">
        <v>68</v>
      </c>
      <c r="D34" s="133" t="s">
        <v>69</v>
      </c>
      <c r="E34" s="13"/>
      <c r="F34" s="12"/>
      <c r="G34" s="12"/>
    </row>
    <row r="35" spans="2:7" x14ac:dyDescent="0.2">
      <c r="B35" s="134" t="s">
        <v>81</v>
      </c>
      <c r="C35" s="134">
        <v>28.88</v>
      </c>
      <c r="D35" s="24">
        <f>C35*1.6</f>
        <v>46.207999999999998</v>
      </c>
      <c r="E35" s="12"/>
      <c r="F35" s="12"/>
      <c r="G35" s="12"/>
    </row>
    <row r="36" spans="2:7" x14ac:dyDescent="0.2">
      <c r="B36" s="135" t="s">
        <v>80</v>
      </c>
      <c r="C36" s="135">
        <v>38.92</v>
      </c>
      <c r="D36" s="25">
        <f>C36*1.6</f>
        <v>62.272000000000006</v>
      </c>
      <c r="E36" s="12"/>
      <c r="F36" s="12"/>
      <c r="G36" s="12"/>
    </row>
    <row r="37" spans="2:7" x14ac:dyDescent="0.2">
      <c r="B37" s="136" t="s">
        <v>82</v>
      </c>
      <c r="C37" s="136">
        <v>15.63</v>
      </c>
      <c r="D37" s="25">
        <f>C37*1.6</f>
        <v>25.008000000000003</v>
      </c>
      <c r="E37" s="12"/>
      <c r="F37" s="9"/>
      <c r="G37" s="9"/>
    </row>
    <row r="38" spans="2:7" x14ac:dyDescent="0.2">
      <c r="C38" s="9"/>
      <c r="D38" s="9"/>
      <c r="E38" s="9"/>
      <c r="F38" s="9"/>
      <c r="G38" s="9"/>
    </row>
    <row r="40" spans="2:7" x14ac:dyDescent="0.2">
      <c r="B40" s="1" t="s">
        <v>72</v>
      </c>
    </row>
    <row r="41" spans="2:7" x14ac:dyDescent="0.2">
      <c r="B41" s="1" t="s">
        <v>71</v>
      </c>
    </row>
  </sheetData>
  <mergeCells count="1">
    <mergeCell ref="B21:E21"/>
  </mergeCells>
  <phoneticPr fontId="9" type="noConversion"/>
  <pageMargins left="0.25" right="0.25" top="0.25" bottom="0.25" header="0.5" footer="0.5"/>
  <pageSetup scale="89"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4:I46"/>
  <sheetViews>
    <sheetView zoomScale="78" zoomScaleNormal="78" workbookViewId="0">
      <selection activeCell="D44" sqref="D44"/>
    </sheetView>
  </sheetViews>
  <sheetFormatPr defaultRowHeight="10.5" x14ac:dyDescent="0.15"/>
  <cols>
    <col min="2" max="8" width="33.1640625" customWidth="1"/>
  </cols>
  <sheetData>
    <row r="4" spans="1:9" ht="15.75" x14ac:dyDescent="0.15">
      <c r="B4" s="514"/>
      <c r="C4" s="515"/>
      <c r="D4" s="515"/>
      <c r="E4" s="515"/>
      <c r="F4" s="515"/>
      <c r="G4" s="515"/>
      <c r="H4" s="516"/>
    </row>
    <row r="5" spans="1:9" ht="31.5" customHeight="1" x14ac:dyDescent="0.15">
      <c r="B5" s="517" t="s">
        <v>304</v>
      </c>
      <c r="C5" s="518"/>
      <c r="D5" s="518"/>
      <c r="E5" s="518"/>
      <c r="F5" s="518"/>
      <c r="G5" s="518"/>
      <c r="H5" s="519"/>
    </row>
    <row r="6" spans="1:9" ht="15.75" x14ac:dyDescent="0.15">
      <c r="B6" s="409"/>
      <c r="C6" s="404"/>
      <c r="D6" s="404"/>
      <c r="E6" s="404"/>
      <c r="F6" s="404"/>
      <c r="G6" s="404"/>
      <c r="H6" s="410"/>
    </row>
    <row r="7" spans="1:9" ht="12.75" x14ac:dyDescent="0.15">
      <c r="B7" s="405" t="s">
        <v>34</v>
      </c>
      <c r="C7" s="405" t="s">
        <v>0</v>
      </c>
      <c r="D7" s="405" t="s">
        <v>1</v>
      </c>
      <c r="E7" s="405" t="s">
        <v>2</v>
      </c>
      <c r="F7" s="405" t="s">
        <v>3</v>
      </c>
      <c r="G7" s="405" t="s">
        <v>4</v>
      </c>
      <c r="H7" s="405" t="s">
        <v>35</v>
      </c>
    </row>
    <row r="8" spans="1:9" ht="25.5" x14ac:dyDescent="0.15">
      <c r="B8" s="406" t="s">
        <v>305</v>
      </c>
      <c r="C8" s="406" t="s">
        <v>306</v>
      </c>
      <c r="D8" s="406" t="s">
        <v>307</v>
      </c>
      <c r="E8" s="406" t="s">
        <v>308</v>
      </c>
      <c r="F8" s="406" t="s">
        <v>309</v>
      </c>
      <c r="G8" s="406" t="s">
        <v>310</v>
      </c>
      <c r="H8" s="406" t="s">
        <v>311</v>
      </c>
    </row>
    <row r="9" spans="1:9" ht="12.75" x14ac:dyDescent="0.15">
      <c r="B9" s="407"/>
      <c r="C9" s="407"/>
      <c r="D9" s="407"/>
      <c r="E9" s="407"/>
      <c r="F9" s="407"/>
      <c r="G9" s="407"/>
      <c r="H9" s="406" t="s">
        <v>312</v>
      </c>
    </row>
    <row r="10" spans="1:9" ht="12.75" x14ac:dyDescent="0.15">
      <c r="B10" s="507" t="s">
        <v>313</v>
      </c>
      <c r="C10" s="508"/>
      <c r="D10" s="508"/>
      <c r="E10" s="508"/>
      <c r="F10" s="508"/>
      <c r="G10" s="508"/>
      <c r="H10" s="509"/>
    </row>
    <row r="11" spans="1:9" ht="15.75" x14ac:dyDescent="0.15">
      <c r="B11" s="411" t="s">
        <v>327</v>
      </c>
      <c r="C11" s="415">
        <f>15000*25</f>
        <v>375000</v>
      </c>
      <c r="D11" s="408">
        <v>0</v>
      </c>
      <c r="E11" s="415">
        <f>C11*D11</f>
        <v>0</v>
      </c>
      <c r="F11" s="415">
        <v>26897</v>
      </c>
      <c r="G11" s="408">
        <v>15</v>
      </c>
      <c r="H11" s="422">
        <f>F11*G11</f>
        <v>403455</v>
      </c>
    </row>
    <row r="12" spans="1:9" ht="15.75" x14ac:dyDescent="0.15">
      <c r="A12">
        <v>6</v>
      </c>
      <c r="B12" s="425" t="s">
        <v>328</v>
      </c>
      <c r="C12" s="415"/>
      <c r="D12" s="408"/>
      <c r="E12" s="415"/>
      <c r="F12" s="415">
        <f>73/20*45000</f>
        <v>164250</v>
      </c>
      <c r="G12" s="408">
        <v>15</v>
      </c>
      <c r="H12" s="415">
        <f>F12*G12</f>
        <v>2463750</v>
      </c>
    </row>
    <row r="13" spans="1:9" ht="12.75" x14ac:dyDescent="0.15">
      <c r="B13" s="425" t="s">
        <v>315</v>
      </c>
      <c r="C13" s="415">
        <v>5000</v>
      </c>
      <c r="D13" s="408">
        <v>0</v>
      </c>
      <c r="E13" s="415">
        <v>0</v>
      </c>
      <c r="F13" s="415"/>
      <c r="G13" s="408"/>
      <c r="H13" s="415"/>
    </row>
    <row r="14" spans="1:9" ht="12.75" x14ac:dyDescent="0.15">
      <c r="B14" s="507" t="s">
        <v>314</v>
      </c>
      <c r="C14" s="508"/>
      <c r="D14" s="508"/>
      <c r="E14" s="508"/>
      <c r="F14" s="508"/>
      <c r="G14" s="508"/>
      <c r="H14" s="509"/>
    </row>
    <row r="15" spans="1:9" x14ac:dyDescent="0.15">
      <c r="B15" s="510" t="s">
        <v>343</v>
      </c>
      <c r="C15" s="511">
        <v>51198</v>
      </c>
      <c r="D15" s="512">
        <v>0</v>
      </c>
      <c r="E15" s="511">
        <f>C15*D15</f>
        <v>0</v>
      </c>
      <c r="F15" s="511">
        <v>99080</v>
      </c>
      <c r="G15" s="512">
        <v>32</v>
      </c>
      <c r="H15" s="506">
        <f>F15*G15</f>
        <v>3170560</v>
      </c>
      <c r="I15" s="461" t="s">
        <v>408</v>
      </c>
    </row>
    <row r="16" spans="1:9" x14ac:dyDescent="0.15">
      <c r="B16" s="510"/>
      <c r="C16" s="511"/>
      <c r="D16" s="512"/>
      <c r="E16" s="511"/>
      <c r="F16" s="511"/>
      <c r="G16" s="512"/>
      <c r="H16" s="506"/>
    </row>
    <row r="17" spans="2:8" x14ac:dyDescent="0.15">
      <c r="B17" s="510" t="s">
        <v>324</v>
      </c>
      <c r="C17" s="511">
        <v>1803</v>
      </c>
      <c r="D17" s="512">
        <v>0</v>
      </c>
      <c r="E17" s="511">
        <f>C17*D17</f>
        <v>0</v>
      </c>
      <c r="F17" s="511">
        <v>7212</v>
      </c>
      <c r="G17" s="512">
        <v>15</v>
      </c>
      <c r="H17" s="506">
        <f>F17*G17</f>
        <v>108180</v>
      </c>
    </row>
    <row r="18" spans="2:8" x14ac:dyDescent="0.15">
      <c r="B18" s="510"/>
      <c r="C18" s="511"/>
      <c r="D18" s="512"/>
      <c r="E18" s="511"/>
      <c r="F18" s="511"/>
      <c r="G18" s="512"/>
      <c r="H18" s="506"/>
    </row>
    <row r="19" spans="2:8" ht="28.5" x14ac:dyDescent="0.2">
      <c r="B19" s="411" t="s">
        <v>317</v>
      </c>
      <c r="C19" s="415">
        <f>3*650</f>
        <v>1950</v>
      </c>
      <c r="D19" s="408">
        <v>0</v>
      </c>
      <c r="E19" s="415">
        <f>C19*D19</f>
        <v>0</v>
      </c>
      <c r="F19" s="415">
        <f>650*3*12</f>
        <v>23400</v>
      </c>
      <c r="G19" s="408">
        <v>15</v>
      </c>
      <c r="H19" s="420">
        <f>F19*G19</f>
        <v>351000</v>
      </c>
    </row>
    <row r="20" spans="2:8" x14ac:dyDescent="0.15">
      <c r="B20" s="510" t="s">
        <v>319</v>
      </c>
      <c r="C20" s="511">
        <v>491</v>
      </c>
      <c r="D20" s="512">
        <v>0</v>
      </c>
      <c r="E20" s="511">
        <f>C20*D20</f>
        <v>0</v>
      </c>
      <c r="F20" s="511">
        <v>5892</v>
      </c>
      <c r="G20" s="512">
        <v>15</v>
      </c>
      <c r="H20" s="513">
        <f>F20*G20</f>
        <v>88380</v>
      </c>
    </row>
    <row r="21" spans="2:8" x14ac:dyDescent="0.15">
      <c r="B21" s="510"/>
      <c r="C21" s="511"/>
      <c r="D21" s="512"/>
      <c r="E21" s="511"/>
      <c r="F21" s="511"/>
      <c r="G21" s="512"/>
      <c r="H21" s="513"/>
    </row>
    <row r="22" spans="2:8" ht="28.5" x14ac:dyDescent="0.2">
      <c r="B22" s="411" t="s">
        <v>320</v>
      </c>
      <c r="C22" s="415">
        <v>650</v>
      </c>
      <c r="D22" s="408">
        <v>0</v>
      </c>
      <c r="E22" s="415">
        <f>C22*D22</f>
        <v>0</v>
      </c>
      <c r="F22" s="415">
        <f>650*12</f>
        <v>7800</v>
      </c>
      <c r="G22" s="408">
        <v>15</v>
      </c>
      <c r="H22" s="421">
        <f>F22*G22</f>
        <v>117000</v>
      </c>
    </row>
    <row r="23" spans="2:8" x14ac:dyDescent="0.15">
      <c r="B23" s="510" t="s">
        <v>322</v>
      </c>
      <c r="C23" s="511">
        <v>0</v>
      </c>
      <c r="D23" s="512">
        <v>0</v>
      </c>
      <c r="E23" s="511">
        <f>C23*D23</f>
        <v>0</v>
      </c>
      <c r="F23" s="511">
        <v>491</v>
      </c>
      <c r="G23" s="512">
        <v>75</v>
      </c>
      <c r="H23" s="506">
        <f>F23*G23</f>
        <v>36825</v>
      </c>
    </row>
    <row r="24" spans="2:8" x14ac:dyDescent="0.15">
      <c r="B24" s="510"/>
      <c r="C24" s="511"/>
      <c r="D24" s="512"/>
      <c r="E24" s="511"/>
      <c r="F24" s="511"/>
      <c r="G24" s="512"/>
      <c r="H24" s="506"/>
    </row>
    <row r="25" spans="2:8" ht="28.5" x14ac:dyDescent="0.2">
      <c r="B25" s="411" t="s">
        <v>323</v>
      </c>
      <c r="C25" s="415">
        <f>650*5</f>
        <v>3250</v>
      </c>
      <c r="D25" s="408">
        <v>0</v>
      </c>
      <c r="E25" s="415">
        <f>C25*D25</f>
        <v>0</v>
      </c>
      <c r="F25" s="415">
        <f>650*5</f>
        <v>3250</v>
      </c>
      <c r="G25" s="408">
        <v>15</v>
      </c>
      <c r="H25" s="420">
        <f>F25*G25</f>
        <v>48750</v>
      </c>
    </row>
    <row r="26" spans="2:8" x14ac:dyDescent="0.15">
      <c r="B26" s="510" t="s">
        <v>344</v>
      </c>
      <c r="C26" s="511">
        <v>77798</v>
      </c>
      <c r="D26" s="512">
        <v>0</v>
      </c>
      <c r="E26" s="511">
        <f>C26*D26</f>
        <v>0</v>
      </c>
      <c r="F26" s="511">
        <v>18205</v>
      </c>
      <c r="G26" s="512">
        <v>15</v>
      </c>
      <c r="H26" s="506">
        <f>F26*G26</f>
        <v>273075</v>
      </c>
    </row>
    <row r="27" spans="2:8" x14ac:dyDescent="0.15">
      <c r="B27" s="510"/>
      <c r="C27" s="511"/>
      <c r="D27" s="512"/>
      <c r="E27" s="511"/>
      <c r="F27" s="511"/>
      <c r="G27" s="512"/>
      <c r="H27" s="506"/>
    </row>
    <row r="28" spans="2:8" ht="12.75" x14ac:dyDescent="0.15">
      <c r="B28" s="507" t="s">
        <v>38</v>
      </c>
      <c r="C28" s="508"/>
      <c r="D28" s="508"/>
      <c r="E28" s="508"/>
      <c r="F28" s="508"/>
      <c r="G28" s="508"/>
      <c r="H28" s="509"/>
    </row>
    <row r="29" spans="2:8" ht="12.75" x14ac:dyDescent="0.15">
      <c r="B29" s="412"/>
      <c r="C29" s="413"/>
      <c r="D29" s="413"/>
      <c r="E29" s="423">
        <f>SUM(E15:E27,E11:E13)</f>
        <v>0</v>
      </c>
      <c r="F29" s="413"/>
      <c r="G29" s="413"/>
      <c r="H29" s="419">
        <f>ROUND(SUM(H15:H27,H11:H12),-4)</f>
        <v>7060000</v>
      </c>
    </row>
    <row r="30" spans="2:8" ht="13.5" x14ac:dyDescent="0.2">
      <c r="B30" s="414" t="s">
        <v>316</v>
      </c>
    </row>
    <row r="31" spans="2:8" ht="13.5" x14ac:dyDescent="0.2">
      <c r="B31" s="414" t="s">
        <v>330</v>
      </c>
    </row>
    <row r="32" spans="2:8" ht="13.5" x14ac:dyDescent="0.2">
      <c r="B32" s="414" t="s">
        <v>318</v>
      </c>
    </row>
    <row r="33" spans="2:2" ht="13.5" x14ac:dyDescent="0.2">
      <c r="B33" s="414" t="s">
        <v>329</v>
      </c>
    </row>
    <row r="34" spans="2:2" ht="13.5" x14ac:dyDescent="0.2">
      <c r="B34" s="414" t="s">
        <v>321</v>
      </c>
    </row>
    <row r="35" spans="2:2" ht="13.5" x14ac:dyDescent="0.2">
      <c r="B35" s="414" t="s">
        <v>325</v>
      </c>
    </row>
    <row r="36" spans="2:2" ht="13.5" x14ac:dyDescent="0.2">
      <c r="B36" s="414" t="s">
        <v>341</v>
      </c>
    </row>
    <row r="37" spans="2:2" ht="13.5" x14ac:dyDescent="0.2">
      <c r="B37" s="418" t="s">
        <v>326</v>
      </c>
    </row>
    <row r="38" spans="2:2" ht="13.5" x14ac:dyDescent="0.2">
      <c r="B38" s="424" t="s">
        <v>342</v>
      </c>
    </row>
    <row r="39" spans="2:2" ht="13.5" x14ac:dyDescent="0.2">
      <c r="B39" s="424" t="s">
        <v>345</v>
      </c>
    </row>
    <row r="40" spans="2:2" ht="12" x14ac:dyDescent="0.2">
      <c r="B40" s="424"/>
    </row>
    <row r="41" spans="2:2" ht="18.75" x14ac:dyDescent="0.25">
      <c r="B41" s="416"/>
    </row>
    <row r="42" spans="2:2" ht="15.75" x14ac:dyDescent="0.25">
      <c r="B42" s="417"/>
    </row>
    <row r="43" spans="2:2" ht="12" x14ac:dyDescent="0.2">
      <c r="B43" s="418"/>
    </row>
    <row r="44" spans="2:2" ht="12" x14ac:dyDescent="0.2">
      <c r="B44" s="418"/>
    </row>
    <row r="45" spans="2:2" ht="12" x14ac:dyDescent="0.2">
      <c r="B45" s="418"/>
    </row>
    <row r="46" spans="2:2" ht="12" x14ac:dyDescent="0.2">
      <c r="B46" s="424"/>
    </row>
  </sheetData>
  <mergeCells count="40">
    <mergeCell ref="B4:H4"/>
    <mergeCell ref="B5:H5"/>
    <mergeCell ref="B10:H10"/>
    <mergeCell ref="B14:H14"/>
    <mergeCell ref="B15:B16"/>
    <mergeCell ref="C15:C16"/>
    <mergeCell ref="D15:D16"/>
    <mergeCell ref="E15:E16"/>
    <mergeCell ref="F15:F16"/>
    <mergeCell ref="G15:G16"/>
    <mergeCell ref="H15:H16"/>
    <mergeCell ref="B17:B18"/>
    <mergeCell ref="C17:C18"/>
    <mergeCell ref="D17:D18"/>
    <mergeCell ref="E17:E18"/>
    <mergeCell ref="F17:F18"/>
    <mergeCell ref="G17:G18"/>
    <mergeCell ref="H17:H18"/>
    <mergeCell ref="H20:H21"/>
    <mergeCell ref="B23:B24"/>
    <mergeCell ref="C23:C24"/>
    <mergeCell ref="D23:D24"/>
    <mergeCell ref="E23:E24"/>
    <mergeCell ref="F23:F24"/>
    <mergeCell ref="G23:G24"/>
    <mergeCell ref="H23:H24"/>
    <mergeCell ref="B20:B21"/>
    <mergeCell ref="C20:C21"/>
    <mergeCell ref="D20:D21"/>
    <mergeCell ref="E20:E21"/>
    <mergeCell ref="F20:F21"/>
    <mergeCell ref="G20:G21"/>
    <mergeCell ref="H26:H27"/>
    <mergeCell ref="B28:H28"/>
    <mergeCell ref="B26:B27"/>
    <mergeCell ref="C26:C27"/>
    <mergeCell ref="D26:D27"/>
    <mergeCell ref="E26:E27"/>
    <mergeCell ref="F26:F27"/>
    <mergeCell ref="G26:G2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Industry</vt:lpstr>
      <vt:lpstr>Agency</vt:lpstr>
      <vt:lpstr>Record&amp;Reporting Burden Only</vt:lpstr>
      <vt:lpstr>Process Vent - T&amp;M Costs</vt:lpstr>
      <vt:lpstr>Resin T&amp;M Costs</vt:lpstr>
      <vt:lpstr>Wastewater T&amp;M Costs</vt:lpstr>
      <vt:lpstr>EquipmentLeaks - T&amp;M Costs</vt:lpstr>
      <vt:lpstr>Hourly Rates</vt:lpstr>
      <vt:lpstr>CAP&amp;O&amp;M</vt:lpstr>
      <vt:lpstr>Agency!Print_Area</vt:lpstr>
      <vt:lpstr>'Hourly Rates'!Print_Area</vt:lpstr>
      <vt:lpstr>Industry!Print_Area</vt:lpstr>
      <vt:lpstr>'Record&amp;Reporting Burden Only'!Print_Area</vt:lpstr>
      <vt:lpstr>Industry!Print_Titles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Eeastern Reseach Group, Inc.</dc:creator>
  <cp:lastModifiedBy>wwrigley</cp:lastModifiedBy>
  <cp:lastPrinted>2011-12-27T18:02:18Z</cp:lastPrinted>
  <dcterms:created xsi:type="dcterms:W3CDTF">1998-09-17T19:20:06Z</dcterms:created>
  <dcterms:modified xsi:type="dcterms:W3CDTF">2019-03-01T17:16:13Z</dcterms:modified>
</cp:coreProperties>
</file>