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982F9BCC-0FA6-4605-98F9-B82721EAF96D}" xr6:coauthVersionLast="31" xr6:coauthVersionMax="31" xr10:uidLastSave="{00000000-0000-0000-0000-000000000000}"/>
  <bookViews>
    <workbookView xWindow="0" yWindow="0" windowWidth="19200" windowHeight="7965" xr2:uid="{D855CF00-F869-48B3-9963-4AD001D31E8A}"/>
  </bookViews>
  <sheets>
    <sheet name="Labor Rate and Summary Data" sheetId="3" r:id="rId1"/>
    <sheet name="Table 1" sheetId="1" r:id="rId2"/>
    <sheet name="Table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3" l="1"/>
  <c r="E13" i="1" l="1"/>
  <c r="E7" i="2" l="1"/>
  <c r="G22" i="3" l="1"/>
  <c r="G21" i="3"/>
  <c r="D22" i="3"/>
  <c r="D21" i="3"/>
  <c r="G23" i="3" l="1"/>
  <c r="I38" i="1" s="1"/>
  <c r="D23" i="3"/>
  <c r="K10" i="3"/>
  <c r="K9" i="3"/>
  <c r="K8" i="3"/>
  <c r="K7" i="3"/>
  <c r="K6" i="3"/>
  <c r="K5" i="3"/>
  <c r="C16" i="3"/>
  <c r="C15" i="3"/>
  <c r="C9" i="3"/>
  <c r="B9" i="3"/>
  <c r="F8" i="3"/>
  <c r="F7" i="3"/>
  <c r="F6" i="3"/>
  <c r="E22" i="1" l="1"/>
  <c r="E10" i="1"/>
  <c r="J6" i="3" s="1"/>
  <c r="M6" i="3" s="1"/>
  <c r="E31" i="1"/>
  <c r="E5" i="2"/>
  <c r="F9" i="3"/>
  <c r="E14" i="1" s="1"/>
  <c r="J10" i="3" s="1"/>
  <c r="M10" i="3" s="1"/>
  <c r="E7" i="1"/>
  <c r="E9" i="1"/>
  <c r="J5" i="3" s="1"/>
  <c r="M5" i="3" s="1"/>
  <c r="E11" i="1"/>
  <c r="J7" i="3" s="1"/>
  <c r="M7" i="3" s="1"/>
  <c r="E17" i="1"/>
  <c r="E24" i="1"/>
  <c r="E18" i="1"/>
  <c r="E26" i="1"/>
  <c r="E12" i="1"/>
  <c r="J8" i="3" s="1"/>
  <c r="M8" i="3" s="1"/>
  <c r="E6" i="2"/>
  <c r="E9" i="2"/>
  <c r="E10" i="2"/>
  <c r="E21" i="1"/>
  <c r="E33" i="1" l="1"/>
  <c r="E34" i="1"/>
  <c r="E8" i="2"/>
  <c r="E29" i="1"/>
  <c r="E32" i="1"/>
  <c r="E35" i="1"/>
  <c r="J9" i="3"/>
  <c r="M9" i="3" s="1"/>
  <c r="M11" i="3" s="1"/>
  <c r="E14" i="3" s="1"/>
  <c r="E6" i="1"/>
  <c r="D10" i="2"/>
  <c r="F10" i="2" s="1"/>
  <c r="D9" i="2"/>
  <c r="F9" i="2" s="1"/>
  <c r="D8" i="2"/>
  <c r="D7" i="2"/>
  <c r="D6" i="2"/>
  <c r="F6" i="2" s="1"/>
  <c r="D5" i="2"/>
  <c r="F5" i="2" s="1"/>
  <c r="D35" i="1"/>
  <c r="D34" i="1"/>
  <c r="D33" i="1"/>
  <c r="D32" i="1"/>
  <c r="D31" i="1"/>
  <c r="F31" i="1" s="1"/>
  <c r="D29" i="1"/>
  <c r="D28" i="1"/>
  <c r="F28" i="1" s="1"/>
  <c r="D26" i="1"/>
  <c r="F26" i="1" s="1"/>
  <c r="D25" i="1"/>
  <c r="F25" i="1" s="1"/>
  <c r="D24" i="1"/>
  <c r="F24" i="1" s="1"/>
  <c r="H24" i="1" s="1"/>
  <c r="D22" i="1"/>
  <c r="F22" i="1" s="1"/>
  <c r="D21" i="1"/>
  <c r="F21" i="1" s="1"/>
  <c r="D19" i="1"/>
  <c r="F19" i="1" s="1"/>
  <c r="D18" i="1"/>
  <c r="F18" i="1" s="1"/>
  <c r="D17" i="1"/>
  <c r="F17" i="1" s="1"/>
  <c r="D14" i="1"/>
  <c r="F14" i="1" s="1"/>
  <c r="G14" i="1" s="1"/>
  <c r="D13" i="1"/>
  <c r="D12" i="1"/>
  <c r="F12" i="1" s="1"/>
  <c r="D11" i="1"/>
  <c r="F11" i="1" s="1"/>
  <c r="H11" i="1" s="1"/>
  <c r="D10" i="1"/>
  <c r="F10" i="1" s="1"/>
  <c r="D9" i="1"/>
  <c r="F9" i="1" s="1"/>
  <c r="D7" i="1"/>
  <c r="F7" i="1" s="1"/>
  <c r="D6" i="1"/>
  <c r="F8" i="2" l="1"/>
  <c r="H8" i="2" s="1"/>
  <c r="F34" i="1"/>
  <c r="H34" i="1" s="1"/>
  <c r="F35" i="1"/>
  <c r="G35" i="1" s="1"/>
  <c r="F7" i="2"/>
  <c r="H7" i="2" s="1"/>
  <c r="G5" i="2"/>
  <c r="H7" i="1"/>
  <c r="G7" i="1"/>
  <c r="F33" i="1"/>
  <c r="H33" i="1" s="1"/>
  <c r="F32" i="1"/>
  <c r="H32" i="1" s="1"/>
  <c r="H6" i="2"/>
  <c r="G6" i="2"/>
  <c r="H21" i="1"/>
  <c r="H12" i="1"/>
  <c r="H18" i="1"/>
  <c r="G9" i="1"/>
  <c r="H9" i="1"/>
  <c r="G10" i="1"/>
  <c r="H22" i="1"/>
  <c r="G22" i="1"/>
  <c r="F13" i="1"/>
  <c r="H31" i="1"/>
  <c r="G26" i="1"/>
  <c r="H26" i="1"/>
  <c r="H19" i="1"/>
  <c r="G19" i="1"/>
  <c r="G9" i="2"/>
  <c r="H9" i="2"/>
  <c r="H25" i="1"/>
  <c r="H17" i="1"/>
  <c r="G17" i="1"/>
  <c r="I17" i="1" s="1"/>
  <c r="H28" i="1"/>
  <c r="H5" i="2"/>
  <c r="H10" i="2"/>
  <c r="H14" i="1"/>
  <c r="I14" i="1" s="1"/>
  <c r="G8" i="2"/>
  <c r="I8" i="2" s="1"/>
  <c r="G10" i="2"/>
  <c r="G31" i="1"/>
  <c r="G28" i="1"/>
  <c r="G25" i="1"/>
  <c r="G24" i="1"/>
  <c r="I24" i="1" s="1"/>
  <c r="G21" i="1"/>
  <c r="G18" i="1"/>
  <c r="G12" i="1"/>
  <c r="H10" i="1"/>
  <c r="G11" i="1"/>
  <c r="I11" i="1" s="1"/>
  <c r="F6" i="1"/>
  <c r="F29" i="1"/>
  <c r="I7" i="1" l="1"/>
  <c r="H6" i="1"/>
  <c r="H35" i="1"/>
  <c r="I35" i="1" s="1"/>
  <c r="G7" i="2"/>
  <c r="F11" i="2" s="1"/>
  <c r="I31" i="1"/>
  <c r="I12" i="1"/>
  <c r="G34" i="1"/>
  <c r="I34" i="1" s="1"/>
  <c r="I18" i="1"/>
  <c r="I5" i="2"/>
  <c r="I6" i="2"/>
  <c r="I10" i="2"/>
  <c r="I25" i="1"/>
  <c r="I22" i="1"/>
  <c r="G33" i="1"/>
  <c r="I33" i="1" s="1"/>
  <c r="G32" i="1"/>
  <c r="I32" i="1" s="1"/>
  <c r="I9" i="2"/>
  <c r="I28" i="1"/>
  <c r="I10" i="1"/>
  <c r="I19" i="1"/>
  <c r="I26" i="1"/>
  <c r="I9" i="1"/>
  <c r="G6" i="1"/>
  <c r="I6" i="1" s="1"/>
  <c r="I21" i="1"/>
  <c r="G29" i="1"/>
  <c r="F36" i="1" s="1"/>
  <c r="H29" i="1"/>
  <c r="H13" i="1"/>
  <c r="G13" i="1"/>
  <c r="F15" i="1" l="1"/>
  <c r="F37" i="1" s="1"/>
  <c r="I7" i="2"/>
  <c r="I11" i="2" s="1"/>
  <c r="I29" i="1"/>
  <c r="I36" i="1" s="1"/>
  <c r="I13" i="1"/>
  <c r="I15" i="1" s="1"/>
  <c r="I37" i="1" s="1"/>
  <c r="E13" i="3" l="1"/>
  <c r="E15" i="3" s="1"/>
  <c r="I39" i="1"/>
</calcChain>
</file>

<file path=xl/sharedStrings.xml><?xml version="1.0" encoding="utf-8"?>
<sst xmlns="http://schemas.openxmlformats.org/spreadsheetml/2006/main" count="150" uniqueCount="133">
  <si>
    <t>Table 1: Annual Respondent Burden and Cost – NESHAP for Paper and Other Web Coating (40 CFR Part 63, Subpart JJJJ) (Renewal)</t>
  </si>
  <si>
    <t>Burden item</t>
  </si>
  <si>
    <t>(D)</t>
  </si>
  <si>
    <t>1.  Reporting requirements</t>
  </si>
  <si>
    <t xml:space="preserve">     A.  Familiarization with regulatory requirements </t>
  </si>
  <si>
    <r>
      <t xml:space="preserve">     B.  Gather information </t>
    </r>
    <r>
      <rPr>
        <vertAlign val="superscript"/>
        <sz val="10"/>
        <color theme="1"/>
        <rFont val="Times New Roman"/>
        <family val="1"/>
      </rPr>
      <t>c</t>
    </r>
  </si>
  <si>
    <r>
      <t xml:space="preserve">     C.  Write reports </t>
    </r>
    <r>
      <rPr>
        <vertAlign val="superscript"/>
        <sz val="10"/>
        <color theme="1"/>
        <rFont val="Times New Roman"/>
        <family val="1"/>
      </rPr>
      <t>c</t>
    </r>
  </si>
  <si>
    <t xml:space="preserve">          i.   Initial notification</t>
  </si>
  <si>
    <t xml:space="preserve">          ii.  Notification of performance test</t>
  </si>
  <si>
    <t xml:space="preserve">          iii. Notification of compliance status</t>
  </si>
  <si>
    <t xml:space="preserve">          iv. Performance test reports </t>
  </si>
  <si>
    <r>
      <t xml:space="preserve">          v.  SSM reports </t>
    </r>
    <r>
      <rPr>
        <vertAlign val="superscript"/>
        <sz val="10"/>
        <color theme="1"/>
        <rFont val="Times New Roman"/>
        <family val="1"/>
      </rPr>
      <t>d</t>
    </r>
  </si>
  <si>
    <t xml:space="preserve">          vi. Semiannual summary report</t>
  </si>
  <si>
    <t>2.  Recordkeeping requirements</t>
  </si>
  <si>
    <r>
      <t xml:space="preserve">     A.  Read instructions </t>
    </r>
    <r>
      <rPr>
        <vertAlign val="superscript"/>
        <sz val="10"/>
        <color theme="1"/>
        <rFont val="Times New Roman"/>
        <family val="1"/>
      </rPr>
      <t>c</t>
    </r>
  </si>
  <si>
    <t xml:space="preserve">          i.  Design analysis</t>
  </si>
  <si>
    <t xml:space="preserve">          ii. Performance test oversight</t>
  </si>
  <si>
    <t xml:space="preserve">     E.  Develop record system</t>
  </si>
  <si>
    <t xml:space="preserve">     F.  Time to enter information</t>
  </si>
  <si>
    <t xml:space="preserve">     G.  Time to train personnel</t>
  </si>
  <si>
    <t>Assumptions:</t>
  </si>
  <si>
    <t>Table 2: Average Annual EPA Burden and Cost – NESHAP for Paper and Other Web Coating (40 CFR Part 63, Subpart JJJJ) (Renewal)</t>
  </si>
  <si>
    <t>Last ICR</t>
  </si>
  <si>
    <t>Hours</t>
  </si>
  <si>
    <t>Cost</t>
  </si>
  <si>
    <t>Labor Type</t>
  </si>
  <si>
    <r>
      <t>Total Compensation ($/hr)</t>
    </r>
    <r>
      <rPr>
        <sz val="10"/>
        <rFont val="Times New Roman"/>
        <family val="1"/>
      </rPr>
      <t xml:space="preserve"> </t>
    </r>
  </si>
  <si>
    <r>
      <t>Loaded Rate</t>
    </r>
    <r>
      <rPr>
        <sz val="10"/>
        <rFont val="Times New Roman"/>
        <family val="1"/>
      </rPr>
      <t xml:space="preserve"> (Rate + 110%rate)</t>
    </r>
  </si>
  <si>
    <t>Mgmt.</t>
  </si>
  <si>
    <t>Tech.</t>
  </si>
  <si>
    <t>Cler.</t>
  </si>
  <si>
    <t>Hours per Response</t>
  </si>
  <si>
    <t># hours</t>
  </si>
  <si>
    <t># responses</t>
  </si>
  <si>
    <t>hr/resp</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</si>
  <si>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</si>
  <si>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</si>
  <si>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</si>
  <si>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</si>
  <si>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</si>
  <si>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</si>
  <si>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</si>
  <si>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</si>
  <si>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</si>
  <si>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Number of Existing Respondents That Are Also New Respondents</t>
  </si>
  <si>
    <t>(E)</t>
  </si>
  <si>
    <t>Average</t>
  </si>
  <si>
    <r>
      <t>1</t>
    </r>
    <r>
      <rPr>
        <sz val="12"/>
        <color rgb="FF000000"/>
        <rFont val="Times New Roman"/>
        <family val="1"/>
      </rPr>
      <t xml:space="preserve"> </t>
    </r>
    <r>
      <rPr>
        <sz val="10"/>
        <color rgb="FF000000"/>
        <rFont val="Times New Roman"/>
        <family val="1"/>
      </rPr>
      <t>New respondents include sources with constructed and reconstructed affected facilities.</t>
    </r>
  </si>
  <si>
    <t>Total Annual Responses</t>
  </si>
  <si>
    <t>Information Collection Activity</t>
  </si>
  <si>
    <t>Number of Responses</t>
  </si>
  <si>
    <t>Number of Existing Respondents That Keep Records But Do Not Submit Reports</t>
  </si>
  <si>
    <t>Initial Notification</t>
  </si>
  <si>
    <t>Notification of performance test</t>
  </si>
  <si>
    <t>Notification of compliance status</t>
  </si>
  <si>
    <t>Performance test reports</t>
  </si>
  <si>
    <t>SSM reports</t>
  </si>
  <si>
    <t>Semiannual report</t>
  </si>
  <si>
    <t>Total</t>
  </si>
  <si>
    <t xml:space="preserve">Note: SSM reports are typically submitted with the semiannual reports. We assume that all 197 facilities use control devices, conducting emission or parametric monitoring, and all 197 will submit an additional report of non-conforming SSM 20% of the time. </t>
  </si>
  <si>
    <t>Total Annual Responses E=(BxC)+D</t>
  </si>
  <si>
    <t>Number of Respondents (E=A+B+C-D)</t>
  </si>
  <si>
    <r>
      <t xml:space="preserve">Number of New Respondents </t>
    </r>
    <r>
      <rPr>
        <b/>
        <vertAlign val="superscript"/>
        <sz val="10"/>
        <color rgb="FF000000"/>
        <rFont val="Times New Roman"/>
        <family val="1"/>
      </rPr>
      <t>1</t>
    </r>
  </si>
  <si>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</si>
  <si>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</si>
  <si>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</si>
  <si>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</si>
  <si>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</si>
  <si>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</si>
  <si>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(A)
Person hours per occurrence</t>
  </si>
  <si>
    <t>(B)
No. of occurrences per respondent per year</t>
  </si>
  <si>
    <t>(F)
Management person hours per year (Ex0.05)</t>
  </si>
  <si>
    <t>(G)
Clerical person hours per year (Ex0.1)</t>
  </si>
  <si>
    <r>
      <t xml:space="preserve">(H)
Cost, $ </t>
    </r>
    <r>
      <rPr>
        <b/>
        <vertAlign val="superscript"/>
        <sz val="10"/>
        <color theme="1"/>
        <rFont val="Times New Roman"/>
        <family val="1"/>
      </rPr>
      <t>b</t>
    </r>
  </si>
  <si>
    <t>(C) 
Person hours per respondent per year 
(C=AxB)</t>
  </si>
  <si>
    <t>Number of New Respondents</t>
  </si>
  <si>
    <r>
      <t>Capital/Startup vs. Operation and Maintenance (O&amp;M) Costs</t>
    </r>
    <r>
      <rPr>
        <sz val="8"/>
        <color theme="1"/>
        <rFont val="Times New Roman"/>
        <family val="1"/>
      </rPr>
      <t> </t>
    </r>
  </si>
  <si>
    <t>Continuous Monitoring Device</t>
  </si>
  <si>
    <t>Capital/Startup Cost for One Respondent</t>
  </si>
  <si>
    <t>Total Capital/Startup Cost,  (B X C)</t>
  </si>
  <si>
    <t>Annual O&amp;M Costs for One Respondent</t>
  </si>
  <si>
    <t>(F)</t>
  </si>
  <si>
    <t>(G)</t>
  </si>
  <si>
    <t>Parametric monitoring (contractor)</t>
  </si>
  <si>
    <t>Continuous emission monitoring system (CEMS)</t>
  </si>
  <si>
    <t>Total O&amp;M, 
(E X F)</t>
  </si>
  <si>
    <r>
      <t>Total cost</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</si>
  <si>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</si>
  <si>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 xml:space="preserve">a </t>
    </r>
    <r>
      <rPr>
        <sz val="10"/>
        <color theme="1"/>
        <rFont val="Times New Roman"/>
        <family val="1"/>
      </rPr>
      <t xml:space="preserve">We estimate an average of 197 sources during the three-year period of this ICR, and that 174 of these sources will use CPMS and 23 sources CEMS. We also estimate that 6 new sources per year will become subject to the rule. Of the new sources, one source will be using solvent recovery devices and will use CEMS to monitor emissions. </t>
    </r>
  </si>
  <si>
    <r>
      <t>Number of Respondents with O&amp;M</t>
    </r>
    <r>
      <rPr>
        <b/>
        <vertAlign val="superscript"/>
        <sz val="10"/>
        <color theme="1"/>
        <rFont val="Times New Roman"/>
        <family val="1"/>
      </rPr>
      <t xml:space="preserve"> a</t>
    </r>
  </si>
  <si>
    <t>Subtotal for Reporting Requirements</t>
  </si>
  <si>
    <t xml:space="preserve">Subtotal for Recordkeeping Requirements  </t>
  </si>
  <si>
    <r>
      <t xml:space="preserve">(D)
Respondents per year </t>
    </r>
    <r>
      <rPr>
        <b/>
        <vertAlign val="superscript"/>
        <sz val="10"/>
        <color theme="1"/>
        <rFont val="Times New Roman"/>
        <family val="1"/>
      </rPr>
      <t>a</t>
    </r>
  </si>
  <si>
    <r>
      <t>a</t>
    </r>
    <r>
      <rPr>
        <sz val="10"/>
        <rFont val="Times New Roman"/>
        <family val="1"/>
      </rPr>
      <t xml:space="preserve">  We have assumed that the average number of respondents that will be subject to this rule will be 197.  There will be eighteen additional new sources that will become subject to the rule over the three-year period of the ICR (i.e., six per year). </t>
    </r>
  </si>
  <si>
    <r>
      <t>d</t>
    </r>
    <r>
      <rPr>
        <sz val="10"/>
        <rFont val="Times New Roman"/>
        <family val="1"/>
      </rPr>
      <t xml:space="preserve">  Startup, shutdown, malfunction (SSM) reports are to be submitted twice a year with the required semiannual report, and the SSM report applies only to the estimated 174 facilities using a CMPS (see 40 CFR 63.3400).  An estimated 20 percent of the respondents using parametric monitoring will submit an additional report for a non-conforming SSM.</t>
    </r>
  </si>
  <si>
    <r>
      <t xml:space="preserve">(D) 
Respondents per year  </t>
    </r>
    <r>
      <rPr>
        <b/>
        <vertAlign val="superscript"/>
        <sz val="10"/>
        <rFont val="Times New Roman"/>
        <family val="1"/>
      </rPr>
      <t>a</t>
    </r>
  </si>
  <si>
    <r>
      <t xml:space="preserve">(H) 
Cost, $ </t>
    </r>
    <r>
      <rPr>
        <b/>
        <vertAlign val="superscript"/>
        <sz val="10"/>
        <rFont val="Times New Roman"/>
        <family val="1"/>
      </rPr>
      <t>b</t>
    </r>
  </si>
  <si>
    <r>
      <t xml:space="preserve">1. Review initial notification </t>
    </r>
    <r>
      <rPr>
        <vertAlign val="superscript"/>
        <sz val="10"/>
        <rFont val="Times New Roman"/>
        <family val="1"/>
      </rPr>
      <t>c</t>
    </r>
  </si>
  <si>
    <r>
      <t xml:space="preserve">2. Review notification of compliance status </t>
    </r>
    <r>
      <rPr>
        <vertAlign val="superscript"/>
        <sz val="10"/>
        <rFont val="Times New Roman"/>
        <family val="1"/>
      </rPr>
      <t>c</t>
    </r>
  </si>
  <si>
    <r>
      <t xml:space="preserve">3. Review SSM reports </t>
    </r>
    <r>
      <rPr>
        <vertAlign val="superscript"/>
        <sz val="10"/>
        <rFont val="Times New Roman"/>
        <family val="1"/>
      </rPr>
      <t>d</t>
    </r>
  </si>
  <si>
    <r>
      <t xml:space="preserve">4.  Review semiannual summary reports </t>
    </r>
    <r>
      <rPr>
        <vertAlign val="superscript"/>
        <sz val="10"/>
        <rFont val="Times New Roman"/>
        <family val="1"/>
      </rPr>
      <t>e</t>
    </r>
  </si>
  <si>
    <r>
      <t xml:space="preserve">5.  Review notification of performance test </t>
    </r>
    <r>
      <rPr>
        <vertAlign val="superscript"/>
        <sz val="10"/>
        <rFont val="Times New Roman"/>
        <family val="1"/>
      </rPr>
      <t>c</t>
    </r>
  </si>
  <si>
    <r>
      <t xml:space="preserve">6.  Review test results </t>
    </r>
    <r>
      <rPr>
        <vertAlign val="superscript"/>
        <sz val="10"/>
        <rFont val="Times New Roman"/>
        <family val="1"/>
      </rPr>
      <t>c, f</t>
    </r>
  </si>
  <si>
    <r>
      <t xml:space="preserve">TOTAL ANNUAL BURDEN AND COST (rounded) </t>
    </r>
    <r>
      <rPr>
        <b/>
        <vertAlign val="superscript"/>
        <sz val="10"/>
        <rFont val="Times New Roman"/>
        <family val="1"/>
      </rPr>
      <t>g</t>
    </r>
  </si>
  <si>
    <r>
      <t>c</t>
    </r>
    <r>
      <rPr>
        <sz val="10"/>
        <rFont val="Times New Roman"/>
        <family val="1"/>
      </rPr>
      <t xml:space="preserve">  We have assumed that this is a one-time activity for each new facility.</t>
    </r>
  </si>
  <si>
    <r>
      <t>d</t>
    </r>
    <r>
      <rPr>
        <sz val="10"/>
        <rFont val="Times New Roman"/>
        <family val="1"/>
      </rPr>
      <t xml:space="preserve">  Startup, shutdown, malfunction (SSM) reports are to be submitted twice a year with the required semiannual report.  However, as estimated 20 percent of the respondents using parametric monitoring will submit an additional report for a non-conforming SSM.</t>
    </r>
  </si>
  <si>
    <r>
      <t>e</t>
    </r>
    <r>
      <rPr>
        <sz val="10"/>
        <rFont val="Times New Roman"/>
        <family val="1"/>
      </rPr>
      <t xml:space="preserve">  It is assumed that the agency will review summary reports twice per year.</t>
    </r>
  </si>
  <si>
    <r>
      <t>f</t>
    </r>
    <r>
      <rPr>
        <sz val="10"/>
        <rFont val="Times New Roman"/>
        <family val="1"/>
      </rPr>
      <t xml:space="preserve">  We have assumed that it will take the agency ten hours to review test results.</t>
    </r>
  </si>
  <si>
    <r>
      <t>g</t>
    </r>
    <r>
      <rPr>
        <sz val="12"/>
        <rFont val="Times New Roman"/>
        <family val="1"/>
      </rPr>
      <t xml:space="preserve"> </t>
    </r>
    <r>
      <rPr>
        <sz val="10"/>
        <rFont val="Times New Roman"/>
        <family val="1"/>
      </rPr>
      <t>Totals have been rounded to 3 significant figures. Figures may not add exactly due to rounding.</t>
    </r>
  </si>
  <si>
    <r>
      <t xml:space="preserve">     B.  Plan activities </t>
    </r>
    <r>
      <rPr>
        <vertAlign val="superscript"/>
        <sz val="10"/>
        <rFont val="Times New Roman"/>
        <family val="1"/>
      </rPr>
      <t>c</t>
    </r>
  </si>
  <si>
    <r>
      <t xml:space="preserve">     D.  Implement activities for control devices and process equipment </t>
    </r>
    <r>
      <rPr>
        <vertAlign val="superscript"/>
        <sz val="10"/>
        <rFont val="Times New Roman"/>
        <family val="1"/>
      </rPr>
      <t>c</t>
    </r>
  </si>
  <si>
    <r>
      <t xml:space="preserve">          i.   Develop startup, shutdown, malfunction plan </t>
    </r>
    <r>
      <rPr>
        <vertAlign val="superscript"/>
        <sz val="10"/>
        <rFont val="Times New Roman"/>
        <family val="1"/>
      </rPr>
      <t>c</t>
    </r>
  </si>
  <si>
    <r>
      <t xml:space="preserve">         iii. Control equipment and maintenance plan </t>
    </r>
    <r>
      <rPr>
        <vertAlign val="superscript"/>
        <sz val="10"/>
        <rFont val="Times New Roman"/>
        <family val="1"/>
      </rPr>
      <t>c</t>
    </r>
  </si>
  <si>
    <r>
      <t xml:space="preserve">          i.  Acquisition and installation </t>
    </r>
    <r>
      <rPr>
        <vertAlign val="superscript"/>
        <sz val="10"/>
        <rFont val="Times New Roman"/>
        <family val="1"/>
      </rPr>
      <t>c</t>
    </r>
  </si>
  <si>
    <r>
      <t xml:space="preserve">         ii.  Develop plan for material used </t>
    </r>
    <r>
      <rPr>
        <vertAlign val="superscript"/>
        <sz val="10"/>
        <rFont val="Times New Roman"/>
        <family val="1"/>
      </rPr>
      <t>f</t>
    </r>
  </si>
  <si>
    <r>
      <t xml:space="preserve">     C.  Implement activities for compliance coating use </t>
    </r>
    <r>
      <rPr>
        <vertAlign val="superscript"/>
        <sz val="10"/>
        <rFont val="Times New Roman"/>
        <family val="1"/>
      </rPr>
      <t>f</t>
    </r>
  </si>
  <si>
    <r>
      <t>c</t>
    </r>
    <r>
      <rPr>
        <sz val="10"/>
        <rFont val="Times New Roman"/>
        <family val="1"/>
      </rPr>
      <t xml:space="preserve">  We have assumed that this is a one-time activity for one new facility using a solvent recovery device. </t>
    </r>
  </si>
  <si>
    <r>
      <t xml:space="preserve">          i.  Compliance calculation </t>
    </r>
    <r>
      <rPr>
        <vertAlign val="superscript"/>
        <sz val="10"/>
        <rFont val="Times New Roman"/>
        <family val="1"/>
      </rPr>
      <t>e</t>
    </r>
  </si>
  <si>
    <r>
      <t xml:space="preserve">          ii. Control equipment testing</t>
    </r>
    <r>
      <rPr>
        <vertAlign val="superscript"/>
        <sz val="10"/>
        <rFont val="Times New Roman"/>
        <family val="1"/>
      </rPr>
      <t xml:space="preserve"> f</t>
    </r>
  </si>
  <si>
    <r>
      <t xml:space="preserve">         ii.  Equipment inspection and monitoring</t>
    </r>
    <r>
      <rPr>
        <vertAlign val="superscript"/>
        <sz val="10"/>
        <rFont val="Times New Roman"/>
        <family val="1"/>
      </rPr>
      <t xml:space="preserve"> f</t>
    </r>
  </si>
  <si>
    <r>
      <t xml:space="preserve">         iii. Use of technology and systems </t>
    </r>
    <r>
      <rPr>
        <vertAlign val="superscript"/>
        <sz val="10"/>
        <rFont val="Times New Roman"/>
        <family val="1"/>
      </rPr>
      <t>f</t>
    </r>
  </si>
  <si>
    <r>
      <t xml:space="preserve">     H.  Store, file and maintain records </t>
    </r>
    <r>
      <rPr>
        <vertAlign val="superscript"/>
        <sz val="10"/>
        <rFont val="Times New Roman"/>
        <family val="1"/>
      </rPr>
      <t>g</t>
    </r>
  </si>
  <si>
    <r>
      <t xml:space="preserve">      I.  Retrieve records/reports </t>
    </r>
    <r>
      <rPr>
        <vertAlign val="superscript"/>
        <sz val="10"/>
        <rFont val="Times New Roman"/>
        <family val="1"/>
      </rPr>
      <t>g</t>
    </r>
  </si>
  <si>
    <r>
      <t xml:space="preserve">GRAND TOTAL COST (rounded) </t>
    </r>
    <r>
      <rPr>
        <b/>
        <vertAlign val="superscript"/>
        <sz val="10"/>
        <rFont val="Times New Roman"/>
        <family val="1"/>
      </rPr>
      <t>h</t>
    </r>
  </si>
  <si>
    <r>
      <t>TOTAL CAPITAL AND O&amp;M COST (rounded)</t>
    </r>
    <r>
      <rPr>
        <b/>
        <vertAlign val="superscript"/>
        <sz val="10"/>
        <rFont val="Times New Roman"/>
        <family val="1"/>
      </rPr>
      <t xml:space="preserve"> h</t>
    </r>
  </si>
  <si>
    <r>
      <t xml:space="preserve">TOTAL LABOR BURDEN AND COST (rounded) </t>
    </r>
    <r>
      <rPr>
        <b/>
        <vertAlign val="superscript"/>
        <sz val="10"/>
        <rFont val="Times New Roman"/>
        <family val="1"/>
      </rPr>
      <t>h</t>
    </r>
  </si>
  <si>
    <r>
      <t>e</t>
    </r>
    <r>
      <rPr>
        <sz val="10"/>
        <rFont val="Times New Roman"/>
        <family val="1"/>
      </rPr>
      <t xml:space="preserve">  We have assumed that 21 respondents will record activities for compliance coating use.</t>
    </r>
  </si>
  <si>
    <r>
      <t>f</t>
    </r>
    <r>
      <rPr>
        <sz val="10"/>
        <rFont val="Times New Roman"/>
        <family val="1"/>
      </rPr>
      <t xml:space="preserve">  We have assumed that 197 respondents for this activity. </t>
    </r>
  </si>
  <si>
    <r>
      <t>g</t>
    </r>
    <r>
      <rPr>
        <sz val="10"/>
        <rFont val="Times New Roman"/>
        <family val="1"/>
      </rPr>
      <t xml:space="preserve">  We have assumed that 197 respondents will be involved in the storage, filing, maintenance and retrieval of records and reports twelve times per year.</t>
    </r>
  </si>
  <si>
    <r>
      <t>h</t>
    </r>
    <r>
      <rPr>
        <sz val="10"/>
        <rFont val="Times New Roman"/>
        <family val="1"/>
      </rPr>
      <t xml:space="preserve">  Totals have been rounded to 3 significant figures. Figures may not add exactly due to rounding.</t>
    </r>
  </si>
  <si>
    <r>
      <t>b</t>
    </r>
    <r>
      <rPr>
        <sz val="10"/>
        <rFont val="Times New Roman"/>
        <family val="1"/>
      </rPr>
      <t xml:space="preserve">  This ICR uses the following labor rates:  $147.40 per hour for Executive, Administrative, and Managerial labor; $117.92 per hour for Technical labor, and $56.15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t>
    </r>
  </si>
  <si>
    <r>
      <t>b</t>
    </r>
    <r>
      <rPr>
        <sz val="10"/>
        <rFont val="Times New Roman"/>
        <family val="1"/>
      </rPr>
      <t xml:space="preserve">  This cost is based on the following labor rates which incorporates a 1.6 benefits multiplication factor to account for government overhead expenses: $65.71 for Managerial (GS-13, Step 5), $48.75 for Technical (GS-12, Step 1), and $26.38 Clerical (GS-6, Step 3).  These rates are from the Office of Personnel Management (OPM) “2018 General Schedule” which excludes locality rates of pay.</t>
    </r>
  </si>
  <si>
    <r>
      <t xml:space="preserve">Respondant Rates
</t>
    </r>
    <r>
      <rPr>
        <sz val="8"/>
        <rFont val="Times New Roman"/>
        <family val="1"/>
      </rPr>
      <t>(Source: United States Department of Labor, Bureau of Labor Statistics, September 2018, “Table 2. Civilian Workers, by occupational and industry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</si>
</sst>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General_)"/>
    <numFmt numFmtId="165" formatCode="&quot;$&quot;#,##0.00"/>
  </numFmts>
  <fonts count="41" x14ac:knownFonts="1">
    <font>
      <sz val="11"/>
      <color theme="1"/>
      <name val="Calibri"/>
      <family val="2"/>
      <scheme val="minor"/>
    </font>
    <font>
      <sz val="11"/>
      <color rgb="FFFF0000"/>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trike/>
      <sz val="10"/>
      <color rgb="FFFF0000"/>
      <name val="Times New Roman"/>
      <family val="1"/>
    </font>
    <font>
      <sz val="8"/>
      <name val="Helv"/>
    </font>
    <font>
      <b/>
      <sz val="10"/>
      <name val="Times New Roman"/>
      <family val="1"/>
    </font>
    <font>
      <sz val="8"/>
      <name val="Times New Roman"/>
      <family val="1"/>
    </font>
    <font>
      <b/>
      <u/>
      <sz val="10"/>
      <name val="Times New Roman"/>
      <family val="1"/>
    </font>
    <font>
      <sz val="10"/>
      <name val="Calibri"/>
      <family val="2"/>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vertAlign val="superscript"/>
      <sz val="12"/>
      <color rgb="FF000000"/>
      <name val="Times New Roman"/>
      <family val="1"/>
    </font>
    <font>
      <b/>
      <sz val="9"/>
      <color rgb="FF000000"/>
      <name val="Times New Roman"/>
      <family val="1"/>
    </font>
    <font>
      <b/>
      <sz val="9"/>
      <color theme="1"/>
      <name val="Times New Roman"/>
      <family val="1"/>
    </font>
    <font>
      <b/>
      <sz val="10"/>
      <color rgb="FF000000"/>
      <name val="Times New Roman"/>
      <family val="1"/>
    </font>
    <font>
      <b/>
      <vertAlign val="superscript"/>
      <sz val="10"/>
      <color rgb="FF000000"/>
      <name val="Times New Roman"/>
      <family val="1"/>
    </font>
    <font>
      <b/>
      <sz val="10"/>
      <name val="Calibri"/>
      <family val="2"/>
    </font>
    <font>
      <sz val="8"/>
      <color theme="1"/>
      <name val="Times New Roman"/>
      <family val="1"/>
    </font>
    <font>
      <b/>
      <sz val="10"/>
      <color rgb="FFFF0000"/>
      <name val="Times New Roman"/>
      <family val="1"/>
    </font>
    <font>
      <b/>
      <sz val="11"/>
      <color rgb="FFFF0000"/>
      <name val="Calibri"/>
      <family val="2"/>
      <scheme val="minor"/>
    </font>
    <font>
      <vertAlign val="superscript"/>
      <sz val="12"/>
      <name val="Times New Roman"/>
      <family val="1"/>
    </font>
    <font>
      <sz val="11"/>
      <name val="Calibri"/>
      <family val="2"/>
      <scheme val="minor"/>
    </font>
    <font>
      <vertAlign val="superscript"/>
      <sz val="10"/>
      <name val="Times New Roman"/>
      <family val="1"/>
    </font>
    <font>
      <b/>
      <vertAlign val="superscript"/>
      <sz val="10"/>
      <name val="Times New Roman"/>
      <family val="1"/>
    </font>
    <font>
      <sz val="12"/>
      <name val="Times New Roman"/>
      <family val="1"/>
    </font>
    <font>
      <i/>
      <sz val="10"/>
      <name val="Times New Roman"/>
      <family val="1"/>
    </font>
    <font>
      <b/>
      <i/>
      <sz val="10"/>
      <name val="Times New Roman"/>
      <family val="1"/>
    </font>
    <font>
      <sz val="9"/>
      <color rgb="FFFF0000"/>
      <name val="Calibri"/>
      <family val="2"/>
      <scheme val="minor"/>
    </font>
    <font>
      <sz val="9"/>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s>
  <cellStyleXfs count="2">
    <xf numFmtId="0" fontId="0" fillId="0" borderId="0"/>
    <xf numFmtId="164" fontId="13" fillId="0" borderId="0"/>
  </cellStyleXfs>
  <cellXfs count="121">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horizontal="right"/>
    </xf>
    <xf numFmtId="0" fontId="4" fillId="0" borderId="1" xfId="0" applyFont="1" applyBorder="1" applyAlignment="1">
      <alignment horizontal="center" wrapText="1"/>
    </xf>
    <xf numFmtId="0" fontId="4" fillId="0" borderId="1" xfId="0" applyFont="1" applyFill="1" applyBorder="1" applyAlignment="1">
      <alignment horizontal="center" wrapText="1"/>
    </xf>
    <xf numFmtId="0" fontId="3" fillId="0" borderId="1" xfId="0" applyFont="1" applyBorder="1" applyAlignment="1">
      <alignment horizontal="left" vertical="top" wrapText="1" indent="1"/>
    </xf>
    <xf numFmtId="0" fontId="3" fillId="0" borderId="1" xfId="0" applyFont="1" applyBorder="1" applyAlignment="1">
      <alignment horizontal="center" wrapText="1"/>
    </xf>
    <xf numFmtId="0" fontId="3" fillId="0" borderId="1" xfId="0" applyFont="1" applyFill="1" applyBorder="1" applyAlignment="1">
      <alignment horizontal="center" wrapText="1"/>
    </xf>
    <xf numFmtId="0" fontId="3" fillId="0" borderId="1" xfId="0" applyFont="1" applyBorder="1" applyAlignment="1">
      <alignment horizontal="right" wrapText="1"/>
    </xf>
    <xf numFmtId="8" fontId="3" fillId="0" borderId="1" xfId="0" applyNumberFormat="1" applyFont="1" applyBorder="1" applyAlignment="1">
      <alignment horizontal="right" wrapText="1"/>
    </xf>
    <xf numFmtId="6" fontId="8" fillId="0" borderId="1" xfId="0" applyNumberFormat="1" applyFont="1" applyBorder="1" applyAlignment="1">
      <alignment horizontal="right" wrapText="1"/>
    </xf>
    <xf numFmtId="0" fontId="4" fillId="0" borderId="0" xfId="0" applyFont="1"/>
    <xf numFmtId="0" fontId="10" fillId="0" borderId="0" xfId="0" applyFont="1"/>
    <xf numFmtId="0" fontId="10" fillId="0" borderId="0" xfId="0" applyFont="1" applyFill="1"/>
    <xf numFmtId="0" fontId="1" fillId="0" borderId="0" xfId="0" applyFont="1"/>
    <xf numFmtId="3" fontId="1" fillId="0" borderId="0" xfId="0" applyNumberFormat="1" applyFont="1"/>
    <xf numFmtId="0" fontId="4" fillId="0" borderId="1" xfId="0" applyFont="1" applyBorder="1" applyAlignment="1">
      <alignment horizontal="center" wrapText="1"/>
    </xf>
    <xf numFmtId="0" fontId="0" fillId="0" borderId="0" xfId="0" applyFill="1"/>
    <xf numFmtId="0" fontId="23" fillId="0" borderId="0" xfId="0" applyFont="1" applyAlignment="1">
      <alignment vertical="center"/>
    </xf>
    <xf numFmtId="0" fontId="0" fillId="0" borderId="0" xfId="0" applyBorder="1"/>
    <xf numFmtId="0" fontId="22" fillId="0" borderId="7" xfId="0" applyFont="1" applyBorder="1" applyAlignment="1">
      <alignment vertical="center" wrapText="1"/>
    </xf>
    <xf numFmtId="0" fontId="20"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22" fillId="0" borderId="0" xfId="0" applyFont="1" applyBorder="1" applyAlignment="1">
      <alignment vertical="center" wrapText="1"/>
    </xf>
    <xf numFmtId="0" fontId="20" fillId="0" borderId="0" xfId="0" applyFont="1" applyBorder="1" applyAlignment="1">
      <alignment vertical="center" wrapText="1"/>
    </xf>
    <xf numFmtId="0" fontId="19" fillId="2" borderId="7" xfId="0" applyFont="1" applyFill="1" applyBorder="1" applyAlignment="1">
      <alignment vertical="center" wrapText="1"/>
    </xf>
    <xf numFmtId="0" fontId="22" fillId="0" borderId="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vertical="center" wrapText="1"/>
    </xf>
    <xf numFmtId="0" fontId="26" fillId="2" borderId="7" xfId="0" applyFont="1" applyFill="1" applyBorder="1" applyAlignment="1">
      <alignment vertical="center" wrapText="1"/>
    </xf>
    <xf numFmtId="0" fontId="26" fillId="2" borderId="7" xfId="0" applyFont="1" applyFill="1" applyBorder="1" applyAlignment="1">
      <alignment horizontal="center" vertical="center" wrapText="1"/>
    </xf>
    <xf numFmtId="164" fontId="16" fillId="0" borderId="0" xfId="1" applyFont="1" applyFill="1" applyBorder="1" applyAlignment="1">
      <alignment horizontal="center" vertical="center" wrapText="1"/>
    </xf>
    <xf numFmtId="164" fontId="11" fillId="0" borderId="0" xfId="1" applyFont="1" applyFill="1" applyBorder="1" applyAlignment="1">
      <alignment horizontal="center" vertical="center" wrapText="1"/>
    </xf>
    <xf numFmtId="165" fontId="11" fillId="0" borderId="0" xfId="1" applyNumberFormat="1" applyFont="1" applyFill="1" applyBorder="1" applyAlignment="1">
      <alignment horizontal="right" wrapText="1"/>
    </xf>
    <xf numFmtId="0" fontId="3" fillId="0" borderId="0" xfId="0" applyFont="1" applyBorder="1"/>
    <xf numFmtId="0" fontId="12" fillId="0" borderId="0" xfId="0" applyFont="1"/>
    <xf numFmtId="0" fontId="12" fillId="0" borderId="0" xfId="0" applyFont="1" applyFill="1"/>
    <xf numFmtId="0" fontId="12" fillId="0" borderId="0" xfId="0" applyFont="1" applyAlignment="1">
      <alignment wrapText="1"/>
    </xf>
    <xf numFmtId="0" fontId="30" fillId="0" borderId="1" xfId="0" applyFont="1" applyBorder="1"/>
    <xf numFmtId="41" fontId="31" fillId="0" borderId="1" xfId="0" applyNumberFormat="1" applyFont="1" applyBorder="1"/>
    <xf numFmtId="0" fontId="30" fillId="0" borderId="9" xfId="0" applyFont="1" applyBorder="1"/>
    <xf numFmtId="41" fontId="30" fillId="0" borderId="9" xfId="0" applyNumberFormat="1" applyFont="1" applyBorder="1"/>
    <xf numFmtId="41" fontId="31" fillId="0" borderId="9" xfId="0" applyNumberFormat="1" applyFont="1" applyBorder="1"/>
    <xf numFmtId="0" fontId="30" fillId="0" borderId="11" xfId="0" applyFont="1" applyBorder="1"/>
    <xf numFmtId="0" fontId="30" fillId="0" borderId="10" xfId="0" applyFont="1" applyBorder="1" applyAlignment="1">
      <alignment horizontal="center"/>
    </xf>
    <xf numFmtId="0" fontId="3" fillId="0" borderId="1" xfId="0" applyFont="1" applyFill="1" applyBorder="1" applyAlignment="1">
      <alignment horizontal="left" vertical="top" wrapText="1" indent="1"/>
    </xf>
    <xf numFmtId="0" fontId="11" fillId="0" borderId="0" xfId="0" applyFont="1" applyFill="1" applyBorder="1"/>
    <xf numFmtId="0" fontId="3" fillId="0" borderId="0" xfId="0" applyFont="1" applyFill="1" applyBorder="1" applyAlignment="1">
      <alignment horizontal="right"/>
    </xf>
    <xf numFmtId="0" fontId="11" fillId="0" borderId="0" xfId="0" applyFont="1" applyBorder="1"/>
    <xf numFmtId="3" fontId="3" fillId="0" borderId="0" xfId="0" applyNumberFormat="1" applyFont="1"/>
    <xf numFmtId="164" fontId="16" fillId="0" borderId="9" xfId="1" applyFont="1" applyFill="1" applyBorder="1" applyAlignment="1">
      <alignment horizontal="center" vertical="center" wrapText="1"/>
    </xf>
    <xf numFmtId="164" fontId="11" fillId="0" borderId="9" xfId="1" applyFont="1" applyFill="1" applyBorder="1" applyAlignment="1">
      <alignment horizontal="center" vertical="center" wrapText="1"/>
    </xf>
    <xf numFmtId="165" fontId="11" fillId="0" borderId="9" xfId="1" applyNumberFormat="1" applyFont="1" applyFill="1" applyBorder="1" applyAlignment="1">
      <alignment horizontal="right" wrapText="1"/>
    </xf>
    <xf numFmtId="1" fontId="17" fillId="0" borderId="9" xfId="0" applyNumberFormat="1" applyFont="1" applyFill="1" applyBorder="1"/>
    <xf numFmtId="0" fontId="17" fillId="0" borderId="9" xfId="0" applyFont="1" applyFill="1" applyBorder="1"/>
    <xf numFmtId="0" fontId="3" fillId="0" borderId="0" xfId="0" applyFont="1" applyAlignment="1">
      <alignment vertical="center"/>
    </xf>
    <xf numFmtId="0" fontId="3" fillId="0" borderId="7" xfId="0" applyFont="1" applyBorder="1" applyAlignment="1">
      <alignment horizontal="center" vertical="center" wrapText="1"/>
    </xf>
    <xf numFmtId="0" fontId="3" fillId="0" borderId="7" xfId="0" applyFont="1" applyBorder="1" applyAlignment="1">
      <alignment vertical="center" wrapText="1"/>
    </xf>
    <xf numFmtId="6" fontId="3" fillId="0" borderId="7" xfId="0" applyNumberFormat="1" applyFont="1" applyBorder="1" applyAlignment="1">
      <alignment horizontal="center" vertical="center" wrapText="1"/>
    </xf>
    <xf numFmtId="0" fontId="4" fillId="0" borderId="7" xfId="0" applyFont="1" applyBorder="1" applyAlignment="1">
      <alignment vertical="center" wrapText="1"/>
    </xf>
    <xf numFmtId="6"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31" fillId="0" borderId="0" xfId="0" applyFont="1" applyFill="1"/>
    <xf numFmtId="0" fontId="10" fillId="0" borderId="0" xfId="0" applyFont="1" applyFill="1" applyAlignment="1">
      <alignment wrapText="1"/>
    </xf>
    <xf numFmtId="165" fontId="11" fillId="0" borderId="0" xfId="0" applyNumberFormat="1" applyFont="1" applyFill="1"/>
    <xf numFmtId="0" fontId="3" fillId="0" borderId="0" xfId="0" applyFont="1" applyFill="1" applyAlignment="1">
      <alignment wrapText="1"/>
    </xf>
    <xf numFmtId="0" fontId="11" fillId="0" borderId="0" xfId="0" applyFont="1"/>
    <xf numFmtId="0" fontId="11" fillId="0" borderId="0" xfId="0" applyFont="1" applyFill="1"/>
    <xf numFmtId="0" fontId="14" fillId="0" borderId="1" xfId="0" applyFont="1" applyBorder="1" applyAlignment="1">
      <alignment horizontal="center" wrapText="1"/>
    </xf>
    <xf numFmtId="0" fontId="11" fillId="0" borderId="1" xfId="0" applyFont="1" applyBorder="1" applyAlignment="1">
      <alignment horizontal="left" vertical="top" wrapText="1" indent="1"/>
    </xf>
    <xf numFmtId="0" fontId="11" fillId="0" borderId="1" xfId="0" applyFont="1" applyBorder="1" applyAlignment="1">
      <alignment horizontal="center" wrapText="1"/>
    </xf>
    <xf numFmtId="8" fontId="11" fillId="0" borderId="1" xfId="0" applyNumberFormat="1" applyFont="1" applyBorder="1" applyAlignment="1">
      <alignment horizontal="right" wrapText="1"/>
    </xf>
    <xf numFmtId="0" fontId="11" fillId="0" borderId="1" xfId="0" applyFont="1" applyFill="1" applyBorder="1" applyAlignment="1">
      <alignment horizontal="center" wrapText="1"/>
    </xf>
    <xf numFmtId="6" fontId="11" fillId="0" borderId="1" xfId="0" applyNumberFormat="1" applyFont="1" applyBorder="1" applyAlignment="1">
      <alignment horizontal="right" wrapText="1"/>
    </xf>
    <xf numFmtId="0" fontId="14" fillId="0" borderId="0" xfId="0" applyFont="1"/>
    <xf numFmtId="8" fontId="11" fillId="0" borderId="1" xfId="0" applyNumberFormat="1" applyFont="1" applyFill="1" applyBorder="1" applyAlignment="1">
      <alignment horizontal="right" wrapText="1"/>
    </xf>
    <xf numFmtId="0" fontId="11" fillId="0" borderId="1" xfId="0" applyFont="1" applyBorder="1" applyAlignment="1">
      <alignment horizontal="right" wrapText="1"/>
    </xf>
    <xf numFmtId="0" fontId="11" fillId="0" borderId="5" xfId="0" applyFont="1" applyBorder="1" applyAlignment="1">
      <alignment horizontal="center" wrapText="1"/>
    </xf>
    <xf numFmtId="8" fontId="11" fillId="0" borderId="2" xfId="0" applyNumberFormat="1" applyFont="1" applyBorder="1" applyAlignment="1">
      <alignment horizontal="right" wrapText="1"/>
    </xf>
    <xf numFmtId="6" fontId="38" fillId="0" borderId="2" xfId="0" applyNumberFormat="1" applyFont="1" applyBorder="1" applyAlignment="1">
      <alignment horizontal="right" wrapText="1"/>
    </xf>
    <xf numFmtId="6" fontId="38" fillId="0" borderId="2" xfId="0" applyNumberFormat="1" applyFont="1" applyFill="1" applyBorder="1" applyAlignment="1">
      <alignment horizontal="right" wrapText="1"/>
    </xf>
    <xf numFmtId="0" fontId="18" fillId="0" borderId="0" xfId="0" applyFont="1" applyBorder="1" applyAlignment="1">
      <alignment vertical="center" wrapText="1"/>
    </xf>
    <xf numFmtId="0" fontId="19" fillId="2" borderId="7" xfId="0" applyFont="1" applyFill="1" applyBorder="1" applyAlignment="1">
      <alignment horizontal="center" vertical="center" wrapText="1"/>
    </xf>
    <xf numFmtId="0" fontId="24" fillId="2" borderId="7" xfId="0" applyFont="1" applyFill="1" applyBorder="1" applyAlignment="1">
      <alignment vertical="center" wrapText="1"/>
    </xf>
    <xf numFmtId="0" fontId="3" fillId="0" borderId="0" xfId="0" applyFont="1" applyFill="1" applyAlignment="1">
      <alignment vertical="center" wrapText="1"/>
    </xf>
    <xf numFmtId="0" fontId="0" fillId="0" borderId="0" xfId="0" applyFill="1" applyAlignment="1">
      <alignment wrapText="1"/>
    </xf>
    <xf numFmtId="164" fontId="14" fillId="0" borderId="9" xfId="1" applyFont="1" applyFill="1" applyBorder="1" applyAlignment="1">
      <alignment horizontal="left" wrapText="1"/>
    </xf>
    <xf numFmtId="164" fontId="16" fillId="0" borderId="9" xfId="1" applyFont="1" applyFill="1" applyBorder="1" applyAlignment="1">
      <alignment horizontal="left" wrapText="1"/>
    </xf>
    <xf numFmtId="0" fontId="21" fillId="0" borderId="6" xfId="0" applyFont="1" applyBorder="1" applyAlignment="1">
      <alignment vertical="center" wrapText="1"/>
    </xf>
    <xf numFmtId="0" fontId="0" fillId="0" borderId="6" xfId="0" applyBorder="1" applyAlignment="1">
      <alignment wrapText="1"/>
    </xf>
    <xf numFmtId="0" fontId="28" fillId="0" borderId="9"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39" fillId="0" borderId="14" xfId="0" applyFont="1" applyBorder="1" applyAlignment="1">
      <alignment wrapText="1"/>
    </xf>
    <xf numFmtId="0" fontId="40" fillId="0" borderId="0" xfId="0" applyFont="1" applyAlignment="1">
      <alignment wrapText="1"/>
    </xf>
    <xf numFmtId="0" fontId="34" fillId="0" borderId="0" xfId="0" applyFont="1" applyAlignment="1">
      <alignment vertical="center" wrapText="1"/>
    </xf>
    <xf numFmtId="0" fontId="33" fillId="0" borderId="0" xfId="0" applyFont="1" applyAlignment="1">
      <alignment wrapText="1"/>
    </xf>
    <xf numFmtId="0" fontId="32" fillId="0" borderId="0" xfId="0" applyFont="1" applyAlignment="1">
      <alignment wrapText="1"/>
    </xf>
    <xf numFmtId="0" fontId="32" fillId="0" borderId="0" xfId="0" applyFont="1" applyFill="1" applyAlignment="1">
      <alignment wrapText="1"/>
    </xf>
    <xf numFmtId="0" fontId="33" fillId="0" borderId="0" xfId="0" applyFont="1" applyFill="1" applyAlignment="1">
      <alignment wrapText="1"/>
    </xf>
    <xf numFmtId="164" fontId="14" fillId="0" borderId="0" xfId="1" applyFont="1" applyFill="1" applyBorder="1" applyAlignment="1">
      <alignment horizontal="left" wrapText="1"/>
    </xf>
    <xf numFmtId="164" fontId="16" fillId="0" borderId="0" xfId="1" applyFont="1" applyFill="1" applyBorder="1" applyAlignment="1">
      <alignment horizontal="left" wrapText="1"/>
    </xf>
    <xf numFmtId="0" fontId="14" fillId="0" borderId="1" xfId="0" applyFont="1" applyBorder="1" applyAlignment="1">
      <alignment horizontal="left" wrapText="1"/>
    </xf>
    <xf numFmtId="0" fontId="32" fillId="0" borderId="0" xfId="0" applyFont="1" applyAlignment="1">
      <alignment horizontal="left"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3" fontId="7" fillId="0" borderId="2" xfId="0" applyNumberFormat="1" applyFont="1" applyBorder="1" applyAlignment="1">
      <alignment horizontal="center" wrapText="1"/>
    </xf>
    <xf numFmtId="3" fontId="7" fillId="0" borderId="3" xfId="0" applyNumberFormat="1" applyFont="1" applyBorder="1" applyAlignment="1">
      <alignment horizontal="center" wrapText="1"/>
    </xf>
    <xf numFmtId="3" fontId="7" fillId="0" borderId="4" xfId="0" applyNumberFormat="1" applyFont="1" applyBorder="1" applyAlignment="1">
      <alignment horizontal="center" wrapText="1"/>
    </xf>
    <xf numFmtId="0" fontId="37" fillId="0" borderId="1" xfId="0" applyFont="1" applyBorder="1" applyAlignment="1">
      <alignment horizontal="left" vertical="top" wrapText="1"/>
    </xf>
    <xf numFmtId="3" fontId="38" fillId="0" borderId="2" xfId="0" applyNumberFormat="1" applyFont="1" applyBorder="1" applyAlignment="1">
      <alignment horizontal="center" wrapText="1"/>
    </xf>
    <xf numFmtId="3" fontId="38" fillId="0" borderId="3" xfId="0" applyNumberFormat="1" applyFont="1" applyBorder="1" applyAlignment="1">
      <alignment horizontal="center" wrapText="1"/>
    </xf>
    <xf numFmtId="3" fontId="38" fillId="0" borderId="4" xfId="0" applyNumberFormat="1" applyFont="1" applyBorder="1" applyAlignment="1">
      <alignment horizontal="center" wrapText="1"/>
    </xf>
    <xf numFmtId="0" fontId="34" fillId="0" borderId="0" xfId="0" applyFont="1" applyAlignment="1">
      <alignment wrapText="1"/>
    </xf>
    <xf numFmtId="0" fontId="32" fillId="0" borderId="0" xfId="0" applyFont="1" applyFill="1" applyAlignment="1">
      <alignment vertical="center" wrapText="1"/>
    </xf>
    <xf numFmtId="3" fontId="11" fillId="0" borderId="1" xfId="0" applyNumberFormat="1" applyFont="1" applyBorder="1" applyAlignment="1">
      <alignment horizont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M25"/>
  <sheetViews>
    <sheetView tabSelected="1" workbookViewId="0">
      <selection activeCell="M11" sqref="M11"/>
    </sheetView>
  </sheetViews>
  <sheetFormatPr defaultRowHeight="15" x14ac:dyDescent="0.25"/>
  <cols>
    <col min="1" max="2" width="13.42578125" customWidth="1"/>
    <col min="3" max="3" width="12.5703125" customWidth="1"/>
    <col min="4" max="4" width="25.7109375" customWidth="1"/>
    <col min="5" max="5" width="20.140625" customWidth="1"/>
    <col min="6" max="6" width="15.42578125" customWidth="1"/>
    <col min="7" max="7" width="12.140625" customWidth="1"/>
    <col min="8" max="8" width="13" customWidth="1"/>
    <col min="9" max="9" width="16.42578125" customWidth="1"/>
    <col min="10" max="10" width="14" customWidth="1"/>
    <col min="12" max="12" width="32" customWidth="1"/>
    <col min="13" max="13" width="19.5703125" customWidth="1"/>
  </cols>
  <sheetData>
    <row r="1" spans="1:13" ht="16.5" thickBot="1" x14ac:dyDescent="0.3">
      <c r="A1" s="84"/>
      <c r="B1" s="84"/>
      <c r="C1" s="84"/>
      <c r="D1" s="84"/>
      <c r="E1" s="84"/>
      <c r="F1" s="84"/>
      <c r="G1" s="21"/>
      <c r="H1" s="21"/>
      <c r="I1" s="84"/>
      <c r="J1" s="84"/>
      <c r="K1" s="84"/>
      <c r="L1" s="84"/>
      <c r="M1" s="84"/>
    </row>
    <row r="2" spans="1:13" ht="16.5" thickBot="1" x14ac:dyDescent="0.3">
      <c r="A2" s="85" t="s">
        <v>35</v>
      </c>
      <c r="B2" s="85"/>
      <c r="C2" s="85"/>
      <c r="D2" s="85"/>
      <c r="E2" s="85"/>
      <c r="F2" s="85"/>
      <c r="I2" s="85" t="s">
        <v>48</v>
      </c>
      <c r="J2" s="85"/>
      <c r="K2" s="85"/>
      <c r="L2" s="85"/>
      <c r="M2" s="85"/>
    </row>
    <row r="3" spans="1:13" ht="24.75" thickBot="1" x14ac:dyDescent="0.3">
      <c r="A3" s="28"/>
      <c r="B3" s="86" t="s">
        <v>36</v>
      </c>
      <c r="C3" s="86"/>
      <c r="D3" s="31" t="s">
        <v>37</v>
      </c>
      <c r="E3" s="86"/>
      <c r="F3" s="86"/>
      <c r="I3" s="30" t="s">
        <v>39</v>
      </c>
      <c r="J3" s="30" t="s">
        <v>40</v>
      </c>
      <c r="K3" s="30" t="s">
        <v>42</v>
      </c>
      <c r="L3" s="30" t="s">
        <v>2</v>
      </c>
      <c r="M3" s="30" t="s">
        <v>45</v>
      </c>
    </row>
    <row r="4" spans="1:13" ht="27" customHeight="1" thickBot="1" x14ac:dyDescent="0.3">
      <c r="A4" s="32"/>
      <c r="B4" s="33" t="s">
        <v>39</v>
      </c>
      <c r="C4" s="33" t="s">
        <v>40</v>
      </c>
      <c r="D4" s="33" t="s">
        <v>42</v>
      </c>
      <c r="E4" s="33" t="s">
        <v>2</v>
      </c>
      <c r="F4" s="33" t="s">
        <v>45</v>
      </c>
      <c r="I4" s="30" t="s">
        <v>49</v>
      </c>
      <c r="J4" s="30" t="s">
        <v>35</v>
      </c>
      <c r="K4" s="30" t="s">
        <v>50</v>
      </c>
      <c r="L4" s="30" t="s">
        <v>51</v>
      </c>
      <c r="M4" s="30" t="s">
        <v>60</v>
      </c>
    </row>
    <row r="5" spans="1:13" ht="41.25" customHeight="1" thickBot="1" x14ac:dyDescent="0.3">
      <c r="A5" s="33" t="s">
        <v>38</v>
      </c>
      <c r="B5" s="32" t="s">
        <v>62</v>
      </c>
      <c r="C5" s="32" t="s">
        <v>41</v>
      </c>
      <c r="D5" s="32" t="s">
        <v>43</v>
      </c>
      <c r="E5" s="32" t="s">
        <v>44</v>
      </c>
      <c r="F5" s="32" t="s">
        <v>61</v>
      </c>
      <c r="I5" s="29" t="s">
        <v>52</v>
      </c>
      <c r="J5" s="29">
        <f>'Table 1'!E9</f>
        <v>6</v>
      </c>
      <c r="K5" s="29">
        <f>'Table 1'!C9</f>
        <v>1</v>
      </c>
      <c r="L5" s="29">
        <v>0</v>
      </c>
      <c r="M5" s="29">
        <f>(J5*K5)+L5</f>
        <v>6</v>
      </c>
    </row>
    <row r="6" spans="1:13" ht="24.75" thickBot="1" x14ac:dyDescent="0.3">
      <c r="A6" s="23">
        <v>1</v>
      </c>
      <c r="B6" s="24">
        <v>6</v>
      </c>
      <c r="C6" s="24">
        <v>185</v>
      </c>
      <c r="D6" s="24">
        <v>0</v>
      </c>
      <c r="E6" s="24">
        <v>0</v>
      </c>
      <c r="F6" s="24">
        <f>B6+C6+D6-E6</f>
        <v>191</v>
      </c>
      <c r="I6" s="24" t="s">
        <v>53</v>
      </c>
      <c r="J6" s="24">
        <f>'Table 1'!E10</f>
        <v>6</v>
      </c>
      <c r="K6" s="24">
        <f>'Table 1'!C10</f>
        <v>1</v>
      </c>
      <c r="L6" s="24">
        <v>0</v>
      </c>
      <c r="M6" s="24">
        <f t="shared" ref="M6:M10" si="0">(J6*K6)+L6</f>
        <v>6</v>
      </c>
    </row>
    <row r="7" spans="1:13" ht="24.75" thickBot="1" x14ac:dyDescent="0.3">
      <c r="A7" s="23">
        <v>2</v>
      </c>
      <c r="B7" s="24">
        <v>6</v>
      </c>
      <c r="C7" s="24">
        <v>191</v>
      </c>
      <c r="D7" s="24">
        <v>0</v>
      </c>
      <c r="E7" s="24">
        <v>0</v>
      </c>
      <c r="F7" s="24">
        <f t="shared" ref="F7:F8" si="1">B7+C7+D7-E7</f>
        <v>197</v>
      </c>
      <c r="I7" s="24" t="s">
        <v>54</v>
      </c>
      <c r="J7" s="24">
        <f>'Table 1'!E11</f>
        <v>6</v>
      </c>
      <c r="K7" s="24">
        <f>'Table 1'!C11</f>
        <v>1</v>
      </c>
      <c r="L7" s="24">
        <v>0</v>
      </c>
      <c r="M7" s="24">
        <f t="shared" si="0"/>
        <v>6</v>
      </c>
    </row>
    <row r="8" spans="1:13" ht="24.75" thickBot="1" x14ac:dyDescent="0.3">
      <c r="A8" s="23">
        <v>3</v>
      </c>
      <c r="B8" s="24">
        <v>6</v>
      </c>
      <c r="C8" s="24">
        <v>197</v>
      </c>
      <c r="D8" s="24">
        <v>0</v>
      </c>
      <c r="E8" s="24">
        <v>0</v>
      </c>
      <c r="F8" s="24">
        <f t="shared" si="1"/>
        <v>203</v>
      </c>
      <c r="I8" s="24" t="s">
        <v>55</v>
      </c>
      <c r="J8" s="24">
        <f>'Table 1'!E12</f>
        <v>6</v>
      </c>
      <c r="K8" s="24">
        <f>'Table 1'!C12</f>
        <v>1</v>
      </c>
      <c r="L8" s="24">
        <v>0</v>
      </c>
      <c r="M8" s="24">
        <f t="shared" si="0"/>
        <v>6</v>
      </c>
    </row>
    <row r="9" spans="1:13" ht="15.75" thickBot="1" x14ac:dyDescent="0.3">
      <c r="A9" s="23" t="s">
        <v>46</v>
      </c>
      <c r="B9" s="24">
        <f t="shared" ref="B9:C9" si="2">AVERAGE(B6:B8)</f>
        <v>6</v>
      </c>
      <c r="C9" s="24">
        <f t="shared" si="2"/>
        <v>191</v>
      </c>
      <c r="D9" s="24">
        <v>0</v>
      </c>
      <c r="E9" s="24">
        <v>0</v>
      </c>
      <c r="F9" s="25">
        <f>AVERAGE(F6:F8)</f>
        <v>197</v>
      </c>
      <c r="I9" s="24" t="s">
        <v>56</v>
      </c>
      <c r="J9" s="24">
        <f>'Table 1'!E13</f>
        <v>174</v>
      </c>
      <c r="K9" s="24">
        <f>'Table 1'!C13</f>
        <v>0.2</v>
      </c>
      <c r="L9" s="24">
        <v>0</v>
      </c>
      <c r="M9" s="24">
        <f t="shared" si="0"/>
        <v>34.800000000000004</v>
      </c>
    </row>
    <row r="10" spans="1:13" ht="19.5" thickBot="1" x14ac:dyDescent="0.3">
      <c r="A10" s="20" t="s">
        <v>47</v>
      </c>
      <c r="I10" s="24" t="s">
        <v>57</v>
      </c>
      <c r="J10" s="24">
        <f>'Table 1'!E14</f>
        <v>197</v>
      </c>
      <c r="K10" s="24">
        <f>'Table 1'!C14</f>
        <v>2</v>
      </c>
      <c r="L10" s="24">
        <v>0</v>
      </c>
      <c r="M10" s="24">
        <f t="shared" si="0"/>
        <v>394</v>
      </c>
    </row>
    <row r="11" spans="1:13" ht="15.75" thickBot="1" x14ac:dyDescent="0.3">
      <c r="A11" s="27"/>
      <c r="B11" s="26"/>
      <c r="C11" s="26"/>
      <c r="D11" s="26"/>
      <c r="E11" s="26"/>
      <c r="F11" s="26"/>
      <c r="I11" s="22"/>
      <c r="J11" s="24"/>
      <c r="K11" s="24"/>
      <c r="L11" s="25" t="s">
        <v>58</v>
      </c>
      <c r="M11" s="25">
        <f>SUM(M5:M10)</f>
        <v>452.8</v>
      </c>
    </row>
    <row r="12" spans="1:13" ht="54" customHeight="1" thickBot="1" x14ac:dyDescent="0.3">
      <c r="A12" s="89" t="s">
        <v>132</v>
      </c>
      <c r="B12" s="90"/>
      <c r="C12" s="90"/>
      <c r="D12" s="21"/>
      <c r="E12" s="93" t="s">
        <v>31</v>
      </c>
      <c r="F12" s="93"/>
      <c r="I12" s="91" t="s">
        <v>59</v>
      </c>
      <c r="J12" s="92"/>
      <c r="K12" s="92"/>
      <c r="L12" s="92"/>
      <c r="M12" s="92"/>
    </row>
    <row r="13" spans="1:13" ht="39" thickBot="1" x14ac:dyDescent="0.3">
      <c r="A13" s="53" t="s">
        <v>25</v>
      </c>
      <c r="B13" s="53" t="s">
        <v>26</v>
      </c>
      <c r="C13" s="53" t="s">
        <v>27</v>
      </c>
      <c r="D13" s="26"/>
      <c r="E13" s="56">
        <f>'Table 1'!F37</f>
        <v>12000</v>
      </c>
      <c r="F13" s="57" t="s">
        <v>32</v>
      </c>
    </row>
    <row r="14" spans="1:13" ht="15.75" thickBot="1" x14ac:dyDescent="0.3">
      <c r="A14" s="54" t="s">
        <v>28</v>
      </c>
      <c r="B14" s="55">
        <v>70.19</v>
      </c>
      <c r="C14" s="55">
        <f>B14+1.1*B14</f>
        <v>147.399</v>
      </c>
      <c r="E14" s="56">
        <f>M11</f>
        <v>452.8</v>
      </c>
      <c r="F14" s="57" t="s">
        <v>33</v>
      </c>
    </row>
    <row r="15" spans="1:13" ht="15.75" thickBot="1" x14ac:dyDescent="0.3">
      <c r="A15" s="54" t="s">
        <v>29</v>
      </c>
      <c r="B15" s="55">
        <v>56.15</v>
      </c>
      <c r="C15" s="55">
        <f>B15+1.1*B15</f>
        <v>117.91499999999999</v>
      </c>
      <c r="E15" s="56">
        <f>E13/E14</f>
        <v>26.501766784452297</v>
      </c>
      <c r="F15" s="57" t="s">
        <v>34</v>
      </c>
    </row>
    <row r="16" spans="1:13" ht="15.75" thickBot="1" x14ac:dyDescent="0.3">
      <c r="A16" s="54" t="s">
        <v>30</v>
      </c>
      <c r="B16" s="55">
        <v>27.15</v>
      </c>
      <c r="C16" s="55">
        <f>B16+1.1*B16</f>
        <v>57.015000000000001</v>
      </c>
    </row>
    <row r="17" spans="1:12" ht="15.75" thickBot="1" x14ac:dyDescent="0.3"/>
    <row r="18" spans="1:12" ht="16.5" thickBot="1" x14ac:dyDescent="0.3">
      <c r="A18" s="94" t="s">
        <v>76</v>
      </c>
      <c r="B18" s="95"/>
      <c r="C18" s="95"/>
      <c r="D18" s="95"/>
      <c r="E18" s="95"/>
      <c r="F18" s="95"/>
      <c r="G18" s="96"/>
      <c r="H18" s="65"/>
    </row>
    <row r="19" spans="1:12" ht="15.75" thickBot="1" x14ac:dyDescent="0.3">
      <c r="A19" s="64" t="s">
        <v>39</v>
      </c>
      <c r="B19" s="64" t="s">
        <v>40</v>
      </c>
      <c r="C19" s="64" t="s">
        <v>42</v>
      </c>
      <c r="D19" s="64" t="s">
        <v>2</v>
      </c>
      <c r="E19" s="64" t="s">
        <v>45</v>
      </c>
      <c r="F19" s="64" t="s">
        <v>81</v>
      </c>
      <c r="G19" s="64" t="s">
        <v>82</v>
      </c>
    </row>
    <row r="20" spans="1:12" ht="42" thickBot="1" x14ac:dyDescent="0.3">
      <c r="A20" s="64" t="s">
        <v>77</v>
      </c>
      <c r="B20" s="64" t="s">
        <v>78</v>
      </c>
      <c r="C20" s="64" t="s">
        <v>75</v>
      </c>
      <c r="D20" s="64" t="s">
        <v>79</v>
      </c>
      <c r="E20" s="64" t="s">
        <v>80</v>
      </c>
      <c r="F20" s="64" t="s">
        <v>89</v>
      </c>
      <c r="G20" s="64" t="s">
        <v>85</v>
      </c>
    </row>
    <row r="21" spans="1:12" ht="39" thickBot="1" x14ac:dyDescent="0.3">
      <c r="A21" s="60" t="s">
        <v>83</v>
      </c>
      <c r="B21" s="61">
        <v>10000</v>
      </c>
      <c r="C21" s="59">
        <v>5</v>
      </c>
      <c r="D21" s="61">
        <f>B21*C21</f>
        <v>50000</v>
      </c>
      <c r="E21" s="61">
        <v>25</v>
      </c>
      <c r="F21" s="59">
        <v>174</v>
      </c>
      <c r="G21" s="61">
        <f>F21*E21</f>
        <v>4350</v>
      </c>
    </row>
    <row r="22" spans="1:12" ht="65.25" customHeight="1" thickBot="1" x14ac:dyDescent="0.3">
      <c r="A22" s="60" t="s">
        <v>84</v>
      </c>
      <c r="B22" s="61">
        <v>183500</v>
      </c>
      <c r="C22" s="59">
        <v>1</v>
      </c>
      <c r="D22" s="61">
        <f>B22*C22</f>
        <v>183500</v>
      </c>
      <c r="E22" s="61">
        <v>26700</v>
      </c>
      <c r="F22" s="59">
        <v>23</v>
      </c>
      <c r="G22" s="61">
        <f>F22*E22</f>
        <v>614100</v>
      </c>
      <c r="H22" s="97"/>
      <c r="I22" s="98"/>
      <c r="J22" s="98"/>
      <c r="K22" s="98"/>
      <c r="L22" s="98"/>
    </row>
    <row r="23" spans="1:12" ht="29.25" thickBot="1" x14ac:dyDescent="0.3">
      <c r="A23" s="62" t="s">
        <v>86</v>
      </c>
      <c r="B23" s="59"/>
      <c r="C23" s="59"/>
      <c r="D23" s="61">
        <f>ROUND(SUM(D21,D22), -3)</f>
        <v>234000</v>
      </c>
      <c r="E23" s="59"/>
      <c r="F23" s="59"/>
      <c r="G23" s="63">
        <f>ROUND(SUM(G21:G22), -3)</f>
        <v>618000</v>
      </c>
    </row>
    <row r="24" spans="1:12" ht="40.5" customHeight="1" x14ac:dyDescent="0.25">
      <c r="A24" s="87" t="s">
        <v>88</v>
      </c>
      <c r="B24" s="88"/>
      <c r="C24" s="88"/>
      <c r="D24" s="88"/>
      <c r="E24" s="88"/>
      <c r="F24" s="88"/>
      <c r="G24" s="88"/>
      <c r="H24" s="66"/>
      <c r="I24" s="68"/>
      <c r="J24" s="68"/>
      <c r="K24" s="68"/>
      <c r="L24" s="68"/>
    </row>
    <row r="25" spans="1:12" ht="15.75" x14ac:dyDescent="0.25">
      <c r="A25" s="58" t="s">
        <v>87</v>
      </c>
    </row>
  </sheetData>
  <mergeCells count="12">
    <mergeCell ref="A24:G24"/>
    <mergeCell ref="A12:C12"/>
    <mergeCell ref="I12:M12"/>
    <mergeCell ref="E12:F12"/>
    <mergeCell ref="A18:G18"/>
    <mergeCell ref="H22:L22"/>
    <mergeCell ref="I1:M1"/>
    <mergeCell ref="I2:M2"/>
    <mergeCell ref="A1:F1"/>
    <mergeCell ref="A2:F2"/>
    <mergeCell ref="B3:C3"/>
    <mergeCell ref="E3:F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O49"/>
  <sheetViews>
    <sheetView topLeftCell="C1" workbookViewId="0">
      <selection activeCell="I6" sqref="I6:I39"/>
    </sheetView>
  </sheetViews>
  <sheetFormatPr defaultRowHeight="15" x14ac:dyDescent="0.25"/>
  <cols>
    <col min="1" max="1" width="45.140625" customWidth="1"/>
    <col min="2" max="2" width="14.28515625" customWidth="1"/>
    <col min="3" max="3" width="15.28515625" customWidth="1"/>
    <col min="4" max="4" width="16.28515625" customWidth="1"/>
    <col min="5" max="5" width="14.140625" customWidth="1"/>
    <col min="6" max="6" width="14.85546875" customWidth="1"/>
    <col min="7" max="8" width="14" customWidth="1"/>
    <col min="9" max="9" width="13.28515625" customWidth="1"/>
    <col min="10" max="10" width="40.85546875" customWidth="1"/>
    <col min="11" max="11" width="19.28515625" customWidth="1"/>
    <col min="12" max="12" width="10.5703125" customWidth="1"/>
    <col min="14" max="14" width="12.140625" customWidth="1"/>
  </cols>
  <sheetData>
    <row r="1" spans="1:14" ht="15.75" x14ac:dyDescent="0.25">
      <c r="A1" s="1" t="s">
        <v>0</v>
      </c>
      <c r="B1" s="2"/>
      <c r="C1" s="2"/>
      <c r="D1" s="2"/>
      <c r="E1" s="3"/>
      <c r="F1" s="2"/>
      <c r="G1" s="2"/>
      <c r="H1" s="2"/>
      <c r="I1" s="4"/>
      <c r="J1" s="2"/>
      <c r="K1" s="2"/>
      <c r="L1" s="2"/>
      <c r="M1" s="2"/>
      <c r="N1" s="2"/>
    </row>
    <row r="2" spans="1:14" x14ac:dyDescent="0.25">
      <c r="A2" s="2"/>
      <c r="B2" s="2"/>
      <c r="C2" s="2"/>
      <c r="D2" s="2"/>
      <c r="E2" s="3"/>
      <c r="F2" s="49"/>
      <c r="G2" s="49"/>
      <c r="H2" s="49"/>
      <c r="I2" s="50"/>
      <c r="J2" s="15"/>
      <c r="K2" s="2"/>
      <c r="L2" s="2"/>
      <c r="M2" s="2"/>
      <c r="N2" s="2"/>
    </row>
    <row r="3" spans="1:14" x14ac:dyDescent="0.25">
      <c r="A3" s="2"/>
      <c r="B3" s="2"/>
      <c r="C3" s="2"/>
      <c r="D3" s="2"/>
      <c r="E3" s="3"/>
      <c r="F3" s="67">
        <v>117.92</v>
      </c>
      <c r="G3" s="67">
        <v>147.4</v>
      </c>
      <c r="H3" s="67">
        <v>57.02</v>
      </c>
      <c r="I3" s="4"/>
      <c r="J3" s="14"/>
      <c r="K3" s="2"/>
      <c r="L3" s="2"/>
      <c r="M3" s="2"/>
      <c r="N3" s="2"/>
    </row>
    <row r="4" spans="1:14" ht="64.5" x14ac:dyDescent="0.25">
      <c r="A4" s="18"/>
      <c r="B4" s="5" t="s">
        <v>69</v>
      </c>
      <c r="C4" s="5" t="s">
        <v>70</v>
      </c>
      <c r="D4" s="5" t="s">
        <v>74</v>
      </c>
      <c r="E4" s="6" t="s">
        <v>92</v>
      </c>
      <c r="F4" s="5" t="s">
        <v>66</v>
      </c>
      <c r="G4" s="5" t="s">
        <v>71</v>
      </c>
      <c r="H4" s="5" t="s">
        <v>72</v>
      </c>
      <c r="I4" s="5" t="s">
        <v>73</v>
      </c>
      <c r="J4" s="14"/>
      <c r="K4" s="2"/>
      <c r="L4" s="2"/>
      <c r="M4" s="2"/>
      <c r="N4" s="2"/>
    </row>
    <row r="5" spans="1:14" x14ac:dyDescent="0.25">
      <c r="A5" s="7" t="s">
        <v>3</v>
      </c>
      <c r="B5" s="8"/>
      <c r="C5" s="8"/>
      <c r="D5" s="8"/>
      <c r="E5" s="9"/>
      <c r="F5" s="8"/>
      <c r="G5" s="8"/>
      <c r="H5" s="8"/>
      <c r="I5" s="10"/>
      <c r="J5" s="14"/>
      <c r="K5" s="38"/>
      <c r="L5" s="39"/>
      <c r="M5" s="15"/>
      <c r="N5" s="2"/>
    </row>
    <row r="6" spans="1:14" ht="39" customHeight="1" x14ac:dyDescent="0.25">
      <c r="A6" s="7" t="s">
        <v>4</v>
      </c>
      <c r="B6" s="8">
        <v>4</v>
      </c>
      <c r="C6" s="8">
        <v>1</v>
      </c>
      <c r="D6" s="8">
        <f>B6*C6</f>
        <v>4</v>
      </c>
      <c r="E6" s="9">
        <f>'Labor Rate and Summary Data'!F9</f>
        <v>197</v>
      </c>
      <c r="F6" s="8">
        <f>D6*E6</f>
        <v>788</v>
      </c>
      <c r="G6" s="8">
        <f>F6*0.05</f>
        <v>39.400000000000006</v>
      </c>
      <c r="H6" s="8">
        <f>F6*0.1</f>
        <v>78.800000000000011</v>
      </c>
      <c r="I6" s="11">
        <f>F6*$F$3+G6*$G$3+H6*$H$3</f>
        <v>103221.69600000001</v>
      </c>
      <c r="J6" s="66"/>
      <c r="K6" s="38"/>
      <c r="L6" s="39"/>
      <c r="M6" s="15"/>
      <c r="N6" s="2"/>
    </row>
    <row r="7" spans="1:14" ht="29.25" customHeight="1" x14ac:dyDescent="0.25">
      <c r="A7" s="7" t="s">
        <v>5</v>
      </c>
      <c r="B7" s="8">
        <v>4</v>
      </c>
      <c r="C7" s="8">
        <v>4</v>
      </c>
      <c r="D7" s="8">
        <f>B7*C7</f>
        <v>16</v>
      </c>
      <c r="E7" s="9">
        <f>'Labor Rate and Summary Data'!B9</f>
        <v>6</v>
      </c>
      <c r="F7" s="8">
        <f>D7*E7</f>
        <v>96</v>
      </c>
      <c r="G7" s="8">
        <f>F7*0.05</f>
        <v>4.8000000000000007</v>
      </c>
      <c r="H7" s="8">
        <f>F7*0.1</f>
        <v>9.6000000000000014</v>
      </c>
      <c r="I7" s="11">
        <f>F7*$F$3+G7*$G$3+H7*$H$3</f>
        <v>12575.232</v>
      </c>
      <c r="J7" s="14"/>
      <c r="K7" s="40"/>
      <c r="L7" s="39"/>
      <c r="M7" s="15"/>
      <c r="N7" s="2"/>
    </row>
    <row r="8" spans="1:14" ht="15.75" x14ac:dyDescent="0.25">
      <c r="A8" s="7" t="s">
        <v>6</v>
      </c>
      <c r="B8" s="8"/>
      <c r="C8" s="8"/>
      <c r="D8" s="8"/>
      <c r="E8" s="9"/>
      <c r="F8" s="8"/>
      <c r="G8" s="8"/>
      <c r="H8" s="8"/>
      <c r="I8" s="10"/>
      <c r="J8" s="14"/>
      <c r="K8" s="2"/>
      <c r="L8" s="2"/>
      <c r="M8" s="2"/>
      <c r="N8" s="2"/>
    </row>
    <row r="9" spans="1:14" x14ac:dyDescent="0.25">
      <c r="A9" s="48" t="s">
        <v>7</v>
      </c>
      <c r="B9" s="8">
        <v>2</v>
      </c>
      <c r="C9" s="8">
        <v>1</v>
      </c>
      <c r="D9" s="8">
        <f t="shared" ref="D9:D14" si="0">B9*C9</f>
        <v>2</v>
      </c>
      <c r="E9" s="9">
        <f>'Labor Rate and Summary Data'!B9</f>
        <v>6</v>
      </c>
      <c r="F9" s="8">
        <f t="shared" ref="F9:F14" si="1">D9*E9</f>
        <v>12</v>
      </c>
      <c r="G9" s="8">
        <f t="shared" ref="G9:G14" si="2">F9*0.05</f>
        <v>0.60000000000000009</v>
      </c>
      <c r="H9" s="8">
        <f t="shared" ref="H9:H14" si="3">F9*0.1</f>
        <v>1.2000000000000002</v>
      </c>
      <c r="I9" s="11">
        <f t="shared" ref="I9:I14" si="4">F9*$F$3+G9*$G$3+H9*$H$3</f>
        <v>1571.904</v>
      </c>
      <c r="J9" s="14"/>
      <c r="K9" s="104"/>
      <c r="L9" s="105"/>
      <c r="M9" s="105"/>
      <c r="N9" s="2"/>
    </row>
    <row r="10" spans="1:14" x14ac:dyDescent="0.25">
      <c r="A10" s="48" t="s">
        <v>8</v>
      </c>
      <c r="B10" s="8">
        <v>2</v>
      </c>
      <c r="C10" s="8">
        <v>1</v>
      </c>
      <c r="D10" s="8">
        <f t="shared" si="0"/>
        <v>2</v>
      </c>
      <c r="E10" s="9">
        <f>'Labor Rate and Summary Data'!B9</f>
        <v>6</v>
      </c>
      <c r="F10" s="8">
        <f t="shared" si="1"/>
        <v>12</v>
      </c>
      <c r="G10" s="8">
        <f t="shared" si="2"/>
        <v>0.60000000000000009</v>
      </c>
      <c r="H10" s="8">
        <f t="shared" si="3"/>
        <v>1.2000000000000002</v>
      </c>
      <c r="I10" s="11">
        <f t="shared" si="4"/>
        <v>1571.904</v>
      </c>
      <c r="J10" s="14"/>
      <c r="K10" s="34"/>
      <c r="L10" s="34"/>
      <c r="M10" s="34"/>
      <c r="N10" s="2"/>
    </row>
    <row r="11" spans="1:14" x14ac:dyDescent="0.25">
      <c r="A11" s="48" t="s">
        <v>9</v>
      </c>
      <c r="B11" s="8">
        <v>2</v>
      </c>
      <c r="C11" s="8">
        <v>1</v>
      </c>
      <c r="D11" s="8">
        <f t="shared" si="0"/>
        <v>2</v>
      </c>
      <c r="E11" s="9">
        <f>'Labor Rate and Summary Data'!B$9</f>
        <v>6</v>
      </c>
      <c r="F11" s="8">
        <f t="shared" si="1"/>
        <v>12</v>
      </c>
      <c r="G11" s="8">
        <f t="shared" si="2"/>
        <v>0.60000000000000009</v>
      </c>
      <c r="H11" s="8">
        <f t="shared" si="3"/>
        <v>1.2000000000000002</v>
      </c>
      <c r="I11" s="11">
        <f t="shared" si="4"/>
        <v>1571.904</v>
      </c>
      <c r="J11" s="14"/>
      <c r="K11" s="35"/>
      <c r="L11" s="36"/>
      <c r="M11" s="36"/>
      <c r="N11" s="2"/>
    </row>
    <row r="12" spans="1:14" x14ac:dyDescent="0.25">
      <c r="A12" s="48" t="s">
        <v>10</v>
      </c>
      <c r="B12" s="8">
        <v>2</v>
      </c>
      <c r="C12" s="8">
        <v>1</v>
      </c>
      <c r="D12" s="8">
        <f t="shared" si="0"/>
        <v>2</v>
      </c>
      <c r="E12" s="9">
        <f>'Labor Rate and Summary Data'!B$9</f>
        <v>6</v>
      </c>
      <c r="F12" s="8">
        <f t="shared" si="1"/>
        <v>12</v>
      </c>
      <c r="G12" s="8">
        <f t="shared" si="2"/>
        <v>0.60000000000000009</v>
      </c>
      <c r="H12" s="8">
        <f t="shared" si="3"/>
        <v>1.2000000000000002</v>
      </c>
      <c r="I12" s="11">
        <f t="shared" si="4"/>
        <v>1571.904</v>
      </c>
      <c r="J12" s="14"/>
      <c r="K12" s="35"/>
      <c r="L12" s="36"/>
      <c r="M12" s="36"/>
      <c r="N12" s="2"/>
    </row>
    <row r="13" spans="1:14" ht="16.5" customHeight="1" x14ac:dyDescent="0.25">
      <c r="A13" s="48" t="s">
        <v>11</v>
      </c>
      <c r="B13" s="8">
        <v>2</v>
      </c>
      <c r="C13" s="8">
        <v>0.2</v>
      </c>
      <c r="D13" s="8">
        <f t="shared" si="0"/>
        <v>0.4</v>
      </c>
      <c r="E13" s="9">
        <f>'Labor Rate and Summary Data'!F$21</f>
        <v>174</v>
      </c>
      <c r="F13" s="8">
        <f t="shared" si="1"/>
        <v>69.600000000000009</v>
      </c>
      <c r="G13" s="8">
        <f t="shared" si="2"/>
        <v>3.4800000000000004</v>
      </c>
      <c r="H13" s="8">
        <f t="shared" si="3"/>
        <v>6.9600000000000009</v>
      </c>
      <c r="I13" s="11">
        <f t="shared" si="4"/>
        <v>9117.0432000000019</v>
      </c>
      <c r="J13" s="66"/>
      <c r="K13" s="35"/>
      <c r="L13" s="36"/>
      <c r="M13" s="36"/>
      <c r="N13" s="2"/>
    </row>
    <row r="14" spans="1:14" x14ac:dyDescent="0.25">
      <c r="A14" s="48" t="s">
        <v>12</v>
      </c>
      <c r="B14" s="8">
        <v>4</v>
      </c>
      <c r="C14" s="8">
        <v>2</v>
      </c>
      <c r="D14" s="8">
        <f t="shared" si="0"/>
        <v>8</v>
      </c>
      <c r="E14" s="9">
        <f>'Labor Rate and Summary Data'!F$9</f>
        <v>197</v>
      </c>
      <c r="F14" s="8">
        <f t="shared" si="1"/>
        <v>1576</v>
      </c>
      <c r="G14" s="8">
        <f t="shared" si="2"/>
        <v>78.800000000000011</v>
      </c>
      <c r="H14" s="8">
        <f t="shared" si="3"/>
        <v>157.60000000000002</v>
      </c>
      <c r="I14" s="11">
        <f t="shared" si="4"/>
        <v>206443.39200000002</v>
      </c>
      <c r="J14" s="14"/>
      <c r="K14" s="37"/>
      <c r="L14" s="37"/>
      <c r="M14" s="37"/>
      <c r="N14" s="2"/>
    </row>
    <row r="15" spans="1:14" x14ac:dyDescent="0.25">
      <c r="A15" s="108" t="s">
        <v>90</v>
      </c>
      <c r="B15" s="109"/>
      <c r="C15" s="109"/>
      <c r="D15" s="109"/>
      <c r="E15" s="110"/>
      <c r="F15" s="111">
        <f>SUM(F6:H14)</f>
        <v>2964.24</v>
      </c>
      <c r="G15" s="112"/>
      <c r="H15" s="113"/>
      <c r="I15" s="12">
        <f>SUM(I6:I14)</f>
        <v>337644.97920000006</v>
      </c>
      <c r="J15" s="14"/>
      <c r="K15" s="2"/>
      <c r="L15" s="2"/>
      <c r="M15" s="2"/>
      <c r="N15" s="2"/>
    </row>
    <row r="16" spans="1:14" x14ac:dyDescent="0.25">
      <c r="A16" s="7" t="s">
        <v>13</v>
      </c>
      <c r="B16" s="8"/>
      <c r="C16" s="8"/>
      <c r="D16" s="8"/>
      <c r="E16" s="9"/>
      <c r="F16" s="8"/>
      <c r="G16" s="8"/>
      <c r="H16" s="8"/>
      <c r="I16" s="10"/>
      <c r="J16" s="14"/>
      <c r="K16" s="2"/>
      <c r="L16" s="2"/>
    </row>
    <row r="17" spans="1:15" ht="15.75" x14ac:dyDescent="0.25">
      <c r="A17" s="7" t="s">
        <v>14</v>
      </c>
      <c r="B17" s="8">
        <v>4</v>
      </c>
      <c r="C17" s="8">
        <v>1</v>
      </c>
      <c r="D17" s="8">
        <f t="shared" ref="D17:D19" si="5">B17*C17</f>
        <v>4</v>
      </c>
      <c r="E17" s="9">
        <f>'Labor Rate and Summary Data'!B$9</f>
        <v>6</v>
      </c>
      <c r="F17" s="8">
        <f t="shared" ref="F17:F19" si="6">D17*E17</f>
        <v>24</v>
      </c>
      <c r="G17" s="8">
        <f t="shared" ref="G17:G19" si="7">F17*0.05</f>
        <v>1.2000000000000002</v>
      </c>
      <c r="H17" s="8">
        <f t="shared" ref="H17:H19" si="8">F17*0.1</f>
        <v>2.4000000000000004</v>
      </c>
      <c r="I17" s="11">
        <f t="shared" ref="I17:I19" si="9">F17*$F$3+G17*$G$3+H17*$H$3</f>
        <v>3143.808</v>
      </c>
      <c r="J17" s="14"/>
      <c r="K17" s="2"/>
      <c r="L17" s="2"/>
    </row>
    <row r="18" spans="1:15" ht="15.75" x14ac:dyDescent="0.25">
      <c r="A18" s="72" t="s">
        <v>109</v>
      </c>
      <c r="B18" s="73">
        <v>15</v>
      </c>
      <c r="C18" s="73">
        <v>1</v>
      </c>
      <c r="D18" s="73">
        <f t="shared" si="5"/>
        <v>15</v>
      </c>
      <c r="E18" s="75">
        <f>'Labor Rate and Summary Data'!B$9</f>
        <v>6</v>
      </c>
      <c r="F18" s="73">
        <f t="shared" si="6"/>
        <v>90</v>
      </c>
      <c r="G18" s="73">
        <f t="shared" si="7"/>
        <v>4.5</v>
      </c>
      <c r="H18" s="73">
        <f t="shared" si="8"/>
        <v>9</v>
      </c>
      <c r="I18" s="74">
        <f t="shared" si="9"/>
        <v>11789.279999999999</v>
      </c>
      <c r="J18" s="14"/>
      <c r="K18" s="2"/>
      <c r="L18" s="2"/>
    </row>
    <row r="19" spans="1:15" ht="15.75" x14ac:dyDescent="0.25">
      <c r="A19" s="72" t="s">
        <v>115</v>
      </c>
      <c r="B19" s="73">
        <v>5</v>
      </c>
      <c r="C19" s="73">
        <v>12</v>
      </c>
      <c r="D19" s="73">
        <f t="shared" si="5"/>
        <v>60</v>
      </c>
      <c r="E19" s="75">
        <v>21</v>
      </c>
      <c r="F19" s="75">
        <f t="shared" si="6"/>
        <v>1260</v>
      </c>
      <c r="G19" s="75">
        <f t="shared" si="7"/>
        <v>63</v>
      </c>
      <c r="H19" s="75">
        <f t="shared" si="8"/>
        <v>126</v>
      </c>
      <c r="I19" s="78">
        <f t="shared" si="9"/>
        <v>165049.92000000001</v>
      </c>
      <c r="J19" s="15"/>
      <c r="K19" s="3"/>
      <c r="L19" s="2"/>
    </row>
    <row r="20" spans="1:15" ht="28.5" x14ac:dyDescent="0.25">
      <c r="A20" s="72" t="s">
        <v>110</v>
      </c>
      <c r="B20" s="73"/>
      <c r="C20" s="73"/>
      <c r="D20" s="73"/>
      <c r="E20" s="75"/>
      <c r="F20" s="73"/>
      <c r="G20" s="73"/>
      <c r="H20" s="73"/>
      <c r="I20" s="79"/>
      <c r="J20" s="14"/>
      <c r="K20" s="2"/>
      <c r="L20" s="2"/>
      <c r="M20" s="2"/>
      <c r="N20" s="2"/>
    </row>
    <row r="21" spans="1:15" x14ac:dyDescent="0.25">
      <c r="A21" s="72" t="s">
        <v>15</v>
      </c>
      <c r="B21" s="73">
        <v>12</v>
      </c>
      <c r="C21" s="73">
        <v>1</v>
      </c>
      <c r="D21" s="73">
        <f t="shared" ref="D21:D22" si="10">B21*C21</f>
        <v>12</v>
      </c>
      <c r="E21" s="75">
        <f>'Labor Rate and Summary Data'!B$9</f>
        <v>6</v>
      </c>
      <c r="F21" s="73">
        <f t="shared" ref="F21:F22" si="11">D21*E21</f>
        <v>72</v>
      </c>
      <c r="G21" s="73">
        <f t="shared" ref="G21:G22" si="12">F21*0.05</f>
        <v>3.6</v>
      </c>
      <c r="H21" s="73">
        <f t="shared" ref="H21:H22" si="13">F21*0.1</f>
        <v>7.2</v>
      </c>
      <c r="I21" s="74">
        <f t="shared" ref="I21:I22" si="14">F21*$F$3+G21*$G$3+H21*$H$3</f>
        <v>9431.4239999999991</v>
      </c>
      <c r="J21" s="14"/>
      <c r="K21" s="2"/>
      <c r="L21" s="2"/>
      <c r="M21" s="2"/>
      <c r="N21" s="2"/>
      <c r="O21" s="19"/>
    </row>
    <row r="22" spans="1:15" x14ac:dyDescent="0.25">
      <c r="A22" s="72" t="s">
        <v>16</v>
      </c>
      <c r="B22" s="73">
        <v>20</v>
      </c>
      <c r="C22" s="73">
        <v>1</v>
      </c>
      <c r="D22" s="73">
        <f t="shared" si="10"/>
        <v>20</v>
      </c>
      <c r="E22" s="75">
        <f>'Labor Rate and Summary Data'!B$9</f>
        <v>6</v>
      </c>
      <c r="F22" s="73">
        <f t="shared" si="11"/>
        <v>120</v>
      </c>
      <c r="G22" s="73">
        <f t="shared" si="12"/>
        <v>6</v>
      </c>
      <c r="H22" s="73">
        <f t="shared" si="13"/>
        <v>12</v>
      </c>
      <c r="I22" s="74">
        <f t="shared" si="14"/>
        <v>15719.039999999999</v>
      </c>
      <c r="J22" s="14"/>
      <c r="K22" s="2"/>
      <c r="L22" s="2"/>
      <c r="M22" s="2"/>
      <c r="N22" s="2"/>
    </row>
    <row r="23" spans="1:15" x14ac:dyDescent="0.25">
      <c r="A23" s="72" t="s">
        <v>17</v>
      </c>
      <c r="B23" s="73"/>
      <c r="C23" s="73"/>
      <c r="D23" s="73"/>
      <c r="E23" s="75"/>
      <c r="F23" s="73"/>
      <c r="G23" s="73"/>
      <c r="H23" s="73"/>
      <c r="I23" s="79"/>
      <c r="J23" s="14"/>
      <c r="K23" s="2"/>
      <c r="L23" s="2"/>
      <c r="M23" s="2"/>
      <c r="N23" s="2"/>
    </row>
    <row r="24" spans="1:15" ht="28.5" x14ac:dyDescent="0.25">
      <c r="A24" s="72" t="s">
        <v>111</v>
      </c>
      <c r="B24" s="80">
        <v>20</v>
      </c>
      <c r="C24" s="80">
        <v>1</v>
      </c>
      <c r="D24" s="73">
        <f t="shared" ref="D24:D26" si="15">B24*C24</f>
        <v>20</v>
      </c>
      <c r="E24" s="75">
        <f>'Labor Rate and Summary Data'!B$9</f>
        <v>6</v>
      </c>
      <c r="F24" s="73">
        <f t="shared" ref="F24:F26" si="16">D24*E24</f>
        <v>120</v>
      </c>
      <c r="G24" s="73">
        <f t="shared" ref="G24:G26" si="17">F24*0.05</f>
        <v>6</v>
      </c>
      <c r="H24" s="73">
        <f t="shared" ref="H24:H26" si="18">F24*0.1</f>
        <v>12</v>
      </c>
      <c r="I24" s="74">
        <f t="shared" ref="I24:I26" si="19">F24*$F$3+G24*$G$3+H24*$H$3</f>
        <v>15719.039999999999</v>
      </c>
      <c r="J24" s="14"/>
      <c r="K24" s="2"/>
      <c r="L24" s="2"/>
      <c r="M24" s="2"/>
      <c r="N24" s="2"/>
    </row>
    <row r="25" spans="1:15" ht="15.75" x14ac:dyDescent="0.25">
      <c r="A25" s="72" t="s">
        <v>114</v>
      </c>
      <c r="B25" s="73">
        <v>10</v>
      </c>
      <c r="C25" s="73">
        <v>1</v>
      </c>
      <c r="D25" s="73">
        <f t="shared" si="15"/>
        <v>10</v>
      </c>
      <c r="E25" s="75">
        <v>21</v>
      </c>
      <c r="F25" s="73">
        <f t="shared" si="16"/>
        <v>210</v>
      </c>
      <c r="G25" s="73">
        <f t="shared" si="17"/>
        <v>10.5</v>
      </c>
      <c r="H25" s="73">
        <f t="shared" si="18"/>
        <v>21</v>
      </c>
      <c r="I25" s="74">
        <f t="shared" si="19"/>
        <v>27508.32</v>
      </c>
      <c r="J25" s="15"/>
      <c r="K25" s="2"/>
      <c r="L25" s="2"/>
      <c r="M25" s="2"/>
      <c r="N25" s="2"/>
    </row>
    <row r="26" spans="1:15" ht="15.75" x14ac:dyDescent="0.25">
      <c r="A26" s="72" t="s">
        <v>112</v>
      </c>
      <c r="B26" s="73">
        <v>10</v>
      </c>
      <c r="C26" s="73">
        <v>1</v>
      </c>
      <c r="D26" s="73">
        <f t="shared" si="15"/>
        <v>10</v>
      </c>
      <c r="E26" s="75">
        <f>'Labor Rate and Summary Data'!B$9</f>
        <v>6</v>
      </c>
      <c r="F26" s="73">
        <f t="shared" si="16"/>
        <v>60</v>
      </c>
      <c r="G26" s="73">
        <f t="shared" si="17"/>
        <v>3</v>
      </c>
      <c r="H26" s="73">
        <f t="shared" si="18"/>
        <v>6</v>
      </c>
      <c r="I26" s="74">
        <f t="shared" si="19"/>
        <v>7859.5199999999995</v>
      </c>
      <c r="J26" s="14"/>
      <c r="K26" s="2"/>
      <c r="L26" s="2"/>
      <c r="M26" s="2"/>
      <c r="N26" s="2"/>
    </row>
    <row r="27" spans="1:15" x14ac:dyDescent="0.25">
      <c r="A27" s="72" t="s">
        <v>18</v>
      </c>
      <c r="B27" s="73"/>
      <c r="C27" s="73"/>
      <c r="D27" s="73"/>
      <c r="E27" s="75"/>
      <c r="F27" s="73"/>
      <c r="G27" s="73"/>
      <c r="H27" s="73"/>
      <c r="I27" s="79"/>
      <c r="J27" s="14"/>
      <c r="K27" s="2"/>
      <c r="L27" s="2"/>
      <c r="M27" s="2"/>
      <c r="N27" s="2"/>
    </row>
    <row r="28" spans="1:15" ht="15.75" x14ac:dyDescent="0.25">
      <c r="A28" s="72" t="s">
        <v>117</v>
      </c>
      <c r="B28" s="73">
        <v>2</v>
      </c>
      <c r="C28" s="73">
        <v>12</v>
      </c>
      <c r="D28" s="73">
        <f t="shared" ref="D28:D29" si="20">B28*C28</f>
        <v>24</v>
      </c>
      <c r="E28" s="75">
        <v>21</v>
      </c>
      <c r="F28" s="73">
        <f t="shared" ref="F28:F29" si="21">D28*E28</f>
        <v>504</v>
      </c>
      <c r="G28" s="73">
        <f t="shared" ref="G28:G29" si="22">F28*0.05</f>
        <v>25.200000000000003</v>
      </c>
      <c r="H28" s="73">
        <f t="shared" ref="H28:H29" si="23">F28*0.1</f>
        <v>50.400000000000006</v>
      </c>
      <c r="I28" s="74">
        <f t="shared" ref="I28:I29" si="24">F28*$F$3+G28*$G$3+H28*$H$3</f>
        <v>66019.968000000008</v>
      </c>
      <c r="J28" s="15"/>
      <c r="K28" s="2"/>
      <c r="L28" s="2"/>
      <c r="M28" s="2"/>
      <c r="N28" s="2"/>
    </row>
    <row r="29" spans="1:15" ht="15.75" x14ac:dyDescent="0.25">
      <c r="A29" s="72" t="s">
        <v>118</v>
      </c>
      <c r="B29" s="73">
        <v>1</v>
      </c>
      <c r="C29" s="73">
        <v>1</v>
      </c>
      <c r="D29" s="73">
        <f t="shared" si="20"/>
        <v>1</v>
      </c>
      <c r="E29" s="75">
        <f>'Labor Rate and Summary Data'!F$9</f>
        <v>197</v>
      </c>
      <c r="F29" s="73">
        <f t="shared" si="21"/>
        <v>197</v>
      </c>
      <c r="G29" s="73">
        <f t="shared" si="22"/>
        <v>9.8500000000000014</v>
      </c>
      <c r="H29" s="73">
        <f t="shared" si="23"/>
        <v>19.700000000000003</v>
      </c>
      <c r="I29" s="74">
        <f t="shared" si="24"/>
        <v>25805.424000000003</v>
      </c>
      <c r="J29" s="15"/>
      <c r="K29" s="2"/>
      <c r="L29" s="2"/>
      <c r="M29" s="2"/>
      <c r="N29" s="2"/>
    </row>
    <row r="30" spans="1:15" x14ac:dyDescent="0.25">
      <c r="A30" s="72" t="s">
        <v>19</v>
      </c>
      <c r="B30" s="73"/>
      <c r="C30" s="73"/>
      <c r="D30" s="73"/>
      <c r="E30" s="75"/>
      <c r="F30" s="73"/>
      <c r="G30" s="73"/>
      <c r="H30" s="73"/>
      <c r="I30" s="79"/>
      <c r="J30" s="15"/>
      <c r="K30" s="2"/>
      <c r="L30" s="2"/>
      <c r="M30" s="2"/>
      <c r="N30" s="2"/>
    </row>
    <row r="31" spans="1:15" ht="15.75" x14ac:dyDescent="0.25">
      <c r="A31" s="72" t="s">
        <v>113</v>
      </c>
      <c r="B31" s="73">
        <v>15</v>
      </c>
      <c r="C31" s="73">
        <v>1</v>
      </c>
      <c r="D31" s="73">
        <f t="shared" ref="D31:D35" si="25">B31*C31</f>
        <v>15</v>
      </c>
      <c r="E31" s="75">
        <f>'Labor Rate and Summary Data'!B$9</f>
        <v>6</v>
      </c>
      <c r="F31" s="73">
        <f t="shared" ref="F31:F35" si="26">D31*E31</f>
        <v>90</v>
      </c>
      <c r="G31" s="73">
        <f t="shared" ref="G31:G35" si="27">F31*0.05</f>
        <v>4.5</v>
      </c>
      <c r="H31" s="73">
        <f t="shared" ref="H31:H35" si="28">F31*0.1</f>
        <v>9</v>
      </c>
      <c r="I31" s="74">
        <f t="shared" ref="I31:I35" si="29">F31*$F$3+G31*$G$3+H31*$H$3</f>
        <v>11789.279999999999</v>
      </c>
      <c r="J31" s="15"/>
      <c r="K31" s="2"/>
      <c r="L31" s="2"/>
      <c r="M31" s="2"/>
      <c r="N31" s="2"/>
    </row>
    <row r="32" spans="1:15" ht="15.75" x14ac:dyDescent="0.25">
      <c r="A32" s="72" t="s">
        <v>119</v>
      </c>
      <c r="B32" s="73">
        <v>10</v>
      </c>
      <c r="C32" s="73">
        <v>1</v>
      </c>
      <c r="D32" s="73">
        <f t="shared" si="25"/>
        <v>10</v>
      </c>
      <c r="E32" s="75">
        <f>'Labor Rate and Summary Data'!F$9</f>
        <v>197</v>
      </c>
      <c r="F32" s="73">
        <f t="shared" si="26"/>
        <v>1970</v>
      </c>
      <c r="G32" s="73">
        <f t="shared" si="27"/>
        <v>98.5</v>
      </c>
      <c r="H32" s="73">
        <f t="shared" si="28"/>
        <v>197</v>
      </c>
      <c r="I32" s="74">
        <f t="shared" si="29"/>
        <v>258054.24</v>
      </c>
      <c r="J32" s="15"/>
      <c r="K32" s="2"/>
      <c r="L32" s="2"/>
      <c r="M32" s="2"/>
      <c r="N32" s="2"/>
    </row>
    <row r="33" spans="1:14" ht="15.75" x14ac:dyDescent="0.25">
      <c r="A33" s="72" t="s">
        <v>120</v>
      </c>
      <c r="B33" s="73">
        <v>10</v>
      </c>
      <c r="C33" s="73">
        <v>1</v>
      </c>
      <c r="D33" s="73">
        <f t="shared" si="25"/>
        <v>10</v>
      </c>
      <c r="E33" s="75">
        <f>'Labor Rate and Summary Data'!F$9</f>
        <v>197</v>
      </c>
      <c r="F33" s="73">
        <f t="shared" si="26"/>
        <v>1970</v>
      </c>
      <c r="G33" s="73">
        <f t="shared" si="27"/>
        <v>98.5</v>
      </c>
      <c r="H33" s="73">
        <f t="shared" si="28"/>
        <v>197</v>
      </c>
      <c r="I33" s="74">
        <f t="shared" si="29"/>
        <v>258054.24</v>
      </c>
      <c r="J33" s="15"/>
      <c r="K33" s="2"/>
      <c r="L33" s="2"/>
      <c r="M33" s="2"/>
      <c r="N33" s="2"/>
    </row>
    <row r="34" spans="1:14" ht="16.5" thickBot="1" x14ac:dyDescent="0.3">
      <c r="A34" s="72" t="s">
        <v>121</v>
      </c>
      <c r="B34" s="73">
        <v>0.25</v>
      </c>
      <c r="C34" s="73">
        <v>12</v>
      </c>
      <c r="D34" s="73">
        <f t="shared" si="25"/>
        <v>3</v>
      </c>
      <c r="E34" s="75">
        <f>'Labor Rate and Summary Data'!F$9</f>
        <v>197</v>
      </c>
      <c r="F34" s="73">
        <f t="shared" si="26"/>
        <v>591</v>
      </c>
      <c r="G34" s="73">
        <f t="shared" si="27"/>
        <v>29.55</v>
      </c>
      <c r="H34" s="73">
        <f t="shared" si="28"/>
        <v>59.1</v>
      </c>
      <c r="I34" s="74">
        <f t="shared" si="29"/>
        <v>77416.271999999997</v>
      </c>
      <c r="J34" s="14"/>
      <c r="K34" s="2"/>
      <c r="L34" s="2"/>
      <c r="M34" s="2"/>
      <c r="N34" s="2"/>
    </row>
    <row r="35" spans="1:14" ht="16.5" thickBot="1" x14ac:dyDescent="0.3">
      <c r="A35" s="72" t="s">
        <v>122</v>
      </c>
      <c r="B35" s="73">
        <v>0.25</v>
      </c>
      <c r="C35" s="73">
        <v>12</v>
      </c>
      <c r="D35" s="73">
        <f t="shared" si="25"/>
        <v>3</v>
      </c>
      <c r="E35" s="75">
        <f>'Labor Rate and Summary Data'!F$9</f>
        <v>197</v>
      </c>
      <c r="F35" s="73">
        <f t="shared" si="26"/>
        <v>591</v>
      </c>
      <c r="G35" s="73">
        <f t="shared" si="27"/>
        <v>29.55</v>
      </c>
      <c r="H35" s="73">
        <f t="shared" si="28"/>
        <v>59.1</v>
      </c>
      <c r="I35" s="81">
        <f t="shared" si="29"/>
        <v>77416.271999999997</v>
      </c>
      <c r="J35" s="47" t="s">
        <v>22</v>
      </c>
      <c r="K35" s="46"/>
      <c r="L35" s="2"/>
      <c r="M35" s="2"/>
      <c r="N35" s="2"/>
    </row>
    <row r="36" spans="1:14" ht="15.75" thickBot="1" x14ac:dyDescent="0.3">
      <c r="A36" s="114" t="s">
        <v>91</v>
      </c>
      <c r="B36" s="114"/>
      <c r="C36" s="114"/>
      <c r="D36" s="114"/>
      <c r="E36" s="114"/>
      <c r="F36" s="115">
        <f>SUM(F17:H35)</f>
        <v>9049.3499999999985</v>
      </c>
      <c r="G36" s="116"/>
      <c r="H36" s="117"/>
      <c r="I36" s="82">
        <f>SUM(I17:I35)</f>
        <v>1030776.048</v>
      </c>
      <c r="J36" s="43" t="s">
        <v>23</v>
      </c>
      <c r="K36" s="43" t="s">
        <v>24</v>
      </c>
      <c r="L36" s="16"/>
      <c r="M36" s="2"/>
      <c r="N36" s="2"/>
    </row>
    <row r="37" spans="1:14" ht="15.75" thickBot="1" x14ac:dyDescent="0.3">
      <c r="A37" s="106" t="s">
        <v>125</v>
      </c>
      <c r="B37" s="106"/>
      <c r="C37" s="106"/>
      <c r="D37" s="106"/>
      <c r="E37" s="106"/>
      <c r="F37" s="115">
        <f>ROUND(SUM(F15,F36), -2)</f>
        <v>12000</v>
      </c>
      <c r="G37" s="116"/>
      <c r="H37" s="117"/>
      <c r="I37" s="82">
        <f>ROUND(SUM(I36,I15), -4)</f>
        <v>1370000</v>
      </c>
      <c r="J37" s="44">
        <v>13800</v>
      </c>
      <c r="K37" s="44">
        <v>1380000</v>
      </c>
      <c r="L37" s="14"/>
      <c r="M37" s="2"/>
      <c r="N37" s="2"/>
    </row>
    <row r="38" spans="1:14" ht="15.75" thickBot="1" x14ac:dyDescent="0.3">
      <c r="A38" s="106" t="s">
        <v>124</v>
      </c>
      <c r="B38" s="106"/>
      <c r="C38" s="106"/>
      <c r="D38" s="106"/>
      <c r="E38" s="106"/>
      <c r="F38" s="106"/>
      <c r="G38" s="106"/>
      <c r="H38" s="106"/>
      <c r="I38" s="83">
        <f>ROUND('Labor Rate and Summary Data'!G23+'Labor Rate and Summary Data'!D23,-3)</f>
        <v>852000</v>
      </c>
      <c r="J38" s="44"/>
      <c r="K38" s="44">
        <v>1010000</v>
      </c>
      <c r="L38" s="14"/>
      <c r="M38" s="2"/>
      <c r="N38" s="2"/>
    </row>
    <row r="39" spans="1:14" ht="15.75" thickBot="1" x14ac:dyDescent="0.3">
      <c r="A39" s="106" t="s">
        <v>123</v>
      </c>
      <c r="B39" s="106"/>
      <c r="C39" s="106"/>
      <c r="D39" s="106"/>
      <c r="E39" s="106"/>
      <c r="F39" s="106"/>
      <c r="G39" s="106"/>
      <c r="H39" s="106"/>
      <c r="I39" s="82">
        <f>ROUND(SUM(I37:I38), -4)</f>
        <v>2220000</v>
      </c>
      <c r="J39" s="45"/>
      <c r="K39" s="44">
        <v>2390000</v>
      </c>
      <c r="L39" s="14"/>
      <c r="M39" s="2"/>
      <c r="N39" s="2"/>
    </row>
    <row r="40" spans="1:14" x14ac:dyDescent="0.25">
      <c r="A40" s="2"/>
      <c r="B40" s="2"/>
      <c r="C40" s="2"/>
      <c r="D40" s="2"/>
      <c r="E40" s="3"/>
      <c r="F40" s="2"/>
      <c r="G40" s="52"/>
      <c r="H40" s="2"/>
      <c r="I40" s="4"/>
      <c r="J40" s="14"/>
      <c r="K40" s="2"/>
      <c r="L40" s="2"/>
      <c r="M40" s="2"/>
      <c r="N40" s="2"/>
    </row>
    <row r="41" spans="1:14" x14ac:dyDescent="0.25">
      <c r="A41" s="13" t="s">
        <v>20</v>
      </c>
      <c r="B41" s="2"/>
      <c r="C41" s="2"/>
      <c r="D41" s="2"/>
      <c r="E41" s="3"/>
      <c r="F41" s="2"/>
      <c r="G41" s="2"/>
      <c r="H41" s="2"/>
      <c r="I41" s="4"/>
      <c r="J41" s="14"/>
      <c r="K41" s="2"/>
      <c r="L41" s="2"/>
      <c r="M41" s="2"/>
      <c r="N41" s="2"/>
    </row>
    <row r="42" spans="1:14" ht="30.75" customHeight="1" x14ac:dyDescent="0.25">
      <c r="A42" s="101" t="s">
        <v>93</v>
      </c>
      <c r="B42" s="100"/>
      <c r="C42" s="100"/>
      <c r="D42" s="100"/>
      <c r="E42" s="100"/>
      <c r="F42" s="100"/>
      <c r="G42" s="100"/>
      <c r="H42" s="100"/>
      <c r="I42" s="100"/>
      <c r="J42" s="14"/>
      <c r="K42" s="2"/>
      <c r="L42" s="2"/>
      <c r="M42" s="2"/>
      <c r="N42" s="2"/>
    </row>
    <row r="43" spans="1:14" ht="43.5" customHeight="1" x14ac:dyDescent="0.25">
      <c r="A43" s="107" t="s">
        <v>130</v>
      </c>
      <c r="B43" s="107"/>
      <c r="C43" s="107"/>
      <c r="D43" s="107"/>
      <c r="E43" s="107"/>
      <c r="F43" s="107"/>
      <c r="G43" s="107"/>
      <c r="H43" s="107"/>
      <c r="I43" s="107"/>
      <c r="J43" s="14"/>
      <c r="K43" s="2"/>
      <c r="L43" s="2"/>
      <c r="M43" s="2"/>
      <c r="N43" s="2"/>
    </row>
    <row r="44" spans="1:14" x14ac:dyDescent="0.25">
      <c r="A44" s="101" t="s">
        <v>116</v>
      </c>
      <c r="B44" s="100"/>
      <c r="C44" s="100"/>
      <c r="D44" s="100"/>
      <c r="E44" s="100"/>
      <c r="F44" s="100"/>
      <c r="G44" s="100"/>
      <c r="H44" s="100"/>
      <c r="I44" s="100"/>
      <c r="J44" s="14"/>
      <c r="K44" s="2"/>
      <c r="L44" s="2"/>
      <c r="M44" s="2"/>
      <c r="N44" s="2"/>
    </row>
    <row r="45" spans="1:14" ht="30.75" customHeight="1" x14ac:dyDescent="0.25">
      <c r="A45" s="101" t="s">
        <v>94</v>
      </c>
      <c r="B45" s="100"/>
      <c r="C45" s="100"/>
      <c r="D45" s="100"/>
      <c r="E45" s="100"/>
      <c r="F45" s="100"/>
      <c r="G45" s="100"/>
      <c r="H45" s="100"/>
      <c r="I45" s="100"/>
      <c r="J45" s="14"/>
      <c r="K45" s="2"/>
      <c r="L45" s="2"/>
      <c r="M45" s="2"/>
      <c r="N45" s="2"/>
    </row>
    <row r="46" spans="1:14" x14ac:dyDescent="0.25">
      <c r="A46" s="102" t="s">
        <v>126</v>
      </c>
      <c r="B46" s="103"/>
      <c r="C46" s="103"/>
      <c r="D46" s="103"/>
      <c r="E46" s="103"/>
      <c r="F46" s="103"/>
      <c r="G46" s="103"/>
      <c r="H46" s="103"/>
      <c r="I46" s="103"/>
      <c r="J46" s="66"/>
      <c r="K46" s="2"/>
      <c r="L46" s="2"/>
      <c r="M46" s="2"/>
      <c r="N46" s="2"/>
    </row>
    <row r="47" spans="1:14" x14ac:dyDescent="0.25">
      <c r="A47" s="102" t="s">
        <v>127</v>
      </c>
      <c r="B47" s="100"/>
      <c r="C47" s="100"/>
      <c r="D47" s="100"/>
      <c r="E47" s="100"/>
      <c r="F47" s="100"/>
      <c r="G47" s="100"/>
      <c r="H47" s="100"/>
      <c r="I47" s="100"/>
      <c r="J47" s="2"/>
      <c r="K47" s="2"/>
      <c r="L47" s="2"/>
      <c r="M47" s="2"/>
      <c r="N47" s="2"/>
    </row>
    <row r="48" spans="1:14" x14ac:dyDescent="0.25">
      <c r="A48" s="101" t="s">
        <v>128</v>
      </c>
      <c r="B48" s="100"/>
      <c r="C48" s="100"/>
      <c r="D48" s="100"/>
      <c r="E48" s="100"/>
      <c r="F48" s="100"/>
      <c r="G48" s="100"/>
      <c r="H48" s="100"/>
      <c r="I48" s="100"/>
      <c r="J48" s="2"/>
      <c r="K48" s="2"/>
      <c r="L48" s="2"/>
      <c r="M48" s="2"/>
      <c r="N48" s="2"/>
    </row>
    <row r="49" spans="1:9" x14ac:dyDescent="0.25">
      <c r="A49" s="99" t="s">
        <v>129</v>
      </c>
      <c r="B49" s="100"/>
      <c r="C49" s="100"/>
      <c r="D49" s="100"/>
      <c r="E49" s="100"/>
      <c r="F49" s="100"/>
      <c r="G49" s="100"/>
      <c r="H49" s="100"/>
      <c r="I49" s="100"/>
    </row>
  </sheetData>
  <mergeCells count="17">
    <mergeCell ref="K9:M9"/>
    <mergeCell ref="A38:H38"/>
    <mergeCell ref="A39:H39"/>
    <mergeCell ref="A43:I43"/>
    <mergeCell ref="A15:E15"/>
    <mergeCell ref="F15:H15"/>
    <mergeCell ref="A36:E36"/>
    <mergeCell ref="F36:H36"/>
    <mergeCell ref="A37:E37"/>
    <mergeCell ref="F37:H37"/>
    <mergeCell ref="A42:I42"/>
    <mergeCell ref="A49:I49"/>
    <mergeCell ref="A44:I44"/>
    <mergeCell ref="A45:I45"/>
    <mergeCell ref="A46:I46"/>
    <mergeCell ref="A47:I47"/>
    <mergeCell ref="A48:I48"/>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0"/>
  <sheetViews>
    <sheetView topLeftCell="A13" workbookViewId="0">
      <selection activeCell="J11" sqref="J11"/>
    </sheetView>
  </sheetViews>
  <sheetFormatPr defaultRowHeight="15" x14ac:dyDescent="0.25"/>
  <cols>
    <col min="1" max="1" width="42.42578125" customWidth="1"/>
    <col min="2" max="2" width="17.42578125" customWidth="1"/>
    <col min="3" max="3" width="17.5703125" customWidth="1"/>
    <col min="4" max="4" width="17.42578125" customWidth="1"/>
    <col min="5" max="5" width="16.28515625" customWidth="1"/>
    <col min="6" max="6" width="15.7109375" customWidth="1"/>
    <col min="7" max="7" width="16" customWidth="1"/>
    <col min="8" max="8" width="17.7109375" customWidth="1"/>
    <col min="9" max="9" width="18.28515625" customWidth="1"/>
    <col min="10" max="10" width="8.140625" customWidth="1"/>
    <col min="11" max="11" width="9.140625" customWidth="1"/>
  </cols>
  <sheetData>
    <row r="1" spans="1:12" ht="15.75" x14ac:dyDescent="0.25">
      <c r="A1" s="1" t="s">
        <v>21</v>
      </c>
      <c r="B1" s="2"/>
      <c r="C1" s="2"/>
      <c r="D1" s="2"/>
      <c r="E1" s="2"/>
      <c r="F1" s="2"/>
      <c r="G1" s="2"/>
      <c r="H1" s="2"/>
      <c r="I1" s="2"/>
    </row>
    <row r="2" spans="1:12" x14ac:dyDescent="0.25">
      <c r="A2" s="2"/>
      <c r="B2" s="2"/>
      <c r="C2" s="2"/>
      <c r="D2" s="2"/>
      <c r="E2" s="2"/>
      <c r="F2" s="49"/>
      <c r="G2" s="49"/>
      <c r="H2" s="49"/>
      <c r="I2" s="51"/>
    </row>
    <row r="3" spans="1:12" x14ac:dyDescent="0.25">
      <c r="A3" s="69"/>
      <c r="B3" s="69"/>
      <c r="C3" s="69"/>
      <c r="D3" s="69"/>
      <c r="E3" s="69"/>
      <c r="F3" s="70">
        <v>48.75</v>
      </c>
      <c r="G3" s="70">
        <v>65.709999999999994</v>
      </c>
      <c r="H3" s="70">
        <v>26.38</v>
      </c>
      <c r="I3" s="69"/>
    </row>
    <row r="4" spans="1:12" ht="51.75" x14ac:dyDescent="0.25">
      <c r="A4" s="71" t="s">
        <v>1</v>
      </c>
      <c r="B4" s="71" t="s">
        <v>63</v>
      </c>
      <c r="C4" s="71" t="s">
        <v>64</v>
      </c>
      <c r="D4" s="71" t="s">
        <v>65</v>
      </c>
      <c r="E4" s="71" t="s">
        <v>95</v>
      </c>
      <c r="F4" s="71" t="s">
        <v>66</v>
      </c>
      <c r="G4" s="71" t="s">
        <v>67</v>
      </c>
      <c r="H4" s="71" t="s">
        <v>68</v>
      </c>
      <c r="I4" s="71" t="s">
        <v>96</v>
      </c>
    </row>
    <row r="5" spans="1:12" ht="15.75" x14ac:dyDescent="0.25">
      <c r="A5" s="72" t="s">
        <v>97</v>
      </c>
      <c r="B5" s="73">
        <v>8</v>
      </c>
      <c r="C5" s="73">
        <v>1</v>
      </c>
      <c r="D5" s="73">
        <f>B5*C5</f>
        <v>8</v>
      </c>
      <c r="E5" s="73">
        <f>'Labor Rate and Summary Data'!B$9</f>
        <v>6</v>
      </c>
      <c r="F5" s="73">
        <f>D5*E5</f>
        <v>48</v>
      </c>
      <c r="G5" s="73">
        <f>F5*0.05</f>
        <v>2.4000000000000004</v>
      </c>
      <c r="H5" s="73">
        <f>F5*0.1</f>
        <v>4.8000000000000007</v>
      </c>
      <c r="I5" s="74">
        <f>F5*$F$3+G5*$G$3+H5*$H$3</f>
        <v>2624.328</v>
      </c>
    </row>
    <row r="6" spans="1:12" ht="15.75" x14ac:dyDescent="0.25">
      <c r="A6" s="72" t="s">
        <v>98</v>
      </c>
      <c r="B6" s="73">
        <v>10</v>
      </c>
      <c r="C6" s="73">
        <v>1</v>
      </c>
      <c r="D6" s="73">
        <f t="shared" ref="D6:D10" si="0">B6*C6</f>
        <v>10</v>
      </c>
      <c r="E6" s="73">
        <f>'Labor Rate and Summary Data'!B$9</f>
        <v>6</v>
      </c>
      <c r="F6" s="73">
        <f t="shared" ref="F6:F10" si="1">D6*E6</f>
        <v>60</v>
      </c>
      <c r="G6" s="73">
        <f t="shared" ref="G6:G10" si="2">F6*0.05</f>
        <v>3</v>
      </c>
      <c r="H6" s="73">
        <f t="shared" ref="H6:H10" si="3">F6*0.1</f>
        <v>6</v>
      </c>
      <c r="I6" s="74">
        <f t="shared" ref="I6:I10" si="4">F6*$F$3+G6*$G$3+H6*$H$3</f>
        <v>3280.4100000000003</v>
      </c>
    </row>
    <row r="7" spans="1:12" ht="15.75" x14ac:dyDescent="0.25">
      <c r="A7" s="72" t="s">
        <v>99</v>
      </c>
      <c r="B7" s="73">
        <v>4</v>
      </c>
      <c r="C7" s="75">
        <v>0.2</v>
      </c>
      <c r="D7" s="73">
        <f t="shared" si="0"/>
        <v>0.8</v>
      </c>
      <c r="E7" s="75">
        <f>'Table 1'!E13</f>
        <v>174</v>
      </c>
      <c r="F7" s="73">
        <f t="shared" si="1"/>
        <v>139.20000000000002</v>
      </c>
      <c r="G7" s="73">
        <f t="shared" si="2"/>
        <v>6.9600000000000009</v>
      </c>
      <c r="H7" s="73">
        <f t="shared" si="3"/>
        <v>13.920000000000002</v>
      </c>
      <c r="I7" s="74">
        <f t="shared" si="4"/>
        <v>7610.5512000000008</v>
      </c>
    </row>
    <row r="8" spans="1:12" ht="15.75" x14ac:dyDescent="0.25">
      <c r="A8" s="72" t="s">
        <v>100</v>
      </c>
      <c r="B8" s="73">
        <v>15</v>
      </c>
      <c r="C8" s="73">
        <v>2</v>
      </c>
      <c r="D8" s="73">
        <f t="shared" si="0"/>
        <v>30</v>
      </c>
      <c r="E8" s="73">
        <f>'Labor Rate and Summary Data'!F9</f>
        <v>197</v>
      </c>
      <c r="F8" s="73">
        <f t="shared" si="1"/>
        <v>5910</v>
      </c>
      <c r="G8" s="73">
        <f t="shared" si="2"/>
        <v>295.5</v>
      </c>
      <c r="H8" s="73">
        <f t="shared" si="3"/>
        <v>591</v>
      </c>
      <c r="I8" s="74">
        <f t="shared" si="4"/>
        <v>323120.38500000001</v>
      </c>
    </row>
    <row r="9" spans="1:12" ht="15.75" x14ac:dyDescent="0.25">
      <c r="A9" s="72" t="s">
        <v>101</v>
      </c>
      <c r="B9" s="73">
        <v>4</v>
      </c>
      <c r="C9" s="73">
        <v>1</v>
      </c>
      <c r="D9" s="73">
        <f t="shared" si="0"/>
        <v>4</v>
      </c>
      <c r="E9" s="73">
        <f>'Labor Rate and Summary Data'!B$9</f>
        <v>6</v>
      </c>
      <c r="F9" s="73">
        <f t="shared" si="1"/>
        <v>24</v>
      </c>
      <c r="G9" s="73">
        <f t="shared" si="2"/>
        <v>1.2000000000000002</v>
      </c>
      <c r="H9" s="73">
        <f t="shared" si="3"/>
        <v>2.4000000000000004</v>
      </c>
      <c r="I9" s="74">
        <f t="shared" si="4"/>
        <v>1312.164</v>
      </c>
      <c r="J9" s="41" t="s">
        <v>22</v>
      </c>
      <c r="K9" s="41"/>
    </row>
    <row r="10" spans="1:12" ht="15.75" x14ac:dyDescent="0.25">
      <c r="A10" s="72" t="s">
        <v>102</v>
      </c>
      <c r="B10" s="73">
        <v>10</v>
      </c>
      <c r="C10" s="73">
        <v>1</v>
      </c>
      <c r="D10" s="73">
        <f t="shared" si="0"/>
        <v>10</v>
      </c>
      <c r="E10" s="73">
        <f>'Labor Rate and Summary Data'!B$9</f>
        <v>6</v>
      </c>
      <c r="F10" s="73">
        <f t="shared" si="1"/>
        <v>60</v>
      </c>
      <c r="G10" s="73">
        <f t="shared" si="2"/>
        <v>3</v>
      </c>
      <c r="H10" s="73">
        <f t="shared" si="3"/>
        <v>6</v>
      </c>
      <c r="I10" s="74">
        <f t="shared" si="4"/>
        <v>3280.4100000000003</v>
      </c>
      <c r="J10" s="41" t="s">
        <v>23</v>
      </c>
      <c r="K10" s="41" t="s">
        <v>24</v>
      </c>
      <c r="L10" s="16"/>
    </row>
    <row r="11" spans="1:12" x14ac:dyDescent="0.25">
      <c r="A11" s="106" t="s">
        <v>103</v>
      </c>
      <c r="B11" s="106"/>
      <c r="C11" s="106"/>
      <c r="D11" s="106"/>
      <c r="E11" s="106"/>
      <c r="F11" s="120">
        <f>ROUND(SUM(F5:H10), -1)</f>
        <v>7180</v>
      </c>
      <c r="G11" s="120"/>
      <c r="H11" s="120"/>
      <c r="I11" s="76">
        <f>ROUND(SUM(I5:I10), -3)</f>
        <v>341000</v>
      </c>
      <c r="J11" s="42">
        <v>9080</v>
      </c>
      <c r="K11" s="42">
        <v>413000</v>
      </c>
      <c r="L11" s="17"/>
    </row>
    <row r="12" spans="1:12" x14ac:dyDescent="0.25">
      <c r="A12" s="69"/>
      <c r="B12" s="69"/>
      <c r="C12" s="69"/>
      <c r="D12" s="69"/>
      <c r="E12" s="69"/>
      <c r="F12" s="69"/>
      <c r="G12" s="69"/>
      <c r="H12" s="69"/>
      <c r="I12" s="69"/>
    </row>
    <row r="13" spans="1:12" x14ac:dyDescent="0.25">
      <c r="A13" s="77" t="s">
        <v>20</v>
      </c>
      <c r="B13" s="69"/>
      <c r="C13" s="69"/>
      <c r="D13" s="69"/>
      <c r="E13" s="69"/>
      <c r="F13" s="69"/>
      <c r="G13" s="69"/>
      <c r="H13" s="69"/>
      <c r="I13" s="69"/>
    </row>
    <row r="14" spans="1:12" ht="27.75" customHeight="1" x14ac:dyDescent="0.25">
      <c r="A14" s="107" t="s">
        <v>93</v>
      </c>
      <c r="B14" s="107"/>
      <c r="C14" s="107"/>
      <c r="D14" s="107"/>
      <c r="E14" s="107"/>
      <c r="F14" s="107"/>
      <c r="G14" s="107"/>
      <c r="H14" s="107"/>
      <c r="I14" s="107"/>
    </row>
    <row r="15" spans="1:12" ht="30.75" customHeight="1" x14ac:dyDescent="0.25">
      <c r="A15" s="107" t="s">
        <v>131</v>
      </c>
      <c r="B15" s="107"/>
      <c r="C15" s="107"/>
      <c r="D15" s="107"/>
      <c r="E15" s="107"/>
      <c r="F15" s="107"/>
      <c r="G15" s="107"/>
      <c r="H15" s="107"/>
      <c r="I15" s="107"/>
    </row>
    <row r="16" spans="1:12" x14ac:dyDescent="0.25">
      <c r="A16" s="101" t="s">
        <v>104</v>
      </c>
      <c r="B16" s="100"/>
      <c r="C16" s="100"/>
      <c r="D16" s="100"/>
      <c r="E16" s="100"/>
      <c r="F16" s="100"/>
      <c r="G16" s="100"/>
      <c r="H16" s="100"/>
      <c r="I16" s="100"/>
    </row>
    <row r="17" spans="1:9" ht="31.5" customHeight="1" x14ac:dyDescent="0.25">
      <c r="A17" s="107" t="s">
        <v>105</v>
      </c>
      <c r="B17" s="107"/>
      <c r="C17" s="107"/>
      <c r="D17" s="107"/>
      <c r="E17" s="107"/>
      <c r="F17" s="107"/>
      <c r="G17" s="107"/>
      <c r="H17" s="107"/>
      <c r="I17" s="107"/>
    </row>
    <row r="18" spans="1:9" x14ac:dyDescent="0.25">
      <c r="A18" s="118" t="s">
        <v>106</v>
      </c>
      <c r="B18" s="100"/>
      <c r="C18" s="100"/>
      <c r="D18" s="100"/>
      <c r="E18" s="100"/>
      <c r="F18" s="100"/>
      <c r="G18" s="100"/>
      <c r="H18" s="100"/>
      <c r="I18" s="100"/>
    </row>
    <row r="19" spans="1:9" x14ac:dyDescent="0.25">
      <c r="A19" s="118" t="s">
        <v>107</v>
      </c>
      <c r="B19" s="100"/>
      <c r="C19" s="100"/>
      <c r="D19" s="100"/>
      <c r="E19" s="100"/>
      <c r="F19" s="100"/>
      <c r="G19" s="100"/>
      <c r="H19" s="100"/>
      <c r="I19" s="100"/>
    </row>
    <row r="20" spans="1:9" x14ac:dyDescent="0.25">
      <c r="A20" s="119" t="s">
        <v>108</v>
      </c>
      <c r="B20" s="100"/>
      <c r="C20" s="100"/>
      <c r="D20" s="100"/>
      <c r="E20" s="100"/>
      <c r="F20" s="100"/>
      <c r="G20" s="100"/>
      <c r="H20" s="100"/>
      <c r="I20" s="100"/>
    </row>
    <row r="21" spans="1:9" x14ac:dyDescent="0.25">
      <c r="A21" s="2"/>
      <c r="B21" s="2"/>
      <c r="C21" s="2"/>
      <c r="D21" s="2"/>
      <c r="E21" s="2"/>
      <c r="F21" s="2"/>
      <c r="G21" s="2"/>
      <c r="H21" s="2"/>
      <c r="I21" s="2"/>
    </row>
    <row r="22" spans="1:9" x14ac:dyDescent="0.25">
      <c r="A22" s="2"/>
      <c r="B22" s="2"/>
      <c r="C22" s="2"/>
      <c r="D22" s="2"/>
      <c r="E22" s="2"/>
      <c r="F22" s="2"/>
      <c r="G22" s="2"/>
      <c r="H22" s="2"/>
      <c r="I22" s="2"/>
    </row>
    <row r="23" spans="1:9" x14ac:dyDescent="0.25">
      <c r="A23" s="2"/>
      <c r="B23" s="2"/>
      <c r="C23" s="2"/>
      <c r="D23" s="2"/>
      <c r="E23" s="2"/>
      <c r="F23" s="2"/>
      <c r="G23" s="2"/>
      <c r="H23" s="2"/>
      <c r="I23" s="2"/>
    </row>
    <row r="24" spans="1:9" x14ac:dyDescent="0.25">
      <c r="A24" s="2"/>
      <c r="B24" s="2"/>
      <c r="C24" s="2"/>
      <c r="D24" s="2"/>
      <c r="E24" s="2"/>
      <c r="F24" s="2"/>
      <c r="G24" s="2"/>
      <c r="H24" s="2"/>
      <c r="I24" s="2"/>
    </row>
    <row r="25" spans="1:9" x14ac:dyDescent="0.25">
      <c r="A25" s="2"/>
      <c r="B25" s="2"/>
      <c r="C25" s="2"/>
      <c r="D25" s="2"/>
      <c r="E25" s="2"/>
      <c r="F25" s="2"/>
      <c r="G25" s="2"/>
      <c r="H25" s="2"/>
      <c r="I25" s="2"/>
    </row>
    <row r="26" spans="1:9" x14ac:dyDescent="0.25">
      <c r="A26" s="2"/>
      <c r="B26" s="2"/>
      <c r="C26" s="2"/>
      <c r="D26" s="2"/>
      <c r="E26" s="2"/>
      <c r="F26" s="2"/>
      <c r="G26" s="2"/>
      <c r="H26" s="2"/>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row r="30" spans="1:9" x14ac:dyDescent="0.25">
      <c r="A30" s="2"/>
      <c r="B30" s="2"/>
      <c r="C30" s="2"/>
      <c r="D30" s="2"/>
      <c r="E30" s="2"/>
      <c r="F30" s="2"/>
      <c r="G30" s="2"/>
      <c r="H30" s="2"/>
      <c r="I30" s="2"/>
    </row>
  </sheetData>
  <mergeCells count="9">
    <mergeCell ref="A18:I18"/>
    <mergeCell ref="A19:I19"/>
    <mergeCell ref="A20:I20"/>
    <mergeCell ref="A11:E11"/>
    <mergeCell ref="F11:H11"/>
    <mergeCell ref="A14:I14"/>
    <mergeCell ref="A15:I15"/>
    <mergeCell ref="A17:I17"/>
    <mergeCell ref="A16:I1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Labor Rate and Summary Data</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2018-07-19T14:57:42Z</dcterms:created>
  <dcterms:modified xsi:type="dcterms:W3CDTF">2019-02-22T15:21:09Z</dcterms:modified>
</cp:coreProperties>
</file>