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B30BBBAC-B9D5-4FC7-8120-A8814477EAB5}" xr6:coauthVersionLast="36" xr6:coauthVersionMax="36" xr10:uidLastSave="{00000000-0000-0000-0000-000000000000}"/>
  <bookViews>
    <workbookView xWindow="0" yWindow="0" windowWidth="19110" windowHeight="4035" xr2:uid="{00000000-000D-0000-FFFF-FFFF00000000}"/>
  </bookViews>
  <sheets>
    <sheet name="# Respondents" sheetId="4" r:id="rId1"/>
    <sheet name="# Responses" sheetId="5" r:id="rId2"/>
    <sheet name="Respondent Burden" sheetId="1" r:id="rId3"/>
    <sheet name="Agency Burden" sheetId="3" r:id="rId4"/>
    <sheet name="Capital &amp; O&amp;M" sheetId="6" r:id="rId5"/>
  </sheets>
  <definedNames>
    <definedName name="OLE_LINK1" localSheetId="3">'Agency Burden'!#REF!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2" i="1" l="1"/>
  <c r="C12" i="5"/>
  <c r="C11" i="5"/>
  <c r="J20" i="3" l="1"/>
  <c r="G20" i="3"/>
  <c r="G39" i="1"/>
  <c r="G27" i="1"/>
  <c r="F32" i="1"/>
  <c r="F33" i="1"/>
  <c r="L10" i="3" l="1"/>
  <c r="G7" i="4"/>
  <c r="F26" i="1"/>
  <c r="F19" i="1"/>
  <c r="F24" i="1"/>
  <c r="F23" i="1"/>
  <c r="F20" i="1" l="1"/>
  <c r="G7" i="6" l="1"/>
  <c r="F13" i="1"/>
  <c r="F14" i="3" l="1"/>
  <c r="F12" i="5"/>
  <c r="E5" i="6"/>
  <c r="E8" i="6" s="1"/>
  <c r="C14" i="5"/>
  <c r="F14" i="5" s="1"/>
  <c r="C16" i="5"/>
  <c r="F16" i="5" s="1"/>
  <c r="D11" i="3"/>
  <c r="E11" i="3" s="1"/>
  <c r="D13" i="3"/>
  <c r="E13" i="3" s="1"/>
  <c r="D14" i="3"/>
  <c r="E14" i="3" s="1"/>
  <c r="D12" i="3"/>
  <c r="E12" i="3" s="1"/>
  <c r="D15" i="3"/>
  <c r="E15" i="3" s="1"/>
  <c r="F15" i="3"/>
  <c r="D16" i="3"/>
  <c r="E16" i="3" s="1"/>
  <c r="D17" i="3"/>
  <c r="E17" i="3" s="1"/>
  <c r="D19" i="3"/>
  <c r="E19" i="3" s="1"/>
  <c r="D7" i="3"/>
  <c r="E7" i="3" s="1"/>
  <c r="D8" i="3"/>
  <c r="E8" i="3" s="1"/>
  <c r="D9" i="3"/>
  <c r="E9" i="3" s="1"/>
  <c r="D6" i="3"/>
  <c r="E32" i="1"/>
  <c r="E24" i="1"/>
  <c r="G24" i="1" s="1"/>
  <c r="H24" i="1" s="1"/>
  <c r="E23" i="1"/>
  <c r="E22" i="1"/>
  <c r="G22" i="1" s="1"/>
  <c r="E19" i="1"/>
  <c r="F14" i="1"/>
  <c r="E14" i="1"/>
  <c r="E26" i="1"/>
  <c r="C18" i="5"/>
  <c r="F18" i="5" s="1"/>
  <c r="E13" i="1"/>
  <c r="E21" i="1"/>
  <c r="E20" i="1"/>
  <c r="C10" i="5"/>
  <c r="F10" i="5" s="1"/>
  <c r="G15" i="3" l="1"/>
  <c r="H15" i="3" s="1"/>
  <c r="F12" i="3"/>
  <c r="G12" i="3" s="1"/>
  <c r="H12" i="3" s="1"/>
  <c r="H5" i="6"/>
  <c r="C15" i="5"/>
  <c r="F15" i="5" s="1"/>
  <c r="F9" i="3"/>
  <c r="G9" i="3" s="1"/>
  <c r="H9" i="3" s="1"/>
  <c r="C8" i="5"/>
  <c r="F8" i="5" s="1"/>
  <c r="C13" i="5"/>
  <c r="F13" i="5" s="1"/>
  <c r="F13" i="3"/>
  <c r="G13" i="3" s="1"/>
  <c r="H13" i="3" s="1"/>
  <c r="H6" i="6"/>
  <c r="F11" i="3"/>
  <c r="G11" i="3" s="1"/>
  <c r="H11" i="3" s="1"/>
  <c r="F8" i="3"/>
  <c r="G8" i="3" s="1"/>
  <c r="H8" i="3" s="1"/>
  <c r="C7" i="5"/>
  <c r="F7" i="5" s="1"/>
  <c r="F19" i="3"/>
  <c r="G19" i="3" s="1"/>
  <c r="H19" i="3" s="1"/>
  <c r="F17" i="3"/>
  <c r="G17" i="3" s="1"/>
  <c r="F11" i="5"/>
  <c r="G14" i="3"/>
  <c r="H14" i="3" s="1"/>
  <c r="G32" i="1"/>
  <c r="I24" i="1"/>
  <c r="J24" i="1" s="1"/>
  <c r="H22" i="1"/>
  <c r="I22" i="1"/>
  <c r="G14" i="1"/>
  <c r="H14" i="1" s="1"/>
  <c r="G21" i="1"/>
  <c r="H21" i="1" s="1"/>
  <c r="G19" i="1"/>
  <c r="I19" i="1" s="1"/>
  <c r="G26" i="1"/>
  <c r="I26" i="1" s="1"/>
  <c r="G13" i="1"/>
  <c r="H13" i="1" s="1"/>
  <c r="G20" i="1"/>
  <c r="H20" i="1" s="1"/>
  <c r="E11" i="1"/>
  <c r="E9" i="1"/>
  <c r="E18" i="1"/>
  <c r="G18" i="1" s="1"/>
  <c r="H18" i="1" s="1"/>
  <c r="E6" i="3"/>
  <c r="H8" i="6" l="1"/>
  <c r="I15" i="3"/>
  <c r="J15" i="3" s="1"/>
  <c r="I32" i="1"/>
  <c r="I14" i="3"/>
  <c r="J14" i="3" s="1"/>
  <c r="I13" i="3"/>
  <c r="J13" i="3" s="1"/>
  <c r="C6" i="5"/>
  <c r="F6" i="5" s="1"/>
  <c r="F7" i="3"/>
  <c r="G7" i="3" s="1"/>
  <c r="C5" i="5"/>
  <c r="F5" i="5" s="1"/>
  <c r="F19" i="5" s="1"/>
  <c r="F6" i="3"/>
  <c r="G6" i="3" s="1"/>
  <c r="H17" i="3"/>
  <c r="I17" i="3"/>
  <c r="I11" i="3"/>
  <c r="J11" i="3" s="1"/>
  <c r="I19" i="3"/>
  <c r="J19" i="3" s="1"/>
  <c r="G23" i="1"/>
  <c r="I23" i="1" s="1"/>
  <c r="I12" i="3"/>
  <c r="J12" i="3" s="1"/>
  <c r="F16" i="3"/>
  <c r="G16" i="3" s="1"/>
  <c r="H16" i="3" s="1"/>
  <c r="I9" i="3"/>
  <c r="J9" i="3" s="1"/>
  <c r="I8" i="3"/>
  <c r="J8" i="3" s="1"/>
  <c r="H32" i="1"/>
  <c r="J22" i="1"/>
  <c r="I14" i="1"/>
  <c r="J14" i="1" s="1"/>
  <c r="I21" i="1"/>
  <c r="J21" i="1" s="1"/>
  <c r="H19" i="1"/>
  <c r="J19" i="1" s="1"/>
  <c r="I20" i="1"/>
  <c r="J20" i="1" s="1"/>
  <c r="I13" i="1"/>
  <c r="J13" i="1" s="1"/>
  <c r="H26" i="1"/>
  <c r="J26" i="1" s="1"/>
  <c r="I18" i="1"/>
  <c r="J18" i="1" s="1"/>
  <c r="G11" i="1"/>
  <c r="H11" i="1" s="1"/>
  <c r="J32" i="1" l="1"/>
  <c r="H6" i="3"/>
  <c r="I6" i="3"/>
  <c r="H7" i="3"/>
  <c r="I7" i="3"/>
  <c r="J17" i="3"/>
  <c r="H23" i="1"/>
  <c r="J23" i="1" s="1"/>
  <c r="I16" i="3"/>
  <c r="J16" i="3" s="1"/>
  <c r="I11" i="1"/>
  <c r="J11" i="1" s="1"/>
  <c r="J7" i="3" l="1"/>
  <c r="J6" i="3"/>
  <c r="E33" i="1"/>
  <c r="G33" i="1" s="1"/>
  <c r="E12" i="1"/>
  <c r="G12" i="1" s="1"/>
  <c r="H33" i="1" l="1"/>
  <c r="I33" i="1"/>
  <c r="H12" i="1"/>
  <c r="I12" i="1"/>
  <c r="G40" i="1" l="1"/>
  <c r="F23" i="5" s="1"/>
  <c r="J33" i="1"/>
  <c r="J39" i="1" s="1"/>
  <c r="J12" i="1"/>
  <c r="H7" i="6" l="1"/>
  <c r="J41" i="1" l="1"/>
  <c r="F10" i="4"/>
  <c r="E10" i="4"/>
  <c r="C8" i="4" l="1"/>
  <c r="C9" i="4" l="1"/>
  <c r="C10" i="4" s="1"/>
  <c r="M18" i="1" s="1"/>
  <c r="D8" i="4" l="1"/>
  <c r="M13" i="1" l="1"/>
  <c r="F9" i="1" s="1"/>
  <c r="G9" i="1" s="1"/>
  <c r="G8" i="4"/>
  <c r="D9" i="4" l="1"/>
  <c r="I9" i="1"/>
  <c r="H9" i="1"/>
  <c r="J9" i="1" l="1"/>
  <c r="J27" i="1" s="1"/>
  <c r="J40" i="1" s="1"/>
  <c r="G9" i="4"/>
  <c r="G10" i="4" s="1"/>
  <c r="D10" i="4"/>
</calcChain>
</file>

<file path=xl/sharedStrings.xml><?xml version="1.0" encoding="utf-8"?>
<sst xmlns="http://schemas.openxmlformats.org/spreadsheetml/2006/main" count="230" uniqueCount="181">
  <si>
    <t>(A)</t>
  </si>
  <si>
    <t>(B)</t>
  </si>
  <si>
    <t>(C)</t>
  </si>
  <si>
    <t>(D)</t>
  </si>
  <si>
    <t>(E)</t>
  </si>
  <si>
    <t>Reporting Subtotal</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</si>
  <si>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</si>
  <si>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</si>
  <si>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</si>
  <si>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</si>
  <si>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</si>
  <si>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</si>
  <si>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</si>
  <si>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</si>
  <si>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</si>
  <si>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</si>
  <si>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</si>
  <si>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</si>
  <si>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</si>
  <si>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</si>
  <si>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</si>
  <si>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</si>
  <si>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</si>
  <si>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</si>
  <si>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Source Type</t>
  </si>
  <si>
    <t>No.</t>
  </si>
  <si>
    <t>Existing</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</si>
  <si>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</si>
  <si>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</si>
  <si>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</si>
  <si>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</si>
  <si>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</si>
  <si>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</si>
  <si>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</si>
  <si>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</si>
  <si>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</si>
  <si>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</si>
  <si>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</si>
  <si>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</si>
  <si>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</si>
  <si>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</si>
  <si>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</si>
  <si>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</si>
  <si>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EPA
person-hours
per occurrence</t>
  </si>
  <si>
    <t>EPA
person-hours
per respondent
per year (AxB)</t>
  </si>
  <si>
    <t>Technical hours
per year
(CxD)</t>
  </si>
  <si>
    <t>Management
hours per year
(Ex0.05)</t>
  </si>
  <si>
    <t>Assumptions:</t>
  </si>
  <si>
    <t>Capital/Startup vs. Operation and Maintenance (O&amp;M) Costs</t>
  </si>
  <si>
    <t>Capital/Startup Cost for One Respondent</t>
  </si>
  <si>
    <t>(F)</t>
  </si>
  <si>
    <t>Number of Respondents  with O&amp;M</t>
  </si>
  <si>
    <t>(G)</t>
  </si>
  <si>
    <t>Total O&amp;M, (E X F)</t>
  </si>
  <si>
    <t>Recordkeeping Subtotal</t>
  </si>
  <si>
    <t>ERG Notes</t>
  </si>
  <si>
    <t>Labor Rates:</t>
  </si>
  <si>
    <t>hrs/response:</t>
  </si>
  <si>
    <t>Requirement</t>
  </si>
  <si>
    <t>N/A - Not Applicable</t>
  </si>
  <si>
    <t>ERG Notes:</t>
  </si>
  <si>
    <t>New</t>
  </si>
  <si>
    <t>Table 1: Annual Respondent Burden and Cost – NSPS for Oil and Natural Gas Production and Natural Gas Transmission and Distribution (40 CFR Part 60, Subpart OOOO) (Renewal)</t>
  </si>
  <si>
    <t>Table 2: Average Annual EPA Burden and Cost – NSPS for Oil and Natural Gas Production and Natural Gas Transmission and Distribution (40 CFR Part 60, Subpart OOOO) (Renewal)</t>
  </si>
  <si>
    <t>1. Applications</t>
  </si>
  <si>
    <t>N/A</t>
  </si>
  <si>
    <t>2. Survey and Studies</t>
  </si>
  <si>
    <t>3. Acquisition, installation, and utilization of technology and systems</t>
  </si>
  <si>
    <t>4. Report requirements</t>
  </si>
  <si>
    <t>a. Read instructions</t>
  </si>
  <si>
    <t>b. Required activities</t>
  </si>
  <si>
    <t>i. Notification of gas well completion</t>
  </si>
  <si>
    <t>Processing plants</t>
  </si>
  <si>
    <t>Sweetening units</t>
  </si>
  <si>
    <t>Exploration/production</t>
  </si>
  <si>
    <t>Transmission/storage</t>
  </si>
  <si>
    <t>c. Create information</t>
  </si>
  <si>
    <t>See 4E</t>
  </si>
  <si>
    <t>See 4B</t>
  </si>
  <si>
    <t>d. Gather existing information</t>
  </si>
  <si>
    <t>e. Annual reports</t>
  </si>
  <si>
    <t>i. Gas well completion/recompletion</t>
  </si>
  <si>
    <t>f. Semiannual reports</t>
  </si>
  <si>
    <t>5. Recordkeeping requirements</t>
  </si>
  <si>
    <t>See 4A</t>
  </si>
  <si>
    <t>b. Plan activities</t>
  </si>
  <si>
    <t>c. Implement activities</t>
  </si>
  <si>
    <t>d. Record data</t>
  </si>
  <si>
    <t>i. Records required by standards</t>
  </si>
  <si>
    <t>See 5C</t>
  </si>
  <si>
    <t>e. Time to transmit or disclose information</t>
  </si>
  <si>
    <t>f. Time to train personnel</t>
  </si>
  <si>
    <t>g. Time for audits</t>
  </si>
  <si>
    <t>ii. Notification of gas well recompletion</t>
  </si>
  <si>
    <t>Review annual reports</t>
  </si>
  <si>
    <t>Review semiannual reports</t>
  </si>
  <si>
    <t>i. Gas processing plant</t>
  </si>
  <si>
    <t>vii. Storage vessel</t>
  </si>
  <si>
    <t>Annual reports</t>
  </si>
  <si>
    <t>Gas well completion</t>
  </si>
  <si>
    <t>Gas well recompletion</t>
  </si>
  <si>
    <t>New gas processing plant</t>
  </si>
  <si>
    <t>New sweetening unit</t>
  </si>
  <si>
    <t>Gas well completion/recompletion</t>
  </si>
  <si>
    <t>Centrifugal compressor</t>
  </si>
  <si>
    <t>Reciprocating compressor</t>
  </si>
  <si>
    <t>Sweetening unit</t>
  </si>
  <si>
    <t>Semiannual reports</t>
  </si>
  <si>
    <t>Gas processing plant</t>
  </si>
  <si>
    <t>Production pneumatic controller</t>
  </si>
  <si>
    <t>Gas processing pneumatic controller</t>
  </si>
  <si>
    <t>Storage vessel</t>
  </si>
  <si>
    <t>vi. Gas processing pneumatic controller</t>
  </si>
  <si>
    <t>v. Production pneumatic controller</t>
  </si>
  <si>
    <t>CEM - Continuous Emission Monitoring System</t>
  </si>
  <si>
    <r>
      <t>SO</t>
    </r>
    <r>
      <rPr>
        <vertAlign val="subscript"/>
        <sz val="10"/>
        <color rgb="FF000000"/>
        <rFont val="Times New Roman"/>
        <family val="1"/>
      </rPr>
      <t>2</t>
    </r>
    <r>
      <rPr>
        <sz val="10"/>
        <color rgb="FF000000"/>
        <rFont val="Times New Roman"/>
        <family val="1"/>
      </rPr>
      <t xml:space="preserve"> CEMS (control outlet)</t>
    </r>
  </si>
  <si>
    <r>
      <t xml:space="preserve">Continuous control device monitoring for storage vessels </t>
    </r>
    <r>
      <rPr>
        <vertAlign val="superscript"/>
        <sz val="10"/>
        <color rgb="FF000000"/>
        <rFont val="Times New Roman"/>
        <family val="1"/>
      </rPr>
      <t>2</t>
    </r>
  </si>
  <si>
    <t>Total Capital/Startup Cost,  (B X C)</t>
  </si>
  <si>
    <r>
      <t xml:space="preserve">Continuous control device monitoring for centrifugal compressors </t>
    </r>
    <r>
      <rPr>
        <vertAlign val="superscript"/>
        <sz val="10"/>
        <color rgb="FF000000"/>
        <rFont val="Times New Roman"/>
        <family val="1"/>
      </rPr>
      <t>2</t>
    </r>
  </si>
  <si>
    <r>
      <t xml:space="preserve">Annual O&amp;M Costs for One Respondent </t>
    </r>
    <r>
      <rPr>
        <vertAlign val="superscript"/>
        <sz val="10"/>
        <color rgb="FF000000"/>
        <rFont val="Times New Roman"/>
        <family val="1"/>
      </rPr>
      <t>1</t>
    </r>
  </si>
  <si>
    <r>
      <t>1</t>
    </r>
    <r>
      <rPr>
        <sz val="10"/>
        <color theme="1"/>
        <rFont val="Times New Roman"/>
        <family val="1"/>
      </rPr>
      <t xml:space="preserve"> Annual O&amp;M costs for centrifugal compressors and storage vessels were calculated assuming 2 hours per month at $33.51 per hour.</t>
    </r>
  </si>
  <si>
    <r>
      <t>2</t>
    </r>
    <r>
      <rPr>
        <sz val="10"/>
        <color theme="1"/>
        <rFont val="Times New Roman"/>
        <family val="1"/>
      </rPr>
      <t xml:space="preserve"> Capital/Startup costs for continuous control device monitoring were included in storage vessel and centrifugal compressor control device costs.</t>
    </r>
  </si>
  <si>
    <t>-prev renewal: 3,230 responses, 21 hrs/response.</t>
  </si>
  <si>
    <r>
      <t xml:space="preserve">a. Familiarization with the rule requirements </t>
    </r>
    <r>
      <rPr>
        <vertAlign val="superscript"/>
        <sz val="10"/>
        <rFont val="Times New Roman"/>
        <family val="1"/>
      </rPr>
      <t>c</t>
    </r>
  </si>
  <si>
    <r>
      <t xml:space="preserve">i. Notification of gas well completion </t>
    </r>
    <r>
      <rPr>
        <vertAlign val="superscript"/>
        <sz val="10"/>
        <rFont val="Times New Roman"/>
        <family val="1"/>
      </rPr>
      <t>d</t>
    </r>
  </si>
  <si>
    <r>
      <t xml:space="preserve">i. Gas well completion/recompletion </t>
    </r>
    <r>
      <rPr>
        <vertAlign val="superscript"/>
        <sz val="10"/>
        <rFont val="Times New Roman"/>
        <family val="1"/>
      </rPr>
      <t>d</t>
    </r>
  </si>
  <si>
    <r>
      <t xml:space="preserve">v. Production pneumatic controller </t>
    </r>
    <r>
      <rPr>
        <vertAlign val="superscript"/>
        <sz val="10"/>
        <rFont val="Times New Roman"/>
        <family val="1"/>
      </rPr>
      <t>i</t>
    </r>
  </si>
  <si>
    <r>
      <t xml:space="preserve">vi. Gas processing pneumatic controller </t>
    </r>
    <r>
      <rPr>
        <vertAlign val="superscript"/>
        <sz val="10"/>
        <rFont val="Times New Roman"/>
        <family val="1"/>
      </rPr>
      <t>j</t>
    </r>
  </si>
  <si>
    <r>
      <t xml:space="preserve">vii. Storage vessel </t>
    </r>
    <r>
      <rPr>
        <vertAlign val="superscript"/>
        <sz val="10"/>
        <rFont val="Times New Roman"/>
        <family val="1"/>
      </rPr>
      <t>k</t>
    </r>
  </si>
  <si>
    <r>
      <t xml:space="preserve">i. Gas processing plant </t>
    </r>
    <r>
      <rPr>
        <vertAlign val="superscript"/>
        <sz val="10"/>
        <rFont val="Times New Roman"/>
        <family val="1"/>
      </rPr>
      <t>l</t>
    </r>
  </si>
  <si>
    <r>
      <t xml:space="preserve">ii. Notification of gas well recompletion </t>
    </r>
    <r>
      <rPr>
        <vertAlign val="superscript"/>
        <sz val="10"/>
        <rFont val="Times New Roman"/>
        <family val="1"/>
      </rPr>
      <t>d</t>
    </r>
  </si>
  <si>
    <t>c  This burden represents the time existing respondents spend re-familiarizing themselves with rule requirements, or that new respondents spend learning rule requirements.</t>
  </si>
  <si>
    <r>
      <t xml:space="preserve">iii. Notification of new gas processing plant </t>
    </r>
    <r>
      <rPr>
        <vertAlign val="superscript"/>
        <sz val="10"/>
        <rFont val="Times New Roman"/>
        <family val="1"/>
      </rPr>
      <t>e</t>
    </r>
  </si>
  <si>
    <r>
      <t xml:space="preserve">iv. Notification of new sweetening unit </t>
    </r>
    <r>
      <rPr>
        <vertAlign val="superscript"/>
        <sz val="10"/>
        <rFont val="Times New Roman"/>
        <family val="1"/>
      </rPr>
      <t>f</t>
    </r>
  </si>
  <si>
    <r>
      <t xml:space="preserve">ii. Sweetening unit </t>
    </r>
    <r>
      <rPr>
        <vertAlign val="superscript"/>
        <sz val="10"/>
        <rFont val="Times New Roman"/>
        <family val="1"/>
      </rPr>
      <t>f</t>
    </r>
  </si>
  <si>
    <r>
      <t xml:space="preserve">iii. Centrifugal compressor </t>
    </r>
    <r>
      <rPr>
        <vertAlign val="superscript"/>
        <sz val="10"/>
        <rFont val="Times New Roman"/>
        <family val="1"/>
      </rPr>
      <t>g</t>
    </r>
  </si>
  <si>
    <r>
      <t xml:space="preserve">iv. Reciprocating compressor </t>
    </r>
    <r>
      <rPr>
        <vertAlign val="superscript"/>
        <sz val="10"/>
        <rFont val="Times New Roman"/>
        <family val="1"/>
      </rPr>
      <t>h</t>
    </r>
  </si>
  <si>
    <t>iii. Notification of new gas processing plant</t>
  </si>
  <si>
    <t>iv. Notification of new sweetening unit</t>
  </si>
  <si>
    <t>ii. Sweetening unit</t>
  </si>
  <si>
    <t>iii. Centrifugal compressor</t>
  </si>
  <si>
    <t>iv. Reciprocating compressor</t>
  </si>
  <si>
    <t>These rates were updated 11/15/18 to match the United States Department of Labor, Bureau of Labor Statistics, June 2018, “Table 2. Civilian Workers, by occupational and industry group</t>
  </si>
  <si>
    <t>b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</si>
  <si>
    <t xml:space="preserve">b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</si>
  <si>
    <t>These rates were updated 11/15/18 to match the rates from the Office of Personnel Management (OPM), 2018 General Schedule.</t>
  </si>
  <si>
    <t>Management</t>
  </si>
  <si>
    <t>Technical</t>
  </si>
  <si>
    <t>Clerical</t>
  </si>
  <si>
    <t>ERG Notes: We expect the number of sources subject to decrease over time as facilities are modified.</t>
  </si>
  <si>
    <t>d Totals have been rounded to 3 significant figures.  Figures may not add exactly due to rounding.</t>
  </si>
  <si>
    <r>
      <t xml:space="preserve">Notifications </t>
    </r>
    <r>
      <rPr>
        <vertAlign val="superscript"/>
        <sz val="10"/>
        <rFont val="Times New Roman"/>
        <family val="1"/>
      </rPr>
      <t>a</t>
    </r>
  </si>
  <si>
    <t>a  These notifications are initial notifications for sources constructed, modified or re-contructed after August 2011 and prior to September 2015.</t>
  </si>
  <si>
    <t>Footnotes:</t>
  </si>
  <si>
    <t>g EPA estimates an average of 52 existing and no new centrifugal compressors equipped with wet seals at processing plants. EPA estimates that 75% of those centrifugal compressors will experience one reportable deviation per year. Centrifugal compressors equipped with wet seals at processing plants that commenced construction, modification or reconstruction after September 18, 2015 are subject to requirements under 40 CFR 60 Subpart OOOOa.</t>
  </si>
  <si>
    <t>h EPA estimates an average of 1,676 existing and no new reciprocating compressors.  New reciprocating compressors that commenced construction, modification or reconstruction after September 18, 2015 are subject to requirements under 40 CFR 60 Subpart OOOOa.</t>
  </si>
  <si>
    <t>j EPA estimates an average of 60 existing and no new pneumatic controllers at affected processing plants. EPA estimates that 75% of those pneumatic controllers will experience one reportable deviation per year.</t>
  </si>
  <si>
    <t>k EPA estimates an average of 304 existing and no new respondents in the production, processing, transmission, or storage segment will submit annual reports.  EPA anticipates each report will cover approximately four storage vessels, based on research the Agency conducted during initial rule development.</t>
  </si>
  <si>
    <t>i EPA estimates 13,632 pneumatic controllers across the 300 exploration &amp; production sites. EPA estimates that all 300 sites will experience one reportable deviation per year.</t>
  </si>
  <si>
    <t>m Activity applies to exploration &amp; production businesses and transmission &amp; storage operations, for which EPA estimates an average of 300 and 136 sources, respectively.</t>
  </si>
  <si>
    <t>o Totals have been rounded to 3 significant figures. Figures may not add exactly due to rounding.</t>
  </si>
  <si>
    <r>
      <t xml:space="preserve">GRAND TOTAL (rounded) </t>
    </r>
    <r>
      <rPr>
        <b/>
        <vertAlign val="superscript"/>
        <sz val="10"/>
        <rFont val="Times New Roman"/>
        <family val="1"/>
      </rPr>
      <t>o</t>
    </r>
  </si>
  <si>
    <r>
      <t xml:space="preserve">TOTAL CAPITAL AND O&amp;M COST (rounded) </t>
    </r>
    <r>
      <rPr>
        <b/>
        <vertAlign val="superscript"/>
        <sz val="10"/>
        <rFont val="Times New Roman"/>
        <family val="1"/>
      </rPr>
      <t>o</t>
    </r>
  </si>
  <si>
    <r>
      <t xml:space="preserve">TOTAL LABOR BURDEN AND COST (rounded) </t>
    </r>
    <r>
      <rPr>
        <b/>
        <vertAlign val="superscript"/>
        <sz val="10"/>
        <rFont val="Times New Roman"/>
        <family val="1"/>
      </rPr>
      <t>o</t>
    </r>
  </si>
  <si>
    <r>
      <t xml:space="preserve">ii. Filing and maintaining records </t>
    </r>
    <r>
      <rPr>
        <vertAlign val="superscript"/>
        <sz val="10"/>
        <rFont val="Times New Roman"/>
        <family val="1"/>
      </rPr>
      <t>n</t>
    </r>
  </si>
  <si>
    <r>
      <t xml:space="preserve">i. Filing and maintaining records </t>
    </r>
    <r>
      <rPr>
        <vertAlign val="superscript"/>
        <sz val="10"/>
        <rFont val="Times New Roman"/>
        <family val="1"/>
      </rPr>
      <t>m</t>
    </r>
  </si>
  <si>
    <t>n Activity applies to gas processing plants and sweetening units.  EPA estimates an average of 116 existing processing plants and 12 existing sweetening units.</t>
  </si>
  <si>
    <t xml:space="preserve">a  EPA estimates an average of 532 existing sources and no new sources will be subject to the standard over the next three years. Existing sources comprise 300 exploration and production businesses, 136 transmission and storage operations, 116 processing plants and 12 sweetening units.  </t>
  </si>
  <si>
    <r>
      <t xml:space="preserve">Review initial notifications </t>
    </r>
    <r>
      <rPr>
        <vertAlign val="superscript"/>
        <sz val="10"/>
        <rFont val="Times New Roman"/>
        <family val="1"/>
      </rPr>
      <t>c</t>
    </r>
  </si>
  <si>
    <t>f EPA estimates an average of 12 existing sweetening units and no new sweetening units. EPA estimates that 75% of those sweetening units will experience one reportable deviation per year. Sweetening units that commenced construction, modification or reconstruction after September 18, 2015 are subject to requirements under 40 CFR 60 Subpart OOOOa.</t>
  </si>
  <si>
    <t>l EPA estimates an average of 116 existing and no new gas processing plants. EPA estimates that 75% of those plants will experience one reportable deviation per year.</t>
  </si>
  <si>
    <t>Revised to remove new respondents; all new facilities are subject to OOOOa.</t>
  </si>
  <si>
    <r>
      <t>1</t>
    </r>
    <r>
      <rPr>
        <sz val="10"/>
        <color theme="1"/>
        <rFont val="Times New Roman"/>
        <family val="1"/>
      </rPr>
      <t xml:space="preserve"> New respondents include sources with constructed, reconstructed, and modified affected facilities. Facilities that commence construction, modification, or reconstruction after September 18, 2015 are subject to 40 CFR 60, Subpart OOOOa.</t>
    </r>
  </si>
  <si>
    <t>Revised to 0 respondents</t>
  </si>
  <si>
    <t>e Processing plants that commenced construction, modification or reconstruction after September 18, 2015 are subject to requirements under 40 CFR 60, Subpart OOOOa.</t>
  </si>
  <si>
    <t xml:space="preserve">d Initial notification and annual reporting for completions and recompletions is required for gas wells that commenced construction, modification or reconstruction after August 23, 2011, and on or before September 18, 2015. New gas wells or gas wells modified after September 18, 2015 are subject to requirements under 40 CFR 60, Subpart OOOOa. </t>
  </si>
  <si>
    <t>a  EPA estimates an average of 532 existing sources and no new sources will be subject to the standard over the next three years. Existing sources comprise 300 exploration and production businesses, 136 transmission and storage operations, 116 processing plants and 12 sweetening units.  This number is expected to decrease over time as sources are modified or retired from service.</t>
  </si>
  <si>
    <t>Revised # of respondents (removes new respondents)</t>
  </si>
  <si>
    <t xml:space="preserve">c Initial notification is required for these source categories that commenced construction, modification or reconstruction after August 23, 2011, and on or before September 18, 2015. New gas wells or gas wells constructed, modified, or reconstructed after September 18, 2015 are subject to 40 CFR 60, Subpart OOOOa. </t>
  </si>
  <si>
    <r>
      <t xml:space="preserve">TOTAL (rounded) </t>
    </r>
    <r>
      <rPr>
        <b/>
        <vertAlign val="superscript"/>
        <sz val="10"/>
        <rFont val="Times New Roman"/>
        <family val="1"/>
      </rPr>
      <t>c</t>
    </r>
  </si>
  <si>
    <t>Revised to remove new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</si>
</sst>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0.0"/>
    <numFmt numFmtId="166" formatCode="0.0"/>
    <numFmt numFmtId="167" formatCode="&quot;$&quot;#,##0"/>
  </numFmts>
  <fonts count="27"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vertAlign val="superscript"/>
      <sz val="10"/>
      <color rgb="FF000000"/>
      <name val="Times New Roman"/>
      <family val="1"/>
    </font>
    <font>
      <i/>
      <sz val="10"/>
      <color theme="1"/>
      <name val="Times New Roman"/>
      <family val="1"/>
    </font>
    <font>
      <i/>
      <sz val="10"/>
      <color theme="1"/>
      <name val="Arial"/>
      <family val="2"/>
    </font>
    <font>
      <sz val="10"/>
      <name val="Arial"/>
      <family val="2"/>
    </font>
    <font>
      <vertAlign val="subscript"/>
      <sz val="10"/>
      <color rgb="FF000000"/>
      <name val="Times New Roman"/>
      <family val="1"/>
    </font>
    <font>
      <sz val="11"/>
      <color theme="1"/>
      <name val="Calibri"/>
      <family val="2"/>
      <scheme val="minor"/>
    </font>
    <font>
      <sz val="11"/>
      <color rgb="FFFF0000"/>
      <name val="Calibri"/>
      <family val="2"/>
      <scheme val="minor"/>
    </font>
    <font>
      <sz val="11"/>
      <color rgb="FFFF0000"/>
      <name val="Times New Roman"/>
      <family val="1"/>
    </font>
    <font>
      <sz val="10"/>
      <color rgb="FFFF0000"/>
      <name val="Times New Roman"/>
      <family val="1"/>
    </font>
    <font>
      <sz val="10"/>
      <color rgb="FFFF0000"/>
      <name val="Arial"/>
      <family val="2"/>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7" fillId="0" borderId="0"/>
    <xf numFmtId="44" fontId="22" fillId="0" borderId="0" applyFont="0" applyFill="0" applyBorder="0" applyAlignment="0" applyProtection="0"/>
  </cellStyleXfs>
  <cellXfs count="142">
    <xf numFmtId="0" fontId="0" fillId="0" borderId="0" xfId="0"/>
    <xf numFmtId="0" fontId="1" fillId="0" borderId="0" xfId="0" applyFont="1"/>
    <xf numFmtId="0" fontId="3" fillId="0" borderId="0" xfId="0" applyFont="1" applyFill="1"/>
    <xf numFmtId="0" fontId="4" fillId="0" borderId="0" xfId="0" applyFont="1" applyFill="1"/>
    <xf numFmtId="0" fontId="3" fillId="0" borderId="0" xfId="0" applyFont="1"/>
    <xf numFmtId="4" fontId="3" fillId="0" borderId="0" xfId="0" applyNumberFormat="1"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Alignment="1"/>
    <xf numFmtId="0" fontId="3" fillId="0" borderId="0" xfId="0"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5" fillId="2" borderId="2" xfId="0" applyFont="1" applyFill="1" applyBorder="1"/>
    <xf numFmtId="0" fontId="3" fillId="0" borderId="2" xfId="0" applyFont="1" applyBorder="1"/>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10" fillId="0" borderId="8"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0" fontId="5" fillId="0" borderId="0" xfId="0" applyFont="1" applyFill="1" applyBorder="1" applyAlignment="1">
      <alignment vertical="top" wrapText="1"/>
    </xf>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0" fontId="3" fillId="0" borderId="0" xfId="0" applyNumberFormat="1" applyFont="1" applyFill="1" applyBorder="1" applyAlignment="1"/>
    <xf numFmtId="3" fontId="12" fillId="0" borderId="2" xfId="1" applyNumberFormat="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1" fillId="0" borderId="0" xfId="0" applyFont="1" applyFill="1"/>
    <xf numFmtId="0" fontId="10" fillId="0" borderId="2" xfId="0" applyFont="1" applyFill="1" applyBorder="1" applyAlignment="1">
      <alignment horizontal="center" vertical="top" wrapText="1"/>
    </xf>
    <xf numFmtId="0" fontId="10" fillId="0" borderId="2" xfId="0" applyFont="1" applyFill="1" applyBorder="1" applyAlignment="1">
      <alignment vertical="top" wrapText="1"/>
    </xf>
    <xf numFmtId="0" fontId="13" fillId="0" borderId="0" xfId="0" applyFont="1" applyFill="1" applyAlignment="1">
      <alignment horizontal="left" vertical="top"/>
    </xf>
    <xf numFmtId="0" fontId="15" fillId="0" borderId="0" xfId="0" applyFont="1"/>
    <xf numFmtId="0" fontId="13" fillId="0" borderId="0" xfId="0" applyFont="1" applyFill="1" applyAlignment="1">
      <alignment horizontal="left"/>
    </xf>
    <xf numFmtId="4" fontId="5" fillId="0" borderId="2" xfId="0" applyNumberFormat="1" applyFont="1" applyFill="1" applyBorder="1" applyAlignment="1">
      <alignment horizontal="center" wrapText="1"/>
    </xf>
    <xf numFmtId="0" fontId="18" fillId="0" borderId="0" xfId="1" applyFont="1" applyAlignment="1">
      <alignment horizontal="right"/>
    </xf>
    <xf numFmtId="0" fontId="7" fillId="0" borderId="0" xfId="1" applyFill="1"/>
    <xf numFmtId="0" fontId="16"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5" fillId="0" borderId="0" xfId="0" applyFont="1" applyFill="1"/>
    <xf numFmtId="6" fontId="10" fillId="0" borderId="2" xfId="0" applyNumberFormat="1" applyFont="1" applyFill="1" applyBorder="1" applyAlignment="1">
      <alignment horizontal="center" vertical="top" wrapText="1"/>
    </xf>
    <xf numFmtId="3" fontId="10" fillId="0" borderId="2" xfId="0" applyNumberFormat="1" applyFont="1" applyFill="1" applyBorder="1" applyAlignment="1">
      <alignment horizontal="center" vertical="top" wrapText="1"/>
    </xf>
    <xf numFmtId="6" fontId="10" fillId="0" borderId="2" xfId="0" applyNumberFormat="1" applyFont="1" applyFill="1" applyBorder="1" applyAlignment="1">
      <alignment horizontal="center" vertical="top"/>
    </xf>
    <xf numFmtId="0" fontId="10" fillId="0" borderId="0" xfId="0" applyFont="1" applyFill="1" applyBorder="1" applyAlignment="1">
      <alignment vertical="top" wrapText="1"/>
    </xf>
    <xf numFmtId="6" fontId="10" fillId="0" borderId="0" xfId="0" applyNumberFormat="1" applyFont="1" applyFill="1" applyBorder="1" applyAlignment="1">
      <alignment horizontal="center" vertical="top"/>
    </xf>
    <xf numFmtId="3" fontId="10" fillId="0" borderId="0" xfId="0" applyNumberFormat="1" applyFont="1" applyFill="1" applyBorder="1" applyAlignment="1">
      <alignment horizontal="center" vertical="top"/>
    </xf>
    <xf numFmtId="3" fontId="5" fillId="0" borderId="2" xfId="0" applyNumberFormat="1" applyFont="1" applyFill="1" applyBorder="1" applyAlignment="1">
      <alignment horizontal="center" vertical="top" wrapText="1"/>
    </xf>
    <xf numFmtId="1" fontId="3" fillId="0" borderId="2" xfId="1" applyNumberFormat="1" applyFont="1" applyFill="1" applyBorder="1" applyAlignment="1">
      <alignment horizontal="center" vertical="top" wrapText="1"/>
    </xf>
    <xf numFmtId="1" fontId="10" fillId="0" borderId="2" xfId="0" applyNumberFormat="1" applyFont="1" applyFill="1" applyBorder="1" applyAlignment="1">
      <alignment horizontal="center" vertical="top"/>
    </xf>
    <xf numFmtId="1" fontId="9" fillId="0" borderId="0" xfId="1" applyNumberFormat="1" applyFont="1" applyFill="1" applyBorder="1" applyAlignment="1">
      <alignment horizontal="center" vertical="top" wrapText="1"/>
    </xf>
    <xf numFmtId="1" fontId="10" fillId="0" borderId="0" xfId="0" applyNumberFormat="1" applyFont="1" applyFill="1" applyBorder="1" applyAlignment="1">
      <alignment horizontal="center" vertical="top"/>
    </xf>
    <xf numFmtId="0" fontId="20" fillId="0" borderId="0" xfId="1" applyFont="1"/>
    <xf numFmtId="0" fontId="3" fillId="0" borderId="0" xfId="1" applyFont="1" applyBorder="1" applyAlignment="1">
      <alignment horizontal="left" vertical="top"/>
    </xf>
    <xf numFmtId="167" fontId="10" fillId="0" borderId="2" xfId="0" applyNumberFormat="1" applyFont="1" applyFill="1" applyBorder="1" applyAlignment="1">
      <alignment horizontal="center" vertical="top"/>
    </xf>
    <xf numFmtId="0" fontId="3" fillId="0" borderId="2" xfId="0" applyFont="1" applyFill="1" applyBorder="1"/>
    <xf numFmtId="0" fontId="13" fillId="0" borderId="2" xfId="0" applyFont="1" applyFill="1" applyBorder="1" applyAlignment="1">
      <alignment horizontal="center" vertical="top" wrapText="1"/>
    </xf>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0" fontId="3" fillId="0" borderId="2" xfId="0" applyNumberFormat="1" applyFont="1" applyBorder="1" applyAlignment="1">
      <alignment horizontal="right"/>
    </xf>
    <xf numFmtId="0" fontId="3" fillId="0" borderId="2" xfId="0" applyNumberFormat="1" applyFont="1" applyBorder="1" applyAlignment="1"/>
    <xf numFmtId="0" fontId="3" fillId="0" borderId="2" xfId="0" applyNumberFormat="1" applyFont="1" applyBorder="1" applyAlignment="1">
      <alignment horizontal="right" wrapText="1"/>
    </xf>
    <xf numFmtId="0" fontId="3" fillId="0" borderId="2" xfId="0" applyNumberFormat="1" applyFont="1" applyBorder="1" applyAlignment="1">
      <alignment wrapText="1"/>
    </xf>
    <xf numFmtId="0" fontId="3" fillId="0" borderId="2" xfId="0" applyFont="1" applyFill="1" applyBorder="1" applyAlignment="1">
      <alignment horizontal="right"/>
    </xf>
    <xf numFmtId="0" fontId="3" fillId="0" borderId="2" xfId="0" applyFont="1" applyBorder="1" applyAlignment="1">
      <alignment horizontal="right"/>
    </xf>
    <xf numFmtId="0" fontId="5" fillId="0" borderId="2" xfId="0" applyFont="1" applyBorder="1"/>
    <xf numFmtId="1" fontId="5" fillId="0" borderId="2" xfId="0" applyNumberFormat="1" applyFont="1" applyFill="1" applyBorder="1"/>
    <xf numFmtId="0" fontId="16" fillId="0" borderId="0" xfId="0" applyFont="1"/>
    <xf numFmtId="0" fontId="3" fillId="0" borderId="2" xfId="0" applyFont="1" applyFill="1" applyBorder="1" applyAlignment="1">
      <alignment horizontal="left" vertical="top" wrapText="1"/>
    </xf>
    <xf numFmtId="0" fontId="3" fillId="0" borderId="2" xfId="0" applyFont="1" applyFill="1" applyBorder="1" applyAlignment="1">
      <alignment horizontal="center" vertical="top" wrapText="1"/>
    </xf>
    <xf numFmtId="1"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indent="1"/>
    </xf>
    <xf numFmtId="165" fontId="3" fillId="0" borderId="2" xfId="0" applyNumberFormat="1" applyFont="1" applyFill="1" applyBorder="1" applyAlignment="1">
      <alignment horizontal="center" vertical="top" wrapText="1"/>
    </xf>
    <xf numFmtId="0" fontId="3" fillId="0" borderId="2" xfId="0" applyFont="1" applyFill="1" applyBorder="1" applyAlignment="1">
      <alignment vertical="top" wrapText="1"/>
    </xf>
    <xf numFmtId="1" fontId="3" fillId="0" borderId="6" xfId="0" applyNumberFormat="1" applyFont="1" applyFill="1" applyBorder="1" applyAlignment="1">
      <alignment horizontal="center" vertical="top" wrapText="1"/>
    </xf>
    <xf numFmtId="0" fontId="3" fillId="0" borderId="2" xfId="0" applyFont="1" applyFill="1" applyBorder="1" applyAlignment="1">
      <alignment horizontal="left" vertical="top" wrapText="1" indent="3"/>
    </xf>
    <xf numFmtId="166" fontId="3" fillId="0" borderId="2"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2" fillId="0" borderId="2" xfId="0" applyFont="1" applyFill="1" applyBorder="1"/>
    <xf numFmtId="3" fontId="13" fillId="0" borderId="2" xfId="0" applyNumberFormat="1" applyFont="1" applyFill="1" applyBorder="1" applyAlignment="1">
      <alignment horizontal="center" vertical="top" wrapText="1"/>
    </xf>
    <xf numFmtId="1" fontId="12" fillId="0" borderId="2" xfId="1" applyNumberFormat="1" applyFont="1" applyFill="1" applyBorder="1" applyAlignment="1">
      <alignment horizontal="center" vertical="top" wrapText="1"/>
    </xf>
    <xf numFmtId="0" fontId="3" fillId="0" borderId="0" xfId="0" applyFont="1" applyFill="1" applyBorder="1" applyAlignment="1">
      <alignment horizontal="left" vertical="top"/>
    </xf>
    <xf numFmtId="3" fontId="3" fillId="0" borderId="0" xfId="0" applyNumberFormat="1" applyFont="1"/>
    <xf numFmtId="0" fontId="24" fillId="0" borderId="0" xfId="0" applyFont="1"/>
    <xf numFmtId="0" fontId="23" fillId="0" borderId="0" xfId="0" applyFont="1" applyFill="1"/>
    <xf numFmtId="0" fontId="5" fillId="0" borderId="5" xfId="0" applyFont="1" applyFill="1" applyBorder="1" applyAlignment="1">
      <alignment vertical="center" wrapText="1"/>
    </xf>
    <xf numFmtId="0" fontId="5" fillId="0" borderId="2" xfId="0" applyFont="1" applyFill="1" applyBorder="1" applyAlignment="1">
      <alignment vertical="center" wrapText="1"/>
    </xf>
    <xf numFmtId="167" fontId="5" fillId="0" borderId="2" xfId="0" applyNumberFormat="1" applyFont="1" applyFill="1" applyBorder="1" applyAlignment="1">
      <alignment horizontal="right" vertical="center" wrapText="1"/>
    </xf>
    <xf numFmtId="164" fontId="3" fillId="0" borderId="2" xfId="0" applyNumberFormat="1" applyFont="1" applyFill="1" applyBorder="1" applyAlignment="1">
      <alignment horizontal="right" vertical="top" wrapText="1"/>
    </xf>
    <xf numFmtId="44" fontId="3" fillId="0" borderId="2" xfId="2" applyFont="1" applyFill="1" applyBorder="1"/>
    <xf numFmtId="0" fontId="25" fillId="0" borderId="0" xfId="0" applyFont="1" applyFill="1"/>
    <xf numFmtId="0" fontId="25" fillId="0" borderId="0" xfId="0" applyFont="1"/>
    <xf numFmtId="0" fontId="26" fillId="0" borderId="0" xfId="1" applyFont="1"/>
    <xf numFmtId="0" fontId="12" fillId="0" borderId="0" xfId="1" applyFont="1" applyFill="1" applyBorder="1" applyAlignment="1">
      <alignment vertical="top" wrapText="1"/>
    </xf>
    <xf numFmtId="0" fontId="12" fillId="0" borderId="0" xfId="1" applyFont="1" applyFill="1" applyBorder="1" applyAlignment="1">
      <alignment horizontal="center" vertical="top" wrapText="1"/>
    </xf>
    <xf numFmtId="3" fontId="12" fillId="0" borderId="0" xfId="1" applyNumberFormat="1" applyFont="1" applyFill="1" applyBorder="1" applyAlignment="1">
      <alignment horizontal="center" vertical="top" wrapText="1"/>
    </xf>
    <xf numFmtId="167" fontId="3" fillId="0" borderId="2" xfId="0" applyNumberFormat="1" applyFont="1" applyFill="1" applyBorder="1" applyAlignment="1">
      <alignment horizontal="right" vertical="top" wrapText="1"/>
    </xf>
    <xf numFmtId="167" fontId="5" fillId="0" borderId="2" xfId="0" applyNumberFormat="1" applyFont="1" applyFill="1" applyBorder="1" applyAlignment="1">
      <alignment horizontal="right" vertical="top" wrapText="1"/>
    </xf>
    <xf numFmtId="167" fontId="13" fillId="0" borderId="2" xfId="0" applyNumberFormat="1" applyFont="1" applyFill="1" applyBorder="1" applyAlignment="1">
      <alignment horizontal="right" vertical="top" wrapText="1"/>
    </xf>
    <xf numFmtId="167" fontId="3" fillId="0" borderId="2" xfId="0" applyNumberFormat="1" applyFont="1" applyFill="1" applyBorder="1"/>
    <xf numFmtId="1" fontId="19" fillId="0" borderId="0" xfId="1" applyNumberFormat="1" applyFont="1"/>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16" fillId="0" borderId="9" xfId="0" applyFont="1" applyFill="1" applyBorder="1" applyAlignment="1">
      <alignment horizontal="left" vertical="top" wrapText="1"/>
    </xf>
    <xf numFmtId="0" fontId="8" fillId="0" borderId="2" xfId="1" applyFont="1" applyBorder="1" applyAlignment="1">
      <alignment horizontal="center" vertical="top" wrapText="1"/>
    </xf>
    <xf numFmtId="0" fontId="12" fillId="0" borderId="0" xfId="1" applyFont="1" applyFill="1" applyBorder="1" applyAlignment="1">
      <alignment horizontal="left" vertical="top" wrapText="1"/>
    </xf>
    <xf numFmtId="0" fontId="3" fillId="0" borderId="2" xfId="0" applyFont="1" applyFill="1" applyBorder="1" applyAlignment="1">
      <alignment horizontal="center" vertical="top"/>
    </xf>
    <xf numFmtId="0" fontId="1" fillId="0" borderId="0" xfId="0" applyFont="1" applyFill="1" applyAlignment="1">
      <alignment horizontal="left" wrapText="1"/>
    </xf>
    <xf numFmtId="0" fontId="4" fillId="0" borderId="0" xfId="0" applyFont="1" applyFill="1" applyAlignment="1">
      <alignment horizontal="left" vertical="top" wrapText="1"/>
    </xf>
    <xf numFmtId="0" fontId="3" fillId="0" borderId="0" xfId="0" applyNumberFormat="1" applyFont="1" applyFill="1" applyAlignment="1">
      <alignment horizontal="left" vertical="top" wrapText="1"/>
    </xf>
    <xf numFmtId="2" fontId="3" fillId="0" borderId="0" xfId="0" applyNumberFormat="1" applyFont="1" applyFill="1" applyAlignment="1">
      <alignment horizontal="left" vertical="top" wrapText="1"/>
    </xf>
    <xf numFmtId="3" fontId="13" fillId="0" borderId="5" xfId="0" applyNumberFormat="1" applyFont="1" applyFill="1" applyBorder="1" applyAlignment="1">
      <alignment horizontal="center" vertical="top" wrapText="1"/>
    </xf>
    <xf numFmtId="3" fontId="13" fillId="0" borderId="7" xfId="0" applyNumberFormat="1" applyFont="1" applyFill="1" applyBorder="1" applyAlignment="1">
      <alignment horizontal="center" vertical="top" wrapText="1"/>
    </xf>
    <xf numFmtId="3" fontId="13" fillId="0" borderId="6" xfId="0" applyNumberFormat="1" applyFont="1" applyFill="1" applyBorder="1" applyAlignment="1">
      <alignment horizontal="center"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5" fillId="0" borderId="2" xfId="0" applyNumberFormat="1" applyFont="1" applyFill="1" applyBorder="1" applyAlignment="1">
      <alignment horizontal="center" vertical="top" wrapText="1"/>
    </xf>
    <xf numFmtId="0" fontId="3" fillId="0" borderId="2" xfId="0" applyFont="1" applyBorder="1" applyAlignment="1">
      <alignment horizontal="center" vertical="top"/>
    </xf>
    <xf numFmtId="0" fontId="1" fillId="0" borderId="0" xfId="0" applyFont="1" applyAlignment="1">
      <alignment horizontal="left" wrapText="1"/>
    </xf>
    <xf numFmtId="0" fontId="1" fillId="0" borderId="0" xfId="0" applyFont="1" applyAlignment="1">
      <alignment horizontal="left"/>
    </xf>
    <xf numFmtId="0" fontId="5" fillId="0" borderId="2" xfId="0" applyNumberFormat="1" applyFont="1" applyFill="1" applyBorder="1" applyAlignment="1">
      <alignment horizontal="left" wrapText="1"/>
    </xf>
    <xf numFmtId="3" fontId="5" fillId="0" borderId="2" xfId="0" applyNumberFormat="1" applyFont="1" applyFill="1" applyBorder="1" applyAlignment="1">
      <alignment horizontal="center" vertical="center" wrapText="1"/>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cellXfs>
  <cellStyles count="3">
    <cellStyle name="Currency" xfId="2" builtinId="4"/>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2"/>
  <sheetViews>
    <sheetView tabSelected="1" topLeftCell="A5" workbookViewId="0">
      <selection activeCell="D10" sqref="D10"/>
    </sheetView>
  </sheetViews>
  <sheetFormatPr defaultColWidth="9.140625" defaultRowHeight="12.75" x14ac:dyDescent="0.2"/>
  <cols>
    <col min="1" max="1" width="1" style="16" customWidth="1"/>
    <col min="2" max="2" width="9.7109375" style="16" customWidth="1"/>
    <col min="3" max="3" width="12.85546875" style="16" bestFit="1" customWidth="1"/>
    <col min="4" max="4" width="15.5703125" style="16" bestFit="1" customWidth="1"/>
    <col min="5" max="5" width="18.5703125" style="16" customWidth="1"/>
    <col min="6" max="6" width="15.5703125" style="16" bestFit="1" customWidth="1"/>
    <col min="7" max="7" width="12.85546875" style="16" customWidth="1"/>
    <col min="8" max="16384" width="9.140625" style="16"/>
  </cols>
  <sheetData>
    <row r="2" spans="2:9" ht="15.75" x14ac:dyDescent="0.2">
      <c r="B2" s="115" t="s">
        <v>27</v>
      </c>
      <c r="C2" s="116"/>
      <c r="D2" s="116"/>
      <c r="E2" s="116"/>
      <c r="F2" s="116"/>
      <c r="G2" s="117"/>
    </row>
    <row r="3" spans="2:9" ht="24" customHeight="1" x14ac:dyDescent="0.2">
      <c r="B3" s="17"/>
      <c r="C3" s="118" t="s">
        <v>28</v>
      </c>
      <c r="D3" s="119"/>
      <c r="E3" s="18" t="s">
        <v>29</v>
      </c>
      <c r="F3" s="118"/>
      <c r="G3" s="119"/>
    </row>
    <row r="4" spans="2:9" x14ac:dyDescent="0.2">
      <c r="B4" s="19"/>
      <c r="C4" s="20" t="s">
        <v>0</v>
      </c>
      <c r="D4" s="20" t="s">
        <v>1</v>
      </c>
      <c r="E4" s="20" t="s">
        <v>2</v>
      </c>
      <c r="F4" s="20" t="s">
        <v>3</v>
      </c>
      <c r="G4" s="20" t="s">
        <v>4</v>
      </c>
    </row>
    <row r="5" spans="2:9" ht="51" x14ac:dyDescent="0.2">
      <c r="B5" s="20" t="s">
        <v>30</v>
      </c>
      <c r="C5" s="20" t="s">
        <v>31</v>
      </c>
      <c r="D5" s="20" t="s">
        <v>32</v>
      </c>
      <c r="E5" s="21" t="s">
        <v>33</v>
      </c>
      <c r="F5" s="20" t="s">
        <v>34</v>
      </c>
      <c r="G5" s="20" t="s">
        <v>27</v>
      </c>
    </row>
    <row r="6" spans="2:9" x14ac:dyDescent="0.2">
      <c r="B6" s="20"/>
      <c r="C6" s="20"/>
      <c r="D6" s="20"/>
      <c r="E6" s="20"/>
      <c r="F6" s="20"/>
      <c r="G6" s="20" t="s">
        <v>35</v>
      </c>
    </row>
    <row r="7" spans="2:9" x14ac:dyDescent="0.2">
      <c r="B7" s="38">
        <v>1</v>
      </c>
      <c r="C7" s="59">
        <v>0</v>
      </c>
      <c r="D7" s="59">
        <v>532</v>
      </c>
      <c r="E7" s="59">
        <v>0</v>
      </c>
      <c r="F7" s="59">
        <v>0</v>
      </c>
      <c r="G7" s="59">
        <f>C7+D7+E7-F7</f>
        <v>532</v>
      </c>
      <c r="H7" s="106" t="s">
        <v>171</v>
      </c>
      <c r="I7" s="106"/>
    </row>
    <row r="8" spans="2:9" x14ac:dyDescent="0.2">
      <c r="B8" s="38">
        <v>2</v>
      </c>
      <c r="C8" s="59">
        <f>C7</f>
        <v>0</v>
      </c>
      <c r="D8" s="59">
        <f>G7</f>
        <v>532</v>
      </c>
      <c r="E8" s="59">
        <v>0</v>
      </c>
      <c r="F8" s="59">
        <v>0</v>
      </c>
      <c r="G8" s="59">
        <f>C8+D8+E8-F8</f>
        <v>532</v>
      </c>
    </row>
    <row r="9" spans="2:9" x14ac:dyDescent="0.2">
      <c r="B9" s="38">
        <v>3</v>
      </c>
      <c r="C9" s="59">
        <f>C8</f>
        <v>0</v>
      </c>
      <c r="D9" s="59">
        <f>G8</f>
        <v>532</v>
      </c>
      <c r="E9" s="59">
        <v>0</v>
      </c>
      <c r="F9" s="59">
        <v>0</v>
      </c>
      <c r="G9" s="59">
        <f>C9+D9+E9-F9</f>
        <v>532</v>
      </c>
    </row>
    <row r="10" spans="2:9" s="22" customFormat="1" x14ac:dyDescent="0.2">
      <c r="B10" s="38" t="s">
        <v>36</v>
      </c>
      <c r="C10" s="59">
        <f>AVERAGE(C7:C9)</f>
        <v>0</v>
      </c>
      <c r="D10" s="59">
        <f>AVERAGE(D7:D9)</f>
        <v>532</v>
      </c>
      <c r="E10" s="39">
        <f t="shared" ref="E10:F10" si="0">AVERAGE(E7:E9)</f>
        <v>0</v>
      </c>
      <c r="F10" s="39">
        <f t="shared" si="0"/>
        <v>0</v>
      </c>
      <c r="G10" s="39">
        <f>AVERAGE(G7:G9)</f>
        <v>532</v>
      </c>
    </row>
    <row r="11" spans="2:9" s="48" customFormat="1" ht="41.1" customHeight="1" x14ac:dyDescent="0.2">
      <c r="B11" s="120" t="s">
        <v>172</v>
      </c>
      <c r="C11" s="120"/>
      <c r="D11" s="120"/>
      <c r="E11" s="120"/>
      <c r="F11" s="120"/>
      <c r="G11" s="120"/>
    </row>
    <row r="12" spans="2:9" s="48" customFormat="1" ht="15.75" x14ac:dyDescent="0.2">
      <c r="B12" s="49"/>
      <c r="C12" s="49"/>
      <c r="D12" s="49"/>
      <c r="E12" s="49"/>
      <c r="F12" s="49"/>
      <c r="G12" s="49"/>
    </row>
  </sheetData>
  <mergeCells count="4">
    <mergeCell ref="B2:G2"/>
    <mergeCell ref="C3:D3"/>
    <mergeCell ref="F3:G3"/>
    <mergeCell ref="B11:G11"/>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8"/>
  <sheetViews>
    <sheetView workbookViewId="0">
      <selection activeCell="G23" sqref="G23"/>
    </sheetView>
  </sheetViews>
  <sheetFormatPr defaultColWidth="9.140625" defaultRowHeight="12.75" x14ac:dyDescent="0.2"/>
  <cols>
    <col min="1" max="1" width="0.7109375" style="22" customWidth="1"/>
    <col min="2" max="2" width="32.140625" style="22" customWidth="1"/>
    <col min="3" max="4" width="10" style="22" customWidth="1"/>
    <col min="5" max="5" width="16" style="22" customWidth="1"/>
    <col min="6" max="6" width="10.5703125" style="22" customWidth="1"/>
    <col min="7" max="7" width="1" style="22" customWidth="1"/>
    <col min="8" max="16384" width="9.140625" style="22"/>
  </cols>
  <sheetData>
    <row r="2" spans="2:11" ht="15.75" customHeight="1" x14ac:dyDescent="0.2">
      <c r="B2" s="121" t="s">
        <v>37</v>
      </c>
      <c r="C2" s="121"/>
      <c r="D2" s="121"/>
      <c r="E2" s="121"/>
      <c r="F2" s="121"/>
      <c r="G2" s="23"/>
    </row>
    <row r="3" spans="2:11" ht="63.75" customHeight="1" x14ac:dyDescent="0.2">
      <c r="B3" s="24" t="s">
        <v>38</v>
      </c>
      <c r="C3" s="36" t="s">
        <v>39</v>
      </c>
      <c r="D3" s="36" t="s">
        <v>40</v>
      </c>
      <c r="E3" s="24" t="s">
        <v>41</v>
      </c>
      <c r="F3" s="24" t="s">
        <v>42</v>
      </c>
      <c r="G3" s="25"/>
      <c r="H3" s="43" t="s">
        <v>60</v>
      </c>
    </row>
    <row r="4" spans="2:11" ht="15.75" x14ac:dyDescent="0.2">
      <c r="B4" s="79" t="s">
        <v>151</v>
      </c>
      <c r="C4" s="35"/>
      <c r="D4" s="35"/>
      <c r="E4" s="36"/>
      <c r="F4" s="36"/>
      <c r="G4" s="26"/>
      <c r="H4" s="4"/>
      <c r="I4" s="63"/>
      <c r="J4" s="63"/>
      <c r="K4" s="63"/>
    </row>
    <row r="5" spans="2:11" x14ac:dyDescent="0.2">
      <c r="B5" s="85" t="s">
        <v>99</v>
      </c>
      <c r="C5" s="35">
        <f>'Respondent Burden'!F11</f>
        <v>0</v>
      </c>
      <c r="D5" s="35">
        <v>33</v>
      </c>
      <c r="E5" s="36">
        <v>0</v>
      </c>
      <c r="F5" s="35">
        <f>C5*D5+E5</f>
        <v>0</v>
      </c>
      <c r="G5" s="26"/>
      <c r="H5" s="104"/>
      <c r="I5" s="63"/>
      <c r="J5" s="63"/>
      <c r="K5" s="63"/>
    </row>
    <row r="6" spans="2:11" x14ac:dyDescent="0.2">
      <c r="B6" s="85" t="s">
        <v>100</v>
      </c>
      <c r="C6" s="35">
        <f>'Respondent Burden'!F12</f>
        <v>0</v>
      </c>
      <c r="D6" s="35">
        <v>4</v>
      </c>
      <c r="E6" s="36">
        <v>0</v>
      </c>
      <c r="F6" s="35">
        <f t="shared" ref="F6:F8" si="0">C6*D6+E6</f>
        <v>0</v>
      </c>
      <c r="G6" s="26"/>
      <c r="H6" s="104"/>
      <c r="I6" s="63"/>
      <c r="J6" s="63"/>
      <c r="K6" s="63"/>
    </row>
    <row r="7" spans="2:11" x14ac:dyDescent="0.2">
      <c r="B7" s="85" t="s">
        <v>101</v>
      </c>
      <c r="C7" s="35">
        <f>'Respondent Burden'!F13</f>
        <v>0</v>
      </c>
      <c r="D7" s="94">
        <v>1</v>
      </c>
      <c r="E7" s="36">
        <v>0</v>
      </c>
      <c r="F7" s="35">
        <f t="shared" si="0"/>
        <v>0</v>
      </c>
      <c r="G7" s="61"/>
      <c r="H7" s="104"/>
      <c r="I7" s="63"/>
      <c r="J7" s="63"/>
      <c r="K7" s="63"/>
    </row>
    <row r="8" spans="2:11" x14ac:dyDescent="0.2">
      <c r="B8" s="85" t="s">
        <v>102</v>
      </c>
      <c r="C8" s="35">
        <f>'Respondent Burden'!F14</f>
        <v>0</v>
      </c>
      <c r="D8" s="94">
        <v>1</v>
      </c>
      <c r="E8" s="36">
        <v>0</v>
      </c>
      <c r="F8" s="35">
        <f t="shared" si="0"/>
        <v>0</v>
      </c>
      <c r="G8" s="61"/>
      <c r="H8" s="104"/>
      <c r="I8" s="63"/>
      <c r="J8" s="63"/>
      <c r="K8" s="63"/>
    </row>
    <row r="9" spans="2:11" x14ac:dyDescent="0.2">
      <c r="B9" s="79" t="s">
        <v>98</v>
      </c>
      <c r="C9" s="94"/>
      <c r="D9" s="94"/>
      <c r="E9" s="94"/>
      <c r="F9" s="94"/>
      <c r="G9" s="61"/>
      <c r="H9" s="64"/>
      <c r="I9" s="63"/>
      <c r="J9" s="63"/>
      <c r="K9" s="63"/>
    </row>
    <row r="10" spans="2:11" x14ac:dyDescent="0.2">
      <c r="B10" s="85" t="s">
        <v>103</v>
      </c>
      <c r="C10" s="35">
        <f>'Respondent Burden'!F18</f>
        <v>0</v>
      </c>
      <c r="D10" s="94">
        <v>1</v>
      </c>
      <c r="E10" s="36">
        <v>0</v>
      </c>
      <c r="F10" s="35">
        <f t="shared" ref="F10:F15" si="1">C10*D10+E10</f>
        <v>0</v>
      </c>
      <c r="G10" s="61"/>
      <c r="H10" s="104"/>
      <c r="I10" s="63"/>
      <c r="J10" s="63"/>
      <c r="K10" s="63"/>
    </row>
    <row r="11" spans="2:11" x14ac:dyDescent="0.2">
      <c r="B11" s="85" t="s">
        <v>106</v>
      </c>
      <c r="C11" s="35">
        <f>'Respondent Burden'!M17</f>
        <v>12</v>
      </c>
      <c r="D11" s="35">
        <v>1</v>
      </c>
      <c r="E11" s="36">
        <v>0</v>
      </c>
      <c r="F11" s="35">
        <f>C11*D11+E11</f>
        <v>12</v>
      </c>
      <c r="G11" s="61"/>
      <c r="H11" s="104"/>
      <c r="I11" s="63"/>
      <c r="J11" s="63"/>
      <c r="K11" s="63"/>
    </row>
    <row r="12" spans="2:11" x14ac:dyDescent="0.2">
      <c r="B12" s="85" t="s">
        <v>104</v>
      </c>
      <c r="C12" s="35">
        <f>52</f>
        <v>52</v>
      </c>
      <c r="D12" s="94">
        <v>1</v>
      </c>
      <c r="E12" s="36">
        <v>0</v>
      </c>
      <c r="F12" s="35">
        <f t="shared" si="1"/>
        <v>52</v>
      </c>
      <c r="G12" s="26"/>
      <c r="H12" s="104"/>
      <c r="I12" s="63"/>
      <c r="J12" s="63"/>
      <c r="K12" s="63"/>
    </row>
    <row r="13" spans="2:11" x14ac:dyDescent="0.2">
      <c r="B13" s="85" t="s">
        <v>105</v>
      </c>
      <c r="C13" s="35">
        <f>'Respondent Burden'!F21</f>
        <v>1676</v>
      </c>
      <c r="D13" s="35">
        <v>1</v>
      </c>
      <c r="E13" s="36">
        <v>0</v>
      </c>
      <c r="F13" s="35">
        <f t="shared" si="1"/>
        <v>1676</v>
      </c>
      <c r="G13" s="26"/>
      <c r="H13" s="4"/>
      <c r="I13" s="63"/>
      <c r="J13" s="63"/>
      <c r="K13" s="63"/>
    </row>
    <row r="14" spans="2:11" x14ac:dyDescent="0.2">
      <c r="B14" s="85" t="s">
        <v>109</v>
      </c>
      <c r="C14" s="35">
        <f>'Respondent Burden'!F22</f>
        <v>300</v>
      </c>
      <c r="D14" s="35">
        <v>1</v>
      </c>
      <c r="E14" s="36">
        <v>0</v>
      </c>
      <c r="F14" s="35">
        <f t="shared" si="1"/>
        <v>300</v>
      </c>
      <c r="G14" s="26"/>
      <c r="H14" s="2"/>
      <c r="I14" s="63"/>
      <c r="J14" s="63"/>
      <c r="K14" s="63"/>
    </row>
    <row r="15" spans="2:11" x14ac:dyDescent="0.2">
      <c r="B15" s="85" t="s">
        <v>110</v>
      </c>
      <c r="C15" s="35">
        <f>'Respondent Burden'!F23</f>
        <v>45</v>
      </c>
      <c r="D15" s="94">
        <v>1</v>
      </c>
      <c r="E15" s="36">
        <v>0</v>
      </c>
      <c r="F15" s="35">
        <f t="shared" si="1"/>
        <v>45</v>
      </c>
      <c r="G15" s="26"/>
      <c r="H15" s="104"/>
      <c r="I15" s="63"/>
      <c r="J15" s="63"/>
      <c r="K15" s="63"/>
    </row>
    <row r="16" spans="2:11" x14ac:dyDescent="0.2">
      <c r="B16" s="85" t="s">
        <v>111</v>
      </c>
      <c r="C16" s="35">
        <f>'Respondent Burden'!F24</f>
        <v>304</v>
      </c>
      <c r="D16" s="94">
        <v>1</v>
      </c>
      <c r="E16" s="36">
        <v>0</v>
      </c>
      <c r="F16" s="35">
        <f>C16*D16+E16</f>
        <v>304</v>
      </c>
      <c r="G16" s="61"/>
      <c r="H16" s="104"/>
      <c r="I16" s="63"/>
      <c r="J16" s="63"/>
      <c r="K16" s="63"/>
    </row>
    <row r="17" spans="2:11" x14ac:dyDescent="0.2">
      <c r="B17" s="79" t="s">
        <v>107</v>
      </c>
      <c r="C17" s="94"/>
      <c r="D17" s="94"/>
      <c r="E17" s="94"/>
      <c r="F17" s="94"/>
      <c r="G17" s="61"/>
      <c r="H17" s="63"/>
      <c r="I17" s="63"/>
      <c r="J17" s="63"/>
      <c r="K17" s="63"/>
    </row>
    <row r="18" spans="2:11" x14ac:dyDescent="0.2">
      <c r="B18" s="85" t="s">
        <v>108</v>
      </c>
      <c r="C18" s="35">
        <f>'Respondent Burden'!F26</f>
        <v>87</v>
      </c>
      <c r="D18" s="94">
        <v>2</v>
      </c>
      <c r="E18" s="36">
        <v>0</v>
      </c>
      <c r="F18" s="35">
        <f>C18*D18+E18</f>
        <v>174</v>
      </c>
      <c r="G18" s="61"/>
      <c r="H18" s="63"/>
      <c r="I18" s="63"/>
      <c r="J18" s="63"/>
      <c r="K18" s="63"/>
    </row>
    <row r="19" spans="2:11" x14ac:dyDescent="0.2">
      <c r="B19" s="37"/>
      <c r="C19" s="37"/>
      <c r="D19" s="37"/>
      <c r="E19" s="36" t="s">
        <v>6</v>
      </c>
      <c r="F19" s="35">
        <f>SUM(F4:F18)</f>
        <v>2563</v>
      </c>
      <c r="G19" s="61"/>
      <c r="H19" s="63"/>
      <c r="I19" s="63"/>
      <c r="J19" s="63"/>
      <c r="K19" s="63"/>
    </row>
    <row r="20" spans="2:11" x14ac:dyDescent="0.2">
      <c r="B20" s="107"/>
      <c r="C20" s="107"/>
      <c r="D20" s="107"/>
      <c r="E20" s="108"/>
      <c r="F20" s="109"/>
      <c r="G20" s="25"/>
      <c r="H20" s="29" t="s">
        <v>122</v>
      </c>
      <c r="I20" s="63"/>
      <c r="J20" s="63"/>
      <c r="K20" s="63"/>
    </row>
    <row r="21" spans="2:11" x14ac:dyDescent="0.2">
      <c r="B21" s="107" t="s">
        <v>153</v>
      </c>
      <c r="C21" s="107"/>
      <c r="D21" s="107"/>
      <c r="E21" s="108"/>
      <c r="F21" s="109"/>
      <c r="G21" s="25"/>
      <c r="H21" s="29"/>
      <c r="I21" s="63"/>
      <c r="J21" s="63"/>
      <c r="K21" s="63"/>
    </row>
    <row r="22" spans="2:11" ht="26.1" customHeight="1" x14ac:dyDescent="0.2">
      <c r="B22" s="122" t="s">
        <v>152</v>
      </c>
      <c r="C22" s="122"/>
      <c r="D22" s="122"/>
      <c r="E22" s="122"/>
      <c r="F22" s="122"/>
      <c r="G22" s="25"/>
      <c r="H22" s="29"/>
      <c r="I22" s="63"/>
      <c r="J22" s="63"/>
      <c r="K22" s="63"/>
    </row>
    <row r="23" spans="2:11" ht="23.25" customHeight="1" x14ac:dyDescent="0.2">
      <c r="E23" s="47" t="s">
        <v>57</v>
      </c>
      <c r="F23" s="114">
        <f>'Respondent Burden'!G40/F19</f>
        <v>27.038626609442058</v>
      </c>
      <c r="G23" s="25"/>
      <c r="H23" s="29"/>
      <c r="I23" s="63"/>
      <c r="J23" s="63"/>
      <c r="K23" s="63"/>
    </row>
    <row r="24" spans="2:11" x14ac:dyDescent="0.2">
      <c r="H24" s="63"/>
      <c r="I24" s="63"/>
      <c r="J24" s="63"/>
      <c r="K24" s="63"/>
    </row>
    <row r="25" spans="2:11" x14ac:dyDescent="0.2">
      <c r="H25" s="63"/>
      <c r="I25" s="63"/>
      <c r="J25" s="63"/>
      <c r="K25" s="63"/>
    </row>
    <row r="26" spans="2:11" x14ac:dyDescent="0.2">
      <c r="H26" s="63"/>
      <c r="I26" s="63"/>
      <c r="J26" s="63"/>
      <c r="K26" s="63"/>
    </row>
    <row r="27" spans="2:11" x14ac:dyDescent="0.2">
      <c r="H27" s="63"/>
      <c r="I27" s="63"/>
      <c r="J27" s="63"/>
      <c r="K27" s="63"/>
    </row>
    <row r="28" spans="2:11" x14ac:dyDescent="0.2">
      <c r="H28" s="63"/>
      <c r="I28" s="63"/>
      <c r="J28" s="63"/>
      <c r="K28" s="63"/>
    </row>
  </sheetData>
  <mergeCells count="2">
    <mergeCell ref="B2:F2"/>
    <mergeCell ref="B22:F2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0"/>
  <sheetViews>
    <sheetView topLeftCell="A10" zoomScale="81" zoomScaleNormal="81" workbookViewId="0">
      <selection activeCell="M13" sqref="M13"/>
    </sheetView>
  </sheetViews>
  <sheetFormatPr defaultColWidth="9.140625" defaultRowHeight="12.75" x14ac:dyDescent="0.2"/>
  <cols>
    <col min="1" max="1" width="0.7109375" style="40" customWidth="1"/>
    <col min="2" max="2" width="44.42578125" style="1" customWidth="1"/>
    <col min="3" max="3" width="12.7109375" style="1" customWidth="1"/>
    <col min="4" max="4" width="12.5703125" style="1" customWidth="1"/>
    <col min="5" max="5" width="13.42578125" style="1" customWidth="1"/>
    <col min="6" max="6" width="11.140625" style="1" customWidth="1"/>
    <col min="7" max="7" width="10.28515625" style="1" customWidth="1"/>
    <col min="8" max="8" width="11.85546875" style="1" customWidth="1"/>
    <col min="9" max="9" width="12.140625" style="1" customWidth="1"/>
    <col min="10" max="10" width="15" style="1" customWidth="1"/>
    <col min="11" max="11" width="16.85546875" style="4" customWidth="1"/>
    <col min="12" max="12" width="20" style="4" customWidth="1"/>
    <col min="13" max="13" width="9.85546875" style="4" customWidth="1"/>
    <col min="14" max="14" width="8" style="1" bestFit="1" customWidth="1"/>
    <col min="15" max="15" width="11" style="1" customWidth="1"/>
    <col min="16" max="16384" width="9.140625" style="1"/>
  </cols>
  <sheetData>
    <row r="1" spans="1:14" s="4" customFormat="1" ht="33.75" customHeight="1" x14ac:dyDescent="0.2">
      <c r="A1" s="2"/>
      <c r="B1" s="125" t="s">
        <v>62</v>
      </c>
      <c r="C1" s="125"/>
      <c r="D1" s="125"/>
      <c r="E1" s="125"/>
      <c r="F1" s="125"/>
      <c r="G1" s="125"/>
      <c r="H1" s="125"/>
      <c r="I1" s="125"/>
      <c r="J1" s="125"/>
    </row>
    <row r="2" spans="1:14" s="4" customFormat="1" x14ac:dyDescent="0.2">
      <c r="A2" s="2"/>
      <c r="J2" s="5"/>
    </row>
    <row r="3" spans="1:14" s="9" customFormat="1" ht="12.75" customHeight="1" x14ac:dyDescent="0.2">
      <c r="A3" s="6"/>
      <c r="B3" s="131" t="s">
        <v>7</v>
      </c>
      <c r="C3" s="7" t="s">
        <v>8</v>
      </c>
      <c r="D3" s="7" t="s">
        <v>9</v>
      </c>
      <c r="E3" s="7" t="s">
        <v>10</v>
      </c>
      <c r="F3" s="7" t="s">
        <v>11</v>
      </c>
      <c r="G3" s="7" t="s">
        <v>12</v>
      </c>
      <c r="H3" s="7" t="s">
        <v>13</v>
      </c>
      <c r="I3" s="7" t="s">
        <v>14</v>
      </c>
      <c r="J3" s="8" t="s">
        <v>15</v>
      </c>
    </row>
    <row r="4" spans="1:14" s="13" customFormat="1" ht="43.5" customHeight="1" x14ac:dyDescent="0.2">
      <c r="A4" s="11"/>
      <c r="B4" s="132"/>
      <c r="C4" s="12" t="s">
        <v>16</v>
      </c>
      <c r="D4" s="12" t="s">
        <v>17</v>
      </c>
      <c r="E4" s="12" t="s">
        <v>18</v>
      </c>
      <c r="F4" s="12" t="s">
        <v>19</v>
      </c>
      <c r="G4" s="12" t="s">
        <v>20</v>
      </c>
      <c r="H4" s="12" t="s">
        <v>21</v>
      </c>
      <c r="I4" s="12" t="s">
        <v>22</v>
      </c>
      <c r="J4" s="46" t="s">
        <v>23</v>
      </c>
    </row>
    <row r="5" spans="1:14" s="2" customFormat="1" x14ac:dyDescent="0.2">
      <c r="B5" s="87" t="s">
        <v>64</v>
      </c>
      <c r="C5" s="81" t="s">
        <v>65</v>
      </c>
      <c r="D5" s="81"/>
      <c r="E5" s="82"/>
      <c r="F5" s="82"/>
      <c r="G5" s="83"/>
      <c r="H5" s="83"/>
      <c r="I5" s="83"/>
      <c r="J5" s="84"/>
      <c r="L5" s="123" t="s">
        <v>56</v>
      </c>
      <c r="M5" s="123"/>
    </row>
    <row r="6" spans="1:14" s="4" customFormat="1" ht="15" x14ac:dyDescent="0.25">
      <c r="A6" s="2"/>
      <c r="B6" s="87" t="s">
        <v>66</v>
      </c>
      <c r="C6" s="81" t="s">
        <v>65</v>
      </c>
      <c r="D6" s="81"/>
      <c r="E6" s="82"/>
      <c r="F6" s="81"/>
      <c r="G6" s="83"/>
      <c r="H6" s="83"/>
      <c r="I6" s="83"/>
      <c r="J6" s="84"/>
      <c r="L6" s="66" t="s">
        <v>146</v>
      </c>
      <c r="M6" s="103">
        <v>147.4</v>
      </c>
      <c r="N6" s="97" t="s">
        <v>142</v>
      </c>
    </row>
    <row r="7" spans="1:14" s="2" customFormat="1" ht="25.5" x14ac:dyDescent="0.2">
      <c r="B7" s="87" t="s">
        <v>67</v>
      </c>
      <c r="C7" s="81" t="s">
        <v>65</v>
      </c>
      <c r="D7" s="81"/>
      <c r="E7" s="82"/>
      <c r="F7" s="81"/>
      <c r="G7" s="83"/>
      <c r="H7" s="83"/>
      <c r="I7" s="83"/>
      <c r="J7" s="84"/>
      <c r="K7" s="4"/>
      <c r="L7" s="66" t="s">
        <v>147</v>
      </c>
      <c r="M7" s="103">
        <v>117.92</v>
      </c>
    </row>
    <row r="8" spans="1:14" s="2" customFormat="1" x14ac:dyDescent="0.2">
      <c r="B8" s="87" t="s">
        <v>68</v>
      </c>
      <c r="C8" s="81" t="s">
        <v>65</v>
      </c>
      <c r="D8" s="81"/>
      <c r="E8" s="82"/>
      <c r="F8" s="81"/>
      <c r="G8" s="83"/>
      <c r="H8" s="83"/>
      <c r="I8" s="83"/>
      <c r="J8" s="84"/>
      <c r="K8" s="4"/>
      <c r="L8" s="66" t="s">
        <v>148</v>
      </c>
      <c r="M8" s="103">
        <v>57.02</v>
      </c>
    </row>
    <row r="9" spans="1:14" s="4" customFormat="1" ht="15.75" x14ac:dyDescent="0.2">
      <c r="A9" s="2"/>
      <c r="B9" s="85" t="s">
        <v>123</v>
      </c>
      <c r="C9" s="81">
        <v>1</v>
      </c>
      <c r="D9" s="88">
        <v>1</v>
      </c>
      <c r="E9" s="81">
        <f t="shared" ref="E9" si="0">C9*D9</f>
        <v>1</v>
      </c>
      <c r="F9" s="81">
        <f>M18+M13</f>
        <v>532</v>
      </c>
      <c r="G9" s="82">
        <f>ROUND(E9*F9,2)</f>
        <v>532</v>
      </c>
      <c r="H9" s="86">
        <f>ROUND(G9*0.05,2)</f>
        <v>26.6</v>
      </c>
      <c r="I9" s="86">
        <f>ROUND(G9*0.1, 2)</f>
        <v>53.2</v>
      </c>
      <c r="J9" s="102">
        <f>ROUND(G9*$M$7+H9*$M$6+I9*$M$8, 2)</f>
        <v>69687.740000000005</v>
      </c>
    </row>
    <row r="10" spans="1:14" s="4" customFormat="1" x14ac:dyDescent="0.2">
      <c r="A10" s="2"/>
      <c r="B10" s="85" t="s">
        <v>70</v>
      </c>
      <c r="C10" s="80"/>
      <c r="D10" s="80"/>
      <c r="E10" s="82"/>
      <c r="F10" s="82"/>
      <c r="G10" s="83"/>
      <c r="H10" s="83"/>
      <c r="I10" s="83"/>
      <c r="J10" s="102"/>
    </row>
    <row r="11" spans="1:14" s="4" customFormat="1" ht="15.75" x14ac:dyDescent="0.2">
      <c r="A11" s="2"/>
      <c r="B11" s="89" t="s">
        <v>124</v>
      </c>
      <c r="C11" s="90">
        <v>0.5</v>
      </c>
      <c r="D11" s="88">
        <v>33</v>
      </c>
      <c r="E11" s="81">
        <f t="shared" ref="E11" si="1">C11*D11</f>
        <v>16.5</v>
      </c>
      <c r="F11" s="81">
        <v>0</v>
      </c>
      <c r="G11" s="82">
        <f t="shared" ref="G11:G14" si="2">ROUND(E11*F11,2)</f>
        <v>0</v>
      </c>
      <c r="H11" s="82">
        <f t="shared" ref="H11:H14" si="3">ROUND(G11*0.05,2)</f>
        <v>0</v>
      </c>
      <c r="I11" s="82">
        <f t="shared" ref="I11:I14" si="4">ROUND(G11*0.1, 2)</f>
        <v>0</v>
      </c>
      <c r="J11" s="110">
        <f>ROUND(G11*$M$7+H11*$M$6+I11*$M$8, 2)</f>
        <v>0</v>
      </c>
      <c r="K11" s="105" t="s">
        <v>173</v>
      </c>
    </row>
    <row r="12" spans="1:14" s="4" customFormat="1" ht="15.75" x14ac:dyDescent="0.2">
      <c r="A12" s="2"/>
      <c r="B12" s="89" t="s">
        <v>130</v>
      </c>
      <c r="C12" s="90">
        <v>0.5</v>
      </c>
      <c r="D12" s="91">
        <v>4</v>
      </c>
      <c r="E12" s="82">
        <f>C12*D12</f>
        <v>2</v>
      </c>
      <c r="F12" s="82">
        <v>0</v>
      </c>
      <c r="G12" s="82">
        <f t="shared" si="2"/>
        <v>0</v>
      </c>
      <c r="H12" s="82">
        <f t="shared" si="3"/>
        <v>0</v>
      </c>
      <c r="I12" s="82">
        <f t="shared" si="4"/>
        <v>0</v>
      </c>
      <c r="J12" s="110">
        <f>ROUND(G12*$M$7+H12*$M$6+I12*$M$8, 2)</f>
        <v>0</v>
      </c>
      <c r="K12" s="105" t="s">
        <v>173</v>
      </c>
      <c r="L12" s="14" t="s">
        <v>24</v>
      </c>
      <c r="M12" s="14" t="s">
        <v>25</v>
      </c>
    </row>
    <row r="13" spans="1:14" s="4" customFormat="1" ht="15.75" x14ac:dyDescent="0.2">
      <c r="A13" s="2"/>
      <c r="B13" s="89" t="s">
        <v>132</v>
      </c>
      <c r="C13" s="81">
        <v>1</v>
      </c>
      <c r="D13" s="88">
        <v>1</v>
      </c>
      <c r="E13" s="81">
        <f t="shared" ref="E13" si="5">C13*D13</f>
        <v>1</v>
      </c>
      <c r="F13" s="81">
        <f>M19</f>
        <v>0</v>
      </c>
      <c r="G13" s="82">
        <f t="shared" si="2"/>
        <v>0</v>
      </c>
      <c r="H13" s="82">
        <f t="shared" si="3"/>
        <v>0</v>
      </c>
      <c r="I13" s="82">
        <f t="shared" si="4"/>
        <v>0</v>
      </c>
      <c r="J13" s="110">
        <f>ROUND(G13*$M$7+H13*$M$6+I13*$M$8, 2)</f>
        <v>0</v>
      </c>
      <c r="K13" s="105" t="s">
        <v>173</v>
      </c>
      <c r="L13" s="76" t="s">
        <v>26</v>
      </c>
      <c r="M13" s="77">
        <f>'# Respondents'!D8</f>
        <v>532</v>
      </c>
    </row>
    <row r="14" spans="1:14" s="4" customFormat="1" ht="15.75" x14ac:dyDescent="0.2">
      <c r="A14" s="2"/>
      <c r="B14" s="89" t="s">
        <v>133</v>
      </c>
      <c r="C14" s="81">
        <v>1</v>
      </c>
      <c r="D14" s="88">
        <v>1</v>
      </c>
      <c r="E14" s="81">
        <f t="shared" ref="E14" si="6">C14*D14</f>
        <v>1</v>
      </c>
      <c r="F14" s="81">
        <f>M20</f>
        <v>0</v>
      </c>
      <c r="G14" s="82">
        <f t="shared" si="2"/>
        <v>0</v>
      </c>
      <c r="H14" s="82">
        <f t="shared" si="3"/>
        <v>0</v>
      </c>
      <c r="I14" s="82">
        <f t="shared" si="4"/>
        <v>0</v>
      </c>
      <c r="J14" s="110">
        <f>ROUND(G14*$M$7+H14*$M$6+I14*$M$8, 2)</f>
        <v>0</v>
      </c>
      <c r="K14" s="105" t="s">
        <v>173</v>
      </c>
      <c r="L14" s="70" t="s">
        <v>74</v>
      </c>
      <c r="M14" s="71">
        <v>300</v>
      </c>
    </row>
    <row r="15" spans="1:14" s="4" customFormat="1" x14ac:dyDescent="0.2">
      <c r="A15" s="2"/>
      <c r="B15" s="85" t="s">
        <v>76</v>
      </c>
      <c r="C15" s="81" t="s">
        <v>78</v>
      </c>
      <c r="D15" s="88"/>
      <c r="E15" s="81"/>
      <c r="F15" s="81"/>
      <c r="G15" s="83"/>
      <c r="H15" s="83"/>
      <c r="I15" s="83"/>
      <c r="J15" s="110"/>
      <c r="L15" s="72" t="s">
        <v>75</v>
      </c>
      <c r="M15" s="73">
        <v>136</v>
      </c>
    </row>
    <row r="16" spans="1:14" s="4" customFormat="1" x14ac:dyDescent="0.2">
      <c r="A16" s="2"/>
      <c r="B16" s="85" t="s">
        <v>79</v>
      </c>
      <c r="C16" s="81" t="s">
        <v>77</v>
      </c>
      <c r="D16" s="66"/>
      <c r="E16" s="66"/>
      <c r="F16" s="66"/>
      <c r="G16" s="66"/>
      <c r="H16" s="66"/>
      <c r="I16" s="66"/>
      <c r="J16" s="113"/>
      <c r="L16" s="74" t="s">
        <v>72</v>
      </c>
      <c r="M16" s="66">
        <v>116</v>
      </c>
    </row>
    <row r="17" spans="1:13" s="4" customFormat="1" x14ac:dyDescent="0.2">
      <c r="A17" s="2"/>
      <c r="B17" s="85" t="s">
        <v>80</v>
      </c>
      <c r="C17" s="81"/>
      <c r="D17" s="88"/>
      <c r="E17" s="81"/>
      <c r="F17" s="81"/>
      <c r="G17" s="83"/>
      <c r="H17" s="83"/>
      <c r="I17" s="83"/>
      <c r="J17" s="110"/>
      <c r="L17" s="75" t="s">
        <v>73</v>
      </c>
      <c r="M17" s="15">
        <v>12</v>
      </c>
    </row>
    <row r="18" spans="1:13" s="4" customFormat="1" ht="15.75" x14ac:dyDescent="0.2">
      <c r="A18" s="2"/>
      <c r="B18" s="89" t="s">
        <v>125</v>
      </c>
      <c r="C18" s="81">
        <v>16</v>
      </c>
      <c r="D18" s="88">
        <v>1</v>
      </c>
      <c r="E18" s="81">
        <f t="shared" ref="E18" si="7">C18*D18</f>
        <v>16</v>
      </c>
      <c r="F18" s="81">
        <v>0</v>
      </c>
      <c r="G18" s="82">
        <f t="shared" ref="G18:G24" si="8">ROUND(E18*F18,2)</f>
        <v>0</v>
      </c>
      <c r="H18" s="82">
        <f t="shared" ref="H18:H24" si="9">ROUND(G18*0.05,2)</f>
        <v>0</v>
      </c>
      <c r="I18" s="82">
        <f t="shared" ref="I18:I24" si="10">ROUND(G18*0.1, 2)</f>
        <v>0</v>
      </c>
      <c r="J18" s="110">
        <f t="shared" ref="J18:J24" si="11">ROUND(G18*$M$7+H18*$M$6+I18*$M$8, 2)</f>
        <v>0</v>
      </c>
      <c r="K18" s="105" t="s">
        <v>173</v>
      </c>
      <c r="L18" s="76" t="s">
        <v>61</v>
      </c>
      <c r="M18" s="77">
        <f>'# Respondents'!C10</f>
        <v>0</v>
      </c>
    </row>
    <row r="19" spans="1:13" s="4" customFormat="1" ht="15.75" x14ac:dyDescent="0.2">
      <c r="A19" s="2"/>
      <c r="B19" s="89" t="s">
        <v>134</v>
      </c>
      <c r="C19" s="81">
        <v>1</v>
      </c>
      <c r="D19" s="88">
        <v>1</v>
      </c>
      <c r="E19" s="81">
        <f>C19*D19</f>
        <v>1</v>
      </c>
      <c r="F19" s="81">
        <f>12*0.75</f>
        <v>9</v>
      </c>
      <c r="G19" s="82">
        <f>ROUND(E19*F19,2)</f>
        <v>9</v>
      </c>
      <c r="H19" s="83">
        <f>ROUND(G19*0.05,2)</f>
        <v>0.45</v>
      </c>
      <c r="I19" s="86">
        <f>ROUND(G19*0.1, 2)</f>
        <v>0.9</v>
      </c>
      <c r="J19" s="102">
        <f t="shared" si="11"/>
        <v>1178.93</v>
      </c>
      <c r="K19" s="105" t="s">
        <v>177</v>
      </c>
      <c r="L19" s="74" t="s">
        <v>72</v>
      </c>
      <c r="M19" s="66">
        <v>0</v>
      </c>
    </row>
    <row r="20" spans="1:13" s="4" customFormat="1" ht="15.75" x14ac:dyDescent="0.2">
      <c r="A20" s="2"/>
      <c r="B20" s="89" t="s">
        <v>135</v>
      </c>
      <c r="C20" s="81">
        <v>8</v>
      </c>
      <c r="D20" s="88">
        <v>1</v>
      </c>
      <c r="E20" s="81">
        <f t="shared" ref="E20" si="12">C20*D20</f>
        <v>8</v>
      </c>
      <c r="F20" s="81">
        <f>52*0.75</f>
        <v>39</v>
      </c>
      <c r="G20" s="82">
        <f t="shared" si="8"/>
        <v>312</v>
      </c>
      <c r="H20" s="82">
        <f t="shared" si="9"/>
        <v>15.6</v>
      </c>
      <c r="I20" s="82">
        <f t="shared" si="10"/>
        <v>31.2</v>
      </c>
      <c r="J20" s="102">
        <f t="shared" si="11"/>
        <v>40869.5</v>
      </c>
      <c r="K20" s="105" t="s">
        <v>177</v>
      </c>
      <c r="L20" s="75" t="s">
        <v>73</v>
      </c>
      <c r="M20" s="15">
        <v>0</v>
      </c>
    </row>
    <row r="21" spans="1:13" s="4" customFormat="1" ht="15.75" x14ac:dyDescent="0.2">
      <c r="A21" s="2"/>
      <c r="B21" s="89" t="s">
        <v>136</v>
      </c>
      <c r="C21" s="81">
        <v>8</v>
      </c>
      <c r="D21" s="88">
        <v>1</v>
      </c>
      <c r="E21" s="81">
        <f t="shared" ref="E21:E26" si="13">C21*D21</f>
        <v>8</v>
      </c>
      <c r="F21" s="82">
        <v>1676</v>
      </c>
      <c r="G21" s="82">
        <f t="shared" si="8"/>
        <v>13408</v>
      </c>
      <c r="H21" s="82">
        <f t="shared" si="9"/>
        <v>670.4</v>
      </c>
      <c r="I21" s="82">
        <f t="shared" si="10"/>
        <v>1340.8</v>
      </c>
      <c r="J21" s="102">
        <f t="shared" si="11"/>
        <v>1756340.74</v>
      </c>
      <c r="K21" s="105" t="s">
        <v>177</v>
      </c>
      <c r="L21" s="105"/>
    </row>
    <row r="22" spans="1:13" s="4" customFormat="1" ht="15.75" x14ac:dyDescent="0.25">
      <c r="A22" s="2"/>
      <c r="B22" s="89" t="s">
        <v>126</v>
      </c>
      <c r="C22" s="81">
        <v>8</v>
      </c>
      <c r="D22" s="88">
        <v>1</v>
      </c>
      <c r="E22" s="81">
        <f t="shared" ref="E22" si="14">C22*D22</f>
        <v>8</v>
      </c>
      <c r="F22" s="81">
        <v>300</v>
      </c>
      <c r="G22" s="82">
        <f t="shared" si="8"/>
        <v>2400</v>
      </c>
      <c r="H22" s="82">
        <f t="shared" si="9"/>
        <v>120</v>
      </c>
      <c r="I22" s="82">
        <f t="shared" si="10"/>
        <v>240</v>
      </c>
      <c r="J22" s="102">
        <f t="shared" si="11"/>
        <v>314380.79999999999</v>
      </c>
      <c r="L22" s="45" t="s">
        <v>149</v>
      </c>
    </row>
    <row r="23" spans="1:13" s="4" customFormat="1" ht="15.75" x14ac:dyDescent="0.2">
      <c r="A23" s="2"/>
      <c r="B23" s="89" t="s">
        <v>127</v>
      </c>
      <c r="C23" s="81">
        <v>8</v>
      </c>
      <c r="D23" s="88">
        <v>1</v>
      </c>
      <c r="E23" s="81">
        <f t="shared" ref="E23" si="15">C23*D23</f>
        <v>8</v>
      </c>
      <c r="F23" s="81">
        <f>60*0.75</f>
        <v>45</v>
      </c>
      <c r="G23" s="82">
        <f t="shared" si="8"/>
        <v>360</v>
      </c>
      <c r="H23" s="82">
        <f t="shared" si="9"/>
        <v>18</v>
      </c>
      <c r="I23" s="82">
        <f t="shared" si="10"/>
        <v>36</v>
      </c>
      <c r="J23" s="102">
        <f t="shared" si="11"/>
        <v>47157.120000000003</v>
      </c>
      <c r="K23" s="105" t="s">
        <v>177</v>
      </c>
    </row>
    <row r="24" spans="1:13" s="4" customFormat="1" ht="15.75" x14ac:dyDescent="0.2">
      <c r="A24" s="2"/>
      <c r="B24" s="89" t="s">
        <v>128</v>
      </c>
      <c r="C24" s="81">
        <v>8</v>
      </c>
      <c r="D24" s="88">
        <v>1</v>
      </c>
      <c r="E24" s="81">
        <f t="shared" ref="E24" si="16">C24*D24</f>
        <v>8</v>
      </c>
      <c r="F24" s="82">
        <f>304</f>
        <v>304</v>
      </c>
      <c r="G24" s="82">
        <f t="shared" si="8"/>
        <v>2432</v>
      </c>
      <c r="H24" s="82">
        <f t="shared" si="9"/>
        <v>121.6</v>
      </c>
      <c r="I24" s="82">
        <f t="shared" si="10"/>
        <v>243.2</v>
      </c>
      <c r="J24" s="102">
        <f t="shared" si="11"/>
        <v>318572.53999999998</v>
      </c>
      <c r="K24" s="105" t="s">
        <v>177</v>
      </c>
      <c r="L24" s="105"/>
    </row>
    <row r="25" spans="1:13" s="4" customFormat="1" x14ac:dyDescent="0.2">
      <c r="A25" s="2"/>
      <c r="B25" s="85" t="s">
        <v>82</v>
      </c>
      <c r="C25" s="81"/>
      <c r="D25" s="88"/>
      <c r="E25" s="81"/>
      <c r="F25" s="81"/>
      <c r="G25" s="83"/>
      <c r="H25" s="83"/>
      <c r="I25" s="83"/>
      <c r="J25" s="102"/>
    </row>
    <row r="26" spans="1:13" s="4" customFormat="1" ht="15.75" x14ac:dyDescent="0.2">
      <c r="A26" s="2"/>
      <c r="B26" s="89" t="s">
        <v>129</v>
      </c>
      <c r="C26" s="81">
        <v>40</v>
      </c>
      <c r="D26" s="88">
        <v>2</v>
      </c>
      <c r="E26" s="81">
        <f t="shared" si="13"/>
        <v>80</v>
      </c>
      <c r="F26" s="81">
        <f>116*0.75</f>
        <v>87</v>
      </c>
      <c r="G26" s="82">
        <f>ROUND(E26*F26,2)</f>
        <v>6960</v>
      </c>
      <c r="H26" s="82">
        <f>ROUND(G26*0.05,2)</f>
        <v>348</v>
      </c>
      <c r="I26" s="82">
        <f>ROUND(G26*0.1, 2)</f>
        <v>696</v>
      </c>
      <c r="J26" s="102">
        <f>ROUND(G26*$M$7+H26*$M$6+I26*$M$8, 2)</f>
        <v>911704.32</v>
      </c>
      <c r="K26" s="105" t="s">
        <v>177</v>
      </c>
    </row>
    <row r="27" spans="1:13" s="4" customFormat="1" ht="13.5" x14ac:dyDescent="0.25">
      <c r="A27" s="2"/>
      <c r="B27" s="92" t="s">
        <v>5</v>
      </c>
      <c r="C27" s="67"/>
      <c r="D27" s="67"/>
      <c r="E27" s="93"/>
      <c r="F27" s="93"/>
      <c r="G27" s="128">
        <f>SUM(G9:I26)</f>
        <v>30374.95</v>
      </c>
      <c r="H27" s="129"/>
      <c r="I27" s="130"/>
      <c r="J27" s="112">
        <f>SUM(J9:J26)</f>
        <v>3459891.69</v>
      </c>
    </row>
    <row r="28" spans="1:13" s="2" customFormat="1" x14ac:dyDescent="0.2">
      <c r="B28" s="87" t="s">
        <v>83</v>
      </c>
      <c r="C28" s="80"/>
      <c r="D28" s="80"/>
      <c r="E28" s="82"/>
      <c r="F28" s="82"/>
      <c r="G28" s="82"/>
      <c r="H28" s="82"/>
      <c r="I28" s="82"/>
      <c r="J28" s="102"/>
    </row>
    <row r="29" spans="1:13" s="2" customFormat="1" x14ac:dyDescent="0.2">
      <c r="B29" s="85" t="s">
        <v>69</v>
      </c>
      <c r="C29" s="80" t="s">
        <v>84</v>
      </c>
      <c r="D29" s="80"/>
      <c r="E29" s="81"/>
      <c r="F29" s="82"/>
      <c r="G29" s="83"/>
      <c r="H29" s="83"/>
      <c r="I29" s="83"/>
      <c r="J29" s="102"/>
    </row>
    <row r="30" spans="1:13" s="2" customFormat="1" x14ac:dyDescent="0.2">
      <c r="B30" s="85" t="s">
        <v>85</v>
      </c>
      <c r="C30" s="80" t="s">
        <v>78</v>
      </c>
      <c r="D30" s="80"/>
      <c r="E30" s="81"/>
      <c r="F30" s="82"/>
      <c r="G30" s="83"/>
      <c r="H30" s="83"/>
      <c r="I30" s="83"/>
      <c r="J30" s="102"/>
    </row>
    <row r="31" spans="1:13" s="4" customFormat="1" x14ac:dyDescent="0.2">
      <c r="A31" s="2"/>
      <c r="B31" s="85" t="s">
        <v>86</v>
      </c>
      <c r="C31" s="80"/>
      <c r="D31" s="91"/>
      <c r="E31" s="86"/>
      <c r="F31" s="86"/>
      <c r="G31" s="83"/>
      <c r="H31" s="86"/>
      <c r="I31" s="83"/>
      <c r="J31" s="102"/>
    </row>
    <row r="32" spans="1:13" s="4" customFormat="1" ht="15.75" x14ac:dyDescent="0.2">
      <c r="A32" s="2"/>
      <c r="B32" s="89" t="s">
        <v>165</v>
      </c>
      <c r="C32" s="80">
        <v>5</v>
      </c>
      <c r="D32" s="91">
        <v>12</v>
      </c>
      <c r="E32" s="82">
        <f>C32*D32</f>
        <v>60</v>
      </c>
      <c r="F32" s="82">
        <f>M14+M15</f>
        <v>436</v>
      </c>
      <c r="G32" s="82">
        <f>ROUND(E32*F32,2)</f>
        <v>26160</v>
      </c>
      <c r="H32" s="82">
        <f>ROUND(G32*0.05,2)</f>
        <v>1308</v>
      </c>
      <c r="I32" s="82">
        <f>ROUND(G32*0.1, 2)</f>
        <v>2616</v>
      </c>
      <c r="J32" s="102">
        <f>ROUND(G32*$M$7+H32*$M$6+I32*$M$8, 2)</f>
        <v>3426750.72</v>
      </c>
    </row>
    <row r="33" spans="1:11" s="2" customFormat="1" ht="15.75" x14ac:dyDescent="0.2">
      <c r="B33" s="89" t="s">
        <v>164</v>
      </c>
      <c r="C33" s="80">
        <v>5</v>
      </c>
      <c r="D33" s="91">
        <v>12</v>
      </c>
      <c r="E33" s="82">
        <f>C33*D33</f>
        <v>60</v>
      </c>
      <c r="F33" s="82">
        <f>(M16 + M17) + (M19 + M20)</f>
        <v>128</v>
      </c>
      <c r="G33" s="82">
        <f>ROUND(E33*F33,2)</f>
        <v>7680</v>
      </c>
      <c r="H33" s="82">
        <f>ROUND(G33*0.05,2)</f>
        <v>384</v>
      </c>
      <c r="I33" s="82">
        <f>ROUND(G33*0.1, 2)</f>
        <v>768</v>
      </c>
      <c r="J33" s="102">
        <f>ROUND(G33*$M$7+H33*$M$6+I33*$M$8, 2)</f>
        <v>1006018.5600000001</v>
      </c>
      <c r="K33" s="105" t="s">
        <v>177</v>
      </c>
    </row>
    <row r="34" spans="1:11" s="2" customFormat="1" x14ac:dyDescent="0.2">
      <c r="B34" s="85" t="s">
        <v>87</v>
      </c>
      <c r="C34" s="80" t="s">
        <v>65</v>
      </c>
      <c r="D34" s="80"/>
      <c r="E34" s="82"/>
      <c r="F34" s="82"/>
      <c r="G34" s="82"/>
      <c r="H34" s="86"/>
      <c r="I34" s="86"/>
      <c r="J34" s="102"/>
    </row>
    <row r="35" spans="1:11" s="2" customFormat="1" x14ac:dyDescent="0.2">
      <c r="B35" s="85" t="s">
        <v>90</v>
      </c>
      <c r="C35" s="80"/>
      <c r="D35" s="91"/>
      <c r="E35" s="82"/>
      <c r="F35" s="82"/>
      <c r="G35" s="83"/>
      <c r="H35" s="83"/>
      <c r="I35" s="83"/>
      <c r="J35" s="102"/>
    </row>
    <row r="36" spans="1:11" s="2" customFormat="1" x14ac:dyDescent="0.2">
      <c r="B36" s="89" t="s">
        <v>88</v>
      </c>
      <c r="C36" s="80" t="s">
        <v>89</v>
      </c>
      <c r="D36" s="91"/>
      <c r="E36" s="82"/>
      <c r="F36" s="82"/>
      <c r="G36" s="83"/>
      <c r="H36" s="83"/>
      <c r="I36" s="83"/>
      <c r="J36" s="102"/>
    </row>
    <row r="37" spans="1:11" s="2" customFormat="1" x14ac:dyDescent="0.2">
      <c r="B37" s="85" t="s">
        <v>91</v>
      </c>
      <c r="C37" s="80" t="s">
        <v>89</v>
      </c>
      <c r="D37" s="80"/>
      <c r="E37" s="82"/>
      <c r="F37" s="82"/>
      <c r="G37" s="82"/>
      <c r="H37" s="86"/>
      <c r="I37" s="86"/>
      <c r="J37" s="102"/>
    </row>
    <row r="38" spans="1:11" s="2" customFormat="1" x14ac:dyDescent="0.2">
      <c r="B38" s="85" t="s">
        <v>92</v>
      </c>
      <c r="C38" s="80" t="s">
        <v>65</v>
      </c>
      <c r="D38" s="91"/>
      <c r="E38" s="82"/>
      <c r="F38" s="82"/>
      <c r="G38" s="83"/>
      <c r="H38" s="83"/>
      <c r="I38" s="83"/>
      <c r="J38" s="102"/>
    </row>
    <row r="39" spans="1:11" s="4" customFormat="1" ht="13.5" x14ac:dyDescent="0.25">
      <c r="A39" s="2"/>
      <c r="B39" s="92" t="s">
        <v>54</v>
      </c>
      <c r="C39" s="67"/>
      <c r="D39" s="67"/>
      <c r="E39" s="93"/>
      <c r="F39" s="93"/>
      <c r="G39" s="128">
        <f>SUM(G29:I38)</f>
        <v>38916</v>
      </c>
      <c r="H39" s="129"/>
      <c r="I39" s="130"/>
      <c r="J39" s="112">
        <f>SUM(J29:J38)</f>
        <v>4432769.28</v>
      </c>
    </row>
    <row r="40" spans="1:11" s="4" customFormat="1" ht="15.75" x14ac:dyDescent="0.2">
      <c r="A40" s="2"/>
      <c r="B40" s="68" t="s">
        <v>163</v>
      </c>
      <c r="C40" s="67"/>
      <c r="D40" s="69"/>
      <c r="E40" s="68"/>
      <c r="F40" s="69"/>
      <c r="G40" s="133">
        <f>ROUND(G27+G39, -2)</f>
        <v>69300</v>
      </c>
      <c r="H40" s="133"/>
      <c r="I40" s="133"/>
      <c r="J40" s="111">
        <f>ROUND(J27+J39, -4)</f>
        <v>7890000</v>
      </c>
    </row>
    <row r="41" spans="1:11" s="4" customFormat="1" ht="15.75" x14ac:dyDescent="0.2">
      <c r="A41" s="2"/>
      <c r="B41" s="68" t="s">
        <v>162</v>
      </c>
      <c r="C41" s="67"/>
      <c r="D41" s="69"/>
      <c r="E41" s="68"/>
      <c r="F41" s="69"/>
      <c r="G41" s="58"/>
      <c r="H41" s="58"/>
      <c r="I41" s="58"/>
      <c r="J41" s="111">
        <f>ROUND('Capital &amp; O&amp;M'!E8+'Capital &amp; O&amp;M'!H8, -3)</f>
        <v>1220000</v>
      </c>
      <c r="K41" s="29"/>
    </row>
    <row r="42" spans="1:11" s="4" customFormat="1" ht="15.75" x14ac:dyDescent="0.2">
      <c r="A42" s="2"/>
      <c r="B42" s="68" t="s">
        <v>161</v>
      </c>
      <c r="C42" s="67"/>
      <c r="D42" s="69"/>
      <c r="E42" s="68"/>
      <c r="F42" s="69"/>
      <c r="G42" s="58"/>
      <c r="H42" s="58"/>
      <c r="I42" s="58"/>
      <c r="J42" s="111">
        <f>ROUND(J40+J41, -4)</f>
        <v>9110000</v>
      </c>
      <c r="K42" s="29"/>
    </row>
    <row r="43" spans="1:11" s="2" customFormat="1" x14ac:dyDescent="0.2">
      <c r="B43" s="50" t="s">
        <v>59</v>
      </c>
      <c r="C43" s="30"/>
      <c r="D43" s="27"/>
      <c r="E43" s="27"/>
      <c r="F43" s="28"/>
      <c r="G43" s="31"/>
      <c r="K43" s="29"/>
    </row>
    <row r="44" spans="1:11" s="2" customFormat="1" x14ac:dyDescent="0.2">
      <c r="B44" s="95"/>
      <c r="C44" s="30"/>
      <c r="D44" s="27"/>
      <c r="E44" s="27"/>
      <c r="F44" s="28"/>
      <c r="G44" s="31"/>
      <c r="K44" s="29"/>
    </row>
    <row r="45" spans="1:11" s="4" customFormat="1" x14ac:dyDescent="0.2">
      <c r="A45" s="2"/>
      <c r="B45" s="51" t="s">
        <v>47</v>
      </c>
      <c r="C45" s="2"/>
      <c r="D45" s="2"/>
      <c r="E45" s="2"/>
      <c r="F45" s="2"/>
      <c r="G45" s="2"/>
      <c r="H45" s="2"/>
      <c r="I45" s="2"/>
      <c r="J45" s="2"/>
    </row>
    <row r="46" spans="1:11" s="4" customFormat="1" ht="39.6" customHeight="1" x14ac:dyDescent="0.2">
      <c r="A46" s="2"/>
      <c r="B46" s="126" t="s">
        <v>176</v>
      </c>
      <c r="C46" s="126"/>
      <c r="D46" s="126"/>
      <c r="E46" s="126"/>
      <c r="F46" s="126"/>
      <c r="G46" s="126"/>
      <c r="H46" s="126"/>
      <c r="I46" s="126"/>
      <c r="J46" s="126"/>
    </row>
    <row r="47" spans="1:11" s="4" customFormat="1" ht="39.75" customHeight="1" x14ac:dyDescent="0.2">
      <c r="A47" s="2"/>
      <c r="B47" s="127" t="s">
        <v>143</v>
      </c>
      <c r="C47" s="127"/>
      <c r="D47" s="127"/>
      <c r="E47" s="127"/>
      <c r="F47" s="127"/>
      <c r="G47" s="127"/>
      <c r="H47" s="127"/>
      <c r="I47" s="127"/>
      <c r="J47" s="127"/>
    </row>
    <row r="48" spans="1:11" s="4" customFormat="1" x14ac:dyDescent="0.2">
      <c r="A48" s="2"/>
      <c r="B48" s="126" t="s">
        <v>131</v>
      </c>
      <c r="C48" s="126"/>
      <c r="D48" s="126"/>
      <c r="E48" s="126"/>
      <c r="F48" s="126"/>
      <c r="G48" s="126"/>
      <c r="H48" s="126"/>
      <c r="I48" s="126"/>
      <c r="J48" s="126"/>
    </row>
    <row r="49" spans="1:10" s="4" customFormat="1" ht="25.5" customHeight="1" x14ac:dyDescent="0.2">
      <c r="A49" s="2"/>
      <c r="B49" s="126" t="s">
        <v>175</v>
      </c>
      <c r="C49" s="126"/>
      <c r="D49" s="126"/>
      <c r="E49" s="126"/>
      <c r="F49" s="126"/>
      <c r="G49" s="126"/>
      <c r="H49" s="126"/>
      <c r="I49" s="126"/>
      <c r="J49" s="126"/>
    </row>
    <row r="50" spans="1:10" x14ac:dyDescent="0.2">
      <c r="B50" s="126" t="s">
        <v>174</v>
      </c>
      <c r="C50" s="126"/>
      <c r="D50" s="126"/>
      <c r="E50" s="126"/>
      <c r="F50" s="126"/>
      <c r="G50" s="126"/>
      <c r="H50" s="126"/>
      <c r="I50" s="126"/>
      <c r="J50" s="126"/>
    </row>
    <row r="51" spans="1:10" ht="25.5" customHeight="1" x14ac:dyDescent="0.2">
      <c r="B51" s="124" t="s">
        <v>169</v>
      </c>
      <c r="C51" s="124"/>
      <c r="D51" s="124"/>
      <c r="E51" s="124"/>
      <c r="F51" s="124"/>
      <c r="G51" s="124"/>
      <c r="H51" s="124"/>
      <c r="I51" s="124"/>
      <c r="J51" s="124"/>
    </row>
    <row r="52" spans="1:10" s="4" customFormat="1" ht="38.25" customHeight="1" x14ac:dyDescent="0.2">
      <c r="A52" s="2"/>
      <c r="B52" s="126" t="s">
        <v>154</v>
      </c>
      <c r="C52" s="126"/>
      <c r="D52" s="126"/>
      <c r="E52" s="126"/>
      <c r="F52" s="126"/>
      <c r="G52" s="126"/>
      <c r="H52" s="126"/>
      <c r="I52" s="126"/>
      <c r="J52" s="126"/>
    </row>
    <row r="53" spans="1:10" s="4" customFormat="1" ht="27" customHeight="1" x14ac:dyDescent="0.2">
      <c r="A53" s="2"/>
      <c r="B53" s="126" t="s">
        <v>155</v>
      </c>
      <c r="C53" s="126"/>
      <c r="D53" s="126"/>
      <c r="E53" s="126"/>
      <c r="F53" s="126"/>
      <c r="G53" s="126"/>
      <c r="H53" s="126"/>
      <c r="I53" s="126"/>
      <c r="J53" s="126"/>
    </row>
    <row r="54" spans="1:10" x14ac:dyDescent="0.2">
      <c r="B54" s="124" t="s">
        <v>158</v>
      </c>
      <c r="C54" s="124"/>
      <c r="D54" s="124"/>
      <c r="E54" s="124"/>
      <c r="F54" s="124"/>
      <c r="G54" s="124"/>
      <c r="H54" s="124"/>
      <c r="I54" s="124"/>
      <c r="J54" s="124"/>
    </row>
    <row r="55" spans="1:10" ht="26.25" customHeight="1" x14ac:dyDescent="0.2">
      <c r="B55" s="126" t="s">
        <v>156</v>
      </c>
      <c r="C55" s="126"/>
      <c r="D55" s="126"/>
      <c r="E55" s="126"/>
      <c r="F55" s="126"/>
      <c r="G55" s="126"/>
      <c r="H55" s="126"/>
      <c r="I55" s="126"/>
      <c r="J55" s="126"/>
    </row>
    <row r="56" spans="1:10" ht="25.5" customHeight="1" x14ac:dyDescent="0.2">
      <c r="B56" s="126" t="s">
        <v>157</v>
      </c>
      <c r="C56" s="126"/>
      <c r="D56" s="126"/>
      <c r="E56" s="126"/>
      <c r="F56" s="126"/>
      <c r="G56" s="126"/>
      <c r="H56" s="126"/>
      <c r="I56" s="126"/>
      <c r="J56" s="126"/>
    </row>
    <row r="57" spans="1:10" x14ac:dyDescent="0.2">
      <c r="B57" s="126" t="s">
        <v>170</v>
      </c>
      <c r="C57" s="126"/>
      <c r="D57" s="126"/>
      <c r="E57" s="126"/>
      <c r="F57" s="126"/>
      <c r="G57" s="126"/>
      <c r="H57" s="126"/>
      <c r="I57" s="126"/>
      <c r="J57" s="126"/>
    </row>
    <row r="58" spans="1:10" ht="12.75" customHeight="1" x14ac:dyDescent="0.2">
      <c r="B58" s="126" t="s">
        <v>159</v>
      </c>
      <c r="C58" s="126"/>
      <c r="D58" s="126"/>
      <c r="E58" s="126"/>
      <c r="F58" s="126"/>
      <c r="G58" s="126"/>
      <c r="H58" s="126"/>
      <c r="I58" s="126"/>
      <c r="J58" s="126"/>
    </row>
    <row r="59" spans="1:10" ht="12.75" customHeight="1" x14ac:dyDescent="0.2">
      <c r="B59" s="126" t="s">
        <v>166</v>
      </c>
      <c r="C59" s="126"/>
      <c r="D59" s="126"/>
      <c r="E59" s="126"/>
      <c r="F59" s="126"/>
      <c r="G59" s="126"/>
      <c r="H59" s="126"/>
      <c r="I59" s="126"/>
      <c r="J59" s="126"/>
    </row>
    <row r="60" spans="1:10" x14ac:dyDescent="0.2">
      <c r="B60" s="124" t="s">
        <v>160</v>
      </c>
      <c r="C60" s="124"/>
      <c r="D60" s="124"/>
      <c r="E60" s="124"/>
      <c r="F60" s="124"/>
      <c r="G60" s="124"/>
      <c r="H60" s="124"/>
      <c r="I60" s="124"/>
      <c r="J60" s="124"/>
    </row>
  </sheetData>
  <mergeCells count="21">
    <mergeCell ref="B51:J51"/>
    <mergeCell ref="B3:B4"/>
    <mergeCell ref="G39:I39"/>
    <mergeCell ref="G40:I40"/>
    <mergeCell ref="B46:J46"/>
    <mergeCell ref="L5:M5"/>
    <mergeCell ref="B60:J60"/>
    <mergeCell ref="B1:J1"/>
    <mergeCell ref="B59:J59"/>
    <mergeCell ref="B47:J47"/>
    <mergeCell ref="B49:J49"/>
    <mergeCell ref="B52:J52"/>
    <mergeCell ref="B53:J53"/>
    <mergeCell ref="B54:J54"/>
    <mergeCell ref="B55:J55"/>
    <mergeCell ref="B56:J56"/>
    <mergeCell ref="B57:J57"/>
    <mergeCell ref="B58:J58"/>
    <mergeCell ref="B48:J48"/>
    <mergeCell ref="G27:I27"/>
    <mergeCell ref="B50:J5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zoomScale="90" zoomScaleNormal="90" workbookViewId="0">
      <selection activeCell="F13" sqref="F13"/>
    </sheetView>
  </sheetViews>
  <sheetFormatPr defaultColWidth="9.140625" defaultRowHeight="15" x14ac:dyDescent="0.25"/>
  <cols>
    <col min="1" max="1" width="0.85546875" customWidth="1"/>
    <col min="2" max="2" width="3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1.42578125" customWidth="1"/>
    <col min="11" max="11" width="2" style="44" customWidth="1"/>
    <col min="12" max="12" width="13.7109375" style="44" customWidth="1"/>
  </cols>
  <sheetData>
    <row r="1" spans="2:14" ht="15.75" x14ac:dyDescent="0.25">
      <c r="B1" s="3" t="s">
        <v>63</v>
      </c>
    </row>
    <row r="2" spans="2:14" ht="15.75" x14ac:dyDescent="0.25">
      <c r="B2" s="3"/>
    </row>
    <row r="3" spans="2:14" s="6" customFormat="1" ht="12.75" x14ac:dyDescent="0.2">
      <c r="B3" s="137" t="s">
        <v>7</v>
      </c>
      <c r="C3" s="32" t="s">
        <v>8</v>
      </c>
      <c r="D3" s="32" t="s">
        <v>9</v>
      </c>
      <c r="E3" s="32" t="s">
        <v>10</v>
      </c>
      <c r="F3" s="32" t="s">
        <v>11</v>
      </c>
      <c r="G3" s="32" t="s">
        <v>12</v>
      </c>
      <c r="H3" s="32" t="s">
        <v>13</v>
      </c>
      <c r="I3" s="32" t="s">
        <v>14</v>
      </c>
      <c r="J3" s="32" t="s">
        <v>15</v>
      </c>
      <c r="K3" s="33"/>
    </row>
    <row r="4" spans="2:14" s="11" customFormat="1" ht="51" x14ac:dyDescent="0.2">
      <c r="B4" s="137"/>
      <c r="C4" s="12" t="s">
        <v>43</v>
      </c>
      <c r="D4" s="12" t="s">
        <v>17</v>
      </c>
      <c r="E4" s="12" t="s">
        <v>44</v>
      </c>
      <c r="F4" s="12" t="s">
        <v>19</v>
      </c>
      <c r="G4" s="12" t="s">
        <v>45</v>
      </c>
      <c r="H4" s="12" t="s">
        <v>46</v>
      </c>
      <c r="I4" s="12" t="s">
        <v>22</v>
      </c>
      <c r="J4" s="12" t="s">
        <v>23</v>
      </c>
      <c r="K4" s="34"/>
    </row>
    <row r="5" spans="2:14" s="2" customFormat="1" ht="15.75" x14ac:dyDescent="0.2">
      <c r="B5" s="79" t="s">
        <v>168</v>
      </c>
      <c r="C5" s="80"/>
      <c r="D5" s="81"/>
      <c r="E5" s="81"/>
      <c r="F5" s="82"/>
      <c r="G5" s="83"/>
      <c r="H5" s="83"/>
      <c r="I5" s="83"/>
      <c r="J5" s="84"/>
      <c r="L5" s="134" t="s">
        <v>56</v>
      </c>
      <c r="M5" s="134"/>
    </row>
    <row r="6" spans="2:14" s="2" customFormat="1" x14ac:dyDescent="0.25">
      <c r="B6" s="85" t="s">
        <v>71</v>
      </c>
      <c r="C6" s="80">
        <v>0.5</v>
      </c>
      <c r="D6" s="81">
        <f>'Respondent Burden'!D11</f>
        <v>33</v>
      </c>
      <c r="E6" s="81">
        <f t="shared" ref="E6:E7" si="0">C6*D6</f>
        <v>16.5</v>
      </c>
      <c r="F6" s="82">
        <f>'Respondent Burden'!F11</f>
        <v>0</v>
      </c>
      <c r="G6" s="82">
        <f>ROUND(E6*F6, 2)</f>
        <v>0</v>
      </c>
      <c r="H6" s="86">
        <f>ROUND(G6*0.05, 2)</f>
        <v>0</v>
      </c>
      <c r="I6" s="82">
        <f>ROUND(G6*0.1, 2)</f>
        <v>0</v>
      </c>
      <c r="J6" s="110">
        <f>ROUND(G6*$M$7+H6*$M$6+I6*$M$8, 2)</f>
        <v>0</v>
      </c>
      <c r="L6" s="66" t="s">
        <v>146</v>
      </c>
      <c r="M6" s="103">
        <v>65.709999999999994</v>
      </c>
      <c r="N6" s="98" t="s">
        <v>145</v>
      </c>
    </row>
    <row r="7" spans="2:14" s="2" customFormat="1" ht="12.75" x14ac:dyDescent="0.2">
      <c r="B7" s="85" t="s">
        <v>93</v>
      </c>
      <c r="C7" s="80">
        <v>0.5</v>
      </c>
      <c r="D7" s="81">
        <f>'Respondent Burden'!D12</f>
        <v>4</v>
      </c>
      <c r="E7" s="81">
        <f t="shared" si="0"/>
        <v>2</v>
      </c>
      <c r="F7" s="82">
        <f>'Respondent Burden'!F12</f>
        <v>0</v>
      </c>
      <c r="G7" s="82">
        <f t="shared" ref="G7:G9" si="1">ROUND(E7*F7, 2)</f>
        <v>0</v>
      </c>
      <c r="H7" s="82">
        <f t="shared" ref="H7:H17" si="2">ROUND(G7*0.05, 2)</f>
        <v>0</v>
      </c>
      <c r="I7" s="82">
        <f t="shared" ref="I7:I9" si="3">ROUND(G7*0.1, 2)</f>
        <v>0</v>
      </c>
      <c r="J7" s="110">
        <f>ROUND(G7*$M$7+H7*$M$6+I7*$M$8, 2)</f>
        <v>0</v>
      </c>
      <c r="L7" s="66" t="s">
        <v>147</v>
      </c>
      <c r="M7" s="103">
        <v>48.75</v>
      </c>
    </row>
    <row r="8" spans="2:14" s="2" customFormat="1" ht="25.5" x14ac:dyDescent="0.2">
      <c r="B8" s="85" t="s">
        <v>137</v>
      </c>
      <c r="C8" s="80">
        <v>0.5</v>
      </c>
      <c r="D8" s="81">
        <f>'Respondent Burden'!D13</f>
        <v>1</v>
      </c>
      <c r="E8" s="81">
        <f t="shared" ref="E8" si="4">C8*D8</f>
        <v>0.5</v>
      </c>
      <c r="F8" s="82">
        <f>'Respondent Burden'!F13</f>
        <v>0</v>
      </c>
      <c r="G8" s="86">
        <f t="shared" si="1"/>
        <v>0</v>
      </c>
      <c r="H8" s="83">
        <f t="shared" si="2"/>
        <v>0</v>
      </c>
      <c r="I8" s="83">
        <f t="shared" si="3"/>
        <v>0</v>
      </c>
      <c r="J8" s="110">
        <f>ROUND(G8*$M$7+H8*$M$6+I8*$M$8, 2)</f>
        <v>0</v>
      </c>
      <c r="L8" s="66" t="s">
        <v>148</v>
      </c>
      <c r="M8" s="103">
        <v>26.38</v>
      </c>
    </row>
    <row r="9" spans="2:14" s="2" customFormat="1" ht="12.75" x14ac:dyDescent="0.2">
      <c r="B9" s="85" t="s">
        <v>138</v>
      </c>
      <c r="C9" s="80">
        <v>0.5</v>
      </c>
      <c r="D9" s="81">
        <f>'Respondent Burden'!D14</f>
        <v>1</v>
      </c>
      <c r="E9" s="81">
        <f t="shared" ref="E9:E17" si="5">C9*D9</f>
        <v>0.5</v>
      </c>
      <c r="F9" s="82">
        <f>'Respondent Burden'!F14</f>
        <v>0</v>
      </c>
      <c r="G9" s="86">
        <f t="shared" si="1"/>
        <v>0</v>
      </c>
      <c r="H9" s="83">
        <f t="shared" si="2"/>
        <v>0</v>
      </c>
      <c r="I9" s="83">
        <f t="shared" si="3"/>
        <v>0</v>
      </c>
      <c r="J9" s="110">
        <f>ROUND(G9*$M$7+H9*$M$6+I9*$M$8, 2)</f>
        <v>0</v>
      </c>
      <c r="L9" s="4"/>
    </row>
    <row r="10" spans="2:14" s="2" customFormat="1" ht="13.5" x14ac:dyDescent="0.25">
      <c r="B10" s="79" t="s">
        <v>94</v>
      </c>
      <c r="C10" s="80"/>
      <c r="D10" s="80"/>
      <c r="E10" s="81"/>
      <c r="F10" s="82"/>
      <c r="G10" s="83"/>
      <c r="H10" s="83"/>
      <c r="I10" s="83"/>
      <c r="J10" s="110"/>
      <c r="L10" s="45" t="str">
        <f>'Respondent Burden'!L22</f>
        <v>ERG Notes: We expect the number of sources subject to decrease over time as facilities are modified.</v>
      </c>
    </row>
    <row r="11" spans="2:14" s="2" customFormat="1" ht="12.75" x14ac:dyDescent="0.2">
      <c r="B11" s="85" t="s">
        <v>81</v>
      </c>
      <c r="C11" s="80">
        <v>1</v>
      </c>
      <c r="D11" s="80">
        <f>'Respondent Burden'!D18</f>
        <v>1</v>
      </c>
      <c r="E11" s="81">
        <f t="shared" si="5"/>
        <v>1</v>
      </c>
      <c r="F11" s="82">
        <f>'Respondent Burden'!F18</f>
        <v>0</v>
      </c>
      <c r="G11" s="82">
        <f t="shared" ref="G11:G17" si="6">ROUND(E11*F11, 2)</f>
        <v>0</v>
      </c>
      <c r="H11" s="82">
        <f t="shared" si="2"/>
        <v>0</v>
      </c>
      <c r="I11" s="82">
        <f t="shared" ref="I11:I17" si="7">ROUND(G11*0.1, 2)</f>
        <v>0</v>
      </c>
      <c r="J11" s="110">
        <f t="shared" ref="J11:J17" si="8">ROUND(G11*$M$7+H11*$M$6+I11*$M$8, 2)</f>
        <v>0</v>
      </c>
      <c r="L11" s="4"/>
    </row>
    <row r="12" spans="2:14" s="2" customFormat="1" ht="12.75" x14ac:dyDescent="0.2">
      <c r="B12" s="85" t="s">
        <v>139</v>
      </c>
      <c r="C12" s="80">
        <v>1</v>
      </c>
      <c r="D12" s="80">
        <f>'Respondent Burden'!D19</f>
        <v>1</v>
      </c>
      <c r="E12" s="81">
        <f>C12*D12</f>
        <v>1</v>
      </c>
      <c r="F12" s="82">
        <f>'Respondent Burden'!F19</f>
        <v>9</v>
      </c>
      <c r="G12" s="82">
        <f>ROUND(E12*F12, 2)</f>
        <v>9</v>
      </c>
      <c r="H12" s="83">
        <f>ROUND(G12*0.05, 2)</f>
        <v>0.45</v>
      </c>
      <c r="I12" s="86">
        <f>ROUND(G12*0.1, 2)</f>
        <v>0.9</v>
      </c>
      <c r="J12" s="102">
        <f t="shared" si="8"/>
        <v>492.06</v>
      </c>
      <c r="L12" s="4"/>
    </row>
    <row r="13" spans="2:14" s="2" customFormat="1" ht="12.75" x14ac:dyDescent="0.2">
      <c r="B13" s="85" t="s">
        <v>140</v>
      </c>
      <c r="C13" s="80">
        <v>1</v>
      </c>
      <c r="D13" s="80">
        <f>'Respondent Burden'!D20</f>
        <v>1</v>
      </c>
      <c r="E13" s="81">
        <f t="shared" si="5"/>
        <v>1</v>
      </c>
      <c r="F13" s="82">
        <f>'Respondent Burden'!F20</f>
        <v>39</v>
      </c>
      <c r="G13" s="82">
        <f t="shared" si="6"/>
        <v>39</v>
      </c>
      <c r="H13" s="83">
        <f t="shared" si="2"/>
        <v>1.95</v>
      </c>
      <c r="I13" s="86">
        <f t="shared" si="7"/>
        <v>3.9</v>
      </c>
      <c r="J13" s="102">
        <f t="shared" si="8"/>
        <v>2132.27</v>
      </c>
      <c r="L13" s="4"/>
    </row>
    <row r="14" spans="2:14" s="2" customFormat="1" ht="12.75" x14ac:dyDescent="0.2">
      <c r="B14" s="85" t="s">
        <v>141</v>
      </c>
      <c r="C14" s="80">
        <v>1</v>
      </c>
      <c r="D14" s="80">
        <f>'Respondent Burden'!D21</f>
        <v>1</v>
      </c>
      <c r="E14" s="81">
        <f t="shared" si="5"/>
        <v>1</v>
      </c>
      <c r="F14" s="82">
        <f>'Respondent Burden'!F21</f>
        <v>1676</v>
      </c>
      <c r="G14" s="82">
        <f t="shared" si="6"/>
        <v>1676</v>
      </c>
      <c r="H14" s="83">
        <f t="shared" si="2"/>
        <v>83.8</v>
      </c>
      <c r="I14" s="86">
        <f t="shared" si="7"/>
        <v>167.6</v>
      </c>
      <c r="J14" s="102">
        <f t="shared" si="8"/>
        <v>91632.79</v>
      </c>
      <c r="L14" s="4"/>
    </row>
    <row r="15" spans="2:14" s="2" customFormat="1" ht="12.75" x14ac:dyDescent="0.2">
      <c r="B15" s="85" t="s">
        <v>113</v>
      </c>
      <c r="C15" s="80">
        <v>1</v>
      </c>
      <c r="D15" s="80">
        <f>'Respondent Burden'!D22</f>
        <v>1</v>
      </c>
      <c r="E15" s="81">
        <f t="shared" si="5"/>
        <v>1</v>
      </c>
      <c r="F15" s="82">
        <f>'Respondent Burden'!F22</f>
        <v>300</v>
      </c>
      <c r="G15" s="82">
        <f t="shared" si="6"/>
        <v>300</v>
      </c>
      <c r="H15" s="82">
        <f t="shared" si="2"/>
        <v>15</v>
      </c>
      <c r="I15" s="82">
        <f t="shared" si="7"/>
        <v>30</v>
      </c>
      <c r="J15" s="102">
        <f t="shared" si="8"/>
        <v>16402.05</v>
      </c>
      <c r="L15" s="4"/>
    </row>
    <row r="16" spans="2:14" s="2" customFormat="1" ht="12.75" x14ac:dyDescent="0.2">
      <c r="B16" s="85" t="s">
        <v>112</v>
      </c>
      <c r="C16" s="80">
        <v>1</v>
      </c>
      <c r="D16" s="80">
        <f>'Respondent Burden'!D23</f>
        <v>1</v>
      </c>
      <c r="E16" s="81">
        <f t="shared" si="5"/>
        <v>1</v>
      </c>
      <c r="F16" s="82">
        <f>'Respondent Burden'!F23</f>
        <v>45</v>
      </c>
      <c r="G16" s="82">
        <f t="shared" si="6"/>
        <v>45</v>
      </c>
      <c r="H16" s="83">
        <f t="shared" si="2"/>
        <v>2.25</v>
      </c>
      <c r="I16" s="86">
        <f t="shared" si="7"/>
        <v>4.5</v>
      </c>
      <c r="J16" s="102">
        <f t="shared" si="8"/>
        <v>2460.31</v>
      </c>
      <c r="L16" s="4"/>
    </row>
    <row r="17" spans="1:14" s="2" customFormat="1" ht="12.75" x14ac:dyDescent="0.2">
      <c r="B17" s="85" t="s">
        <v>97</v>
      </c>
      <c r="C17" s="80">
        <v>1</v>
      </c>
      <c r="D17" s="80">
        <f>'Respondent Burden'!D24</f>
        <v>1</v>
      </c>
      <c r="E17" s="81">
        <f t="shared" si="5"/>
        <v>1</v>
      </c>
      <c r="F17" s="82">
        <f>'Respondent Burden'!F24</f>
        <v>304</v>
      </c>
      <c r="G17" s="82">
        <f t="shared" si="6"/>
        <v>304</v>
      </c>
      <c r="H17" s="82">
        <f t="shared" si="2"/>
        <v>15.2</v>
      </c>
      <c r="I17" s="82">
        <f t="shared" si="7"/>
        <v>30.4</v>
      </c>
      <c r="J17" s="102">
        <f t="shared" si="8"/>
        <v>16620.740000000002</v>
      </c>
      <c r="L17" s="4"/>
    </row>
    <row r="18" spans="1:14" s="2" customFormat="1" ht="12.75" x14ac:dyDescent="0.2">
      <c r="B18" s="79" t="s">
        <v>95</v>
      </c>
      <c r="C18" s="80"/>
      <c r="D18" s="80"/>
      <c r="E18" s="81"/>
      <c r="F18" s="82"/>
      <c r="G18" s="83"/>
      <c r="H18" s="83"/>
      <c r="I18" s="83"/>
      <c r="J18" s="102"/>
    </row>
    <row r="19" spans="1:14" s="2" customFormat="1" ht="12.75" x14ac:dyDescent="0.2">
      <c r="B19" s="85" t="s">
        <v>96</v>
      </c>
      <c r="C19" s="81">
        <v>1</v>
      </c>
      <c r="D19" s="81">
        <f>'Respondent Burden'!D26</f>
        <v>2</v>
      </c>
      <c r="E19" s="81">
        <f>C19*D19</f>
        <v>2</v>
      </c>
      <c r="F19" s="82">
        <f>'Respondent Burden'!F26</f>
        <v>87</v>
      </c>
      <c r="G19" s="82">
        <f>ROUND(E19*F19, 2)</f>
        <v>174</v>
      </c>
      <c r="H19" s="86">
        <f>ROUND(G19*0.05, 2)</f>
        <v>8.6999999999999993</v>
      </c>
      <c r="I19" s="82">
        <f>ROUND(G19*0.1, 2)</f>
        <v>17.399999999999999</v>
      </c>
      <c r="J19" s="102">
        <f>ROUND(G19*$M$7+H19*$M$6+I19*$M$8, 2)</f>
        <v>9513.19</v>
      </c>
      <c r="L19" s="4"/>
    </row>
    <row r="20" spans="1:14" s="2" customFormat="1" ht="30" customHeight="1" x14ac:dyDescent="0.25">
      <c r="B20" s="99" t="s">
        <v>179</v>
      </c>
      <c r="C20" s="100"/>
      <c r="D20" s="100"/>
      <c r="E20" s="100"/>
      <c r="F20" s="100"/>
      <c r="G20" s="138">
        <f>ROUND(SUM(G5:I19), -2)</f>
        <v>2900</v>
      </c>
      <c r="H20" s="138"/>
      <c r="I20" s="138"/>
      <c r="J20" s="101">
        <f>ROUND(SUM(J5:J19), -3)</f>
        <v>139000</v>
      </c>
      <c r="K20" s="31"/>
      <c r="L20" s="4"/>
      <c r="M20" s="44"/>
      <c r="N20" s="44"/>
    </row>
    <row r="21" spans="1:14" s="2" customFormat="1" ht="12.75" x14ac:dyDescent="0.2">
      <c r="B21" s="95"/>
      <c r="C21" s="30"/>
      <c r="D21" s="27"/>
      <c r="E21" s="27"/>
      <c r="F21" s="28"/>
      <c r="G21" s="31"/>
      <c r="K21" s="29"/>
    </row>
    <row r="22" spans="1:14" s="4" customFormat="1" ht="12.75" x14ac:dyDescent="0.2">
      <c r="A22" s="2"/>
      <c r="B22" s="51" t="s">
        <v>47</v>
      </c>
      <c r="C22" s="2"/>
      <c r="D22" s="2"/>
      <c r="E22" s="2"/>
      <c r="F22" s="2"/>
      <c r="G22" s="2"/>
      <c r="H22" s="2"/>
      <c r="I22" s="2"/>
      <c r="J22" s="2"/>
      <c r="M22" s="96"/>
      <c r="N22" s="96"/>
    </row>
    <row r="23" spans="1:14" s="4" customFormat="1" ht="29.25" customHeight="1" x14ac:dyDescent="0.2">
      <c r="A23" s="2"/>
      <c r="B23" s="126" t="s">
        <v>167</v>
      </c>
      <c r="C23" s="126"/>
      <c r="D23" s="126"/>
      <c r="E23" s="126"/>
      <c r="F23" s="126"/>
      <c r="G23" s="126"/>
      <c r="H23" s="126"/>
      <c r="I23" s="126"/>
      <c r="J23" s="126"/>
    </row>
    <row r="24" spans="1:14" s="4" customFormat="1" ht="41.25" customHeight="1" x14ac:dyDescent="0.2">
      <c r="A24" s="2"/>
      <c r="B24" s="127" t="s">
        <v>144</v>
      </c>
      <c r="C24" s="127"/>
      <c r="D24" s="127"/>
      <c r="E24" s="127"/>
      <c r="F24" s="127"/>
      <c r="G24" s="127"/>
      <c r="H24" s="127"/>
      <c r="I24" s="127"/>
      <c r="J24" s="127"/>
    </row>
    <row r="25" spans="1:14" ht="30" customHeight="1" x14ac:dyDescent="0.25">
      <c r="B25" s="135" t="s">
        <v>178</v>
      </c>
      <c r="C25" s="135"/>
      <c r="D25" s="135"/>
      <c r="E25" s="135"/>
      <c r="F25" s="135"/>
      <c r="G25" s="135"/>
      <c r="H25" s="135"/>
      <c r="I25" s="135"/>
      <c r="J25" s="135"/>
    </row>
    <row r="26" spans="1:14" x14ac:dyDescent="0.25">
      <c r="B26" s="136" t="s">
        <v>150</v>
      </c>
      <c r="C26" s="136"/>
      <c r="D26" s="136"/>
      <c r="E26" s="136"/>
      <c r="F26" s="136"/>
      <c r="G26" s="136"/>
      <c r="H26" s="136"/>
      <c r="I26" s="136"/>
      <c r="J26" s="136"/>
    </row>
  </sheetData>
  <mergeCells count="7">
    <mergeCell ref="L5:M5"/>
    <mergeCell ref="B25:J25"/>
    <mergeCell ref="B26:J26"/>
    <mergeCell ref="B3:B4"/>
    <mergeCell ref="G20:I20"/>
    <mergeCell ref="B23:J23"/>
    <mergeCell ref="B24:J2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14"/>
  <sheetViews>
    <sheetView workbookViewId="0">
      <selection activeCell="G7" sqref="G7"/>
    </sheetView>
  </sheetViews>
  <sheetFormatPr defaultColWidth="9.140625" defaultRowHeight="12.75" x14ac:dyDescent="0.2"/>
  <cols>
    <col min="1" max="1" width="1" style="1" customWidth="1"/>
    <col min="2" max="2" width="38.5703125" style="1" customWidth="1"/>
    <col min="3" max="3" width="12.5703125" style="1" customWidth="1"/>
    <col min="4" max="4" width="12.7109375" style="1" customWidth="1"/>
    <col min="5" max="5" width="14.42578125" style="1" customWidth="1"/>
    <col min="6" max="6" width="12.5703125" style="1" customWidth="1"/>
    <col min="7" max="11" width="12" style="1" customWidth="1"/>
    <col min="12" max="12" width="54.7109375" style="1" bestFit="1" customWidth="1"/>
    <col min="13" max="16384" width="9.140625" style="1"/>
  </cols>
  <sheetData>
    <row r="1" spans="2:10" s="4" customFormat="1" x14ac:dyDescent="0.2">
      <c r="B1" s="1"/>
      <c r="C1" s="1"/>
      <c r="D1" s="1"/>
      <c r="E1" s="1"/>
      <c r="F1" s="1"/>
      <c r="G1" s="1"/>
    </row>
    <row r="2" spans="2:10" ht="15.75" x14ac:dyDescent="0.2">
      <c r="B2" s="139" t="s">
        <v>48</v>
      </c>
      <c r="C2" s="140"/>
      <c r="D2" s="140"/>
      <c r="E2" s="140"/>
      <c r="F2" s="140"/>
      <c r="G2" s="140"/>
      <c r="H2" s="141"/>
    </row>
    <row r="3" spans="2:10" x14ac:dyDescent="0.2">
      <c r="B3" s="41" t="s">
        <v>0</v>
      </c>
      <c r="C3" s="41" t="s">
        <v>1</v>
      </c>
      <c r="D3" s="41" t="s">
        <v>2</v>
      </c>
      <c r="E3" s="41" t="s">
        <v>3</v>
      </c>
      <c r="F3" s="41" t="s">
        <v>4</v>
      </c>
      <c r="G3" s="41" t="s">
        <v>50</v>
      </c>
      <c r="H3" s="41" t="s">
        <v>52</v>
      </c>
    </row>
    <row r="4" spans="2:10" ht="41.25" x14ac:dyDescent="0.25">
      <c r="B4" s="42" t="s">
        <v>58</v>
      </c>
      <c r="C4" s="42" t="s">
        <v>49</v>
      </c>
      <c r="D4" s="42" t="s">
        <v>31</v>
      </c>
      <c r="E4" s="42" t="s">
        <v>117</v>
      </c>
      <c r="F4" s="42" t="s">
        <v>119</v>
      </c>
      <c r="G4" s="42" t="s">
        <v>51</v>
      </c>
      <c r="H4" s="42" t="s">
        <v>53</v>
      </c>
      <c r="I4" s="45" t="s">
        <v>55</v>
      </c>
      <c r="J4" s="105" t="s">
        <v>180</v>
      </c>
    </row>
    <row r="5" spans="2:10" ht="14.25" x14ac:dyDescent="0.2">
      <c r="B5" s="42" t="s">
        <v>115</v>
      </c>
      <c r="C5" s="52">
        <v>73000</v>
      </c>
      <c r="D5" s="53">
        <v>0</v>
      </c>
      <c r="E5" s="52">
        <f>C5*D5</f>
        <v>0</v>
      </c>
      <c r="F5" s="52">
        <v>17100</v>
      </c>
      <c r="G5" s="53">
        <v>12</v>
      </c>
      <c r="H5" s="52">
        <f>F5*G5</f>
        <v>205200</v>
      </c>
    </row>
    <row r="6" spans="2:10" ht="28.5" x14ac:dyDescent="0.2">
      <c r="B6" s="42" t="s">
        <v>118</v>
      </c>
      <c r="C6" s="52" t="s">
        <v>65</v>
      </c>
      <c r="D6" s="53">
        <v>0</v>
      </c>
      <c r="E6" s="52">
        <v>0</v>
      </c>
      <c r="F6" s="52">
        <v>804</v>
      </c>
      <c r="G6" s="53">
        <v>52</v>
      </c>
      <c r="H6" s="52">
        <f>F6*G6</f>
        <v>41808</v>
      </c>
    </row>
    <row r="7" spans="2:10" ht="28.5" x14ac:dyDescent="0.2">
      <c r="B7" s="42" t="s">
        <v>116</v>
      </c>
      <c r="C7" s="52" t="s">
        <v>65</v>
      </c>
      <c r="D7" s="53">
        <v>0</v>
      </c>
      <c r="E7" s="52">
        <v>0</v>
      </c>
      <c r="F7" s="52">
        <v>804</v>
      </c>
      <c r="G7" s="53">
        <f>'Respondent Burden'!F24*4</f>
        <v>1216</v>
      </c>
      <c r="H7" s="52">
        <f>F7*G7</f>
        <v>977664</v>
      </c>
    </row>
    <row r="8" spans="2:10" x14ac:dyDescent="0.2">
      <c r="B8" s="42" t="s">
        <v>6</v>
      </c>
      <c r="C8" s="60"/>
      <c r="D8" s="60"/>
      <c r="E8" s="65">
        <f>SUM(E5:E7)</f>
        <v>0</v>
      </c>
      <c r="F8" s="60"/>
      <c r="G8" s="60"/>
      <c r="H8" s="54">
        <f>ROUND(SUM(H5:H7),-4)</f>
        <v>1220000</v>
      </c>
      <c r="I8" s="10"/>
    </row>
    <row r="9" spans="2:10" x14ac:dyDescent="0.2">
      <c r="B9" s="1" t="s">
        <v>114</v>
      </c>
      <c r="C9" s="62"/>
      <c r="D9" s="62"/>
      <c r="E9" s="56"/>
      <c r="F9" s="56"/>
      <c r="G9" s="57"/>
      <c r="H9" s="56"/>
      <c r="I9" s="10"/>
    </row>
    <row r="10" spans="2:10" x14ac:dyDescent="0.2">
      <c r="B10" s="55" t="s">
        <v>59</v>
      </c>
    </row>
    <row r="12" spans="2:10" x14ac:dyDescent="0.2">
      <c r="B12" s="1" t="s">
        <v>47</v>
      </c>
    </row>
    <row r="13" spans="2:10" ht="15.75" x14ac:dyDescent="0.2">
      <c r="B13" s="78" t="s">
        <v>120</v>
      </c>
    </row>
    <row r="14" spans="2:10" ht="15.75" x14ac:dyDescent="0.2">
      <c r="B14" s="78" t="s">
        <v>121</v>
      </c>
    </row>
  </sheetData>
  <mergeCells count="1">
    <mergeCell ref="B2:H2"/>
  </mergeCell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 Responses</vt:lpstr>
      <vt:lpstr>Respondent Burden</vt:lpstr>
      <vt:lpstr>Agency Burden</vt:lpstr>
      <vt:lpstr>Capital &amp;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wwrigley</cp:lastModifiedBy>
  <dcterms:created xsi:type="dcterms:W3CDTF">2014-10-21T14:07:44Z</dcterms:created>
  <dcterms:modified xsi:type="dcterms:W3CDTF">2019-03-07T17:56:53Z</dcterms:modified>
</cp:coreProperties>
</file>